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codeName="ThisWorkbook" defaultThemeVersion="124226"/>
  <bookViews>
    <workbookView xWindow="0" yWindow="1260" windowWidth="19440" windowHeight="6495" tabRatio="796" activeTab="2"/>
  </bookViews>
  <sheets>
    <sheet name=" KOP2018" sheetId="118" r:id="rId1"/>
    <sheet name="A-P18" sheetId="140" r:id="rId2"/>
    <sheet name="BV18" sheetId="119" r:id="rId3"/>
    <sheet name="SHFS18" sheetId="122" r:id="rId4"/>
    <sheet name="P.AQT18" sheetId="157" r:id="rId5"/>
    <sheet name="AQT18" sheetId="121" r:id="rId6"/>
    <sheet name="MP18" sheetId="125" r:id="rId7"/>
    <sheet name="PAGA18" sheetId="139" r:id="rId8"/>
    <sheet name="CF18" sheetId="126" r:id="rId9"/>
    <sheet name="K" sheetId="127" r:id="rId10"/>
    <sheet name="SH.SHPJEG" sheetId="156" r:id="rId11"/>
  </sheets>
  <externalReferences>
    <externalReference r:id="rId12"/>
  </externalReferences>
  <definedNames>
    <definedName name="_xlnm._FilterDatabase" localSheetId="7" hidden="1">PAGA18!#REF!</definedName>
    <definedName name="_xlnm.Print_Area" localSheetId="0">' KOP2018'!$A$1:$I$46</definedName>
    <definedName name="_xlnm.Print_Area" localSheetId="1">'A-P18'!$A$1:$E$82</definedName>
    <definedName name="_xlnm.Print_Area" localSheetId="5">'AQT18'!$A$1:$Z$192</definedName>
    <definedName name="_xlnm.Print_Area" localSheetId="2">'BV18'!$A$2:$G$85</definedName>
    <definedName name="_xlnm.Print_Area" localSheetId="8">'CF18'!$A$1:$E$44</definedName>
    <definedName name="_xlnm.Print_Area" localSheetId="9">K!$A$1:$K$12</definedName>
    <definedName name="_xlnm.Print_Area" localSheetId="6">'MP18'!$A$1:$F$9</definedName>
    <definedName name="_xlnm.Print_Area" localSheetId="4">P.AQT18!$A$1:$L$31</definedName>
    <definedName name="_xlnm.Print_Area" localSheetId="7">PAGA18!$A$1:$L$23</definedName>
    <definedName name="_xlnm.Print_Area" localSheetId="10">SH.SHPJEG!$B$1:$N$176</definedName>
    <definedName name="_xlnm.Print_Area" localSheetId="3">SHFS18!$A$1:$C$87</definedName>
  </definedNames>
  <calcPr calcId="145621"/>
</workbook>
</file>

<file path=xl/calcChain.xml><?xml version="1.0" encoding="utf-8"?>
<calcChain xmlns="http://schemas.openxmlformats.org/spreadsheetml/2006/main">
  <c r="H34" i="126" l="1"/>
  <c r="H29" i="126"/>
  <c r="H40" i="126"/>
  <c r="H38" i="126"/>
  <c r="G35" i="126"/>
  <c r="H22" i="126"/>
  <c r="E42" i="126"/>
  <c r="G32" i="126"/>
  <c r="G31" i="126"/>
  <c r="G27" i="126"/>
  <c r="G22" i="126"/>
  <c r="G21" i="126"/>
  <c r="G17" i="126"/>
  <c r="G36" i="126"/>
  <c r="G37" i="126"/>
  <c r="G38" i="126"/>
  <c r="G39" i="126"/>
  <c r="G40" i="126"/>
  <c r="G34" i="126"/>
  <c r="G28" i="126"/>
  <c r="G29" i="126"/>
  <c r="G11" i="126"/>
  <c r="G12" i="126"/>
  <c r="G13" i="126"/>
  <c r="G15" i="126"/>
  <c r="G23" i="126"/>
  <c r="K12" i="122" l="1"/>
  <c r="I12" i="122"/>
  <c r="K4" i="122"/>
  <c r="I4" i="122"/>
  <c r="K6" i="122"/>
  <c r="I6" i="122"/>
  <c r="C17" i="122"/>
  <c r="C15" i="122"/>
  <c r="C14" i="122"/>
  <c r="C9" i="122"/>
  <c r="C7" i="122"/>
  <c r="K16" i="122"/>
  <c r="I16" i="122"/>
  <c r="K10" i="122"/>
  <c r="I10" i="122"/>
  <c r="J28" i="122" l="1"/>
  <c r="L28" i="122"/>
  <c r="L27" i="122"/>
  <c r="J27" i="122"/>
  <c r="I51" i="140" l="1"/>
  <c r="G51" i="140"/>
  <c r="I49" i="140"/>
  <c r="G49" i="140"/>
  <c r="I80" i="140"/>
  <c r="G80" i="140"/>
  <c r="I79" i="140"/>
  <c r="G79" i="140"/>
  <c r="I77" i="140"/>
  <c r="G77" i="140"/>
  <c r="I72" i="140"/>
  <c r="G72" i="140"/>
  <c r="G65" i="140"/>
  <c r="I65" i="140"/>
  <c r="I64" i="140"/>
  <c r="G64" i="140"/>
  <c r="G50" i="140"/>
  <c r="I46" i="140"/>
  <c r="G46" i="140"/>
  <c r="I42" i="140"/>
  <c r="G42" i="140"/>
  <c r="I18" i="140"/>
  <c r="G18" i="140"/>
  <c r="I28" i="140"/>
  <c r="G28" i="140"/>
  <c r="I23" i="140"/>
  <c r="G23" i="140"/>
  <c r="I19" i="140"/>
  <c r="I20" i="140"/>
  <c r="G19" i="140"/>
  <c r="G20" i="140"/>
  <c r="I10" i="140"/>
  <c r="G10" i="140"/>
  <c r="K5" i="127" l="1"/>
  <c r="H105" i="156"/>
  <c r="G28" i="119"/>
  <c r="G27" i="119"/>
  <c r="G26" i="119"/>
  <c r="G25" i="119"/>
  <c r="G24" i="119"/>
  <c r="G23" i="119"/>
  <c r="G20" i="119"/>
  <c r="G19" i="119"/>
  <c r="G18" i="119"/>
  <c r="G17" i="119"/>
  <c r="G16" i="119"/>
  <c r="G15" i="119"/>
  <c r="G12" i="119"/>
  <c r="G11" i="119"/>
  <c r="G10" i="119"/>
  <c r="G8" i="119"/>
  <c r="G7" i="119"/>
  <c r="G29" i="119"/>
  <c r="G30" i="119"/>
  <c r="G31" i="119"/>
  <c r="G32" i="119"/>
  <c r="G47" i="119"/>
  <c r="G48" i="119"/>
  <c r="G49" i="119"/>
  <c r="G50" i="119"/>
  <c r="G51" i="119"/>
  <c r="G52" i="119"/>
  <c r="E6" i="140"/>
  <c r="E21" i="140" s="1"/>
  <c r="E34" i="140" s="1"/>
  <c r="E9" i="140"/>
  <c r="E14" i="140"/>
  <c r="E33" i="140"/>
  <c r="E41" i="140"/>
  <c r="E45" i="140"/>
  <c r="E58" i="140" s="1"/>
  <c r="E63" i="140"/>
  <c r="E69" i="140" s="1"/>
  <c r="E71" i="140"/>
  <c r="E75" i="140"/>
  <c r="E81" i="140" s="1"/>
  <c r="E70" i="140" l="1"/>
  <c r="E82" i="140" s="1"/>
  <c r="J151" i="156" l="1"/>
  <c r="J152" i="156"/>
  <c r="J153" i="156"/>
  <c r="J154" i="156"/>
  <c r="J155" i="156"/>
  <c r="J156" i="156"/>
  <c r="J157" i="156"/>
  <c r="J158" i="156"/>
  <c r="J159" i="156"/>
  <c r="J160" i="156"/>
  <c r="J161" i="156"/>
  <c r="J162" i="156"/>
  <c r="J163" i="156"/>
  <c r="E163" i="156"/>
  <c r="J150" i="156"/>
  <c r="E151" i="156"/>
  <c r="E152" i="156"/>
  <c r="E153" i="156"/>
  <c r="E154" i="156"/>
  <c r="E155" i="156"/>
  <c r="E156" i="156"/>
  <c r="E157" i="156"/>
  <c r="E158" i="156"/>
  <c r="E159" i="156"/>
  <c r="E160" i="156"/>
  <c r="E161" i="156"/>
  <c r="E162" i="156"/>
  <c r="E150" i="156"/>
  <c r="D126" i="156"/>
  <c r="E115" i="156"/>
  <c r="D102" i="156"/>
  <c r="D101" i="156"/>
  <c r="D89" i="156"/>
  <c r="D97" i="156"/>
  <c r="D92" i="156"/>
  <c r="D93" i="156"/>
  <c r="D96" i="156"/>
  <c r="D87" i="156"/>
  <c r="K80" i="156"/>
  <c r="K77" i="156"/>
  <c r="K76" i="156" s="1"/>
  <c r="M76" i="156"/>
  <c r="I144" i="156"/>
  <c r="J144" i="156"/>
  <c r="K144" i="156"/>
  <c r="L25" i="157"/>
  <c r="L29" i="157"/>
  <c r="K81" i="156" s="1"/>
  <c r="L28" i="157"/>
  <c r="L26" i="157"/>
  <c r="L24" i="157"/>
  <c r="K10" i="157" s="1"/>
  <c r="H142" i="156"/>
  <c r="H141" i="156"/>
  <c r="H139" i="156"/>
  <c r="H138" i="156" s="1"/>
  <c r="H137" i="156"/>
  <c r="H136" i="156" s="1"/>
  <c r="G142" i="156"/>
  <c r="L142" i="156" s="1"/>
  <c r="G141" i="156"/>
  <c r="L141" i="156" s="1"/>
  <c r="G139" i="156"/>
  <c r="G138" i="156" s="1"/>
  <c r="G137" i="156"/>
  <c r="L137" i="156" s="1"/>
  <c r="I79" i="156"/>
  <c r="H81" i="156"/>
  <c r="H80" i="156"/>
  <c r="G81" i="156"/>
  <c r="G80" i="156"/>
  <c r="J80" i="156" s="1"/>
  <c r="I76" i="156"/>
  <c r="G77" i="156"/>
  <c r="G75" i="156"/>
  <c r="J75" i="156" s="1"/>
  <c r="G74" i="156"/>
  <c r="J74" i="156" s="1"/>
  <c r="L74" i="156" s="1"/>
  <c r="H73" i="156"/>
  <c r="I73" i="156"/>
  <c r="H72" i="156"/>
  <c r="I72" i="156"/>
  <c r="E74" i="156"/>
  <c r="E75" i="156"/>
  <c r="E76" i="156"/>
  <c r="E77" i="156"/>
  <c r="E78" i="156"/>
  <c r="E79" i="156"/>
  <c r="E80" i="156"/>
  <c r="E81" i="156"/>
  <c r="E82" i="156"/>
  <c r="D58" i="156"/>
  <c r="I59" i="156"/>
  <c r="J59" i="156" s="1"/>
  <c r="I60" i="156"/>
  <c r="I58" i="156"/>
  <c r="H60" i="156"/>
  <c r="H58" i="156"/>
  <c r="D59" i="156"/>
  <c r="G59" i="156"/>
  <c r="D60" i="156"/>
  <c r="G60" i="156"/>
  <c r="G58" i="156"/>
  <c r="H55" i="156"/>
  <c r="D55" i="156"/>
  <c r="D48" i="156"/>
  <c r="D47" i="156"/>
  <c r="D46" i="156"/>
  <c r="H13" i="157"/>
  <c r="J13" i="157" s="1"/>
  <c r="L13" i="157" s="1"/>
  <c r="H12" i="157"/>
  <c r="J12" i="157" s="1"/>
  <c r="J10" i="157"/>
  <c r="J9" i="157"/>
  <c r="L9" i="157" s="1"/>
  <c r="J16" i="157"/>
  <c r="J15" i="157"/>
  <c r="H25" i="157"/>
  <c r="H23" i="157"/>
  <c r="G27" i="157"/>
  <c r="G25" i="157"/>
  <c r="G23" i="157"/>
  <c r="E24" i="157"/>
  <c r="E29" i="157"/>
  <c r="E28" i="157"/>
  <c r="E25" i="157"/>
  <c r="I25" i="157"/>
  <c r="J25" i="157"/>
  <c r="K25" i="157"/>
  <c r="I27" i="157"/>
  <c r="J27" i="157"/>
  <c r="K27" i="157"/>
  <c r="E8" i="157"/>
  <c r="E73" i="156" s="1"/>
  <c r="E7" i="157"/>
  <c r="E72" i="156" s="1"/>
  <c r="I14" i="157"/>
  <c r="I11" i="157"/>
  <c r="J81" i="156" l="1"/>
  <c r="H78" i="156"/>
  <c r="L27" i="157"/>
  <c r="I31" i="157"/>
  <c r="L23" i="157"/>
  <c r="H77" i="156"/>
  <c r="J77" i="156" s="1"/>
  <c r="L77" i="156" s="1"/>
  <c r="J147" i="156"/>
  <c r="J58" i="156"/>
  <c r="L80" i="156"/>
  <c r="G136" i="156"/>
  <c r="J60" i="156"/>
  <c r="L140" i="156"/>
  <c r="H140" i="156"/>
  <c r="H144" i="156" s="1"/>
  <c r="L136" i="156"/>
  <c r="K75" i="156"/>
  <c r="G140" i="156"/>
  <c r="L139" i="156"/>
  <c r="L138" i="156" s="1"/>
  <c r="J73" i="156"/>
  <c r="H76" i="156"/>
  <c r="L81" i="156"/>
  <c r="L79" i="156" s="1"/>
  <c r="K79" i="156"/>
  <c r="I82" i="156"/>
  <c r="J79" i="156"/>
  <c r="G76" i="156"/>
  <c r="G79" i="156"/>
  <c r="J78" i="156"/>
  <c r="H79" i="156"/>
  <c r="G73" i="156"/>
  <c r="J11" i="157"/>
  <c r="J31" i="157"/>
  <c r="J8" i="157"/>
  <c r="H11" i="157"/>
  <c r="L10" i="157"/>
  <c r="L8" i="157" s="1"/>
  <c r="K8" i="157"/>
  <c r="J14" i="157"/>
  <c r="K31" i="157"/>
  <c r="G31" i="157"/>
  <c r="K16" i="157"/>
  <c r="L16" i="157" s="1"/>
  <c r="H27" i="157"/>
  <c r="H31" i="157" s="1"/>
  <c r="H14" i="157"/>
  <c r="G8" i="157"/>
  <c r="G14" i="157"/>
  <c r="G11" i="157"/>
  <c r="I17" i="157"/>
  <c r="C75" i="140"/>
  <c r="C69" i="140"/>
  <c r="D41" i="140"/>
  <c r="C21" i="140"/>
  <c r="H17" i="157" l="1"/>
  <c r="D71" i="140"/>
  <c r="D63" i="140"/>
  <c r="D69" i="140" s="1"/>
  <c r="H82" i="156"/>
  <c r="G144" i="156"/>
  <c r="J76" i="156"/>
  <c r="L78" i="156"/>
  <c r="L76" i="156" s="1"/>
  <c r="L75" i="156"/>
  <c r="L73" i="156" s="1"/>
  <c r="K73" i="156"/>
  <c r="K82" i="156" s="1"/>
  <c r="L144" i="156"/>
  <c r="L31" i="157"/>
  <c r="K12" i="157"/>
  <c r="K11" i="157" s="1"/>
  <c r="K15" i="157"/>
  <c r="L12" i="157" l="1"/>
  <c r="L11" i="157" s="1"/>
  <c r="L15" i="157"/>
  <c r="L14" i="157" s="1"/>
  <c r="K14" i="157"/>
  <c r="D6" i="140"/>
  <c r="K17" i="157" l="1"/>
  <c r="G79" i="119"/>
  <c r="K10" i="127"/>
  <c r="K6" i="127"/>
  <c r="K11" i="127"/>
  <c r="I12" i="127" l="1"/>
  <c r="K8" i="127"/>
  <c r="G12" i="127"/>
  <c r="H12" i="127"/>
  <c r="G65" i="119"/>
  <c r="H102" i="156" s="1"/>
  <c r="C51" i="122" l="1"/>
  <c r="C23" i="122"/>
  <c r="C48" i="122"/>
  <c r="C32" i="122"/>
  <c r="B32" i="122"/>
  <c r="C29" i="122"/>
  <c r="C26" i="122"/>
  <c r="B7" i="126" l="1"/>
  <c r="D7" i="126" s="1"/>
  <c r="B8" i="126"/>
  <c r="D8" i="126" s="1"/>
  <c r="C33" i="126"/>
  <c r="C10" i="126"/>
  <c r="C30" i="126"/>
  <c r="C25" i="126"/>
  <c r="C20" i="126"/>
  <c r="E75" i="119"/>
  <c r="C16" i="126" l="1"/>
  <c r="J7" i="119" l="1"/>
  <c r="K7" i="119"/>
  <c r="I7" i="119"/>
  <c r="I8" i="119" l="1"/>
  <c r="H8" i="119" s="1"/>
  <c r="I12" i="119" l="1"/>
  <c r="F33" i="119"/>
  <c r="F41" i="119"/>
  <c r="J47" i="156" l="1"/>
  <c r="F25" i="122" l="1"/>
  <c r="F24" i="122"/>
  <c r="F33" i="122"/>
  <c r="F37" i="122"/>
  <c r="F41" i="122"/>
  <c r="F45" i="122"/>
  <c r="F49" i="122"/>
  <c r="F53" i="122"/>
  <c r="F31" i="122"/>
  <c r="F35" i="122"/>
  <c r="F43" i="122"/>
  <c r="F51" i="122"/>
  <c r="F32" i="122"/>
  <c r="F36" i="122"/>
  <c r="F44" i="122"/>
  <c r="F52" i="122"/>
  <c r="F30" i="122"/>
  <c r="F34" i="122"/>
  <c r="F38" i="122"/>
  <c r="F42" i="122"/>
  <c r="F46" i="122"/>
  <c r="F50" i="122"/>
  <c r="F27" i="122"/>
  <c r="F39" i="122"/>
  <c r="F47" i="122"/>
  <c r="F28" i="122"/>
  <c r="F40" i="122"/>
  <c r="F12" i="122"/>
  <c r="F11" i="122"/>
  <c r="F48" i="122"/>
  <c r="F10" i="122"/>
  <c r="F16" i="122"/>
  <c r="F29" i="122"/>
  <c r="F13" i="122"/>
  <c r="F23" i="122"/>
  <c r="F8" i="122"/>
  <c r="F26" i="122"/>
  <c r="F14" i="122"/>
  <c r="B7" i="122"/>
  <c r="F15" i="122" l="1"/>
  <c r="F9" i="122"/>
  <c r="E33" i="122"/>
  <c r="G33" i="122" s="1"/>
  <c r="E36" i="122"/>
  <c r="G36" i="122" s="1"/>
  <c r="E38" i="122"/>
  <c r="G38" i="122" s="1"/>
  <c r="E41" i="122"/>
  <c r="G41" i="122" s="1"/>
  <c r="E44" i="122"/>
  <c r="G44" i="122" s="1"/>
  <c r="E46" i="122"/>
  <c r="G46" i="122" s="1"/>
  <c r="E35" i="122"/>
  <c r="G35" i="122" s="1"/>
  <c r="E43" i="122"/>
  <c r="G43" i="122" s="1"/>
  <c r="E53" i="122"/>
  <c r="G53" i="122" s="1"/>
  <c r="E34" i="122"/>
  <c r="G34" i="122" s="1"/>
  <c r="E37" i="122"/>
  <c r="G37" i="122" s="1"/>
  <c r="E40" i="122"/>
  <c r="G40" i="122" s="1"/>
  <c r="E45" i="122"/>
  <c r="G45" i="122" s="1"/>
  <c r="E12" i="122"/>
  <c r="G12" i="122" s="1"/>
  <c r="E39" i="122"/>
  <c r="G39" i="122" s="1"/>
  <c r="E47" i="122"/>
  <c r="G47" i="122" s="1"/>
  <c r="E32" i="122"/>
  <c r="G32" i="122" s="1"/>
  <c r="E42" i="122"/>
  <c r="G42" i="122" s="1"/>
  <c r="Z184" i="121"/>
  <c r="Z185" i="121"/>
  <c r="Z171" i="121"/>
  <c r="Z172" i="121"/>
  <c r="H167" i="156"/>
  <c r="X138" i="121"/>
  <c r="X136" i="121" s="1"/>
  <c r="Z187" i="121"/>
  <c r="Z188" i="121"/>
  <c r="Z189" i="121"/>
  <c r="Z186" i="121"/>
  <c r="Z182" i="121"/>
  <c r="Y19" i="121"/>
  <c r="Z183" i="121"/>
  <c r="Y145" i="121"/>
  <c r="X135" i="121"/>
  <c r="Y135" i="121"/>
  <c r="W137" i="121"/>
  <c r="Y82" i="121"/>
  <c r="Z107" i="121"/>
  <c r="Z108" i="121"/>
  <c r="Z120" i="121"/>
  <c r="Z121" i="121"/>
  <c r="Z126" i="121"/>
  <c r="Z127" i="121"/>
  <c r="Y74" i="121"/>
  <c r="Z102" i="121"/>
  <c r="Z179" i="121"/>
  <c r="Z175" i="121"/>
  <c r="Z173" i="121"/>
  <c r="Z59" i="121"/>
  <c r="Z60" i="121"/>
  <c r="Z61" i="121"/>
  <c r="Z58" i="121"/>
  <c r="Z56" i="121"/>
  <c r="Z57" i="121"/>
  <c r="Z46" i="121"/>
  <c r="Z48" i="121"/>
  <c r="Z49" i="121"/>
  <c r="Z50" i="121"/>
  <c r="Z51" i="121"/>
  <c r="Z52" i="121"/>
  <c r="Z53" i="121"/>
  <c r="Z54" i="121"/>
  <c r="Z55" i="121"/>
  <c r="Z47" i="121"/>
  <c r="X11" i="121"/>
  <c r="X9" i="121" s="1"/>
  <c r="Z41" i="121"/>
  <c r="E50" i="122" l="1"/>
  <c r="G50" i="122" s="1"/>
  <c r="Z174" i="121"/>
  <c r="Z178" i="121"/>
  <c r="Z181" i="121"/>
  <c r="Z177" i="121"/>
  <c r="B84" i="122"/>
  <c r="Z180" i="121"/>
  <c r="Z111" i="121"/>
  <c r="Z115" i="121"/>
  <c r="Y128" i="121"/>
  <c r="Z176" i="121"/>
  <c r="Z39" i="121"/>
  <c r="Z110" i="121"/>
  <c r="Z114" i="121"/>
  <c r="Z113" i="121"/>
  <c r="Z117" i="121"/>
  <c r="Z109" i="121"/>
  <c r="Z137" i="121"/>
  <c r="Y166" i="121"/>
  <c r="Z166" i="121" s="1"/>
  <c r="Z116" i="121"/>
  <c r="H114" i="156" l="1"/>
  <c r="B86" i="122"/>
  <c r="B87" i="122" s="1"/>
  <c r="C87" i="122" s="1"/>
  <c r="H115" i="156"/>
  <c r="J46" i="156"/>
  <c r="Z112" i="121"/>
  <c r="Z125" i="121"/>
  <c r="Z124" i="121"/>
  <c r="Z123" i="121"/>
  <c r="Z122" i="121"/>
  <c r="Z118" i="121"/>
  <c r="E27" i="122" l="1"/>
  <c r="G27" i="122" s="1"/>
  <c r="I129" i="156"/>
  <c r="I130" i="156"/>
  <c r="Z119" i="121"/>
  <c r="I128" i="156" l="1"/>
  <c r="B26" i="122"/>
  <c r="E28" i="122"/>
  <c r="G28" i="122" s="1"/>
  <c r="E9" i="119"/>
  <c r="H165" i="156"/>
  <c r="D75" i="119"/>
  <c r="D71" i="119"/>
  <c r="E71" i="119"/>
  <c r="F71" i="119"/>
  <c r="D63" i="119"/>
  <c r="D69" i="119" s="1"/>
  <c r="E63" i="119"/>
  <c r="E69" i="119" s="1"/>
  <c r="F63" i="119"/>
  <c r="F69" i="119" s="1"/>
  <c r="D45" i="119"/>
  <c r="E45" i="119"/>
  <c r="F45" i="119"/>
  <c r="D41" i="119"/>
  <c r="D58" i="119" s="1"/>
  <c r="E41" i="119"/>
  <c r="D33" i="119"/>
  <c r="C21" i="119"/>
  <c r="D14" i="119"/>
  <c r="D9" i="119"/>
  <c r="D6" i="119"/>
  <c r="E43" i="126" s="1"/>
  <c r="E6" i="119"/>
  <c r="F6" i="119"/>
  <c r="D81" i="119" l="1"/>
  <c r="I126" i="156"/>
  <c r="I118" i="156"/>
  <c r="D45" i="140"/>
  <c r="D58" i="140" s="1"/>
  <c r="D70" i="140" s="1"/>
  <c r="E24" i="122"/>
  <c r="G24" i="122" s="1"/>
  <c r="B23" i="122"/>
  <c r="E25" i="122"/>
  <c r="G25" i="122" s="1"/>
  <c r="E26" i="122"/>
  <c r="G26" i="122" s="1"/>
  <c r="B48" i="122"/>
  <c r="E49" i="122"/>
  <c r="G49" i="122" s="1"/>
  <c r="D21" i="119"/>
  <c r="D34" i="119" s="1"/>
  <c r="E81" i="119"/>
  <c r="H166" i="156"/>
  <c r="E58" i="119"/>
  <c r="E70" i="119" s="1"/>
  <c r="E82" i="119" s="1"/>
  <c r="D70" i="119"/>
  <c r="D82" i="119" s="1"/>
  <c r="F58" i="119"/>
  <c r="F70" i="119" s="1"/>
  <c r="B51" i="122" l="1"/>
  <c r="E52" i="122"/>
  <c r="G52" i="122" s="1"/>
  <c r="E13" i="122"/>
  <c r="G13" i="122" s="1"/>
  <c r="E48" i="122"/>
  <c r="G48" i="122" s="1"/>
  <c r="E23" i="122"/>
  <c r="G23" i="122" s="1"/>
  <c r="E10" i="122"/>
  <c r="G10" i="122" s="1"/>
  <c r="S11" i="121"/>
  <c r="T11" i="121"/>
  <c r="E14" i="119" l="1"/>
  <c r="E21" i="119" s="1"/>
  <c r="I55" i="156"/>
  <c r="D14" i="140"/>
  <c r="J55" i="156"/>
  <c r="B9" i="122"/>
  <c r="E8" i="122"/>
  <c r="G8" i="122" s="1"/>
  <c r="E16" i="122"/>
  <c r="G16" i="122" s="1"/>
  <c r="E51" i="122"/>
  <c r="G51" i="122" s="1"/>
  <c r="F7" i="125"/>
  <c r="F5" i="125"/>
  <c r="F8" i="125" s="1"/>
  <c r="A19" i="139"/>
  <c r="D19" i="139"/>
  <c r="E21" i="139" s="1"/>
  <c r="E19" i="139"/>
  <c r="F19" i="139"/>
  <c r="G19" i="139"/>
  <c r="H19" i="139"/>
  <c r="I19" i="139"/>
  <c r="J19" i="139"/>
  <c r="K19" i="139"/>
  <c r="L19" i="139"/>
  <c r="C19" i="139"/>
  <c r="E22" i="139" l="1"/>
  <c r="K55" i="156"/>
  <c r="E9" i="122"/>
  <c r="G9" i="122" s="1"/>
  <c r="J67" i="156" l="1"/>
  <c r="C75" i="119"/>
  <c r="C69" i="119"/>
  <c r="C12" i="127" l="1"/>
  <c r="E12" i="127"/>
  <c r="D12" i="127"/>
  <c r="E19" i="126"/>
  <c r="E13" i="126"/>
  <c r="E12" i="126"/>
  <c r="E17" i="126"/>
  <c r="S146" i="121" l="1"/>
  <c r="S138" i="121"/>
  <c r="S136" i="121" s="1"/>
  <c r="T82" i="121"/>
  <c r="S106" i="121"/>
  <c r="S101" i="121"/>
  <c r="S100" i="121"/>
  <c r="S99" i="121"/>
  <c r="S98" i="121"/>
  <c r="S97" i="121"/>
  <c r="S96" i="121"/>
  <c r="T74" i="121"/>
  <c r="S19" i="121"/>
  <c r="S64" i="121" s="1"/>
  <c r="T64" i="121"/>
  <c r="K192" i="121"/>
  <c r="J192" i="121"/>
  <c r="I192" i="121"/>
  <c r="G192" i="121"/>
  <c r="E192" i="121"/>
  <c r="C192" i="121"/>
  <c r="P156" i="121"/>
  <c r="P154" i="121"/>
  <c r="P153" i="121"/>
  <c r="F152" i="121"/>
  <c r="D151" i="121"/>
  <c r="F151" i="121" s="1"/>
  <c r="F150" i="121"/>
  <c r="D168" i="121"/>
  <c r="O146" i="121"/>
  <c r="N146" i="121"/>
  <c r="M146" i="121"/>
  <c r="L146" i="121"/>
  <c r="L192" i="121" s="1"/>
  <c r="O145" i="121"/>
  <c r="R145" i="121" s="1"/>
  <c r="W145" i="121" s="1"/>
  <c r="Z145" i="121" s="1"/>
  <c r="O144" i="121"/>
  <c r="O143" i="121"/>
  <c r="O142" i="121"/>
  <c r="O141" i="121"/>
  <c r="O140" i="121"/>
  <c r="O139" i="121"/>
  <c r="P138" i="121"/>
  <c r="N138" i="121"/>
  <c r="M138" i="121"/>
  <c r="O137" i="121"/>
  <c r="O136" i="121"/>
  <c r="F136" i="121"/>
  <c r="O135" i="121"/>
  <c r="R135" i="121" s="1"/>
  <c r="W135" i="121" s="1"/>
  <c r="F135" i="121"/>
  <c r="F128" i="121"/>
  <c r="I128" i="121" s="1"/>
  <c r="P105" i="121"/>
  <c r="Q169" i="121" s="1"/>
  <c r="R169" i="121" s="1"/>
  <c r="S105" i="121" s="1"/>
  <c r="T169" i="121" s="1"/>
  <c r="F105" i="121"/>
  <c r="I105" i="121" s="1"/>
  <c r="L105" i="121" s="1"/>
  <c r="O105" i="121" s="1"/>
  <c r="P95" i="121"/>
  <c r="R95" i="121" s="1"/>
  <c r="P94" i="121"/>
  <c r="R94" i="121" s="1"/>
  <c r="P93" i="121"/>
  <c r="R93" i="121" s="1"/>
  <c r="P92" i="121"/>
  <c r="R92" i="121" s="1"/>
  <c r="P90" i="121"/>
  <c r="R90" i="121" s="1"/>
  <c r="P89" i="121"/>
  <c r="Q153" i="121" s="1"/>
  <c r="P88" i="121"/>
  <c r="Q152" i="121" s="1"/>
  <c r="R152" i="121" s="1"/>
  <c r="S86" i="121" s="1"/>
  <c r="T152" i="121" s="1"/>
  <c r="M88" i="121"/>
  <c r="O88" i="121" s="1"/>
  <c r="F88" i="121"/>
  <c r="P87" i="121"/>
  <c r="Q151" i="121" s="1"/>
  <c r="R151" i="121" s="1"/>
  <c r="S104" i="121" s="1"/>
  <c r="T151" i="121" s="1"/>
  <c r="M87" i="121"/>
  <c r="O87" i="121" s="1"/>
  <c r="F87" i="121"/>
  <c r="P86" i="121"/>
  <c r="Q150" i="121" s="1"/>
  <c r="R150" i="121" s="1"/>
  <c r="S103" i="121" s="1"/>
  <c r="T150" i="121" s="1"/>
  <c r="M86" i="121"/>
  <c r="O86" i="121" s="1"/>
  <c r="D86" i="121"/>
  <c r="F86" i="121" s="1"/>
  <c r="P104" i="121"/>
  <c r="Q168" i="121" s="1"/>
  <c r="R168" i="121" s="1"/>
  <c r="S95" i="121" s="1"/>
  <c r="T168" i="121" s="1"/>
  <c r="M104" i="121"/>
  <c r="O104" i="121" s="1"/>
  <c r="D104" i="121"/>
  <c r="F104" i="121" s="1"/>
  <c r="P103" i="121"/>
  <c r="Q167" i="121" s="1"/>
  <c r="R167" i="121" s="1"/>
  <c r="S94" i="121" s="1"/>
  <c r="T167" i="121" s="1"/>
  <c r="M103" i="121"/>
  <c r="O103" i="121" s="1"/>
  <c r="P85" i="121"/>
  <c r="Q149" i="121" s="1"/>
  <c r="R149" i="121" s="1"/>
  <c r="S85" i="121" s="1"/>
  <c r="T149" i="121" s="1"/>
  <c r="M85" i="121"/>
  <c r="O85" i="121" s="1"/>
  <c r="P84" i="121"/>
  <c r="Q148" i="121" s="1"/>
  <c r="R148" i="121" s="1"/>
  <c r="S84" i="121" s="1"/>
  <c r="T148" i="121" s="1"/>
  <c r="M84" i="121"/>
  <c r="O84" i="121" s="1"/>
  <c r="D84" i="121"/>
  <c r="F84" i="121" s="1"/>
  <c r="M83" i="121"/>
  <c r="O83" i="121" s="1"/>
  <c r="Q82" i="121"/>
  <c r="N82" i="121"/>
  <c r="N80" i="121" s="1"/>
  <c r="N79" i="121" s="1"/>
  <c r="N78" i="121" s="1"/>
  <c r="N77" i="121" s="1"/>
  <c r="N76" i="121" s="1"/>
  <c r="N75" i="121" s="1"/>
  <c r="N74" i="121" s="1"/>
  <c r="N128" i="121" s="1"/>
  <c r="L82" i="121"/>
  <c r="O81" i="121"/>
  <c r="M80" i="121"/>
  <c r="M79" i="121"/>
  <c r="M78" i="121"/>
  <c r="M77" i="121"/>
  <c r="M76" i="121"/>
  <c r="M75" i="121"/>
  <c r="Q74" i="121"/>
  <c r="L74" i="121"/>
  <c r="F72" i="121"/>
  <c r="F71" i="121"/>
  <c r="Q64" i="121"/>
  <c r="K64" i="121"/>
  <c r="J64" i="121"/>
  <c r="G64" i="121"/>
  <c r="D64" i="121"/>
  <c r="C64" i="121"/>
  <c r="R44" i="121"/>
  <c r="R32" i="121"/>
  <c r="R31" i="121"/>
  <c r="R30" i="121"/>
  <c r="R29" i="121"/>
  <c r="P28" i="121"/>
  <c r="P19" i="121" s="1"/>
  <c r="P64" i="121" s="1"/>
  <c r="R27" i="121"/>
  <c r="O26" i="121"/>
  <c r="R26" i="121" s="1"/>
  <c r="O25" i="121"/>
  <c r="R25" i="121" s="1"/>
  <c r="F25" i="121"/>
  <c r="H25" i="121" s="1"/>
  <c r="O24" i="121"/>
  <c r="R24" i="121" s="1"/>
  <c r="F24" i="121"/>
  <c r="H24" i="121" s="1"/>
  <c r="O23" i="121"/>
  <c r="R23" i="121" s="1"/>
  <c r="F23" i="121"/>
  <c r="H23" i="121" s="1"/>
  <c r="O43" i="121"/>
  <c r="R43" i="121" s="1"/>
  <c r="Z43" i="121" s="1"/>
  <c r="F43" i="121"/>
  <c r="H43" i="121" s="1"/>
  <c r="O42" i="121"/>
  <c r="R42" i="121" s="1"/>
  <c r="F42" i="121"/>
  <c r="H42" i="121" s="1"/>
  <c r="H152" i="121" s="1"/>
  <c r="O22" i="121"/>
  <c r="R22" i="121" s="1"/>
  <c r="F22" i="121"/>
  <c r="H22" i="121" s="1"/>
  <c r="H151" i="121" s="1"/>
  <c r="O21" i="121"/>
  <c r="R21" i="121" s="1"/>
  <c r="E21" i="121"/>
  <c r="D85" i="121" s="1"/>
  <c r="F85" i="121" s="1"/>
  <c r="O20" i="121"/>
  <c r="F20" i="121"/>
  <c r="H20" i="121" s="1"/>
  <c r="H168" i="121" s="1"/>
  <c r="N19" i="121"/>
  <c r="M19" i="121"/>
  <c r="L19" i="121"/>
  <c r="N18" i="121"/>
  <c r="M18" i="121"/>
  <c r="O17" i="121"/>
  <c r="R17" i="121" s="1"/>
  <c r="O16" i="121"/>
  <c r="R16" i="121" s="1"/>
  <c r="O15" i="121"/>
  <c r="R15" i="121" s="1"/>
  <c r="O14" i="121"/>
  <c r="R14" i="121" s="1"/>
  <c r="O13" i="121"/>
  <c r="R13" i="121" s="1"/>
  <c r="O12" i="121"/>
  <c r="R12" i="121" s="1"/>
  <c r="N11" i="121"/>
  <c r="N9" i="121" s="1"/>
  <c r="M11" i="121"/>
  <c r="M9" i="121" s="1"/>
  <c r="L11" i="121"/>
  <c r="L9" i="121" s="1"/>
  <c r="O10" i="121"/>
  <c r="R10" i="121" s="1"/>
  <c r="F9" i="121"/>
  <c r="O8" i="121"/>
  <c r="R8" i="121" s="1"/>
  <c r="F8" i="121"/>
  <c r="G78" i="119"/>
  <c r="G77" i="119"/>
  <c r="G76" i="119"/>
  <c r="G74" i="119"/>
  <c r="G73" i="119"/>
  <c r="G72" i="119"/>
  <c r="G68" i="119"/>
  <c r="G67" i="119"/>
  <c r="G66" i="119"/>
  <c r="G62" i="119"/>
  <c r="G61" i="119"/>
  <c r="G56" i="119"/>
  <c r="G55" i="119"/>
  <c r="G54" i="119"/>
  <c r="G53" i="119"/>
  <c r="G44" i="119"/>
  <c r="G43" i="119"/>
  <c r="G22" i="119"/>
  <c r="J62" i="156"/>
  <c r="T128" i="121" l="1"/>
  <c r="W11" i="121"/>
  <c r="H18" i="119"/>
  <c r="F12" i="127"/>
  <c r="Z135" i="121"/>
  <c r="Q128" i="121"/>
  <c r="O77" i="121"/>
  <c r="P77" i="121" s="1"/>
  <c r="Q141" i="121" s="1"/>
  <c r="R141" i="121" s="1"/>
  <c r="O79" i="121"/>
  <c r="P79" i="121" s="1"/>
  <c r="Q143" i="121" s="1"/>
  <c r="R143" i="121" s="1"/>
  <c r="D192" i="121"/>
  <c r="W10" i="121"/>
  <c r="L128" i="121"/>
  <c r="Z44" i="121"/>
  <c r="M82" i="121"/>
  <c r="Z45" i="121"/>
  <c r="Z13" i="121"/>
  <c r="Z17" i="121"/>
  <c r="Z16" i="121"/>
  <c r="Z15" i="121"/>
  <c r="Z14" i="121"/>
  <c r="O75" i="121"/>
  <c r="N192" i="121"/>
  <c r="S192" i="121"/>
  <c r="R153" i="121"/>
  <c r="R20" i="121"/>
  <c r="T165" i="121"/>
  <c r="T161" i="121"/>
  <c r="T163" i="121"/>
  <c r="M64" i="121"/>
  <c r="O18" i="121"/>
  <c r="R18" i="121" s="1"/>
  <c r="W18" i="121" s="1"/>
  <c r="Z18" i="121" s="1"/>
  <c r="R88" i="121"/>
  <c r="R105" i="121"/>
  <c r="M192" i="121"/>
  <c r="T170" i="121"/>
  <c r="T164" i="121"/>
  <c r="T162" i="121"/>
  <c r="T160" i="121"/>
  <c r="R104" i="121"/>
  <c r="O80" i="121"/>
  <c r="P80" i="121" s="1"/>
  <c r="Q144" i="121" s="1"/>
  <c r="R144" i="121" s="1"/>
  <c r="O19" i="121"/>
  <c r="R87" i="121"/>
  <c r="W8" i="121"/>
  <c r="G7" i="157" s="1"/>
  <c r="M74" i="121"/>
  <c r="R11" i="121"/>
  <c r="R9" i="121" s="1"/>
  <c r="O138" i="121"/>
  <c r="O11" i="121"/>
  <c r="O9" i="121" s="1"/>
  <c r="L64" i="121"/>
  <c r="N64" i="121"/>
  <c r="I20" i="121"/>
  <c r="I42" i="121"/>
  <c r="I23" i="121"/>
  <c r="R84" i="121"/>
  <c r="R85" i="121"/>
  <c r="R103" i="121"/>
  <c r="R86" i="121"/>
  <c r="I22" i="121"/>
  <c r="I43" i="121"/>
  <c r="I25" i="121"/>
  <c r="P155" i="121"/>
  <c r="P91" i="121"/>
  <c r="P83" i="121"/>
  <c r="R83" i="121" s="1"/>
  <c r="O82" i="121"/>
  <c r="F21" i="121"/>
  <c r="F64" i="121" s="1"/>
  <c r="R28" i="121"/>
  <c r="E64" i="121"/>
  <c r="O76" i="121"/>
  <c r="O78" i="121"/>
  <c r="Q154" i="121"/>
  <c r="R154" i="121" s="1"/>
  <c r="Q156" i="121"/>
  <c r="R156" i="121" s="1"/>
  <c r="Q157" i="121"/>
  <c r="R157" i="121" s="1"/>
  <c r="Q158" i="121"/>
  <c r="R158" i="121" s="1"/>
  <c r="Q159" i="121"/>
  <c r="R159" i="121" s="1"/>
  <c r="O192" i="121"/>
  <c r="R89" i="121"/>
  <c r="F168" i="121"/>
  <c r="F192" i="121" s="1"/>
  <c r="G71" i="119"/>
  <c r="G42" i="119"/>
  <c r="H87" i="156" s="1"/>
  <c r="J7" i="157" l="1"/>
  <c r="G72" i="156"/>
  <c r="G17" i="157"/>
  <c r="Y163" i="121"/>
  <c r="Y151" i="121"/>
  <c r="Y161" i="121"/>
  <c r="H93" i="156"/>
  <c r="Y165" i="121"/>
  <c r="Y169" i="121"/>
  <c r="Z169" i="121" s="1"/>
  <c r="Y149" i="121"/>
  <c r="W19" i="121"/>
  <c r="J43" i="119"/>
  <c r="K7" i="127"/>
  <c r="Y167" i="121"/>
  <c r="Z167" i="121" s="1"/>
  <c r="Z10" i="121"/>
  <c r="W9" i="121"/>
  <c r="Z8" i="121"/>
  <c r="Y152" i="121"/>
  <c r="Y164" i="121"/>
  <c r="Z97" i="121"/>
  <c r="Y150" i="121"/>
  <c r="Y162" i="121"/>
  <c r="Z101" i="121"/>
  <c r="Y148" i="121"/>
  <c r="Z105" i="121"/>
  <c r="Y160" i="121"/>
  <c r="Y168" i="121"/>
  <c r="Z168" i="121" s="1"/>
  <c r="Y170" i="121"/>
  <c r="Z104" i="121"/>
  <c r="P75" i="121"/>
  <c r="R75" i="121" s="1"/>
  <c r="M128" i="121"/>
  <c r="Z12" i="121"/>
  <c r="Y11" i="121"/>
  <c r="Y9" i="121" s="1"/>
  <c r="S93" i="121"/>
  <c r="S91" i="121"/>
  <c r="T157" i="121" s="1"/>
  <c r="S88" i="121"/>
  <c r="S80" i="121"/>
  <c r="T144" i="121" s="1"/>
  <c r="S79" i="121"/>
  <c r="T143" i="121" s="1"/>
  <c r="S92" i="121"/>
  <c r="S90" i="121"/>
  <c r="S87" i="121"/>
  <c r="T153" i="121" s="1"/>
  <c r="S77" i="121"/>
  <c r="T141" i="121" s="1"/>
  <c r="G41" i="119"/>
  <c r="O64" i="121"/>
  <c r="R80" i="121"/>
  <c r="R19" i="121"/>
  <c r="R64" i="121" s="1"/>
  <c r="Q155" i="121"/>
  <c r="R155" i="121" s="1"/>
  <c r="R91" i="121"/>
  <c r="P76" i="121"/>
  <c r="Q140" i="121" s="1"/>
  <c r="R140" i="121" s="1"/>
  <c r="P78" i="121"/>
  <c r="Q142" i="121" s="1"/>
  <c r="R142" i="121" s="1"/>
  <c r="H21" i="121"/>
  <c r="I21" i="121" s="1"/>
  <c r="I64" i="121" s="1"/>
  <c r="P82" i="121"/>
  <c r="Q147" i="121"/>
  <c r="R79" i="121"/>
  <c r="R77" i="121"/>
  <c r="P146" i="121"/>
  <c r="P192" i="121" s="1"/>
  <c r="O74" i="121"/>
  <c r="O128" i="121" s="1"/>
  <c r="Q139" i="121"/>
  <c r="W64" i="121" l="1"/>
  <c r="W196" i="121" s="1"/>
  <c r="Y141" i="121"/>
  <c r="Z141" i="121" s="1"/>
  <c r="Y144" i="121"/>
  <c r="Z144" i="121" s="1"/>
  <c r="L7" i="157"/>
  <c r="L17" i="157" s="1"/>
  <c r="J17" i="157"/>
  <c r="Y157" i="121"/>
  <c r="Z85" i="121"/>
  <c r="Z99" i="121"/>
  <c r="Y143" i="121"/>
  <c r="Z143" i="121" s="1"/>
  <c r="J72" i="156"/>
  <c r="G82" i="156"/>
  <c r="Y153" i="121"/>
  <c r="Z11" i="121"/>
  <c r="Z9" i="121" s="1"/>
  <c r="Z103" i="121"/>
  <c r="Z100" i="121"/>
  <c r="Z106" i="121"/>
  <c r="Z170" i="121"/>
  <c r="Z96" i="121"/>
  <c r="Z98" i="121"/>
  <c r="Z86" i="121"/>
  <c r="Z84" i="121"/>
  <c r="Y64" i="121"/>
  <c r="Y196" i="121" s="1"/>
  <c r="Z42" i="121"/>
  <c r="Z79" i="121"/>
  <c r="S89" i="121"/>
  <c r="S76" i="121"/>
  <c r="T140" i="121" s="1"/>
  <c r="S78" i="121"/>
  <c r="T142" i="121" s="1"/>
  <c r="Z80" i="121"/>
  <c r="Z87" i="121"/>
  <c r="T156" i="121"/>
  <c r="T158" i="121"/>
  <c r="Z88" i="121"/>
  <c r="T154" i="121"/>
  <c r="Z93" i="121"/>
  <c r="T159" i="121"/>
  <c r="R82" i="121"/>
  <c r="P74" i="121"/>
  <c r="P128" i="121" s="1"/>
  <c r="R78" i="121"/>
  <c r="R76" i="121"/>
  <c r="Q138" i="121"/>
  <c r="R139" i="121"/>
  <c r="R147" i="121"/>
  <c r="R146" i="121" s="1"/>
  <c r="Q146" i="121"/>
  <c r="H150" i="121"/>
  <c r="H192" i="121" s="1"/>
  <c r="H64" i="121"/>
  <c r="Y140" i="121" l="1"/>
  <c r="Z140" i="121" s="1"/>
  <c r="Y142" i="121"/>
  <c r="Z142" i="121" s="1"/>
  <c r="Z77" i="121"/>
  <c r="Y159" i="121"/>
  <c r="X19" i="121"/>
  <c r="X64" i="121" s="1"/>
  <c r="X196" i="121" s="1"/>
  <c r="L72" i="156"/>
  <c r="L82" i="156" s="1"/>
  <c r="J82" i="156"/>
  <c r="Z37" i="121"/>
  <c r="Z164" i="121"/>
  <c r="Z23" i="121"/>
  <c r="Z150" i="121"/>
  <c r="Z32" i="121"/>
  <c r="Z38" i="121"/>
  <c r="Z165" i="121"/>
  <c r="Z35" i="121"/>
  <c r="Z162" i="121"/>
  <c r="Z24" i="121"/>
  <c r="Z151" i="121"/>
  <c r="Z25" i="121"/>
  <c r="Z152" i="121"/>
  <c r="Z30" i="121"/>
  <c r="Z157" i="121"/>
  <c r="Z21" i="121"/>
  <c r="Z31" i="121"/>
  <c r="Z28" i="121"/>
  <c r="Z27" i="121"/>
  <c r="Z29" i="121"/>
  <c r="Z33" i="121"/>
  <c r="Z160" i="121"/>
  <c r="Z34" i="121"/>
  <c r="Z161" i="121"/>
  <c r="Z26" i="121"/>
  <c r="Z153" i="121"/>
  <c r="Z22" i="121"/>
  <c r="Z149" i="121"/>
  <c r="Z36" i="121"/>
  <c r="Z163" i="121"/>
  <c r="Y158" i="121"/>
  <c r="Z95" i="121"/>
  <c r="Y154" i="121"/>
  <c r="Y156" i="121"/>
  <c r="Z92" i="121"/>
  <c r="S75" i="121"/>
  <c r="Z20" i="121"/>
  <c r="Z78" i="121"/>
  <c r="Z89" i="121"/>
  <c r="T155" i="121"/>
  <c r="S83" i="121"/>
  <c r="T147" i="121" s="1"/>
  <c r="R138" i="121"/>
  <c r="R136" i="121" s="1"/>
  <c r="R192" i="121" s="1"/>
  <c r="R74" i="121"/>
  <c r="R128" i="121" s="1"/>
  <c r="Q192" i="121"/>
  <c r="Z159" i="121" l="1"/>
  <c r="Z156" i="121"/>
  <c r="Z91" i="121"/>
  <c r="Z19" i="121"/>
  <c r="Z76" i="121"/>
  <c r="X146" i="121"/>
  <c r="X192" i="121" s="1"/>
  <c r="Z148" i="121"/>
  <c r="Z90" i="121"/>
  <c r="Z154" i="121"/>
  <c r="Z94" i="121"/>
  <c r="Z158" i="121"/>
  <c r="W74" i="121"/>
  <c r="T139" i="121"/>
  <c r="T146" i="121"/>
  <c r="S82" i="121"/>
  <c r="W82" i="121"/>
  <c r="S74" i="121"/>
  <c r="Z64" i="121" l="1"/>
  <c r="Y155" i="121"/>
  <c r="Z155" i="121" s="1"/>
  <c r="Y147" i="121"/>
  <c r="W146" i="121"/>
  <c r="W128" i="121"/>
  <c r="Z83" i="121"/>
  <c r="Z82" i="121" s="1"/>
  <c r="T138" i="121"/>
  <c r="T136" i="121" s="1"/>
  <c r="T192" i="121" s="1"/>
  <c r="S128" i="121"/>
  <c r="Y146" i="121" l="1"/>
  <c r="Z196" i="121"/>
  <c r="W138" i="121"/>
  <c r="W136" i="121" s="1"/>
  <c r="W192" i="121" s="1"/>
  <c r="W195" i="121" s="1"/>
  <c r="W197" i="121" s="1"/>
  <c r="X82" i="121"/>
  <c r="Y139" i="121" l="1"/>
  <c r="Y138" i="121" s="1"/>
  <c r="Y136" i="121" s="1"/>
  <c r="Y192" i="121" s="1"/>
  <c r="Y195" i="121" s="1"/>
  <c r="Y197" i="121" s="1"/>
  <c r="Z75" i="121"/>
  <c r="Z74" i="121" s="1"/>
  <c r="Z128" i="121" s="1"/>
  <c r="Z147" i="121"/>
  <c r="X74" i="121"/>
  <c r="E31" i="122" l="1"/>
  <c r="G31" i="122" s="1"/>
  <c r="H97" i="156"/>
  <c r="Z139" i="121"/>
  <c r="X128" i="121"/>
  <c r="X195" i="121" s="1"/>
  <c r="X197" i="121" s="1"/>
  <c r="H107" i="156"/>
  <c r="H108" i="156" s="1"/>
  <c r="H109" i="156" s="1"/>
  <c r="Z146" i="121"/>
  <c r="G46" i="119"/>
  <c r="H89" i="156" s="1"/>
  <c r="B29" i="122" l="1"/>
  <c r="E30" i="122"/>
  <c r="G30" i="122" s="1"/>
  <c r="E33" i="119"/>
  <c r="E34" i="119" s="1"/>
  <c r="D33" i="140"/>
  <c r="Z138" i="121"/>
  <c r="Z136" i="121" s="1"/>
  <c r="Z192" i="121" s="1"/>
  <c r="Z195" i="121" s="1"/>
  <c r="Z197" i="121" s="1"/>
  <c r="E29" i="122" l="1"/>
  <c r="G29" i="122" s="1"/>
  <c r="E11" i="122" l="1"/>
  <c r="G11" i="122" s="1"/>
  <c r="B14" i="122"/>
  <c r="E14" i="122" l="1"/>
  <c r="G14" i="122" s="1"/>
  <c r="B15" i="122"/>
  <c r="B16" i="126"/>
  <c r="D16" i="126" s="1"/>
  <c r="B17" i="122" l="1"/>
  <c r="E17" i="122" s="1"/>
  <c r="E15" i="122"/>
  <c r="G15" i="122" s="1"/>
  <c r="E16" i="126"/>
  <c r="B10" i="126" l="1"/>
  <c r="H92" i="156" l="1"/>
  <c r="H96" i="156"/>
  <c r="D10" i="126"/>
  <c r="E10" i="126" s="1"/>
  <c r="G33" i="119"/>
  <c r="E15" i="126"/>
  <c r="G64" i="119"/>
  <c r="B30" i="126" l="1"/>
  <c r="D30" i="126" s="1"/>
  <c r="E30" i="126" s="1"/>
  <c r="H101" i="156"/>
  <c r="G63" i="119"/>
  <c r="G69" i="119" s="1"/>
  <c r="B33" i="126" l="1"/>
  <c r="D33" i="126" s="1"/>
  <c r="G45" i="119" l="1"/>
  <c r="G58" i="119" s="1"/>
  <c r="G70" i="119" s="1"/>
  <c r="E33" i="126"/>
  <c r="G6" i="119" l="1"/>
  <c r="J66" i="156" l="1"/>
  <c r="F14" i="119"/>
  <c r="G14" i="119" l="1"/>
  <c r="B25" i="126"/>
  <c r="D25" i="126" s="1"/>
  <c r="E25" i="126" s="1"/>
  <c r="B18" i="122" l="1"/>
  <c r="D9" i="140" l="1"/>
  <c r="D21" i="140" s="1"/>
  <c r="D34" i="140" s="1"/>
  <c r="B19" i="122"/>
  <c r="E18" i="122"/>
  <c r="D75" i="140" l="1"/>
  <c r="D81" i="140" s="1"/>
  <c r="D82" i="140" s="1"/>
  <c r="E19" i="122"/>
  <c r="E5" i="126"/>
  <c r="J48" i="156"/>
  <c r="F9" i="119"/>
  <c r="F21" i="119" s="1"/>
  <c r="F34" i="119" s="1"/>
  <c r="G80" i="119" l="1"/>
  <c r="F75" i="119"/>
  <c r="F81" i="119" s="1"/>
  <c r="F82" i="119" s="1"/>
  <c r="G9" i="119"/>
  <c r="G21" i="119" s="1"/>
  <c r="G34" i="119" s="1"/>
  <c r="B20" i="126"/>
  <c r="D20" i="126" s="1"/>
  <c r="E20" i="126" s="1"/>
  <c r="E44" i="126" s="1"/>
  <c r="F17" i="122"/>
  <c r="G17" i="122" s="1"/>
  <c r="G75" i="119" l="1"/>
  <c r="G81" i="119" s="1"/>
  <c r="G82" i="119" s="1"/>
  <c r="K9" i="127"/>
  <c r="K12" i="127" s="1"/>
  <c r="J12" i="127"/>
  <c r="C18" i="122"/>
  <c r="C19" i="122" l="1"/>
  <c r="F19" i="122" s="1"/>
  <c r="G19" i="122" s="1"/>
  <c r="F18" i="122"/>
  <c r="G18" i="122" s="1"/>
</calcChain>
</file>

<file path=xl/comments1.xml><?xml version="1.0" encoding="utf-8"?>
<comments xmlns="http://schemas.openxmlformats.org/spreadsheetml/2006/main">
  <authors>
    <author>Author</author>
  </authors>
  <commentList>
    <comment ref="B2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21.07.2015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21.7.2015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5.05.2016</t>
        </r>
      </text>
    </comment>
    <comment ref="B8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21.07.2015</t>
        </r>
      </text>
    </comment>
    <comment ref="B88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21.7.2015</t>
        </r>
      </text>
    </comment>
    <comment ref="B15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21.07.2015</t>
        </r>
      </text>
    </comment>
    <comment ref="B15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21.7.2015</t>
        </r>
      </text>
    </comment>
  </commentList>
</comments>
</file>

<file path=xl/sharedStrings.xml><?xml version="1.0" encoding="utf-8"?>
<sst xmlns="http://schemas.openxmlformats.org/spreadsheetml/2006/main" count="923" uniqueCount="544">
  <si>
    <t>Nr</t>
  </si>
  <si>
    <t>23/01/2017</t>
  </si>
  <si>
    <t>Nafte</t>
  </si>
  <si>
    <t>Emertimi</t>
  </si>
  <si>
    <t>Njesia</t>
  </si>
  <si>
    <t>Sasia</t>
  </si>
  <si>
    <t>Vlera</t>
  </si>
  <si>
    <t>TOTALI</t>
  </si>
  <si>
    <t>Kamioncina</t>
  </si>
  <si>
    <t>14/02/2017</t>
  </si>
  <si>
    <t>Litra</t>
  </si>
  <si>
    <t>15/02/2017</t>
  </si>
  <si>
    <t>27/02/2017</t>
  </si>
  <si>
    <t>Gusht</t>
  </si>
  <si>
    <t>Shtator</t>
  </si>
  <si>
    <t>Tetor</t>
  </si>
  <si>
    <t>Nentor</t>
  </si>
  <si>
    <t>Gjendje</t>
  </si>
  <si>
    <t>Xhetan NDREGJONI</t>
  </si>
  <si>
    <t>Prill</t>
  </si>
  <si>
    <t>Maj</t>
  </si>
  <si>
    <t>Qershor</t>
  </si>
  <si>
    <t>Korrik</t>
  </si>
  <si>
    <t>Dhjetor</t>
  </si>
  <si>
    <t>[26] Paga Neto</t>
  </si>
  <si>
    <t>[15] Paga Totale bruto në lekë</t>
  </si>
  <si>
    <t>[16] Paga Bruto mbi të cilën llogariten kontributet e sigurimeve shoqërore</t>
  </si>
  <si>
    <t>[17] Kontribute për sigurimet shoqërore të detyrueshme të punëdhënësit</t>
  </si>
  <si>
    <t>[18] Kontribute për sigurimet shoqërore të detyrueshme të punëmarrësit</t>
  </si>
  <si>
    <t>[19] Totali i kontributeve për sigurimet shoqërore të detyrueshme [17 + 18]</t>
  </si>
  <si>
    <t>[23] Totali i Kontributeve për sigurimet shoqërore [19 + 22]</t>
  </si>
  <si>
    <t>[24] Paga bruto mbi të cilën llogariten kontributet e sigurimeve shëndetësore</t>
  </si>
  <si>
    <t>[25] Kontribute për sigurimet shëndetësore gjithsej</t>
  </si>
  <si>
    <t>[26] Tatimi mbi të Ardhurat nga Punësimi (TAP) gjithsej në lekë</t>
  </si>
  <si>
    <t>Cmimi/Njesi</t>
  </si>
  <si>
    <t>1</t>
  </si>
  <si>
    <t>17/07/2017</t>
  </si>
  <si>
    <t>07/08/2017</t>
  </si>
  <si>
    <t>Eskavator</t>
  </si>
  <si>
    <t>31/12/2017</t>
  </si>
  <si>
    <t>Zyre</t>
  </si>
  <si>
    <t>Emertimi dhe Forma ligjore: NDREGJONI sh.p.k</t>
  </si>
  <si>
    <t>NIPT -i:K31329048I</t>
  </si>
  <si>
    <t>Adresa e Selise: Rr.SULE BEGA , TIRANE</t>
  </si>
  <si>
    <t>Data e krijimit: 24.08.1994</t>
  </si>
  <si>
    <t>Nr. i Regjistrit Tregetar</t>
  </si>
  <si>
    <t>Veprimtaria Kryesore: NDERTIM</t>
  </si>
  <si>
    <t>PASQYRAT   FINANCIARE</t>
  </si>
  <si>
    <t>( Ne zbarim te Standartit Kombetar te Kontabilitetit Nr.2 dhe</t>
  </si>
  <si>
    <t>Ligjit N r. 9228 Date 29.04.2004    Per Kontabilitetin dhe Pasqyrat Financiare )</t>
  </si>
  <si>
    <r>
      <t>Pasqyra Financiare jane individuale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_</t>
    </r>
  </si>
  <si>
    <r>
      <t>Pasqyra Financiare jane te konsoiiduara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_</t>
    </r>
  </si>
  <si>
    <r>
      <t>Pasqyra Financiare jane te shprehura ne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_</t>
    </r>
  </si>
  <si>
    <r>
      <t>Pasqyra Financiare jane te rumbullakosura ne</t>
    </r>
    <r>
      <rPr>
        <sz val="12"/>
        <rFont val="Times New Roman"/>
        <family val="1"/>
      </rPr>
      <t xml:space="preserve"> </t>
    </r>
    <r>
      <rPr>
        <sz val="12"/>
        <rFont val="Arial"/>
        <family val="2"/>
      </rPr>
      <t>_</t>
    </r>
  </si>
  <si>
    <t xml:space="preserve">Periudha Kontabel e Pasqyrave Financiare                     </t>
  </si>
  <si>
    <t>Data e mbylljes se Pasqyrave Financiare</t>
  </si>
  <si>
    <t>Nr/No</t>
  </si>
  <si>
    <t>A  K T  I  V E  T (ASSETS)</t>
  </si>
  <si>
    <t>Shenime (Notes)</t>
  </si>
  <si>
    <t>AKTIVET   AFATSHKURTRA (CURRENT ASSETS):</t>
  </si>
  <si>
    <t>a) Aktivet monetare (Cash and Cash Equivalentes)</t>
  </si>
  <si>
    <t>&gt; Banka-llogari rrjedhes (Bank (Account)</t>
  </si>
  <si>
    <t>&gt; Arka (Cashier)</t>
  </si>
  <si>
    <t>b) Aktive te tjera afatshkurter/ Accounts Receivable</t>
  </si>
  <si>
    <t>&gt;  Kliente per punime te kryera me fonde publike (Customer Receivable for public works)</t>
  </si>
  <si>
    <t>&gt;  Kliente per produkte dhe sherbime private (Customer Receivable for private works)</t>
  </si>
  <si>
    <t>&gt;  Tatim mbi fitimin (Profit Tax Prepaid)</t>
  </si>
  <si>
    <t>&gt; T.V.SH (Added Value Tax Prepayed)</t>
  </si>
  <si>
    <t>c) Inventare t/ Inventories</t>
  </si>
  <si>
    <t>&gt;  Lendet e para (Raw Materials)</t>
  </si>
  <si>
    <t>&gt;  Produkte te gatshme (Goods Produced)</t>
  </si>
  <si>
    <t>&gt;  Prodhim ne proces (Production in Process)</t>
  </si>
  <si>
    <t>&gt;  Shpenzime te parapaguara (Prepaid Expenses and Others)</t>
  </si>
  <si>
    <t>I</t>
  </si>
  <si>
    <t>TOATALI AKTIVEVE KORENTE / TOTAL CURRENT ASETS (a+b+c)</t>
  </si>
  <si>
    <t>AKTIVET   AFATGJATA (PROPERTY AND EQUIPMENT, AT COST);</t>
  </si>
  <si>
    <t>&gt;   Toka (Land)</t>
  </si>
  <si>
    <t>&gt;  Ndertesa ne proces (Buildings and Improvements)</t>
  </si>
  <si>
    <t>&gt;  Amortizimi i akumuluar per ambjentet e sherbimeve ne perdorim (Less Accumulated Depreciation for buildings in use)</t>
  </si>
  <si>
    <t>&gt;  Punime ne proces (Work in proces)</t>
  </si>
  <si>
    <t>&gt;  Makineri dhe paisje (Fixtures and Equipments):</t>
  </si>
  <si>
    <t>&gt;  Amortizimi i akumuluar (Less Accumulated Depreciation)</t>
  </si>
  <si>
    <t>&gt;  Makineri dhe Paisje me Lizing( Property Under Capital Lease )</t>
  </si>
  <si>
    <t>&gt;  Amortizimi i akumuluar (Less Accumulated Amortization)</t>
  </si>
  <si>
    <t>&gt;  Aktive te tjera afatgjate (Other Assets and Deferred Chaarges)</t>
  </si>
  <si>
    <t>II</t>
  </si>
  <si>
    <t>TOTALI I AKTIVEVE  AFATGJATA (TOTAL PROPERTY AND EQUIPMENT, AT COST)</t>
  </si>
  <si>
    <t>T OTALI    AKTIVEVE  (I +II)</t>
  </si>
  <si>
    <t>ADMINISTRATOR</t>
  </si>
  <si>
    <t>PASIVET DHE KAPITALI (LIABILITIES AND SHAREHOLDERS' EQUITY)</t>
  </si>
  <si>
    <t>PASIVET    AFATSHKURTRA (CURRENT LIABILITIES):</t>
  </si>
  <si>
    <t>a) Derivativet (Derivative)</t>
  </si>
  <si>
    <t>b) Huamarjet (LOANS)</t>
  </si>
  <si>
    <t>&gt; Huamarrje afat shkuatra (Short Term Loans)</t>
  </si>
  <si>
    <t>&gt; Subvensione (programi nxitjes punesimit)</t>
  </si>
  <si>
    <t>c) Huat dhe parapagimetc / Loans &amp;  Accounts Payable</t>
  </si>
  <si>
    <t>&gt; Te pagueshme ndaj furnitoreve (Payables to suppliers)</t>
  </si>
  <si>
    <t>&gt; Te pa gueshme ndaj punonjesve (Payables to employees)</t>
  </si>
  <si>
    <t>&gt; Detyrime per Sigurime Shoq.Shend. (Payables for Health and Social Insurance)</t>
  </si>
  <si>
    <t>&gt; Defyrime tatimore per TAP-in (Payable Income Tax for Employees)</t>
  </si>
  <si>
    <t>&gt; Defyrime tatimore per Tatim Fitimin (Payable Profit Tax)</t>
  </si>
  <si>
    <t>&gt; Detyrime tatimore per Tvsh-ne (Payable Added Value Tax)</t>
  </si>
  <si>
    <t>&gt; Detyrime tatimore per Tatimin ne Burim (PayableTurnover Tax)</t>
  </si>
  <si>
    <t>&gt; Te drejta e detyrime ndaj ortakeve (Obligations to Partners)</t>
  </si>
  <si>
    <t>&gt; Dividente per tu paguar (Dividends to be paid)</t>
  </si>
  <si>
    <t>&gt; Debitore dhe Kreditore te tjere (Other Debtors )</t>
  </si>
  <si>
    <t>d) Grantet dhe te ardhurat e shtyra (Grants and Deferred Income)</t>
  </si>
  <si>
    <t>e) Provizionet afatshkurtra (Short Term Provisions)</t>
  </si>
  <si>
    <t>TOTALI I PASIVEVE AFATSHKURTRA  (TOTAL CURRENT LIABILITIES) (a+b+c+d+e)</t>
  </si>
  <si>
    <t>PASIVET    AFATGJATA ( LONG TERM LIABILITIES):</t>
  </si>
  <si>
    <t>f) Huat afatgjata ( Long Term Loans)</t>
  </si>
  <si>
    <t>&gt; Hua,bono dhe detyrime nga qeraja financiare (Loans, bonds and liabilities from finance leasing)</t>
  </si>
  <si>
    <t>&gt; Bono te konvertueshme (Convertible Bonds)</t>
  </si>
  <si>
    <t xml:space="preserve">         &gt; Huamarrje (Loans)</t>
  </si>
  <si>
    <t xml:space="preserve">         &gt; Ortak (Partner)</t>
  </si>
  <si>
    <t xml:space="preserve">         &gt; Arktime per porosi (Cash Received for Given Orders )</t>
  </si>
  <si>
    <t>i ) Grantet dhe te ardhurat e shtyra (Grants and Deferred Income)</t>
  </si>
  <si>
    <t>j ) Provizionet afatgjata (Long Term Provisiones)</t>
  </si>
  <si>
    <t>TOTALI I PASIVEVE    AFATGJATA / TOTAL  LONG TERM LIABILITIES (f+h+i+j)</t>
  </si>
  <si>
    <t>III</t>
  </si>
  <si>
    <t>TOTALI     PASIVEVE    (l+ll )</t>
  </si>
  <si>
    <t>k)Shareholders' Equity</t>
  </si>
  <si>
    <t xml:space="preserve">        &gt; Aksione te zakonshme (Common Stock)</t>
  </si>
  <si>
    <t xml:space="preserve">        &gt; Aksione te preferuara (Preferred Stock)</t>
  </si>
  <si>
    <t xml:space="preserve">        &gt;  Primi aksionit (Premium Stock)</t>
  </si>
  <si>
    <t xml:space="preserve">        &gt; Rezervat statutore (Statutory reserves)</t>
  </si>
  <si>
    <t xml:space="preserve">        &gt; Rezervat ligjore</t>
  </si>
  <si>
    <t xml:space="preserve">        &gt; Rezervat e tjera</t>
  </si>
  <si>
    <t xml:space="preserve">        &gt; Fitimet e mbartura</t>
  </si>
  <si>
    <t>m) Fitimi (Humbja) e vitit financiar</t>
  </si>
  <si>
    <t>IV</t>
  </si>
  <si>
    <t>V</t>
  </si>
  <si>
    <t>TOTALI  PASIVEVE  DHE KAPITALIT (TOTAL LIABILITIES AND SHAREHOLDERS' EQUITY) (lll+IV)</t>
  </si>
  <si>
    <t>T.Kreditore 2017 (Kredit Value)</t>
  </si>
  <si>
    <t>Taksa tabele dhe pasrimi / local taxes</t>
  </si>
  <si>
    <t>Shoqeria: NDREGJONI sh.p.k</t>
  </si>
  <si>
    <t>NIPTI:K31329048I</t>
  </si>
  <si>
    <t xml:space="preserve">Aktivet Afatgjata Materiale  me vlere fillestare   </t>
  </si>
  <si>
    <t>Shtesa 2012</t>
  </si>
  <si>
    <t>Pakesime 2012</t>
  </si>
  <si>
    <t>Shtesa 2013</t>
  </si>
  <si>
    <t>Pakesime 2013</t>
  </si>
  <si>
    <t>Shtesa 2014</t>
  </si>
  <si>
    <t>Pakesime 2014</t>
  </si>
  <si>
    <t>Shtesa 2015</t>
  </si>
  <si>
    <t>Pakesime 2015</t>
  </si>
  <si>
    <t>Shtesa 2016</t>
  </si>
  <si>
    <t>Pakesime 2016</t>
  </si>
  <si>
    <t>31/12/2011</t>
  </si>
  <si>
    <t>31/12/2012</t>
  </si>
  <si>
    <t>31/12/2013</t>
  </si>
  <si>
    <t>31/12/2014</t>
  </si>
  <si>
    <t>31/12/2015</t>
  </si>
  <si>
    <t>31/12/2016</t>
  </si>
  <si>
    <t>1) Toka</t>
  </si>
  <si>
    <t>2) Ndertime gjithesej ne proces dhe perdorim b=(3+4):</t>
  </si>
  <si>
    <t xml:space="preserve">3) Ndertime gjithsej ne proces </t>
  </si>
  <si>
    <t>Dyqan i dhene me qera Rr.Sule Bega Tirane</t>
  </si>
  <si>
    <t>Dyqan i dhene me qera Rr.Qemal Stafa, Oxhaku Tirane</t>
  </si>
  <si>
    <t>Dyqan i dhene me qera Rr.Donbosko Tirane</t>
  </si>
  <si>
    <t>Zyrat e kompanise Rr.Sule Bega Tirane</t>
  </si>
  <si>
    <t>5) Punime ne proces (Work in proces)</t>
  </si>
  <si>
    <t>6) Makineri dhe paisje zyre</t>
  </si>
  <si>
    <t>Makineri,paisje</t>
  </si>
  <si>
    <t>Mjete transporti</t>
  </si>
  <si>
    <t>Mini eskavator</t>
  </si>
  <si>
    <t>kompjuterike</t>
  </si>
  <si>
    <t>Eskavator JCB</t>
  </si>
  <si>
    <t>Vinc</t>
  </si>
  <si>
    <t>Freze</t>
  </si>
  <si>
    <t xml:space="preserve">Eskavator </t>
  </si>
  <si>
    <t xml:space="preserve">Makin transporti </t>
  </si>
  <si>
    <t>Autoveture</t>
  </si>
  <si>
    <t>Makineri shtrim bordura</t>
  </si>
  <si>
    <t>Pompe</t>
  </si>
  <si>
    <t>Disk preres asfalti</t>
  </si>
  <si>
    <t>P.zyre (kompjuter ..etj)</t>
  </si>
  <si>
    <t>TOTALI (1+2+5+6)</t>
  </si>
  <si>
    <t xml:space="preserve">Amortizimi A.A.Materiale   </t>
  </si>
  <si>
    <t>Amortizim i akumuluar</t>
  </si>
  <si>
    <t>4)Ndertime gjithesej ne Pardorim</t>
  </si>
  <si>
    <t>Makine Transporti</t>
  </si>
  <si>
    <t>TOTALI (4+6)</t>
  </si>
  <si>
    <t xml:space="preserve">Vlera Kontabel Neto e A.A.Materiale  </t>
  </si>
  <si>
    <t>4) Ne Pardorim</t>
  </si>
  <si>
    <t>a) Dyqan i dhene me qera Rr.Sule Bega Tirane</t>
  </si>
  <si>
    <t>b) Dyqan i dhene me qera Rr.Qemal Stafa, Oxhaku Tirane</t>
  </si>
  <si>
    <t>c) Dyqan i dhene me qera Rr.Sule Bega Tirane</t>
  </si>
  <si>
    <t>d) Dyqan i dhene me qera Rr.Donbosko Tirane</t>
  </si>
  <si>
    <t>e) Dyqan i dhene me qera Rr.Donbosko Tirane</t>
  </si>
  <si>
    <t>f) Zyrat e kompanise Rr.Sule Bega Tirane</t>
  </si>
  <si>
    <t>j) Makineri,paisje</t>
  </si>
  <si>
    <t>k) Mjete transporti</t>
  </si>
  <si>
    <t>l) Mini eskavator</t>
  </si>
  <si>
    <t>n) Paisje zyre</t>
  </si>
  <si>
    <t>o)Eskavator JCB</t>
  </si>
  <si>
    <t>p)Vinc</t>
  </si>
  <si>
    <t>q)Freze</t>
  </si>
  <si>
    <t>TOTALI [1+2+4+5+6+(i+r)]</t>
  </si>
  <si>
    <t>Makine</t>
  </si>
  <si>
    <t>Rrule</t>
  </si>
  <si>
    <t>Shtesa 2017</t>
  </si>
  <si>
    <t>Pakesime 2017</t>
  </si>
  <si>
    <t xml:space="preserve">AQT-P.Zyre </t>
  </si>
  <si>
    <t>m) Kompjuterike</t>
  </si>
  <si>
    <t>PERSHKRIMI / DESCRIPTION</t>
  </si>
  <si>
    <t>Kosto materialesh te para dhe karburanti te perdorura (Cost of Goods and fuel Used)</t>
  </si>
  <si>
    <t>FITIMI BRUTO</t>
  </si>
  <si>
    <t>Paga (salaries )</t>
  </si>
  <si>
    <t>Sigurime shoqerore dhe shendetesore / Social and Health Insurance Expenses</t>
  </si>
  <si>
    <t>Shpenzime amortizimi per ambjentet ne perdorim/ Depreciation of buildings in use</t>
  </si>
  <si>
    <t>Shpenzime amortizimi makineri paisje/ Depreciation of equipments</t>
  </si>
  <si>
    <t xml:space="preserve">Komisione (Commissions Expenses) </t>
  </si>
  <si>
    <t>Shpenzime interesi / Interest Expenses</t>
  </si>
  <si>
    <t>Siguracione , kolaudim makinerishe  etjer / Assurances and test machinery expenses ecet.</t>
  </si>
  <si>
    <t>Ndyshimet</t>
  </si>
  <si>
    <t>Rezultati</t>
  </si>
  <si>
    <t>(a-b)</t>
  </si>
  <si>
    <t>Cash Flow</t>
  </si>
  <si>
    <t>Fitimi pas tatimit</t>
  </si>
  <si>
    <t>Amortizimi</t>
  </si>
  <si>
    <t>AKTIVE TE QENDRUESHEME:</t>
  </si>
  <si>
    <t>Blerje trualli</t>
  </si>
  <si>
    <t>AKTIVE  QARKULLUESE</t>
  </si>
  <si>
    <t>III) Produkte te gatesheme</t>
  </si>
  <si>
    <t>IV) Parapagesa per furnizime</t>
  </si>
  <si>
    <t>V)KERKESA PER ARKETIME MBI DEBITORET</t>
  </si>
  <si>
    <t>Te tjera kerkesa nga punet publioke</t>
  </si>
  <si>
    <t>Te tjera kerkesa nga te trete</t>
  </si>
  <si>
    <t>Tjera kerkesa Tatim fitimi</t>
  </si>
  <si>
    <t>Tjera kerkesa tvsh</t>
  </si>
  <si>
    <t>VI) LLOGARI TE TJERA</t>
  </si>
  <si>
    <t>VII) DETYRIME TE KERKUESHEME PASE ME SHUME SE NJE VIT</t>
  </si>
  <si>
    <t>Hua afategjate</t>
  </si>
  <si>
    <t>Ortake</t>
  </si>
  <si>
    <t>VII) DETYRIME TE KERKUESHEME DERI NE NJE VIT</t>
  </si>
  <si>
    <t>Overdraftet bankare (Bank Overdraft)</t>
  </si>
  <si>
    <t>PASQYRA E NDRYSHIMEVE NE KAPITAL</t>
  </si>
  <si>
    <t>Kapitali aksionar</t>
  </si>
  <si>
    <t>Primi i aksionit</t>
  </si>
  <si>
    <t>Aksione thesari</t>
  </si>
  <si>
    <t xml:space="preserve">Rez. Stat &amp; ligjore </t>
  </si>
  <si>
    <t>Fitimi i pashperndare</t>
  </si>
  <si>
    <t>Fitimi i ushtrimit</t>
  </si>
  <si>
    <t>Pozicioni me 31 dhjetor 2017</t>
  </si>
  <si>
    <t>&gt;  Parapagime materiale (Advance payment of goods)</t>
  </si>
  <si>
    <t>&gt;  Parapagime paga (Advance payment of salary)</t>
  </si>
  <si>
    <t>&gt;  Ndertesa ne shfrytezim (Buildings in use for bussines purposes)</t>
  </si>
  <si>
    <t>Humbje nga kursi kembimit</t>
  </si>
  <si>
    <t xml:space="preserve">Materiale te para </t>
  </si>
  <si>
    <t>Ndertesa ne proces (Buildings and Improvements)</t>
  </si>
  <si>
    <t>Ndertesa ne perdorim (Buildings in use for bussines purposes)</t>
  </si>
  <si>
    <t>Prodhim ne proces (Production in Process)</t>
  </si>
  <si>
    <t>Shpenzime te parapaguara (Prepaid Expenses and Others)</t>
  </si>
  <si>
    <t>Parapagime materiale (Advance payment of goods)</t>
  </si>
  <si>
    <t>Parapagime paga (Advance payment of salary)</t>
  </si>
  <si>
    <t>Makineri dhe paisje</t>
  </si>
  <si>
    <t>Te pagueshme ndaj furnitoreve</t>
  </si>
  <si>
    <t>Te pagueshme ndaj punonjesve</t>
  </si>
  <si>
    <t>Detyrime per Sigurime Shoq.Shend.</t>
  </si>
  <si>
    <t>Defyrime tatimore per TAP-in</t>
  </si>
  <si>
    <t>Detyrime tatimore per Tvsh-ne</t>
  </si>
  <si>
    <t>Debitore tatim fitimi</t>
  </si>
  <si>
    <t>Periudha</t>
  </si>
  <si>
    <t>Nr.Punesuareve</t>
  </si>
  <si>
    <t>Paga Totale</t>
  </si>
  <si>
    <t>Sig Shoq dhe Shend</t>
  </si>
  <si>
    <t>Nr.Mesatar I te punesuareve per cdo muaj</t>
  </si>
  <si>
    <t>T.Debitore  2017 (Debit Value)</t>
  </si>
  <si>
    <t>l) Rezervat  dhe Fitimet e Mbartura / Accumulated Other Comprehensive Income</t>
  </si>
  <si>
    <t>TOTALI KAPITALIT/ Total hareholders' Equity(k+l+m)</t>
  </si>
  <si>
    <r>
      <rPr>
        <b/>
        <sz val="10"/>
        <rFont val="Agency FB"/>
        <family val="2"/>
      </rPr>
      <t>h)</t>
    </r>
    <r>
      <rPr>
        <sz val="10"/>
        <rFont val="Agency FB"/>
        <family val="2"/>
      </rPr>
      <t xml:space="preserve"> </t>
    </r>
    <r>
      <rPr>
        <b/>
        <sz val="10"/>
        <rFont val="Agency FB"/>
        <family val="2"/>
      </rPr>
      <t>Huamarje te tjera afatgjata</t>
    </r>
  </si>
  <si>
    <t>Punime ne proces (Work in proces)</t>
  </si>
  <si>
    <t>&gt;  Overdrafte bankare (Bank Overdraft)</t>
  </si>
  <si>
    <t>Viti  2018</t>
  </si>
  <si>
    <t>Nga 01.01.2018</t>
  </si>
  <si>
    <t>Deri 31.12.2018</t>
  </si>
  <si>
    <t>Bilanci  per  Vititin 2018 (Balance sheet for 2018)</t>
  </si>
  <si>
    <t>L. Debitore 2018(Debit Value)</t>
  </si>
  <si>
    <t xml:space="preserve">L.Krditore 2018 (Credit Value) </t>
  </si>
  <si>
    <t>L. Debitore 2018 (Debit Value)</t>
  </si>
  <si>
    <t>L. Kreditore 2018Credit Value</t>
  </si>
  <si>
    <t>T.Kreditore 2018 (Kredit Value)</t>
  </si>
  <si>
    <t>T.Debitore  2018 (Debit Value)</t>
  </si>
  <si>
    <t>B</t>
  </si>
  <si>
    <t>Leke</t>
  </si>
  <si>
    <t>m3</t>
  </si>
  <si>
    <t>Cope</t>
  </si>
  <si>
    <t>Siguracione</t>
  </si>
  <si>
    <t>15/04/2018</t>
  </si>
  <si>
    <t>Kamion veteshkarkues</t>
  </si>
  <si>
    <t>19/04/2018</t>
  </si>
  <si>
    <t>Disk asfalti</t>
  </si>
  <si>
    <t>15/05/2018</t>
  </si>
  <si>
    <t>19/05/2018</t>
  </si>
  <si>
    <t>14/06/2018</t>
  </si>
  <si>
    <t>Depo 2000</t>
  </si>
  <si>
    <t>14/08/2018</t>
  </si>
  <si>
    <t>Sharre per prerese asfalti</t>
  </si>
  <si>
    <t>08/09/2018</t>
  </si>
  <si>
    <t>Disk Sharre</t>
  </si>
  <si>
    <t>01/10/2018</t>
  </si>
  <si>
    <t>Kompjuter</t>
  </si>
  <si>
    <t>10/10/2018</t>
  </si>
  <si>
    <t>15/10/2018</t>
  </si>
  <si>
    <t>Grejder</t>
  </si>
  <si>
    <t>Materiale hidraulike</t>
  </si>
  <si>
    <t>26/11/2018</t>
  </si>
  <si>
    <t>Eskavatore</t>
  </si>
  <si>
    <t>05/12/2018</t>
  </si>
  <si>
    <t>Kamion TR 8403K</t>
  </si>
  <si>
    <t>17/12/2018</t>
  </si>
  <si>
    <t>31/12/2018</t>
  </si>
  <si>
    <t>Shpenzime Auditimi</t>
  </si>
  <si>
    <t>Shpenzime Transporti</t>
  </si>
  <si>
    <t>Taksa per mjetet</t>
  </si>
  <si>
    <t>Sherbime Topografike</t>
  </si>
  <si>
    <t>Sherbime mjetesh</t>
  </si>
  <si>
    <t>Shpenzime Hoteli</t>
  </si>
  <si>
    <t>Shpenzime Kolaudimi</t>
  </si>
  <si>
    <t>Shpenzime energji elektrike</t>
  </si>
  <si>
    <t>Paisje zyre</t>
  </si>
  <si>
    <t>Kontinier zyra</t>
  </si>
  <si>
    <t>Analiza Laboraterike</t>
  </si>
  <si>
    <t>Shpenzime noteriale</t>
  </si>
  <si>
    <t>Printer</t>
  </si>
  <si>
    <t>Sherbime tjera</t>
  </si>
  <si>
    <t>Karrige</t>
  </si>
  <si>
    <t>Sherbime Konsulence</t>
  </si>
  <si>
    <t>Shpenzime Telefoni</t>
  </si>
  <si>
    <t>Shpenzime Kancelarie</t>
  </si>
  <si>
    <t>Janar</t>
  </si>
  <si>
    <t>P.zyre (kompjuter ..etj).</t>
  </si>
  <si>
    <t>Shtesa 2018</t>
  </si>
  <si>
    <t>Pakesime 2018</t>
  </si>
  <si>
    <t>SHTIM AQT 2018</t>
  </si>
  <si>
    <t>Sherbime mjetesh (shperndar sipa mjeteve)</t>
  </si>
  <si>
    <t>SHTIM P.ZYRE 2018</t>
  </si>
  <si>
    <t>Kompjuterike</t>
  </si>
  <si>
    <t>Tatim Fitim</t>
  </si>
  <si>
    <t>Paga</t>
  </si>
  <si>
    <t>Interesa</t>
  </si>
  <si>
    <t>Komisione</t>
  </si>
  <si>
    <t>Stabilizante</t>
  </si>
  <si>
    <t>Mars</t>
  </si>
  <si>
    <t>Punime te kryera nga te trete (Work Performed by Subcontractors, incl. labour and row materiales)</t>
  </si>
  <si>
    <t>Shkurt</t>
  </si>
  <si>
    <t>Euro</t>
  </si>
  <si>
    <t>USD</t>
  </si>
  <si>
    <t>ALL</t>
  </si>
  <si>
    <t>Arka</t>
  </si>
  <si>
    <t>TOTALI 1</t>
  </si>
  <si>
    <t>TOTALI 2</t>
  </si>
  <si>
    <t>TOTALI (1+2)</t>
  </si>
  <si>
    <t>T1</t>
  </si>
  <si>
    <t>SHTIM AQT DHE P/ZYRE2018</t>
  </si>
  <si>
    <t>Paga dhe sigurime 2018</t>
  </si>
  <si>
    <t>Materiale te para gjendje me 31.12.2018</t>
  </si>
  <si>
    <t>MATERIAL PARA</t>
  </si>
  <si>
    <t>b)2017</t>
  </si>
  <si>
    <t>CASH FLOW SIPAS METODES INDIREKTE 2018</t>
  </si>
  <si>
    <t>a)2018</t>
  </si>
  <si>
    <t>NDRYSHIMET NE CASH FLOW SIPAS METODES INDIREKTE 2018</t>
  </si>
  <si>
    <t>Aktive monetare 31.12. 2017</t>
  </si>
  <si>
    <t>Aktive monetare 31.12.2018</t>
  </si>
  <si>
    <t>Terheqje nga fitimi i mbartur</t>
  </si>
  <si>
    <t>Divident i paguar</t>
  </si>
  <si>
    <t>SHPENZIME INDIREKTE/ INDIRECT COSTS</t>
  </si>
  <si>
    <t>SHPENZIME KOMISIONE DHE TAKSA VENDORE</t>
  </si>
  <si>
    <t>SHPENZIME AMORTIZIMI</t>
  </si>
  <si>
    <t>SHPENZIME PAGA DHE SIGURIME SOQERORE</t>
  </si>
  <si>
    <t>SHPENZIME INTERESI DHE HUMBJE NGA KURSI KEMBIMIT</t>
  </si>
  <si>
    <t>TOTALI SHPENZIMEVE OPERATIVE)/TOTAL OPERATING EXPENSES):</t>
  </si>
  <si>
    <t>TOTALI TE ARDHURAVE / TOTAL REVENUE</t>
  </si>
  <si>
    <t>TE ARDHURA TE TATUESHME (REVENUES NOT EXCLUDET FROM VAT)</t>
  </si>
  <si>
    <t>SHITJE TE PERJASHTUARA/(REVENUES EXCLUDET FROM VAT)</t>
  </si>
  <si>
    <t>TE ARDHURA NGA QERAJA /INCOMES FROM RENT</t>
  </si>
  <si>
    <t>FITIMI PARA INTERESAVE DHE TATIMIT / (EBIT)</t>
  </si>
  <si>
    <t>FITIMI TATUESHEM/ EARNING BEFORE TAX (EBT)</t>
  </si>
  <si>
    <t>TATIM FITIMI (TAX PROFIT)15%</t>
  </si>
  <si>
    <t>FITIMI NETO /  EARNING AFTER TAX (EAT)</t>
  </si>
  <si>
    <t>FORMATI STANDART I TE ARDHURAVE DHE SHPENZIMEVE / STANDART FORMAT OF INCOME STATEMENT FOR 2018</t>
  </si>
  <si>
    <t xml:space="preserve">SHPENZIME MATERIALE TE PARA, KARBURANT DHE PUNIME TE DHENA ME NENKONTRAKTIM </t>
  </si>
  <si>
    <t>Ndryshimi</t>
  </si>
  <si>
    <t>d</t>
  </si>
  <si>
    <t>"Sistemim Asfaltim I Rruges "Kastriot-Arras "</t>
  </si>
  <si>
    <t>"Furnizim me uje I disa fshatrave Shupenze ,Bashkia Bulqize Rrjetat shperndarese-Faza e dyte"</t>
  </si>
  <si>
    <t>"Rikonstruksion Shkolla e Mesme Shtiqen,Kukes"</t>
  </si>
  <si>
    <t>"Rikonstruksion I Shkolles 9-vjecare Mamez"</t>
  </si>
  <si>
    <t>"Ndertimi Rruget (Iliria+Burimi+Mbreteresha Suzane)</t>
  </si>
  <si>
    <t xml:space="preserve">"Strukture Industriale dhe Sherbimi 1&amp;2 kate " </t>
  </si>
  <si>
    <t>"Rikonstruksion I disa QSH-ve ne qarqet Shkoder,Kukes,Lezhe "</t>
  </si>
  <si>
    <t>"Riparim -Mirembajtje e sistemit te furnizimit me energji elektrike ,motogjeneratoreve ,sistemi te oreve ,fonise dhe sistemit te detektim -sinjalizimit te zjarrit ne QSUT"</t>
  </si>
  <si>
    <t>"Sistemim -Asfaltim I Rruges nga Qendra Kulturore Qender -Kruje"</t>
  </si>
  <si>
    <t>"Rehabilitim Rruga Mbetjeve Urbane"</t>
  </si>
  <si>
    <t>"Rikonstruksion kanali vadites I Bushit ,Njesia Administrative Gurre"</t>
  </si>
  <si>
    <t>"Ndertimi rruges Myslim Shyri &amp;Serafin Kodra ,Babrru Bashkia Kamez "</t>
  </si>
  <si>
    <t>"Ndertim K.U.Z Lagjia "Durma",Fushe Kruje"</t>
  </si>
  <si>
    <t>"Rihabilitim I kanalit ujites Llixha -Brezhdan Kander dhe Kanalit Gurra Venisht ,Bashkia Diber "</t>
  </si>
  <si>
    <t>"Ndertim I terrenit Sportiv Shkolla 9 vjecare Androkli Kostallari 1-Shkoze Tirane "</t>
  </si>
  <si>
    <t>"Rikonstruksion I plote I nyjeve sanitare te Spitalit Rajonal Peshkopi"</t>
  </si>
  <si>
    <t>"Shtese kati ne objektin ekzistues 2 kate ,ne prone te z.Luan Xhika"</t>
  </si>
  <si>
    <t>"Punime me minieskavator dhe rul"</t>
  </si>
  <si>
    <t>"Trajnim Punonjesish mbi rregullat e sigurimit teknik elektrik"</t>
  </si>
  <si>
    <t>"Riparim tarace se shtepise se femijes "Zyber Halluni,Tirane"</t>
  </si>
  <si>
    <t>"Punime rifiniture apart"</t>
  </si>
  <si>
    <t>"Hidroizolimi I taraces se kopshtit Santa Lucia "</t>
  </si>
  <si>
    <t>"Hidroizolimi I Taraces dhe konstruksion I pjesshem se godines 2 kateshe ,ish Godina Kom.Pol.Objekteve prane 5 Kam.Nr3"</t>
  </si>
  <si>
    <t>"Vinc Kulle"</t>
  </si>
  <si>
    <t>"Germim dhe transport dheu"</t>
  </si>
  <si>
    <t>" FV panele Sanduic ,FV Konstruksione Metalike"</t>
  </si>
  <si>
    <t>Pozicioni me 31 Dhjetor 2017(2+4+5)</t>
  </si>
  <si>
    <t>Rritja e Kapitalit 2018</t>
  </si>
  <si>
    <t>Rritje e Rezervave 2018</t>
  </si>
  <si>
    <t>Rritje e Fitimit te Pashperndare 2018</t>
  </si>
  <si>
    <t>Fitimi neto per periudhen kontabel 2018</t>
  </si>
  <si>
    <t>Terheqje Fitimi</t>
  </si>
  <si>
    <t>Divident i paguar per fitimet e periudhes ushtrimore 2017</t>
  </si>
  <si>
    <t>Te Ardhura nga qeraja</t>
  </si>
  <si>
    <t>VLERA</t>
  </si>
  <si>
    <t>TE ARDHURA SIPAS OBJEKTEVE TE FINANCUAR NGA FONDET PUBLIKE</t>
  </si>
  <si>
    <t>"Rikualifikim urban i bllokut qe kufizohet nga rruget " Rr.Elbasanit , Stavri Vinjau, Pjeter Budi dhe Ali Visha"</t>
  </si>
  <si>
    <t/>
  </si>
  <si>
    <t>AKTIVET AFATGJATA</t>
  </si>
  <si>
    <t>Aktive  materiale</t>
  </si>
  <si>
    <t>Emërtimi</t>
  </si>
  <si>
    <t>Ndryshimi AAM gjatë periudhës me vlere historike</t>
  </si>
  <si>
    <t>Amortizimi I akumuluar në fund të periudhës</t>
  </si>
  <si>
    <t>Kosto historike - Amortizimi</t>
  </si>
  <si>
    <t>Shuma në fillim të periudhës</t>
  </si>
  <si>
    <t>Shtesa gjatë periudhës</t>
  </si>
  <si>
    <t>Pakesime gjatë periudhës</t>
  </si>
  <si>
    <t>Shuma në fund të periudhës</t>
  </si>
  <si>
    <t>Toka</t>
  </si>
  <si>
    <t>Ndertesa</t>
  </si>
  <si>
    <t>Makineri e pajisje:</t>
  </si>
  <si>
    <t xml:space="preserve"> - Makineri e pajisje</t>
  </si>
  <si>
    <t>AAM të tjera:</t>
  </si>
  <si>
    <t>Gjithsej</t>
  </si>
  <si>
    <t>Amortizimi gjithsej eshte llogaritur sipas tabeles se meposhtme:</t>
  </si>
  <si>
    <t xml:space="preserve">Nr </t>
  </si>
  <si>
    <t>Shuma në celje të ushtrimit</t>
  </si>
  <si>
    <t>Shtesa</t>
  </si>
  <si>
    <t>Pakësime</t>
  </si>
  <si>
    <t>Shuma në mbyllje të ushtrimit</t>
  </si>
  <si>
    <t>Amortizimi vjetor</t>
  </si>
  <si>
    <t>Të tjera</t>
  </si>
  <si>
    <t>AA të shitura</t>
  </si>
  <si>
    <t>Ndertime gjithesej ne proces dhe perdorim b=(3+4):</t>
  </si>
  <si>
    <t xml:space="preserve">-Ndertime gjithsej ne proces </t>
  </si>
  <si>
    <t>-Ne shfrytezim</t>
  </si>
  <si>
    <t xml:space="preserve"> - Të tjera paisje zyre</t>
  </si>
  <si>
    <t xml:space="preserve"> - Pajisje kompjuterike</t>
  </si>
  <si>
    <t xml:space="preserve"> - Makineri e pajisje (pjese kembimi, goma dhe riparim paisje)</t>
  </si>
  <si>
    <t>S H E N I M E T   S H P J E G U E S E</t>
  </si>
  <si>
    <t>A I</t>
  </si>
  <si>
    <t>Informacion i përgjithshëm</t>
  </si>
  <si>
    <t>Kuadri ligjor: Ligjit 9228 dt 29.04.2004 "Per Kontabilitetin dhe Pasqyrat Financiare"</t>
  </si>
  <si>
    <t>Kuadri kontabel i aplikuar : Stndartet Kombetare te Kontabilitetit ne Shqiperi.(SKK 2;)</t>
  </si>
  <si>
    <t xml:space="preserve">Baza e pergatitjes se PF : Mbi bazen e konceptit te materialitetit.(SSK 1, 1-3) </t>
  </si>
  <si>
    <t>Parimet baze per pergatitjen e Pasqyrave Financiare: (SKK 1; 40 - 90)</t>
  </si>
  <si>
    <t xml:space="preserve">     1. Parimi i njesise ekonomike: mban ne llogarite e saj aktivet,detyrimet dhe transaksionet ekonomike te veta.</t>
  </si>
  <si>
    <t xml:space="preserve">     2. Parimi i vijimesise: veprimtaria ekonomike e njesise sone eshte e siguruar, pa plan per nderprerje te aktivitetit</t>
  </si>
  <si>
    <t xml:space="preserve">     3. Kompensimi: midis nje aktivi dhe pasivi nuk ka ,  midis te ardhurave dhe shpenzimeve ka kur lejohen nga SKK.</t>
  </si>
  <si>
    <t xml:space="preserve">     4. Kuptushmeria e Pasqyrave Financiare eshte realizuar ne masen e plote per te qene te qarta dhe te kuptushme</t>
  </si>
  <si>
    <t xml:space="preserve">         per perdorues te jashtem qe kane njohuri te pergjitheshme te mjaftueshme ne fushen e kontabilitetit.</t>
  </si>
  <si>
    <t xml:space="preserve">     5. Materialiteti eshte vleresuar nga ana jone dhe ne baze te tij Pasqyrat Financiare jane hartuar per zera materiale.</t>
  </si>
  <si>
    <t xml:space="preserve">     6. Besushmeria per hartimin e PF eshte e siguruar pasi s'ka gabime materiale duke zbatuar parimet meposhteme:</t>
  </si>
  <si>
    <t xml:space="preserve">     </t>
  </si>
  <si>
    <t xml:space="preserve">      - Parimin e paraqitjes me besnikeri</t>
  </si>
  <si>
    <t xml:space="preserve">      - Parimin e perparesise se permbajtjes ekonomike mbi formen ligjore</t>
  </si>
  <si>
    <t xml:space="preserve">      - Parimin e paaneshmerise pa asnje influencim te qellimshem</t>
  </si>
  <si>
    <t xml:space="preserve">      - Parimin e maturise pa optimizem te teperuar,pa nen e mbivleresim te qellimshem</t>
  </si>
  <si>
    <t xml:space="preserve">      - Parimin e plotesise duke paraqitur nje pamje te vertete e te drejte te PF.</t>
  </si>
  <si>
    <t xml:space="preserve">      - Parimin e qendrushmerise per te mos ndryshuar politikat e metodat kontabel</t>
  </si>
  <si>
    <t xml:space="preserve">      - Parimin e krahasushmerise duke siguruar krahasimin midis dy periudhave.</t>
  </si>
  <si>
    <t>A II</t>
  </si>
  <si>
    <t>Politikat kontabël</t>
  </si>
  <si>
    <t>Per percaktimin e kostos se inventareve eshte zgjedhur metoda "FIFO" ( hyrje e pare , dalje e pare.(SKK 4: )</t>
  </si>
  <si>
    <t>Vleresimi fillestar i nje elementi te AAM qe ploteson kriteret per njohje si aktiv  eshte vleresuar me kosto. (SKK 5; )</t>
  </si>
  <si>
    <t>Per prodhimin ose krijimin e AAM kur kjo financohet nga nje hua,kostot e huamarrjes (dhe</t>
  </si>
  <si>
    <t>interesat) eshte metoda e kapitalizimit ne koston e aktivit per periudhen e investimit.(SKK 5: )</t>
  </si>
  <si>
    <t>Per vleresimi i mepaseshem i AAM eshte zgjedhur modeli i kostos duke i paraqitur ne bilanc me kosto minus</t>
  </si>
  <si>
    <t>amortizimin e akumuluar. (SKK 5; )</t>
  </si>
  <si>
    <t xml:space="preserve">Per llogaritjen e amortizimit te AAM (SKK 5:) njesia jone ekonomike  ka percaktuar si metode te amortizimit te A.Agj.M </t>
  </si>
  <si>
    <t xml:space="preserve">metoden e amortizimit mbi bazen e vleftes se mbetur ndersa normat e amortizimit jane perdorur te njellojta me ato </t>
  </si>
  <si>
    <t xml:space="preserve">te sistemit fiskal ne fuqi dhe konkretisht : Per ndertesat me 5 % te vleftes se mbetur, Pajisje informatike </t>
  </si>
  <si>
    <t>Per llogaritjen e amortizimit te AAJM (SKK 5: ) njesia ka percaktuar si metode  ate lineare me normen 15 % ne vit.</t>
  </si>
  <si>
    <t>Shënimet qe shpjegojnë zërat e ndryshëm të pasqyrave financiare</t>
  </si>
  <si>
    <t>AKTIVET  AFAT SHKURTERA</t>
  </si>
  <si>
    <t>Aktivet  monetare</t>
  </si>
  <si>
    <t xml:space="preserve">   Aktivet monetare në valute janë vlerësuar me kursin fundit të vitit perkatësisht per euro = 123.42 lek dhe </t>
  </si>
  <si>
    <t>per USD = 107.82lek .</t>
  </si>
  <si>
    <t>Të drejta të arkëtueshme</t>
  </si>
  <si>
    <t>Nga aktiviteti i shfrytëzimit</t>
  </si>
  <si>
    <t>Inventarët:</t>
  </si>
  <si>
    <t>Gjendja 31.12.2017</t>
  </si>
  <si>
    <t>Levizje Debitore 2018</t>
  </si>
  <si>
    <t>Levizje Kreditore 2018</t>
  </si>
  <si>
    <t>Gjendja 31.12.2018</t>
  </si>
  <si>
    <t>Ne mallra perfshihen:</t>
  </si>
  <si>
    <t>Cmimi</t>
  </si>
  <si>
    <t>DETYRIMET    DHE  KAPITALI</t>
  </si>
  <si>
    <t>Detyrime afatshkurtra:</t>
  </si>
  <si>
    <t>13.1</t>
  </si>
  <si>
    <t>Titujt e huamarrjes</t>
  </si>
  <si>
    <t>Detyrime afatgjata:</t>
  </si>
  <si>
    <t>Fitimi (Humbja) e vitit financiar</t>
  </si>
  <si>
    <t>●</t>
  </si>
  <si>
    <t>Shpenzime te pa zbriteshme</t>
  </si>
  <si>
    <t>Fitimi para tatimit</t>
  </si>
  <si>
    <t>Tatimi mbi fitimin</t>
  </si>
  <si>
    <t>Fitimi neto</t>
  </si>
  <si>
    <t>Pasqyra   e   te   Ardhurave   dhe   Shpenzimeve</t>
  </si>
  <si>
    <t>Te ardhurat perbehen:</t>
  </si>
  <si>
    <t>a)</t>
  </si>
  <si>
    <t>b)</t>
  </si>
  <si>
    <t>Shpenzime paga dhe sigurime shoqerore</t>
  </si>
  <si>
    <t>shpenzime paga dhe sigurime shoqerore</t>
  </si>
  <si>
    <t>Sigurime shoq. dhe shendetesore</t>
  </si>
  <si>
    <t>Shpenzime të tjera nga veprimtaritë e shfrytëzimit</t>
  </si>
  <si>
    <t xml:space="preserve"> - "Shpenzime të tjera nga veprimtaritë e shfrytëzimit" perbehen nga:</t>
  </si>
  <si>
    <t>Taksa vendore</t>
  </si>
  <si>
    <t>Hartuesi i Pasqyrave Financiare</t>
  </si>
  <si>
    <t>Per Drejtimin  e Njesise  Ekonomike</t>
  </si>
  <si>
    <t>(   ____________________________  )</t>
  </si>
  <si>
    <t>(   _____________________________  )</t>
  </si>
  <si>
    <t>Të pagueshme për detyrimet tatimore:</t>
  </si>
  <si>
    <t>Të pagueshme ndaj punonjësve dhe sigurimeve shoqërore/shëndetsore:</t>
  </si>
  <si>
    <t>Te ardhura te financuar nga fondet publike</t>
  </si>
  <si>
    <t>Kosto e materialeve te perdorura</t>
  </si>
  <si>
    <t>Elton NDREGJONI</t>
  </si>
  <si>
    <t>&gt;Parapagim per blerje trualli nga Bajrami sh.p.k</t>
  </si>
  <si>
    <t>Shpenzime te parapaguara (Prepaid Expenses and Others):</t>
  </si>
  <si>
    <t>&gt;Interesa bankare te parapaguara per blerje trualli me kredi qe pritet te zhvillohet ne te ardhmen</t>
  </si>
  <si>
    <t>me dhd te gjitha AAM te tjera me 20 % te vleftes se mbetur.</t>
  </si>
  <si>
    <t>08/03/2019</t>
  </si>
  <si>
    <t>PASQYRA E NDRYSHIMIT TE KAPITALEVE 2018</t>
  </si>
  <si>
    <t>Gjendja e karburantit ne fillim te periudhes</t>
  </si>
  <si>
    <t>Materiale direkte te blera gjate periudhes</t>
  </si>
  <si>
    <t>Karburant dhe vajra te blera gjate periudhes</t>
  </si>
  <si>
    <t>Gjendja e materialeve para ne fund te periudhes</t>
  </si>
  <si>
    <t>Gjendja e materialeve para ne fillim te periudhes</t>
  </si>
  <si>
    <t>Gjendja e karburantit ne fund te periudhes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</si>
</sst>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_-* #,##0_L_e_k_-;\-* #,##0_L_e_k_-;_-* &quot;-&quot;??_L_e_k_-;_-@_-"/>
    <numFmt numFmtId="167" formatCode="0.0%"/>
    <numFmt numFmtId="168" formatCode="#,##0.0"/>
    <numFmt numFmtId="169" formatCode="0.0"/>
    <numFmt numFmtId="170" formatCode="_-* #,##0_-;\-* #,##0_-;_-* &quot;-&quot;??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gency FB"/>
      <family val="2"/>
    </font>
    <font>
      <b/>
      <sz val="12"/>
      <name val="Agency FB"/>
      <family val="2"/>
    </font>
    <font>
      <sz val="12"/>
      <color theme="1"/>
      <name val="Agency FB"/>
      <family val="2"/>
    </font>
    <font>
      <b/>
      <sz val="12"/>
      <color theme="1"/>
      <name val="Agency FB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gency FB"/>
      <family val="2"/>
    </font>
    <font>
      <sz val="10"/>
      <name val="Arial"/>
      <family val="2"/>
    </font>
    <font>
      <b/>
      <sz val="10"/>
      <color theme="1"/>
      <name val="Agency FB"/>
      <family val="2"/>
    </font>
    <font>
      <sz val="10"/>
      <color theme="1"/>
      <name val="Agency FB"/>
      <family val="2"/>
    </font>
    <font>
      <b/>
      <sz val="10"/>
      <name val="Agency FB"/>
      <family val="2"/>
    </font>
    <font>
      <b/>
      <sz val="12"/>
      <color rgb="FFFF0000"/>
      <name val="Agency FB"/>
      <family val="2"/>
    </font>
    <font>
      <b/>
      <sz val="12"/>
      <color rgb="FFC00000"/>
      <name val="Agency FB"/>
      <family val="2"/>
    </font>
    <font>
      <b/>
      <i/>
      <sz val="12"/>
      <name val="Agency FB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gency FB"/>
      <family val="2"/>
    </font>
    <font>
      <vertAlign val="subscript"/>
      <sz val="12"/>
      <color theme="1"/>
      <name val="Agency FB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212529"/>
      <name val="Segoe UI"/>
      <family val="2"/>
    </font>
    <font>
      <b/>
      <sz val="12"/>
      <color rgb="FF333333"/>
      <name val="Agency FB"/>
      <family val="2"/>
    </font>
    <font>
      <sz val="10"/>
      <name val="Arial"/>
      <family val="2"/>
      <charset val="238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b/>
      <sz val="8"/>
      <name val="Times New Roman"/>
      <family val="1"/>
    </font>
    <font>
      <u/>
      <sz val="10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u val="doubleAccounting"/>
      <sz val="9"/>
      <name val="Times New Roman"/>
      <family val="1"/>
    </font>
    <font>
      <sz val="9"/>
      <color theme="1"/>
      <name val="Times New Roman"/>
      <family val="1"/>
    </font>
    <font>
      <b/>
      <u val="singleAccounting"/>
      <sz val="9"/>
      <name val="Times New Roman"/>
      <family val="1"/>
    </font>
    <font>
      <u val="singleAccounting"/>
      <sz val="9"/>
      <name val="Times New Roman"/>
      <family val="1"/>
    </font>
    <font>
      <b/>
      <u val="doubleAccounting"/>
      <sz val="10"/>
      <name val="Times New Roman"/>
      <family val="1"/>
    </font>
    <font>
      <sz val="12"/>
      <color theme="1"/>
      <name val="Times New Roman"/>
      <family val="1"/>
    </font>
    <font>
      <u val="singleAccounting"/>
      <sz val="11"/>
      <color theme="1"/>
      <name val="Times New Roman"/>
      <family val="1"/>
    </font>
    <font>
      <u val="singleAccounting"/>
      <sz val="12"/>
      <color theme="1"/>
      <name val="Times New Roman"/>
      <family val="1"/>
    </font>
    <font>
      <sz val="12"/>
      <name val="Calibri"/>
      <family val="2"/>
    </font>
    <font>
      <sz val="12"/>
      <color rgb="FFFF0000"/>
      <name val="Agency FB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5" fillId="0" borderId="0"/>
  </cellStyleXfs>
  <cellXfs count="558">
    <xf numFmtId="0" fontId="0" fillId="0" borderId="0" xfId="0"/>
    <xf numFmtId="0" fontId="2" fillId="0" borderId="1" xfId="0" applyFont="1" applyFill="1" applyBorder="1"/>
    <xf numFmtId="0" fontId="4" fillId="0" borderId="1" xfId="0" applyFont="1" applyFill="1" applyBorder="1"/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/>
    <xf numFmtId="0" fontId="2" fillId="2" borderId="1" xfId="0" applyFont="1" applyFill="1" applyBorder="1"/>
    <xf numFmtId="0" fontId="3" fillId="0" borderId="1" xfId="0" applyFont="1" applyFill="1" applyBorder="1"/>
    <xf numFmtId="0" fontId="3" fillId="0" borderId="0" xfId="0" applyFont="1" applyFill="1"/>
    <xf numFmtId="0" fontId="2" fillId="4" borderId="1" xfId="0" applyFont="1" applyFill="1" applyBorder="1"/>
    <xf numFmtId="164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/>
    <xf numFmtId="43" fontId="4" fillId="0" borderId="1" xfId="1" applyFont="1" applyFill="1" applyBorder="1"/>
    <xf numFmtId="164" fontId="4" fillId="2" borderId="1" xfId="1" applyNumberFormat="1" applyFont="1" applyFill="1" applyBorder="1"/>
    <xf numFmtId="0" fontId="4" fillId="0" borderId="0" xfId="0" applyFont="1"/>
    <xf numFmtId="0" fontId="4" fillId="0" borderId="0" xfId="0" applyFont="1" applyFill="1"/>
    <xf numFmtId="164" fontId="3" fillId="0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3" fillId="0" borderId="1" xfId="0" applyFont="1" applyFill="1" applyBorder="1" applyAlignment="1">
      <alignment wrapText="1"/>
    </xf>
    <xf numFmtId="164" fontId="4" fillId="0" borderId="1" xfId="1" applyNumberFormat="1" applyFont="1" applyFill="1" applyBorder="1"/>
    <xf numFmtId="164" fontId="0" fillId="0" borderId="1" xfId="1" applyNumberFormat="1" applyFont="1" applyFill="1" applyBorder="1"/>
    <xf numFmtId="164" fontId="5" fillId="0" borderId="1" xfId="1" applyNumberFormat="1" applyFont="1" applyFill="1" applyBorder="1"/>
    <xf numFmtId="164" fontId="2" fillId="0" borderId="1" xfId="1" quotePrefix="1" applyNumberFormat="1" applyFont="1" applyFill="1" applyBorder="1" applyAlignment="1">
      <alignment horizontal="left"/>
    </xf>
    <xf numFmtId="0" fontId="5" fillId="0" borderId="1" xfId="0" applyFont="1" applyFill="1" applyBorder="1"/>
    <xf numFmtId="164" fontId="2" fillId="0" borderId="1" xfId="1" applyNumberFormat="1" applyFont="1" applyFill="1" applyBorder="1" applyAlignment="1">
      <alignment horizontal="right"/>
    </xf>
    <xf numFmtId="0" fontId="3" fillId="2" borderId="1" xfId="0" applyFont="1" applyFill="1" applyBorder="1"/>
    <xf numFmtId="0" fontId="8" fillId="0" borderId="1" xfId="0" applyFont="1" applyFill="1" applyBorder="1" applyAlignment="1">
      <alignment wrapText="1"/>
    </xf>
    <xf numFmtId="164" fontId="5" fillId="4" borderId="1" xfId="1" applyNumberFormat="1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164" fontId="5" fillId="0" borderId="1" xfId="1" applyNumberFormat="1" applyFont="1" applyBorder="1"/>
    <xf numFmtId="0" fontId="2" fillId="0" borderId="1" xfId="0" applyFont="1" applyFill="1" applyBorder="1" applyAlignment="1">
      <alignment horizontal="left"/>
    </xf>
    <xf numFmtId="164" fontId="4" fillId="0" borderId="1" xfId="1" applyNumberFormat="1" applyFont="1" applyBorder="1"/>
    <xf numFmtId="164" fontId="13" fillId="0" borderId="1" xfId="1" applyNumberFormat="1" applyFont="1" applyFill="1" applyBorder="1"/>
    <xf numFmtId="164" fontId="4" fillId="0" borderId="0" xfId="1" applyNumberFormat="1" applyFont="1" applyFill="1" applyBorder="1"/>
    <xf numFmtId="164" fontId="4" fillId="0" borderId="0" xfId="0" applyNumberFormat="1" applyFont="1"/>
    <xf numFmtId="43" fontId="4" fillId="0" borderId="1" xfId="0" applyNumberFormat="1" applyFont="1" applyFill="1" applyBorder="1"/>
    <xf numFmtId="164" fontId="3" fillId="0" borderId="1" xfId="1" applyNumberFormat="1" applyFont="1" applyFill="1" applyBorder="1" applyAlignment="1">
      <alignment horizontal="left"/>
    </xf>
    <xf numFmtId="164" fontId="3" fillId="0" borderId="1" xfId="1" applyNumberFormat="1" applyFont="1" applyFill="1" applyBorder="1" applyAlignment="1">
      <alignment vertical="center"/>
    </xf>
    <xf numFmtId="0" fontId="4" fillId="0" borderId="0" xfId="0" applyFont="1" applyFill="1" applyBorder="1"/>
    <xf numFmtId="164" fontId="4" fillId="0" borderId="0" xfId="0" applyNumberFormat="1" applyFont="1" applyFill="1"/>
    <xf numFmtId="0" fontId="5" fillId="4" borderId="1" xfId="0" applyFont="1" applyFill="1" applyBorder="1"/>
    <xf numFmtId="164" fontId="2" fillId="0" borderId="1" xfId="1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6" xfId="0" applyNumberFormat="1" applyFont="1" applyFill="1" applyBorder="1" applyAlignment="1" applyProtection="1">
      <alignment vertical="top"/>
    </xf>
    <xf numFmtId="0" fontId="17" fillId="0" borderId="7" xfId="0" applyNumberFormat="1" applyFont="1" applyFill="1" applyBorder="1" applyAlignment="1" applyProtection="1">
      <alignment vertical="top"/>
    </xf>
    <xf numFmtId="0" fontId="18" fillId="0" borderId="7" xfId="0" applyNumberFormat="1" applyFont="1" applyFill="1" applyBorder="1" applyAlignment="1" applyProtection="1">
      <alignment vertical="top"/>
    </xf>
    <xf numFmtId="0" fontId="18" fillId="0" borderId="8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/>
    </xf>
    <xf numFmtId="0" fontId="17" fillId="0" borderId="9" xfId="0" applyNumberFormat="1" applyFont="1" applyFill="1" applyBorder="1" applyAlignment="1" applyProtection="1">
      <alignment vertical="top"/>
    </xf>
    <xf numFmtId="0" fontId="17" fillId="0" borderId="0" xfId="0" applyNumberFormat="1" applyFont="1" applyFill="1" applyBorder="1" applyAlignment="1" applyProtection="1">
      <alignment vertical="top"/>
    </xf>
    <xf numFmtId="0" fontId="18" fillId="0" borderId="10" xfId="0" applyNumberFormat="1" applyFont="1" applyFill="1" applyBorder="1" applyAlignment="1" applyProtection="1">
      <alignment vertical="top"/>
    </xf>
    <xf numFmtId="0" fontId="18" fillId="0" borderId="9" xfId="0" applyNumberFormat="1" applyFont="1" applyFill="1" applyBorder="1" applyAlignment="1" applyProtection="1">
      <alignment vertical="top"/>
    </xf>
    <xf numFmtId="0" fontId="17" fillId="0" borderId="10" xfId="0" applyNumberFormat="1" applyFont="1" applyFill="1" applyBorder="1" applyAlignment="1" applyProtection="1">
      <alignment vertical="top"/>
    </xf>
    <xf numFmtId="0" fontId="18" fillId="0" borderId="11" xfId="0" applyNumberFormat="1" applyFont="1" applyFill="1" applyBorder="1" applyAlignment="1" applyProtection="1">
      <alignment vertical="top"/>
    </xf>
    <xf numFmtId="0" fontId="18" fillId="0" borderId="5" xfId="0" applyNumberFormat="1" applyFont="1" applyFill="1" applyBorder="1" applyAlignment="1" applyProtection="1">
      <alignment vertical="top"/>
    </xf>
    <xf numFmtId="0" fontId="18" fillId="0" borderId="12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164" fontId="3" fillId="0" borderId="1" xfId="1" applyNumberFormat="1" applyFont="1" applyFill="1" applyBorder="1" applyAlignment="1" applyProtection="1">
      <alignment horizontal="right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vertical="top"/>
    </xf>
    <xf numFmtId="0" fontId="3" fillId="0" borderId="0" xfId="0" applyFont="1" applyFill="1" applyAlignment="1">
      <alignment horizontal="left" vertical="center"/>
    </xf>
    <xf numFmtId="164" fontId="4" fillId="0" borderId="0" xfId="1" applyNumberFormat="1" applyFont="1" applyFill="1"/>
    <xf numFmtId="0" fontId="15" fillId="0" borderId="0" xfId="0" applyFont="1" applyFill="1"/>
    <xf numFmtId="0" fontId="19" fillId="0" borderId="0" xfId="0" applyFont="1" applyFill="1" applyAlignment="1"/>
    <xf numFmtId="0" fontId="3" fillId="0" borderId="4" xfId="0" applyFont="1" applyFill="1" applyBorder="1" applyAlignment="1">
      <alignment horizontal="center"/>
    </xf>
    <xf numFmtId="14" fontId="3" fillId="0" borderId="2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3" fontId="3" fillId="0" borderId="1" xfId="3" applyNumberFormat="1" applyFont="1" applyFill="1" applyBorder="1"/>
    <xf numFmtId="3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4" borderId="1" xfId="0" applyNumberFormat="1" applyFont="1" applyFill="1" applyBorder="1"/>
    <xf numFmtId="3" fontId="2" fillId="0" borderId="1" xfId="3" applyNumberFormat="1" applyFont="1" applyFill="1" applyBorder="1"/>
    <xf numFmtId="3" fontId="4" fillId="0" borderId="1" xfId="0" applyNumberFormat="1" applyFont="1" applyFill="1" applyBorder="1"/>
    <xf numFmtId="164" fontId="4" fillId="0" borderId="1" xfId="0" applyNumberFormat="1" applyFont="1" applyFill="1" applyBorder="1"/>
    <xf numFmtId="43" fontId="4" fillId="0" borderId="1" xfId="1" applyNumberFormat="1" applyFont="1" applyFill="1" applyBorder="1"/>
    <xf numFmtId="3" fontId="4" fillId="0" borderId="1" xfId="0" applyNumberFormat="1" applyFont="1" applyFill="1" applyBorder="1" applyAlignment="1"/>
    <xf numFmtId="164" fontId="14" fillId="0" borderId="1" xfId="1" applyNumberFormat="1" applyFont="1" applyFill="1" applyBorder="1"/>
    <xf numFmtId="1" fontId="4" fillId="0" borderId="0" xfId="0" applyNumberFormat="1" applyFont="1" applyFill="1"/>
    <xf numFmtId="166" fontId="2" fillId="0" borderId="1" xfId="1" applyNumberFormat="1" applyFont="1" applyFill="1" applyBorder="1" applyAlignment="1"/>
    <xf numFmtId="166" fontId="4" fillId="0" borderId="1" xfId="0" applyNumberFormat="1" applyFont="1" applyFill="1" applyBorder="1" applyAlignment="1"/>
    <xf numFmtId="166" fontId="4" fillId="0" borderId="1" xfId="0" applyNumberFormat="1" applyFont="1" applyFill="1" applyBorder="1"/>
    <xf numFmtId="164" fontId="4" fillId="0" borderId="1" xfId="1" applyNumberFormat="1" applyFont="1" applyFill="1" applyBorder="1" applyAlignment="1"/>
    <xf numFmtId="164" fontId="5" fillId="0" borderId="1" xfId="1" applyNumberFormat="1" applyFont="1" applyFill="1" applyBorder="1" applyAlignment="1"/>
    <xf numFmtId="166" fontId="4" fillId="0" borderId="1" xfId="0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vertical="center"/>
    </xf>
    <xf numFmtId="3" fontId="4" fillId="0" borderId="0" xfId="0" applyNumberFormat="1" applyFont="1" applyFill="1" applyBorder="1"/>
    <xf numFmtId="3" fontId="2" fillId="0" borderId="0" xfId="3" applyNumberFormat="1" applyFont="1" applyFill="1" applyBorder="1"/>
    <xf numFmtId="3" fontId="4" fillId="0" borderId="0" xfId="0" applyNumberFormat="1" applyFont="1" applyFill="1"/>
    <xf numFmtId="164" fontId="3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vertical="top"/>
    </xf>
    <xf numFmtId="164" fontId="5" fillId="4" borderId="1" xfId="1" applyNumberFormat="1" applyFont="1" applyFill="1" applyBorder="1" applyAlignment="1">
      <alignment horizontal="right"/>
    </xf>
    <xf numFmtId="164" fontId="4" fillId="0" borderId="1" xfId="0" applyNumberFormat="1" applyFont="1" applyBorder="1"/>
    <xf numFmtId="0" fontId="2" fillId="0" borderId="1" xfId="0" applyNumberFormat="1" applyFont="1" applyFill="1" applyBorder="1" applyAlignment="1" applyProtection="1">
      <alignment horizontal="left" vertical="top" indent="3"/>
    </xf>
    <xf numFmtId="0" fontId="3" fillId="4" borderId="1" xfId="0" applyFont="1" applyFill="1" applyBorder="1"/>
    <xf numFmtId="164" fontId="4" fillId="0" borderId="0" xfId="1" applyNumberFormat="1" applyFont="1"/>
    <xf numFmtId="164" fontId="5" fillId="3" borderId="1" xfId="1" applyNumberFormat="1" applyFont="1" applyFill="1" applyBorder="1"/>
    <xf numFmtId="164" fontId="5" fillId="5" borderId="1" xfId="1" applyNumberFormat="1" applyFont="1" applyFill="1" applyBorder="1"/>
    <xf numFmtId="164" fontId="5" fillId="0" borderId="0" xfId="0" applyNumberFormat="1" applyFont="1" applyAlignment="1">
      <alignment horizontal="center"/>
    </xf>
    <xf numFmtId="164" fontId="3" fillId="2" borderId="1" xfId="1" applyNumberFormat="1" applyFont="1" applyFill="1" applyBorder="1" applyAlignment="1" applyProtection="1">
      <alignment horizontal="left" vertical="top"/>
    </xf>
    <xf numFmtId="164" fontId="2" fillId="2" borderId="1" xfId="1" applyNumberFormat="1" applyFont="1" applyFill="1" applyBorder="1" applyAlignment="1" applyProtection="1">
      <alignment horizontal="left" vertical="top"/>
    </xf>
    <xf numFmtId="164" fontId="5" fillId="0" borderId="0" xfId="1" applyNumberFormat="1" applyFont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164" fontId="5" fillId="5" borderId="1" xfId="0" applyNumberFormat="1" applyFont="1" applyFill="1" applyBorder="1"/>
    <xf numFmtId="0" fontId="2" fillId="2" borderId="1" xfId="0" applyNumberFormat="1" applyFont="1" applyFill="1" applyBorder="1" applyAlignment="1" applyProtection="1">
      <alignment vertical="top"/>
    </xf>
    <xf numFmtId="0" fontId="4" fillId="2" borderId="0" xfId="0" applyFont="1" applyFill="1"/>
    <xf numFmtId="164" fontId="5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0" borderId="1" xfId="1" applyNumberFormat="1" applyFont="1" applyFill="1" applyBorder="1" applyAlignment="1" applyProtection="1">
      <alignment vertical="top"/>
    </xf>
    <xf numFmtId="164" fontId="5" fillId="2" borderId="1" xfId="1" applyNumberFormat="1" applyFont="1" applyFill="1" applyBorder="1"/>
    <xf numFmtId="164" fontId="5" fillId="0" borderId="1" xfId="0" applyNumberFormat="1" applyFont="1" applyBorder="1"/>
    <xf numFmtId="164" fontId="4" fillId="2" borderId="1" xfId="1" applyNumberFormat="1" applyFont="1" applyFill="1" applyBorder="1" applyAlignment="1"/>
    <xf numFmtId="164" fontId="4" fillId="0" borderId="1" xfId="0" applyNumberFormat="1" applyFont="1" applyFill="1" applyBorder="1" applyAlignment="1" applyProtection="1">
      <alignment vertical="top"/>
    </xf>
    <xf numFmtId="164" fontId="5" fillId="4" borderId="1" xfId="1" applyNumberFormat="1" applyFont="1" applyFill="1" applyBorder="1" applyAlignment="1"/>
    <xf numFmtId="164" fontId="4" fillId="2" borderId="1" xfId="1" applyNumberFormat="1" applyFont="1" applyFill="1" applyBorder="1" applyAlignment="1" applyProtection="1">
      <alignment vertical="top"/>
    </xf>
    <xf numFmtId="164" fontId="4" fillId="0" borderId="1" xfId="1" applyNumberFormat="1" applyFont="1" applyFill="1" applyBorder="1" applyAlignment="1">
      <alignment horizontal="right" indent="1"/>
    </xf>
    <xf numFmtId="0" fontId="20" fillId="0" borderId="0" xfId="0" applyFont="1"/>
    <xf numFmtId="164" fontId="2" fillId="0" borderId="1" xfId="1" quotePrefix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 applyProtection="1">
      <alignment vertical="top"/>
    </xf>
    <xf numFmtId="43" fontId="8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vertical="top"/>
    </xf>
    <xf numFmtId="164" fontId="11" fillId="0" borderId="0" xfId="1" applyNumberFormat="1" applyFont="1" applyFill="1" applyBorder="1" applyAlignment="1" applyProtection="1">
      <alignment horizontal="right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164" fontId="10" fillId="0" borderId="1" xfId="1" applyNumberFormat="1" applyFont="1" applyFill="1" applyBorder="1" applyAlignment="1" applyProtection="1">
      <alignment horizontal="right" vertical="top"/>
    </xf>
    <xf numFmtId="0" fontId="12" fillId="0" borderId="1" xfId="0" applyNumberFormat="1" applyFont="1" applyFill="1" applyBorder="1" applyAlignment="1" applyProtection="1">
      <alignment horizontal="left" vertical="top"/>
    </xf>
    <xf numFmtId="164" fontId="11" fillId="0" borderId="1" xfId="1" applyNumberFormat="1" applyFont="1" applyFill="1" applyBorder="1" applyAlignment="1" applyProtection="1">
      <alignment horizontal="right" vertical="top"/>
    </xf>
    <xf numFmtId="164" fontId="11" fillId="0" borderId="1" xfId="1" applyNumberFormat="1" applyFont="1" applyFill="1" applyBorder="1" applyAlignment="1">
      <alignment horizontal="right"/>
    </xf>
    <xf numFmtId="0" fontId="12" fillId="0" borderId="1" xfId="0" applyNumberFormat="1" applyFont="1" applyFill="1" applyBorder="1" applyAlignment="1" applyProtection="1">
      <alignment vertical="top"/>
    </xf>
    <xf numFmtId="164" fontId="10" fillId="0" borderId="1" xfId="1" applyNumberFormat="1" applyFont="1" applyFill="1" applyBorder="1" applyAlignment="1" applyProtection="1">
      <alignment horizontal="left" vertical="top"/>
    </xf>
    <xf numFmtId="0" fontId="12" fillId="0" borderId="1" xfId="0" applyNumberFormat="1" applyFont="1" applyFill="1" applyBorder="1" applyAlignment="1" applyProtection="1">
      <alignment vertical="top" wrapText="1"/>
    </xf>
    <xf numFmtId="0" fontId="12" fillId="0" borderId="1" xfId="0" applyNumberFormat="1" applyFont="1" applyFill="1" applyBorder="1" applyAlignment="1" applyProtection="1">
      <alignment horizontal="left" vertical="top" wrapText="1"/>
    </xf>
    <xf numFmtId="164" fontId="11" fillId="0" borderId="1" xfId="1" applyNumberFormat="1" applyFont="1" applyFill="1" applyBorder="1" applyAlignment="1">
      <alignment horizontal="right" indent="1"/>
    </xf>
    <xf numFmtId="164" fontId="8" fillId="0" borderId="0" xfId="1" applyNumberFormat="1" applyFont="1" applyFill="1" applyBorder="1" applyAlignment="1" applyProtection="1">
      <alignment vertical="top"/>
    </xf>
    <xf numFmtId="164" fontId="11" fillId="0" borderId="1" xfId="1" applyNumberFormat="1" applyFont="1" applyFill="1" applyBorder="1" applyAlignment="1">
      <alignment horizontal="right" indent="3"/>
    </xf>
    <xf numFmtId="0" fontId="8" fillId="0" borderId="1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vertical="top"/>
    </xf>
    <xf numFmtId="164" fontId="10" fillId="0" borderId="1" xfId="1" applyNumberFormat="1" applyFont="1" applyFill="1" applyBorder="1" applyAlignment="1">
      <alignment horizontal="right" indent="1"/>
    </xf>
    <xf numFmtId="164" fontId="12" fillId="0" borderId="1" xfId="1" applyNumberFormat="1" applyFont="1" applyFill="1" applyBorder="1" applyAlignment="1" applyProtection="1">
      <alignment vertical="top"/>
    </xf>
    <xf numFmtId="164" fontId="10" fillId="0" borderId="1" xfId="1" applyNumberFormat="1" applyFont="1" applyFill="1" applyBorder="1" applyAlignment="1" applyProtection="1">
      <alignment vertical="top"/>
    </xf>
    <xf numFmtId="43" fontId="11" fillId="0" borderId="1" xfId="1" applyNumberFormat="1" applyFont="1" applyFill="1" applyBorder="1" applyAlignment="1" applyProtection="1">
      <alignment horizontal="right" vertical="top"/>
    </xf>
    <xf numFmtId="164" fontId="11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>
      <alignment horizontal="left"/>
    </xf>
    <xf numFmtId="0" fontId="3" fillId="0" borderId="1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left" vertical="top" indent="3"/>
    </xf>
    <xf numFmtId="0" fontId="8" fillId="0" borderId="1" xfId="0" applyNumberFormat="1" applyFont="1" applyFill="1" applyBorder="1" applyAlignment="1" applyProtection="1">
      <alignment horizontal="left" vertical="top" wrapText="1" indent="3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1" applyNumberFormat="1" applyFont="1" applyFill="1" applyBorder="1" applyAlignment="1" applyProtection="1">
      <alignment horizontal="right" vertical="top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4" fontId="2" fillId="0" borderId="1" xfId="1" applyNumberFormat="1" applyFont="1" applyFill="1" applyBorder="1" applyAlignment="1" applyProtection="1"/>
    <xf numFmtId="164" fontId="3" fillId="0" borderId="1" xfId="1" applyNumberFormat="1" applyFont="1" applyFill="1" applyBorder="1" applyAlignment="1" applyProtection="1">
      <alignment horizontal="left"/>
    </xf>
    <xf numFmtId="164" fontId="12" fillId="0" borderId="1" xfId="1" applyNumberFormat="1" applyFont="1" applyFill="1" applyBorder="1" applyAlignment="1" applyProtection="1">
      <alignment horizontal="left" vertical="top"/>
    </xf>
    <xf numFmtId="164" fontId="2" fillId="0" borderId="1" xfId="1" applyNumberFormat="1" applyFont="1" applyFill="1" applyBorder="1" applyAlignment="1" applyProtection="1">
      <alignment horizontal="right" wrapText="1"/>
    </xf>
    <xf numFmtId="164" fontId="12" fillId="0" borderId="1" xfId="1" applyNumberFormat="1" applyFont="1" applyFill="1" applyBorder="1" applyAlignment="1" applyProtection="1">
      <alignment horizontal="right"/>
    </xf>
    <xf numFmtId="164" fontId="2" fillId="2" borderId="1" xfId="1" applyNumberFormat="1" applyFont="1" applyFill="1" applyBorder="1"/>
    <xf numFmtId="166" fontId="3" fillId="0" borderId="1" xfId="1" applyNumberFormat="1" applyFont="1" applyFill="1" applyBorder="1" applyAlignment="1"/>
    <xf numFmtId="166" fontId="5" fillId="0" borderId="1" xfId="0" applyNumberFormat="1" applyFont="1" applyFill="1" applyBorder="1" applyAlignment="1"/>
    <xf numFmtId="166" fontId="5" fillId="0" borderId="1" xfId="0" applyNumberFormat="1" applyFont="1" applyFill="1" applyBorder="1"/>
    <xf numFmtId="0" fontId="3" fillId="0" borderId="1" xfId="0" applyFont="1" applyFill="1" applyBorder="1" applyAlignment="1">
      <alignment horizontal="center" vertical="justify"/>
    </xf>
    <xf numFmtId="0" fontId="2" fillId="0" borderId="1" xfId="0" applyFont="1" applyFill="1" applyBorder="1" applyAlignment="1">
      <alignment vertical="justify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0" fillId="0" borderId="0" xfId="1" applyNumberFormat="1" applyFont="1"/>
    <xf numFmtId="0" fontId="5" fillId="0" borderId="0" xfId="0" applyFont="1" applyFill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21" fillId="0" borderId="1" xfId="0" applyFont="1" applyBorder="1"/>
    <xf numFmtId="0" fontId="23" fillId="0" borderId="0" xfId="0" applyFont="1"/>
    <xf numFmtId="0" fontId="2" fillId="0" borderId="0" xfId="0" applyFont="1" applyFill="1"/>
    <xf numFmtId="164" fontId="8" fillId="0" borderId="0" xfId="0" applyNumberFormat="1" applyFont="1" applyFill="1" applyBorder="1" applyAlignment="1" applyProtection="1">
      <alignment vertical="top"/>
    </xf>
    <xf numFmtId="164" fontId="12" fillId="0" borderId="0" xfId="0" applyNumberFormat="1" applyFont="1" applyFill="1" applyBorder="1" applyAlignment="1" applyProtection="1">
      <alignment vertical="top"/>
    </xf>
    <xf numFmtId="164" fontId="1" fillId="0" borderId="0" xfId="1" applyNumberFormat="1" applyFont="1" applyFill="1"/>
    <xf numFmtId="43" fontId="11" fillId="0" borderId="0" xfId="0" applyNumberFormat="1" applyFont="1" applyFill="1" applyBorder="1" applyAlignment="1" applyProtection="1">
      <alignment vertical="top"/>
    </xf>
    <xf numFmtId="164" fontId="2" fillId="4" borderId="1" xfId="1" applyNumberFormat="1" applyFont="1" applyFill="1" applyBorder="1" applyAlignment="1">
      <alignment horizontal="left"/>
    </xf>
    <xf numFmtId="164" fontId="3" fillId="4" borderId="1" xfId="1" applyNumberFormat="1" applyFont="1" applyFill="1" applyBorder="1" applyAlignment="1">
      <alignment horizontal="center"/>
    </xf>
    <xf numFmtId="164" fontId="3" fillId="4" borderId="1" xfId="1" applyNumberFormat="1" applyFont="1" applyFill="1" applyBorder="1" applyAlignment="1"/>
    <xf numFmtId="164" fontId="3" fillId="4" borderId="1" xfId="1" quotePrefix="1" applyNumberFormat="1" applyFont="1" applyFill="1" applyBorder="1" applyAlignment="1"/>
    <xf numFmtId="164" fontId="3" fillId="0" borderId="1" xfId="1" applyNumberFormat="1" applyFont="1" applyFill="1" applyBorder="1" applyAlignment="1">
      <alignment horizontal="left" vertical="center" wrapText="1"/>
    </xf>
    <xf numFmtId="164" fontId="3" fillId="5" borderId="1" xfId="1" applyNumberFormat="1" applyFont="1" applyFill="1" applyBorder="1"/>
    <xf numFmtId="0" fontId="3" fillId="0" borderId="1" xfId="0" applyFont="1" applyFill="1" applyBorder="1" applyAlignment="1">
      <alignment horizontal="left" vertical="justify"/>
    </xf>
    <xf numFmtId="0" fontId="2" fillId="0" borderId="1" xfId="0" applyFont="1" applyFill="1" applyBorder="1" applyAlignment="1">
      <alignment horizontal="left" vertical="justify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164" fontId="5" fillId="0" borderId="0" xfId="1" applyNumberFormat="1" applyFont="1" applyFill="1"/>
    <xf numFmtId="0" fontId="12" fillId="0" borderId="0" xfId="0" applyFont="1" applyFill="1" applyAlignment="1">
      <alignment horizontal="center" wrapText="1"/>
    </xf>
    <xf numFmtId="164" fontId="3" fillId="0" borderId="0" xfId="1" applyNumberFormat="1" applyFont="1" applyFill="1" applyAlignment="1">
      <alignment horizontal="center"/>
    </xf>
    <xf numFmtId="164" fontId="2" fillId="0" borderId="0" xfId="1" applyNumberFormat="1" applyFont="1" applyFill="1"/>
    <xf numFmtId="164" fontId="2" fillId="0" borderId="0" xfId="0" applyNumberFormat="1" applyFont="1" applyFill="1"/>
    <xf numFmtId="167" fontId="2" fillId="0" borderId="1" xfId="2" applyNumberFormat="1" applyFont="1" applyFill="1" applyBorder="1"/>
    <xf numFmtId="167" fontId="2" fillId="0" borderId="1" xfId="0" applyNumberFormat="1" applyFont="1" applyFill="1" applyBorder="1"/>
    <xf numFmtId="0" fontId="3" fillId="5" borderId="1" xfId="0" applyFont="1" applyFill="1" applyBorder="1" applyAlignment="1">
      <alignment horizontal="center" vertical="justify"/>
    </xf>
    <xf numFmtId="167" fontId="3" fillId="0" borderId="1" xfId="2" applyNumberFormat="1" applyFont="1" applyFill="1" applyBorder="1"/>
    <xf numFmtId="167" fontId="3" fillId="0" borderId="1" xfId="0" applyNumberFormat="1" applyFont="1" applyFill="1" applyBorder="1"/>
    <xf numFmtId="0" fontId="3" fillId="5" borderId="1" xfId="0" applyFont="1" applyFill="1" applyBorder="1" applyAlignment="1">
      <alignment vertical="justify"/>
    </xf>
    <xf numFmtId="0" fontId="3" fillId="5" borderId="1" xfId="0" applyFont="1" applyFill="1" applyBorder="1" applyAlignment="1">
      <alignment horizontal="left" vertical="justify"/>
    </xf>
    <xf numFmtId="0" fontId="3" fillId="0" borderId="1" xfId="0" applyFont="1" applyFill="1" applyBorder="1" applyAlignment="1">
      <alignment vertical="justify"/>
    </xf>
    <xf numFmtId="0" fontId="3" fillId="0" borderId="1" xfId="0" applyFont="1" applyFill="1" applyBorder="1" applyAlignment="1">
      <alignment horizontal="left"/>
    </xf>
    <xf numFmtId="164" fontId="21" fillId="0" borderId="1" xfId="0" applyNumberFormat="1" applyFont="1" applyBorder="1"/>
    <xf numFmtId="0" fontId="22" fillId="5" borderId="1" xfId="0" applyFont="1" applyFill="1" applyBorder="1" applyAlignment="1">
      <alignment horizontal="center" vertical="center" wrapText="1"/>
    </xf>
    <xf numFmtId="164" fontId="3" fillId="5" borderId="1" xfId="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2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/>
    <xf numFmtId="1" fontId="4" fillId="5" borderId="0" xfId="0" applyNumberFormat="1" applyFont="1" applyFill="1" applyBorder="1"/>
    <xf numFmtId="164" fontId="5" fillId="5" borderId="0" xfId="1" applyNumberFormat="1" applyFont="1" applyFill="1" applyBorder="1"/>
    <xf numFmtId="10" fontId="4" fillId="0" borderId="0" xfId="2" applyNumberFormat="1" applyFont="1" applyFill="1"/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13" xfId="0" applyNumberFormat="1" applyFont="1" applyFill="1" applyBorder="1" applyAlignment="1" applyProtection="1">
      <alignment horizontal="center" vertical="top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 wrapText="1"/>
    </xf>
    <xf numFmtId="164" fontId="10" fillId="0" borderId="28" xfId="1" applyNumberFormat="1" applyFont="1" applyFill="1" applyBorder="1" applyAlignment="1">
      <alignment horizontal="center" vertical="center" wrapText="1"/>
    </xf>
    <xf numFmtId="164" fontId="10" fillId="0" borderId="23" xfId="1" applyNumberFormat="1" applyFont="1" applyFill="1" applyBorder="1" applyAlignment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top"/>
    </xf>
    <xf numFmtId="164" fontId="10" fillId="0" borderId="30" xfId="1" applyNumberFormat="1" applyFont="1" applyFill="1" applyBorder="1" applyAlignment="1" applyProtection="1">
      <alignment horizontal="right" vertical="top"/>
    </xf>
    <xf numFmtId="0" fontId="8" fillId="0" borderId="29" xfId="0" applyNumberFormat="1" applyFont="1" applyFill="1" applyBorder="1" applyAlignment="1" applyProtection="1">
      <alignment horizontal="center" vertical="top"/>
    </xf>
    <xf numFmtId="164" fontId="11" fillId="0" borderId="30" xfId="1" applyNumberFormat="1" applyFont="1" applyFill="1" applyBorder="1" applyAlignment="1" applyProtection="1">
      <alignment horizontal="right" vertical="top"/>
    </xf>
    <xf numFmtId="164" fontId="11" fillId="0" borderId="30" xfId="1" applyNumberFormat="1" applyFont="1" applyFill="1" applyBorder="1" applyAlignment="1">
      <alignment horizontal="right" indent="1"/>
    </xf>
    <xf numFmtId="164" fontId="11" fillId="0" borderId="30" xfId="1" applyNumberFormat="1" applyFont="1" applyFill="1" applyBorder="1" applyAlignment="1" applyProtection="1">
      <alignment vertical="top"/>
    </xf>
    <xf numFmtId="164" fontId="10" fillId="0" borderId="30" xfId="1" applyNumberFormat="1" applyFont="1" applyFill="1" applyBorder="1" applyAlignment="1" applyProtection="1">
      <alignment horizontal="left" vertical="top"/>
    </xf>
    <xf numFmtId="164" fontId="10" fillId="0" borderId="30" xfId="1" applyNumberFormat="1" applyFont="1" applyFill="1" applyBorder="1" applyAlignment="1">
      <alignment horizontal="right" indent="1"/>
    </xf>
    <xf numFmtId="164" fontId="10" fillId="0" borderId="30" xfId="1" applyNumberFormat="1" applyFont="1" applyFill="1" applyBorder="1" applyAlignment="1" applyProtection="1">
      <alignment vertical="top"/>
    </xf>
    <xf numFmtId="0" fontId="8" fillId="0" borderId="24" xfId="0" applyNumberFormat="1" applyFont="1" applyFill="1" applyBorder="1" applyAlignment="1" applyProtection="1">
      <alignment horizontal="center" vertical="top"/>
    </xf>
    <xf numFmtId="0" fontId="12" fillId="0" borderId="31" xfId="0" applyNumberFormat="1" applyFont="1" applyFill="1" applyBorder="1" applyAlignment="1" applyProtection="1">
      <alignment horizontal="left" vertical="top" wrapText="1" indent="2"/>
    </xf>
    <xf numFmtId="0" fontId="8" fillId="0" borderId="31" xfId="0" applyNumberFormat="1" applyFont="1" applyFill="1" applyBorder="1" applyAlignment="1" applyProtection="1">
      <alignment vertical="top"/>
    </xf>
    <xf numFmtId="164" fontId="10" fillId="0" borderId="31" xfId="1" applyNumberFormat="1" applyFont="1" applyFill="1" applyBorder="1" applyAlignment="1" applyProtection="1">
      <alignment vertical="top"/>
    </xf>
    <xf numFmtId="164" fontId="10" fillId="0" borderId="25" xfId="1" applyNumberFormat="1" applyFont="1" applyFill="1" applyBorder="1" applyAlignment="1" applyProtection="1">
      <alignment vertical="top"/>
    </xf>
    <xf numFmtId="0" fontId="3" fillId="0" borderId="22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Fill="1" applyBorder="1" applyAlignment="1" applyProtection="1">
      <alignment horizontal="center" vertical="center"/>
    </xf>
    <xf numFmtId="0" fontId="3" fillId="0" borderId="28" xfId="0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>
      <alignment horizontal="center" vertical="center" wrapText="1"/>
    </xf>
    <xf numFmtId="164" fontId="3" fillId="0" borderId="23" xfId="1" applyNumberFormat="1" applyFont="1" applyFill="1" applyBorder="1" applyAlignment="1">
      <alignment horizontal="center" vertical="center" wrapText="1"/>
    </xf>
    <xf numFmtId="0" fontId="3" fillId="0" borderId="29" xfId="0" applyNumberFormat="1" applyFont="1" applyFill="1" applyBorder="1" applyAlignment="1" applyProtection="1">
      <alignment horizontal="center"/>
    </xf>
    <xf numFmtId="164" fontId="3" fillId="0" borderId="30" xfId="1" applyNumberFormat="1" applyFont="1" applyFill="1" applyBorder="1" applyAlignment="1" applyProtection="1">
      <alignment horizontal="right"/>
    </xf>
    <xf numFmtId="0" fontId="2" fillId="0" borderId="29" xfId="0" applyNumberFormat="1" applyFont="1" applyFill="1" applyBorder="1" applyAlignment="1" applyProtection="1">
      <alignment horizontal="center"/>
    </xf>
    <xf numFmtId="164" fontId="2" fillId="0" borderId="30" xfId="1" applyNumberFormat="1" applyFont="1" applyFill="1" applyBorder="1" applyAlignment="1">
      <alignment horizontal="right"/>
    </xf>
    <xf numFmtId="164" fontId="3" fillId="0" borderId="30" xfId="1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164" fontId="12" fillId="0" borderId="30" xfId="1" applyNumberFormat="1" applyFont="1" applyFill="1" applyBorder="1" applyAlignment="1" applyProtection="1">
      <alignment horizontal="left" vertical="top"/>
    </xf>
    <xf numFmtId="164" fontId="2" fillId="0" borderId="30" xfId="1" applyNumberFormat="1" applyFont="1" applyFill="1" applyBorder="1" applyAlignment="1">
      <alignment horizontal="right" wrapText="1"/>
    </xf>
    <xf numFmtId="164" fontId="12" fillId="0" borderId="30" xfId="1" applyNumberFormat="1" applyFont="1" applyFill="1" applyBorder="1" applyAlignment="1" applyProtection="1">
      <alignment horizontal="right"/>
    </xf>
    <xf numFmtId="0" fontId="12" fillId="0" borderId="31" xfId="0" applyNumberFormat="1" applyFont="1" applyFill="1" applyBorder="1" applyAlignment="1" applyProtection="1">
      <alignment horizontal="left" vertical="top" indent="5"/>
    </xf>
    <xf numFmtId="0" fontId="8" fillId="0" borderId="31" xfId="0" applyNumberFormat="1" applyFont="1" applyFill="1" applyBorder="1" applyAlignment="1" applyProtection="1">
      <alignment horizontal="left" vertical="top"/>
    </xf>
    <xf numFmtId="164" fontId="12" fillId="0" borderId="31" xfId="1" applyNumberFormat="1" applyFont="1" applyFill="1" applyBorder="1" applyAlignment="1" applyProtection="1">
      <alignment horizontal="right" vertical="top"/>
    </xf>
    <xf numFmtId="164" fontId="12" fillId="0" borderId="25" xfId="1" applyNumberFormat="1" applyFont="1" applyFill="1" applyBorder="1" applyAlignment="1" applyProtection="1">
      <alignment horizontal="right" vertical="top"/>
    </xf>
    <xf numFmtId="0" fontId="15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2" fillId="0" borderId="1" xfId="1" quotePrefix="1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4" fillId="0" borderId="1" xfId="0" quotePrefix="1" applyFont="1" applyFill="1" applyBorder="1" applyAlignment="1">
      <alignment horizontal="right" vertical="center"/>
    </xf>
    <xf numFmtId="0" fontId="2" fillId="0" borderId="1" xfId="0" quotePrefix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" fontId="2" fillId="0" borderId="1" xfId="3" applyNumberFormat="1" applyFont="1" applyFill="1" applyBorder="1" applyAlignment="1">
      <alignment horizontal="right" vertical="center"/>
    </xf>
    <xf numFmtId="3" fontId="3" fillId="0" borderId="1" xfId="3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26" fillId="0" borderId="0" xfId="4" applyFont="1" applyFill="1"/>
    <xf numFmtId="0" fontId="26" fillId="0" borderId="17" xfId="4" applyFont="1" applyFill="1" applyBorder="1"/>
    <xf numFmtId="0" fontId="26" fillId="0" borderId="26" xfId="4" applyFont="1" applyFill="1" applyBorder="1"/>
    <xf numFmtId="3" fontId="26" fillId="0" borderId="26" xfId="4" applyNumberFormat="1" applyFont="1" applyFill="1" applyBorder="1"/>
    <xf numFmtId="0" fontId="26" fillId="0" borderId="18" xfId="4" applyFont="1" applyFill="1" applyBorder="1"/>
    <xf numFmtId="0" fontId="27" fillId="0" borderId="0" xfId="0" applyFont="1"/>
    <xf numFmtId="0" fontId="26" fillId="0" borderId="3" xfId="4" applyFont="1" applyBorder="1"/>
    <xf numFmtId="168" fontId="26" fillId="0" borderId="0" xfId="4" applyNumberFormat="1" applyFont="1" applyBorder="1" applyAlignment="1">
      <alignment horizontal="center"/>
    </xf>
    <xf numFmtId="0" fontId="26" fillId="0" borderId="0" xfId="4" applyFont="1" applyBorder="1"/>
    <xf numFmtId="0" fontId="26" fillId="0" borderId="0" xfId="4" applyFont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3" fontId="26" fillId="0" borderId="0" xfId="4" applyNumberFormat="1" applyFont="1" applyBorder="1" applyAlignment="1">
      <alignment vertical="center"/>
    </xf>
    <xf numFmtId="0" fontId="26" fillId="0" borderId="21" xfId="4" applyFont="1" applyBorder="1"/>
    <xf numFmtId="0" fontId="28" fillId="0" borderId="0" xfId="4" applyFont="1" applyBorder="1" applyAlignment="1">
      <alignment horizontal="left"/>
    </xf>
    <xf numFmtId="0" fontId="28" fillId="0" borderId="0" xfId="4" applyFont="1" applyBorder="1"/>
    <xf numFmtId="0" fontId="26" fillId="0" borderId="0" xfId="4" applyFont="1" applyFill="1" applyBorder="1"/>
    <xf numFmtId="0" fontId="26" fillId="0" borderId="0" xfId="4" applyFont="1" applyBorder="1" applyAlignment="1">
      <alignment horizontal="center"/>
    </xf>
    <xf numFmtId="3" fontId="26" fillId="0" borderId="0" xfId="4" applyNumberFormat="1" applyFont="1" applyBorder="1"/>
    <xf numFmtId="0" fontId="28" fillId="0" borderId="0" xfId="4" applyFont="1" applyBorder="1" applyAlignment="1">
      <alignment horizontal="center" vertical="center"/>
    </xf>
    <xf numFmtId="0" fontId="28" fillId="0" borderId="0" xfId="4" applyFont="1" applyBorder="1" applyAlignment="1">
      <alignment horizontal="left" vertical="center"/>
    </xf>
    <xf numFmtId="0" fontId="26" fillId="0" borderId="0" xfId="4" applyFont="1" applyBorder="1" applyAlignment="1">
      <alignment vertical="center"/>
    </xf>
    <xf numFmtId="0" fontId="29" fillId="0" borderId="0" xfId="4" applyFont="1" applyBorder="1" applyAlignment="1">
      <alignment horizontal="center" vertical="center"/>
    </xf>
    <xf numFmtId="0" fontId="30" fillId="0" borderId="0" xfId="4" applyFont="1" applyBorder="1" applyAlignment="1">
      <alignment horizontal="center"/>
    </xf>
    <xf numFmtId="0" fontId="29" fillId="0" borderId="0" xfId="4" applyFont="1" applyBorder="1" applyAlignment="1">
      <alignment vertical="center"/>
    </xf>
    <xf numFmtId="0" fontId="26" fillId="0" borderId="0" xfId="4" applyFont="1" applyFill="1" applyAlignment="1">
      <alignment horizontal="center" vertical="center" wrapText="1"/>
    </xf>
    <xf numFmtId="0" fontId="26" fillId="0" borderId="3" xfId="4" applyFont="1" applyBorder="1" applyAlignment="1">
      <alignment horizontal="center" vertical="center" wrapText="1"/>
    </xf>
    <xf numFmtId="168" fontId="26" fillId="0" borderId="0" xfId="4" applyNumberFormat="1" applyFont="1" applyBorder="1" applyAlignment="1">
      <alignment horizontal="center" vertical="center" wrapText="1"/>
    </xf>
    <xf numFmtId="0" fontId="26" fillId="0" borderId="0" xfId="4" applyFont="1" applyBorder="1" applyAlignment="1">
      <alignment horizontal="center" vertical="center" wrapText="1"/>
    </xf>
    <xf numFmtId="0" fontId="26" fillId="0" borderId="21" xfId="4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/>
    <xf numFmtId="0" fontId="26" fillId="0" borderId="1" xfId="4" applyFont="1" applyFill="1" applyBorder="1"/>
    <xf numFmtId="164" fontId="30" fillId="0" borderId="1" xfId="1" applyNumberFormat="1" applyFont="1" applyBorder="1"/>
    <xf numFmtId="164" fontId="26" fillId="0" borderId="1" xfId="1" applyNumberFormat="1" applyFont="1" applyBorder="1"/>
    <xf numFmtId="164" fontId="27" fillId="0" borderId="0" xfId="0" applyNumberFormat="1" applyFont="1"/>
    <xf numFmtId="0" fontId="26" fillId="0" borderId="1" xfId="0" applyFont="1" applyFill="1" applyBorder="1"/>
    <xf numFmtId="0" fontId="26" fillId="0" borderId="3" xfId="4" applyFont="1" applyBorder="1" applyAlignment="1">
      <alignment vertical="center"/>
    </xf>
    <xf numFmtId="168" fontId="26" fillId="0" borderId="0" xfId="4" applyNumberFormat="1" applyFont="1" applyBorder="1" applyAlignment="1">
      <alignment horizontal="center" vertical="center"/>
    </xf>
    <xf numFmtId="0" fontId="30" fillId="0" borderId="1" xfId="0" applyFont="1" applyFill="1" applyBorder="1"/>
    <xf numFmtId="0" fontId="26" fillId="0" borderId="21" xfId="4" applyFont="1" applyBorder="1" applyAlignment="1">
      <alignment vertical="center"/>
    </xf>
    <xf numFmtId="0" fontId="30" fillId="0" borderId="0" xfId="0" applyFont="1" applyBorder="1"/>
    <xf numFmtId="0" fontId="30" fillId="0" borderId="0" xfId="4" applyFont="1" applyBorder="1"/>
    <xf numFmtId="169" fontId="26" fillId="0" borderId="0" xfId="4" applyNumberFormat="1" applyFont="1" applyBorder="1"/>
    <xf numFmtId="0" fontId="26" fillId="0" borderId="0" xfId="4" applyFont="1" applyBorder="1" applyAlignment="1">
      <alignment horizontal="left" vertical="center"/>
    </xf>
    <xf numFmtId="0" fontId="30" fillId="0" borderId="0" xfId="4" applyFont="1" applyBorder="1" applyAlignment="1">
      <alignment horizontal="left" vertical="center"/>
    </xf>
    <xf numFmtId="3" fontId="26" fillId="0" borderId="0" xfId="4" applyNumberFormat="1" applyFont="1" applyFill="1" applyBorder="1"/>
    <xf numFmtId="0" fontId="26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/>
    </xf>
    <xf numFmtId="164" fontId="30" fillId="0" borderId="1" xfId="1" applyNumberFormat="1" applyFont="1" applyBorder="1" applyAlignment="1">
      <alignment horizontal="center"/>
    </xf>
    <xf numFmtId="164" fontId="26" fillId="0" borderId="1" xfId="1" applyNumberFormat="1" applyFont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/>
    <xf numFmtId="0" fontId="26" fillId="0" borderId="16" xfId="0" applyFont="1" applyFill="1" applyBorder="1"/>
    <xf numFmtId="164" fontId="26" fillId="0" borderId="16" xfId="1" applyNumberFormat="1" applyFont="1" applyBorder="1"/>
    <xf numFmtId="0" fontId="27" fillId="0" borderId="1" xfId="0" applyFont="1" applyBorder="1"/>
    <xf numFmtId="0" fontId="30" fillId="0" borderId="2" xfId="0" applyFont="1" applyBorder="1"/>
    <xf numFmtId="0" fontId="26" fillId="0" borderId="0" xfId="4" applyFont="1" applyFill="1" applyAlignment="1">
      <alignment horizontal="center"/>
    </xf>
    <xf numFmtId="3" fontId="26" fillId="0" borderId="0" xfId="4" applyNumberFormat="1" applyFont="1" applyFill="1"/>
    <xf numFmtId="49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/>
    <xf numFmtId="49" fontId="4" fillId="0" borderId="1" xfId="0" applyNumberFormat="1" applyFont="1" applyFill="1" applyBorder="1" applyAlignment="1">
      <alignment horizontal="left"/>
    </xf>
    <xf numFmtId="49" fontId="26" fillId="0" borderId="1" xfId="0" applyNumberFormat="1" applyFont="1" applyBorder="1"/>
    <xf numFmtId="0" fontId="31" fillId="0" borderId="0" xfId="0" applyFont="1"/>
    <xf numFmtId="0" fontId="26" fillId="0" borderId="0" xfId="4" applyFont="1" applyFill="1" applyAlignment="1">
      <alignment vertical="center"/>
    </xf>
    <xf numFmtId="0" fontId="28" fillId="0" borderId="3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horizontal="center" vertical="center"/>
    </xf>
    <xf numFmtId="0" fontId="28" fillId="0" borderId="21" xfId="4" applyFont="1" applyFill="1" applyBorder="1" applyAlignment="1">
      <alignment horizontal="center" vertical="center"/>
    </xf>
    <xf numFmtId="0" fontId="26" fillId="0" borderId="3" xfId="4" applyFont="1" applyFill="1" applyBorder="1"/>
    <xf numFmtId="0" fontId="26" fillId="0" borderId="21" xfId="4" applyFont="1" applyFill="1" applyBorder="1"/>
    <xf numFmtId="0" fontId="28" fillId="0" borderId="0" xfId="4" applyFont="1" applyBorder="1" applyAlignment="1">
      <alignment vertical="center"/>
    </xf>
    <xf numFmtId="0" fontId="26" fillId="0" borderId="3" xfId="4" applyFont="1" applyFill="1" applyBorder="1" applyAlignment="1">
      <alignment horizontal="center"/>
    </xf>
    <xf numFmtId="0" fontId="28" fillId="0" borderId="0" xfId="4" applyFont="1" applyBorder="1" applyAlignment="1"/>
    <xf numFmtId="0" fontId="28" fillId="0" borderId="32" xfId="4" applyFont="1" applyBorder="1"/>
    <xf numFmtId="0" fontId="26" fillId="0" borderId="0" xfId="4" applyFont="1" applyBorder="1" applyAlignment="1"/>
    <xf numFmtId="0" fontId="30" fillId="0" borderId="0" xfId="4" applyFont="1" applyBorder="1" applyAlignment="1">
      <alignment vertical="center"/>
    </xf>
    <xf numFmtId="0" fontId="29" fillId="0" borderId="0" xfId="0" applyFont="1" applyBorder="1"/>
    <xf numFmtId="3" fontId="26" fillId="0" borderId="0" xfId="4" applyNumberFormat="1" applyFont="1" applyFill="1" applyBorder="1" applyAlignment="1">
      <alignment vertical="center"/>
    </xf>
    <xf numFmtId="168" fontId="26" fillId="0" borderId="0" xfId="4" applyNumberFormat="1" applyFont="1" applyFill="1" applyBorder="1" applyAlignment="1">
      <alignment horizontal="center"/>
    </xf>
    <xf numFmtId="0" fontId="28" fillId="0" borderId="0" xfId="4" applyFont="1" applyFill="1" applyBorder="1" applyAlignment="1">
      <alignment horizontal="left" vertical="center"/>
    </xf>
    <xf numFmtId="0" fontId="29" fillId="0" borderId="0" xfId="4" applyFont="1" applyFill="1" applyBorder="1" applyAlignment="1">
      <alignment vertical="center"/>
    </xf>
    <xf numFmtId="3" fontId="30" fillId="0" borderId="20" xfId="4" applyNumberFormat="1" applyFont="1" applyBorder="1"/>
    <xf numFmtId="0" fontId="26" fillId="0" borderId="0" xfId="4" applyFont="1" applyFill="1" applyBorder="1" applyAlignment="1">
      <alignment horizontal="center"/>
    </xf>
    <xf numFmtId="0" fontId="32" fillId="0" borderId="1" xfId="4" applyFont="1" applyFill="1" applyBorder="1" applyAlignment="1">
      <alignment horizontal="center" vertical="center" wrapText="1"/>
    </xf>
    <xf numFmtId="3" fontId="33" fillId="0" borderId="1" xfId="0" applyNumberFormat="1" applyFont="1" applyFill="1" applyBorder="1"/>
    <xf numFmtId="3" fontId="28" fillId="0" borderId="1" xfId="0" applyNumberFormat="1" applyFont="1" applyFill="1" applyBorder="1"/>
    <xf numFmtId="0" fontId="30" fillId="0" borderId="0" xfId="4" applyFont="1" applyFill="1" applyBorder="1" applyAlignment="1">
      <alignment horizontal="center"/>
    </xf>
    <xf numFmtId="0" fontId="30" fillId="0" borderId="1" xfId="4" applyFont="1" applyBorder="1" applyAlignment="1">
      <alignment horizontal="center"/>
    </xf>
    <xf numFmtId="0" fontId="30" fillId="0" borderId="1" xfId="4" applyFont="1" applyFill="1" applyBorder="1" applyAlignment="1">
      <alignment horizontal="center"/>
    </xf>
    <xf numFmtId="0" fontId="30" fillId="0" borderId="1" xfId="4" applyFont="1" applyBorder="1" applyAlignment="1"/>
    <xf numFmtId="164" fontId="26" fillId="0" borderId="1" xfId="1" applyNumberFormat="1" applyFont="1" applyFill="1" applyBorder="1" applyAlignment="1"/>
    <xf numFmtId="0" fontId="26" fillId="0" borderId="1" xfId="4" applyFont="1" applyBorder="1" applyAlignment="1">
      <alignment horizontal="left"/>
    </xf>
    <xf numFmtId="0" fontId="29" fillId="0" borderId="15" xfId="4" applyFont="1" applyBorder="1" applyAlignment="1">
      <alignment vertical="center"/>
    </xf>
    <xf numFmtId="0" fontId="29" fillId="0" borderId="27" xfId="4" applyFont="1" applyBorder="1" applyAlignment="1">
      <alignment vertical="center"/>
    </xf>
    <xf numFmtId="0" fontId="29" fillId="0" borderId="16" xfId="4" applyFont="1" applyBorder="1" applyAlignment="1">
      <alignment vertical="center"/>
    </xf>
    <xf numFmtId="164" fontId="34" fillId="0" borderId="1" xfId="1" applyNumberFormat="1" applyFont="1" applyBorder="1"/>
    <xf numFmtId="164" fontId="35" fillId="0" borderId="1" xfId="1" applyNumberFormat="1" applyFont="1" applyBorder="1"/>
    <xf numFmtId="0" fontId="29" fillId="0" borderId="1" xfId="4" applyFont="1" applyBorder="1" applyAlignment="1">
      <alignment vertical="center"/>
    </xf>
    <xf numFmtId="0" fontId="26" fillId="0" borderId="1" xfId="4" applyFont="1" applyBorder="1"/>
    <xf numFmtId="0" fontId="31" fillId="0" borderId="1" xfId="0" applyFont="1" applyBorder="1"/>
    <xf numFmtId="0" fontId="36" fillId="0" borderId="1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/>
    </xf>
    <xf numFmtId="49" fontId="37" fillId="0" borderId="14" xfId="0" applyNumberFormat="1" applyFont="1" applyBorder="1" applyAlignment="1">
      <alignment horizontal="left" vertical="center"/>
    </xf>
    <xf numFmtId="0" fontId="37" fillId="0" borderId="19" xfId="0" applyFont="1" applyBorder="1" applyAlignment="1">
      <alignment horizontal="left" vertical="center"/>
    </xf>
    <xf numFmtId="164" fontId="36" fillId="0" borderId="1" xfId="1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64" fontId="36" fillId="0" borderId="2" xfId="0" applyNumberFormat="1" applyFont="1" applyBorder="1" applyAlignment="1">
      <alignment horizontal="center" vertical="center" wrapText="1"/>
    </xf>
    <xf numFmtId="164" fontId="37" fillId="0" borderId="1" xfId="1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164" fontId="37" fillId="0" borderId="2" xfId="1" applyNumberFormat="1" applyFont="1" applyBorder="1" applyAlignment="1">
      <alignment horizontal="center" vertical="center" wrapText="1"/>
    </xf>
    <xf numFmtId="164" fontId="37" fillId="0" borderId="2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left"/>
    </xf>
    <xf numFmtId="0" fontId="26" fillId="0" borderId="1" xfId="4" applyFont="1" applyFill="1" applyBorder="1" applyAlignment="1">
      <alignment horizontal="left"/>
    </xf>
    <xf numFmtId="164" fontId="37" fillId="0" borderId="1" xfId="1" applyNumberFormat="1" applyFont="1" applyBorder="1"/>
    <xf numFmtId="0" fontId="37" fillId="0" borderId="1" xfId="0" applyFont="1" applyBorder="1"/>
    <xf numFmtId="164" fontId="36" fillId="0" borderId="1" xfId="1" applyNumberFormat="1" applyFont="1" applyBorder="1"/>
    <xf numFmtId="170" fontId="26" fillId="0" borderId="20" xfId="1" applyNumberFormat="1" applyFont="1" applyBorder="1" applyAlignment="1">
      <alignment horizontal="right"/>
    </xf>
    <xf numFmtId="0" fontId="30" fillId="0" borderId="0" xfId="4" applyFont="1" applyBorder="1" applyAlignment="1">
      <alignment horizontal="right"/>
    </xf>
    <xf numFmtId="164" fontId="35" fillId="0" borderId="0" xfId="1" applyNumberFormat="1" applyFont="1" applyBorder="1" applyAlignment="1">
      <alignment horizontal="right"/>
    </xf>
    <xf numFmtId="3" fontId="33" fillId="0" borderId="0" xfId="4" applyNumberFormat="1" applyFont="1" applyBorder="1" applyAlignment="1">
      <alignment horizontal="right"/>
    </xf>
    <xf numFmtId="170" fontId="26" fillId="0" borderId="0" xfId="1" applyNumberFormat="1" applyFont="1" applyFill="1" applyBorder="1" applyAlignment="1">
      <alignment horizontal="right"/>
    </xf>
    <xf numFmtId="164" fontId="26" fillId="0" borderId="20" xfId="1" applyNumberFormat="1" applyFont="1" applyBorder="1" applyAlignment="1"/>
    <xf numFmtId="164" fontId="26" fillId="0" borderId="27" xfId="1" applyNumberFormat="1" applyFont="1" applyBorder="1" applyAlignment="1"/>
    <xf numFmtId="164" fontId="30" fillId="0" borderId="27" xfId="1" applyNumberFormat="1" applyFont="1" applyBorder="1" applyAlignment="1"/>
    <xf numFmtId="0" fontId="30" fillId="0" borderId="0" xfId="4" applyFont="1" applyFill="1" applyBorder="1" applyAlignment="1"/>
    <xf numFmtId="0" fontId="26" fillId="0" borderId="0" xfId="0" applyFont="1" applyFill="1" applyBorder="1"/>
    <xf numFmtId="170" fontId="26" fillId="0" borderId="20" xfId="1" applyNumberFormat="1" applyFont="1" applyBorder="1" applyAlignment="1"/>
    <xf numFmtId="170" fontId="26" fillId="0" borderId="0" xfId="1" applyNumberFormat="1" applyFont="1" applyBorder="1" applyAlignment="1"/>
    <xf numFmtId="3" fontId="26" fillId="0" borderId="0" xfId="1" applyNumberFormat="1" applyFont="1" applyBorder="1" applyAlignment="1"/>
    <xf numFmtId="0" fontId="37" fillId="0" borderId="0" xfId="4" applyFont="1" applyBorder="1"/>
    <xf numFmtId="0" fontId="36" fillId="0" borderId="0" xfId="4" applyFont="1" applyFill="1"/>
    <xf numFmtId="0" fontId="37" fillId="0" borderId="0" xfId="0" applyFont="1" applyFill="1" applyBorder="1"/>
    <xf numFmtId="0" fontId="37" fillId="0" borderId="0" xfId="4" applyFont="1" applyFill="1" applyBorder="1"/>
    <xf numFmtId="170" fontId="38" fillId="0" borderId="0" xfId="1" applyNumberFormat="1" applyFont="1" applyBorder="1" applyAlignment="1">
      <alignment vertical="center"/>
    </xf>
    <xf numFmtId="0" fontId="37" fillId="0" borderId="0" xfId="4" applyFont="1" applyFill="1"/>
    <xf numFmtId="0" fontId="39" fillId="0" borderId="0" xfId="0" applyFont="1" applyFill="1" applyBorder="1"/>
    <xf numFmtId="170" fontId="41" fillId="0" borderId="0" xfId="1" applyNumberFormat="1" applyFont="1" applyBorder="1" applyAlignment="1">
      <alignment vertical="center"/>
    </xf>
    <xf numFmtId="0" fontId="36" fillId="0" borderId="0" xfId="4" applyFont="1" applyBorder="1" applyAlignment="1">
      <alignment vertical="center"/>
    </xf>
    <xf numFmtId="170" fontId="42" fillId="0" borderId="0" xfId="4" applyNumberFormat="1" applyFont="1" applyFill="1"/>
    <xf numFmtId="0" fontId="43" fillId="0" borderId="0" xfId="0" applyFont="1" applyBorder="1"/>
    <xf numFmtId="164" fontId="43" fillId="0" borderId="0" xfId="1" applyNumberFormat="1" applyFont="1" applyBorder="1"/>
    <xf numFmtId="0" fontId="36" fillId="0" borderId="1" xfId="0" applyFont="1" applyBorder="1" applyAlignment="1">
      <alignment horizontal="center" wrapText="1"/>
    </xf>
    <xf numFmtId="0" fontId="36" fillId="0" borderId="1" xfId="0" applyFont="1" applyBorder="1" applyAlignment="1">
      <alignment horizontal="center"/>
    </xf>
    <xf numFmtId="164" fontId="36" fillId="0" borderId="1" xfId="1" applyNumberFormat="1" applyFont="1" applyBorder="1" applyAlignment="1">
      <alignment horizontal="center"/>
    </xf>
    <xf numFmtId="0" fontId="37" fillId="0" borderId="15" xfId="0" applyFont="1" applyBorder="1"/>
    <xf numFmtId="0" fontId="37" fillId="0" borderId="16" xfId="0" applyFont="1" applyBorder="1"/>
    <xf numFmtId="164" fontId="37" fillId="0" borderId="1" xfId="1" applyNumberFormat="1" applyFont="1" applyBorder="1" applyAlignment="1">
      <alignment horizontal="center"/>
    </xf>
    <xf numFmtId="0" fontId="31" fillId="0" borderId="0" xfId="0" applyFont="1" applyBorder="1"/>
    <xf numFmtId="164" fontId="30" fillId="0" borderId="0" xfId="1" applyNumberFormat="1" applyFont="1" applyBorder="1"/>
    <xf numFmtId="0" fontId="31" fillId="0" borderId="0" xfId="0" applyFont="1" applyFill="1" applyBorder="1"/>
    <xf numFmtId="0" fontId="31" fillId="0" borderId="0" xfId="0" applyFont="1" applyBorder="1" applyAlignment="1">
      <alignment horizontal="center"/>
    </xf>
    <xf numFmtId="0" fontId="29" fillId="0" borderId="0" xfId="0" applyFont="1" applyFill="1" applyBorder="1"/>
    <xf numFmtId="164" fontId="31" fillId="0" borderId="0" xfId="1" applyNumberFormat="1" applyFont="1" applyBorder="1" applyAlignment="1">
      <alignment horizontal="right"/>
    </xf>
    <xf numFmtId="0" fontId="31" fillId="0" borderId="0" xfId="0" applyFont="1" applyBorder="1" applyAlignment="1">
      <alignment horizontal="left"/>
    </xf>
    <xf numFmtId="0" fontId="39" fillId="0" borderId="0" xfId="0" applyFont="1" applyBorder="1"/>
    <xf numFmtId="164" fontId="44" fillId="0" borderId="0" xfId="1" applyNumberFormat="1" applyFont="1" applyBorder="1" applyAlignment="1">
      <alignment horizontal="right"/>
    </xf>
    <xf numFmtId="169" fontId="37" fillId="0" borderId="0" xfId="4" applyNumberFormat="1" applyFont="1" applyBorder="1"/>
    <xf numFmtId="0" fontId="37" fillId="0" borderId="0" xfId="4" applyFont="1" applyFill="1" applyBorder="1" applyAlignment="1">
      <alignment horizontal="left"/>
    </xf>
    <xf numFmtId="0" fontId="39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/>
    </xf>
    <xf numFmtId="170" fontId="45" fillId="0" borderId="0" xfId="1" applyNumberFormat="1" applyFont="1" applyFill="1" applyBorder="1"/>
    <xf numFmtId="164" fontId="45" fillId="0" borderId="0" xfId="1" applyNumberFormat="1" applyFont="1" applyFill="1" applyBorder="1"/>
    <xf numFmtId="0" fontId="26" fillId="0" borderId="0" xfId="4" applyFont="1" applyBorder="1" applyAlignment="1">
      <alignment horizontal="left"/>
    </xf>
    <xf numFmtId="0" fontId="26" fillId="0" borderId="14" xfId="4" applyFont="1" applyBorder="1"/>
    <xf numFmtId="168" fontId="26" fillId="0" borderId="20" xfId="4" applyNumberFormat="1" applyFont="1" applyBorder="1" applyAlignment="1">
      <alignment horizontal="center"/>
    </xf>
    <xf numFmtId="0" fontId="26" fillId="0" borderId="20" xfId="4" applyFont="1" applyBorder="1"/>
    <xf numFmtId="0" fontId="26" fillId="0" borderId="20" xfId="4" applyFont="1" applyBorder="1" applyAlignment="1">
      <alignment horizontal="center"/>
    </xf>
    <xf numFmtId="0" fontId="26" fillId="0" borderId="19" xfId="4" applyFont="1" applyBorder="1"/>
    <xf numFmtId="0" fontId="26" fillId="0" borderId="26" xfId="4" applyFont="1" applyFill="1" applyBorder="1" applyAlignment="1">
      <alignment horizontal="center"/>
    </xf>
    <xf numFmtId="43" fontId="26" fillId="0" borderId="27" xfId="1" applyNumberFormat="1" applyFont="1" applyBorder="1" applyAlignment="1"/>
    <xf numFmtId="164" fontId="33" fillId="0" borderId="0" xfId="1" applyNumberFormat="1" applyFont="1" applyFill="1"/>
    <xf numFmtId="164" fontId="41" fillId="0" borderId="0" xfId="1" applyNumberFormat="1" applyFont="1" applyBorder="1" applyAlignment="1">
      <alignment vertical="center"/>
    </xf>
    <xf numFmtId="0" fontId="36" fillId="0" borderId="0" xfId="4" applyFont="1" applyBorder="1"/>
    <xf numFmtId="164" fontId="40" fillId="0" borderId="0" xfId="1" applyNumberFormat="1" applyFont="1" applyFill="1"/>
    <xf numFmtId="164" fontId="42" fillId="0" borderId="0" xfId="4" applyNumberFormat="1" applyFont="1" applyFill="1"/>
    <xf numFmtId="164" fontId="42" fillId="0" borderId="0" xfId="4" applyNumberFormat="1" applyFont="1" applyBorder="1"/>
    <xf numFmtId="164" fontId="26" fillId="0" borderId="1" xfId="1" applyNumberFormat="1" applyFont="1" applyBorder="1" applyAlignment="1"/>
    <xf numFmtId="0" fontId="30" fillId="0" borderId="1" xfId="4" applyFont="1" applyBorder="1" applyAlignment="1">
      <alignment horizontal="left"/>
    </xf>
    <xf numFmtId="0" fontId="21" fillId="0" borderId="1" xfId="0" applyFont="1" applyBorder="1" applyAlignment="1">
      <alignment horizontal="left" wrapText="1"/>
    </xf>
    <xf numFmtId="0" fontId="28" fillId="0" borderId="0" xfId="4" applyFont="1" applyFill="1" applyBorder="1" applyAlignment="1">
      <alignment vertical="center"/>
    </xf>
    <xf numFmtId="0" fontId="28" fillId="0" borderId="21" xfId="4" applyFont="1" applyFill="1" applyBorder="1" applyAlignment="1">
      <alignment vertical="center"/>
    </xf>
    <xf numFmtId="0" fontId="46" fillId="0" borderId="0" xfId="0" quotePrefix="1" applyNumberFormat="1" applyFont="1" applyFill="1" applyBorder="1" applyAlignment="1" applyProtection="1">
      <alignment vertical="top"/>
    </xf>
    <xf numFmtId="164" fontId="47" fillId="0" borderId="0" xfId="0" applyNumberFormat="1" applyFont="1"/>
    <xf numFmtId="0" fontId="47" fillId="0" borderId="0" xfId="0" applyFont="1"/>
    <xf numFmtId="164" fontId="2" fillId="0" borderId="0" xfId="0" applyNumberFormat="1" applyFont="1"/>
    <xf numFmtId="0" fontId="2" fillId="0" borderId="0" xfId="0" applyFont="1"/>
    <xf numFmtId="0" fontId="2" fillId="2" borderId="0" xfId="0" applyFont="1" applyFill="1"/>
    <xf numFmtId="14" fontId="18" fillId="0" borderId="0" xfId="0" quotePrefix="1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/>
    </xf>
    <xf numFmtId="0" fontId="18" fillId="0" borderId="10" xfId="0" applyNumberFormat="1" applyFont="1" applyFill="1" applyBorder="1" applyAlignment="1" applyProtection="1">
      <alignment vertical="top"/>
    </xf>
    <xf numFmtId="0" fontId="17" fillId="0" borderId="9" xfId="0" applyNumberFormat="1" applyFont="1" applyFill="1" applyBorder="1" applyAlignment="1" applyProtection="1">
      <alignment horizontal="center" vertical="top"/>
    </xf>
    <xf numFmtId="0" fontId="17" fillId="0" borderId="0" xfId="0" applyNumberFormat="1" applyFont="1" applyFill="1" applyBorder="1" applyAlignment="1" applyProtection="1">
      <alignment horizontal="center" vertical="top"/>
    </xf>
    <xf numFmtId="0" fontId="17" fillId="0" borderId="10" xfId="0" applyNumberFormat="1" applyFont="1" applyFill="1" applyBorder="1" applyAlignment="1" applyProtection="1">
      <alignment horizontal="center" vertical="top"/>
    </xf>
    <xf numFmtId="0" fontId="12" fillId="0" borderId="0" xfId="0" applyNumberFormat="1" applyFont="1" applyFill="1" applyBorder="1" applyAlignment="1" applyProtection="1">
      <alignment horizontal="center" vertical="top"/>
    </xf>
    <xf numFmtId="164" fontId="10" fillId="0" borderId="0" xfId="1" applyNumberFormat="1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wrapText="1"/>
    </xf>
    <xf numFmtId="49" fontId="26" fillId="0" borderId="15" xfId="0" applyNumberFormat="1" applyFont="1" applyBorder="1" applyAlignment="1">
      <alignment horizontal="left" vertical="center" wrapText="1"/>
    </xf>
    <xf numFmtId="49" fontId="26" fillId="0" borderId="16" xfId="0" applyNumberFormat="1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6" fillId="0" borderId="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0" borderId="15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19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2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28" fillId="0" borderId="3" xfId="4" applyFont="1" applyFill="1" applyBorder="1" applyAlignment="1">
      <alignment horizontal="center" vertical="center"/>
    </xf>
    <xf numFmtId="0" fontId="28" fillId="0" borderId="0" xfId="4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 wrapText="1"/>
    </xf>
    <xf numFmtId="0" fontId="30" fillId="0" borderId="1" xfId="4" applyFont="1" applyBorder="1" applyAlignment="1">
      <alignment horizontal="center"/>
    </xf>
    <xf numFmtId="0" fontId="36" fillId="0" borderId="4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15" xfId="4" applyFont="1" applyBorder="1" applyAlignment="1">
      <alignment horizontal="left"/>
    </xf>
    <xf numFmtId="0" fontId="26" fillId="0" borderId="27" xfId="4" applyFont="1" applyBorder="1" applyAlignment="1">
      <alignment horizontal="left"/>
    </xf>
    <xf numFmtId="0" fontId="26" fillId="0" borderId="16" xfId="4" applyFont="1" applyBorder="1" applyAlignment="1">
      <alignment horizontal="left"/>
    </xf>
    <xf numFmtId="49" fontId="37" fillId="0" borderId="15" xfId="0" applyNumberFormat="1" applyFont="1" applyBorder="1" applyAlignment="1">
      <alignment horizontal="left" vertical="center" wrapText="1"/>
    </xf>
    <xf numFmtId="49" fontId="37" fillId="0" borderId="16" xfId="0" applyNumberFormat="1" applyFont="1" applyBorder="1" applyAlignment="1">
      <alignment horizontal="left" vertical="center" wrapText="1"/>
    </xf>
    <xf numFmtId="0" fontId="26" fillId="0" borderId="15" xfId="4" applyFont="1" applyBorder="1" applyAlignment="1">
      <alignment horizontal="left" vertical="center"/>
    </xf>
    <xf numFmtId="0" fontId="26" fillId="0" borderId="27" xfId="4" applyFont="1" applyBorder="1" applyAlignment="1">
      <alignment horizontal="left" vertical="center"/>
    </xf>
    <xf numFmtId="0" fontId="26" fillId="0" borderId="16" xfId="4" applyFont="1" applyBorder="1" applyAlignment="1">
      <alignment horizontal="left" vertical="center"/>
    </xf>
    <xf numFmtId="0" fontId="26" fillId="0" borderId="15" xfId="4" applyFont="1" applyBorder="1" applyAlignment="1">
      <alignment vertical="center"/>
    </xf>
    <xf numFmtId="0" fontId="26" fillId="0" borderId="27" xfId="4" applyFont="1" applyBorder="1" applyAlignment="1">
      <alignment vertical="center"/>
    </xf>
    <xf numFmtId="0" fontId="26" fillId="0" borderId="16" xfId="4" applyFont="1" applyBorder="1" applyAlignment="1">
      <alignment vertical="center"/>
    </xf>
    <xf numFmtId="0" fontId="33" fillId="0" borderId="0" xfId="4" applyFont="1" applyBorder="1" applyAlignment="1">
      <alignment horizontal="center"/>
    </xf>
    <xf numFmtId="0" fontId="36" fillId="0" borderId="0" xfId="4" applyFont="1" applyFill="1" applyAlignment="1">
      <alignment horizontal="left" vertical="center" wrapText="1"/>
    </xf>
    <xf numFmtId="0" fontId="30" fillId="0" borderId="0" xfId="4" applyFont="1" applyBorder="1" applyAlignment="1">
      <alignment horizontal="left"/>
    </xf>
    <xf numFmtId="0" fontId="26" fillId="0" borderId="0" xfId="4" applyFont="1" applyBorder="1" applyAlignment="1">
      <alignment horizontal="left"/>
    </xf>
    <xf numFmtId="0" fontId="26" fillId="0" borderId="0" xfId="4" applyFont="1" applyBorder="1" applyAlignment="1">
      <alignment horizontal="left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26" fillId="0" borderId="0" xfId="4" applyFont="1" applyBorder="1" applyAlignment="1">
      <alignment horizontal="center"/>
    </xf>
    <xf numFmtId="0" fontId="36" fillId="0" borderId="4" xfId="0" applyFont="1" applyFill="1" applyBorder="1" applyAlignment="1">
      <alignment horizontal="center"/>
    </xf>
    <xf numFmtId="0" fontId="36" fillId="0" borderId="2" xfId="0" applyFont="1" applyFill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18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6" fillId="0" borderId="19" xfId="0" applyFont="1" applyBorder="1" applyAlignment="1">
      <alignment horizontal="center"/>
    </xf>
    <xf numFmtId="0" fontId="36" fillId="0" borderId="4" xfId="0" applyFont="1" applyBorder="1" applyAlignment="1">
      <alignment horizontal="center" wrapText="1"/>
    </xf>
    <xf numFmtId="0" fontId="36" fillId="0" borderId="2" xfId="0" applyFont="1" applyBorder="1" applyAlignment="1">
      <alignment horizontal="center" wrapText="1"/>
    </xf>
    <xf numFmtId="0" fontId="36" fillId="0" borderId="15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1" xfId="0" applyFont="1" applyBorder="1" applyAlignment="1">
      <alignment horizontal="center" wrapText="1"/>
    </xf>
    <xf numFmtId="0" fontId="39" fillId="0" borderId="0" xfId="0" applyFont="1" applyBorder="1" applyAlignment="1">
      <alignment horizontal="left"/>
    </xf>
    <xf numFmtId="0" fontId="28" fillId="0" borderId="0" xfId="4" applyFont="1" applyBorder="1" applyAlignment="1">
      <alignment horizontal="center"/>
    </xf>
  </cellXfs>
  <cellStyles count="5">
    <cellStyle name="Comma" xfId="1" builtinId="3"/>
    <cellStyle name="Comma_21.Aktivet Afatgjata Materiale  09" xfId="3"/>
    <cellStyle name="Normal" xfId="0" builtinId="0"/>
    <cellStyle name="Normal 3 2" xfId="4"/>
    <cellStyle name="Percent" xfId="2" builtinId="5"/>
  </cellStyles>
  <dxfs count="0"/>
  <tableStyles count="0" defaultTableStyle="TableStyleMedium2" defaultPivotStyle="PivotStyleMedium9"/>
  <colors>
    <mruColors>
      <color rgb="FF3D33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Users/Laura/Downloads/Bilanci%202015%20NDREGJONI%20sh.p.k%20(i%20ndryshuar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2015"/>
      <sheetName val="Aktiv-Pasivi 2015"/>
      <sheetName val="Bil.Verifikues-2015"/>
      <sheetName val="Analiza-Ardh-Shpenz.2015"/>
      <sheetName val="Ardh-Shpen-Formati Stand-2015"/>
      <sheetName val="Materiale Para-2015"/>
      <sheetName val="An Pagave 2015"/>
      <sheetName val="AQT_Anekse 2015"/>
      <sheetName val="Cash-Flow-2015"/>
      <sheetName val="Pasq-Kapitalit-2015"/>
      <sheetName val="Shenime shpjeguese 2015"/>
    </sheetNames>
    <sheetDataSet>
      <sheetData sheetId="0" refreshError="1"/>
      <sheetData sheetId="1" refreshError="1"/>
      <sheetData sheetId="2" refreshError="1">
        <row r="24">
          <cell r="E24">
            <v>150364909.19999999</v>
          </cell>
          <cell r="F24">
            <v>93407714.211235315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47"/>
  <sheetViews>
    <sheetView view="pageBreakPreview" topLeftCell="A13" zoomScaleSheetLayoutView="100" workbookViewId="0">
      <selection activeCell="K13" sqref="K13"/>
    </sheetView>
  </sheetViews>
  <sheetFormatPr defaultRowHeight="15" x14ac:dyDescent="0.25"/>
  <cols>
    <col min="1" max="7" width="10.42578125" style="52" customWidth="1"/>
    <col min="8" max="9" width="4.140625" style="52" customWidth="1"/>
    <col min="10" max="264" width="9.140625" style="52"/>
    <col min="265" max="265" width="24.28515625" style="52" customWidth="1"/>
    <col min="266" max="520" width="9.140625" style="52"/>
    <col min="521" max="521" width="24.28515625" style="52" customWidth="1"/>
    <col min="522" max="776" width="9.140625" style="52"/>
    <col min="777" max="777" width="24.28515625" style="52" customWidth="1"/>
    <col min="778" max="1032" width="9.140625" style="52"/>
    <col min="1033" max="1033" width="24.28515625" style="52" customWidth="1"/>
    <col min="1034" max="1288" width="9.140625" style="52"/>
    <col min="1289" max="1289" width="24.28515625" style="52" customWidth="1"/>
    <col min="1290" max="1544" width="9.140625" style="52"/>
    <col min="1545" max="1545" width="24.28515625" style="52" customWidth="1"/>
    <col min="1546" max="1800" width="9.140625" style="52"/>
    <col min="1801" max="1801" width="24.28515625" style="52" customWidth="1"/>
    <col min="1802" max="2056" width="9.140625" style="52"/>
    <col min="2057" max="2057" width="24.28515625" style="52" customWidth="1"/>
    <col min="2058" max="2312" width="9.140625" style="52"/>
    <col min="2313" max="2313" width="24.28515625" style="52" customWidth="1"/>
    <col min="2314" max="2568" width="9.140625" style="52"/>
    <col min="2569" max="2569" width="24.28515625" style="52" customWidth="1"/>
    <col min="2570" max="2824" width="9.140625" style="52"/>
    <col min="2825" max="2825" width="24.28515625" style="52" customWidth="1"/>
    <col min="2826" max="3080" width="9.140625" style="52"/>
    <col min="3081" max="3081" width="24.28515625" style="52" customWidth="1"/>
    <col min="3082" max="3336" width="9.140625" style="52"/>
    <col min="3337" max="3337" width="24.28515625" style="52" customWidth="1"/>
    <col min="3338" max="3592" width="9.140625" style="52"/>
    <col min="3593" max="3593" width="24.28515625" style="52" customWidth="1"/>
    <col min="3594" max="3848" width="9.140625" style="52"/>
    <col min="3849" max="3849" width="24.28515625" style="52" customWidth="1"/>
    <col min="3850" max="4104" width="9.140625" style="52"/>
    <col min="4105" max="4105" width="24.28515625" style="52" customWidth="1"/>
    <col min="4106" max="4360" width="9.140625" style="52"/>
    <col min="4361" max="4361" width="24.28515625" style="52" customWidth="1"/>
    <col min="4362" max="4616" width="9.140625" style="52"/>
    <col min="4617" max="4617" width="24.28515625" style="52" customWidth="1"/>
    <col min="4618" max="4872" width="9.140625" style="52"/>
    <col min="4873" max="4873" width="24.28515625" style="52" customWidth="1"/>
    <col min="4874" max="5128" width="9.140625" style="52"/>
    <col min="5129" max="5129" width="24.28515625" style="52" customWidth="1"/>
    <col min="5130" max="5384" width="9.140625" style="52"/>
    <col min="5385" max="5385" width="24.28515625" style="52" customWidth="1"/>
    <col min="5386" max="5640" width="9.140625" style="52"/>
    <col min="5641" max="5641" width="24.28515625" style="52" customWidth="1"/>
    <col min="5642" max="5896" width="9.140625" style="52"/>
    <col min="5897" max="5897" width="24.28515625" style="52" customWidth="1"/>
    <col min="5898" max="6152" width="9.140625" style="52"/>
    <col min="6153" max="6153" width="24.28515625" style="52" customWidth="1"/>
    <col min="6154" max="6408" width="9.140625" style="52"/>
    <col min="6409" max="6409" width="24.28515625" style="52" customWidth="1"/>
    <col min="6410" max="6664" width="9.140625" style="52"/>
    <col min="6665" max="6665" width="24.28515625" style="52" customWidth="1"/>
    <col min="6666" max="6920" width="9.140625" style="52"/>
    <col min="6921" max="6921" width="24.28515625" style="52" customWidth="1"/>
    <col min="6922" max="7176" width="9.140625" style="52"/>
    <col min="7177" max="7177" width="24.28515625" style="52" customWidth="1"/>
    <col min="7178" max="7432" width="9.140625" style="52"/>
    <col min="7433" max="7433" width="24.28515625" style="52" customWidth="1"/>
    <col min="7434" max="7688" width="9.140625" style="52"/>
    <col min="7689" max="7689" width="24.28515625" style="52" customWidth="1"/>
    <col min="7690" max="7944" width="9.140625" style="52"/>
    <col min="7945" max="7945" width="24.28515625" style="52" customWidth="1"/>
    <col min="7946" max="8200" width="9.140625" style="52"/>
    <col min="8201" max="8201" width="24.28515625" style="52" customWidth="1"/>
    <col min="8202" max="8456" width="9.140625" style="52"/>
    <col min="8457" max="8457" width="24.28515625" style="52" customWidth="1"/>
    <col min="8458" max="8712" width="9.140625" style="52"/>
    <col min="8713" max="8713" width="24.28515625" style="52" customWidth="1"/>
    <col min="8714" max="8968" width="9.140625" style="52"/>
    <col min="8969" max="8969" width="24.28515625" style="52" customWidth="1"/>
    <col min="8970" max="9224" width="9.140625" style="52"/>
    <col min="9225" max="9225" width="24.28515625" style="52" customWidth="1"/>
    <col min="9226" max="9480" width="9.140625" style="52"/>
    <col min="9481" max="9481" width="24.28515625" style="52" customWidth="1"/>
    <col min="9482" max="9736" width="9.140625" style="52"/>
    <col min="9737" max="9737" width="24.28515625" style="52" customWidth="1"/>
    <col min="9738" max="9992" width="9.140625" style="52"/>
    <col min="9993" max="9993" width="24.28515625" style="52" customWidth="1"/>
    <col min="9994" max="10248" width="9.140625" style="52"/>
    <col min="10249" max="10249" width="24.28515625" style="52" customWidth="1"/>
    <col min="10250" max="10504" width="9.140625" style="52"/>
    <col min="10505" max="10505" width="24.28515625" style="52" customWidth="1"/>
    <col min="10506" max="10760" width="9.140625" style="52"/>
    <col min="10761" max="10761" width="24.28515625" style="52" customWidth="1"/>
    <col min="10762" max="11016" width="9.140625" style="52"/>
    <col min="11017" max="11017" width="24.28515625" style="52" customWidth="1"/>
    <col min="11018" max="11272" width="9.140625" style="52"/>
    <col min="11273" max="11273" width="24.28515625" style="52" customWidth="1"/>
    <col min="11274" max="11528" width="9.140625" style="52"/>
    <col min="11529" max="11529" width="24.28515625" style="52" customWidth="1"/>
    <col min="11530" max="11784" width="9.140625" style="52"/>
    <col min="11785" max="11785" width="24.28515625" style="52" customWidth="1"/>
    <col min="11786" max="12040" width="9.140625" style="52"/>
    <col min="12041" max="12041" width="24.28515625" style="52" customWidth="1"/>
    <col min="12042" max="12296" width="9.140625" style="52"/>
    <col min="12297" max="12297" width="24.28515625" style="52" customWidth="1"/>
    <col min="12298" max="12552" width="9.140625" style="52"/>
    <col min="12553" max="12553" width="24.28515625" style="52" customWidth="1"/>
    <col min="12554" max="12808" width="9.140625" style="52"/>
    <col min="12809" max="12809" width="24.28515625" style="52" customWidth="1"/>
    <col min="12810" max="13064" width="9.140625" style="52"/>
    <col min="13065" max="13065" width="24.28515625" style="52" customWidth="1"/>
    <col min="13066" max="13320" width="9.140625" style="52"/>
    <col min="13321" max="13321" width="24.28515625" style="52" customWidth="1"/>
    <col min="13322" max="13576" width="9.140625" style="52"/>
    <col min="13577" max="13577" width="24.28515625" style="52" customWidth="1"/>
    <col min="13578" max="13832" width="9.140625" style="52"/>
    <col min="13833" max="13833" width="24.28515625" style="52" customWidth="1"/>
    <col min="13834" max="14088" width="9.140625" style="52"/>
    <col min="14089" max="14089" width="24.28515625" style="52" customWidth="1"/>
    <col min="14090" max="14344" width="9.140625" style="52"/>
    <col min="14345" max="14345" width="24.28515625" style="52" customWidth="1"/>
    <col min="14346" max="14600" width="9.140625" style="52"/>
    <col min="14601" max="14601" width="24.28515625" style="52" customWidth="1"/>
    <col min="14602" max="14856" width="9.140625" style="52"/>
    <col min="14857" max="14857" width="24.28515625" style="52" customWidth="1"/>
    <col min="14858" max="15112" width="9.140625" style="52"/>
    <col min="15113" max="15113" width="24.28515625" style="52" customWidth="1"/>
    <col min="15114" max="15368" width="9.140625" style="52"/>
    <col min="15369" max="15369" width="24.28515625" style="52" customWidth="1"/>
    <col min="15370" max="15624" width="9.140625" style="52"/>
    <col min="15625" max="15625" width="24.28515625" style="52" customWidth="1"/>
    <col min="15626" max="15880" width="9.140625" style="52"/>
    <col min="15881" max="15881" width="24.28515625" style="52" customWidth="1"/>
    <col min="15882" max="16136" width="9.140625" style="52"/>
    <col min="16137" max="16137" width="24.28515625" style="52" customWidth="1"/>
    <col min="16138" max="16384" width="9.140625" style="52"/>
  </cols>
  <sheetData>
    <row r="1" spans="1:9" ht="16.5" thickTop="1" x14ac:dyDescent="0.25">
      <c r="A1" s="48" t="s">
        <v>41</v>
      </c>
      <c r="B1" s="49"/>
      <c r="C1" s="49"/>
      <c r="D1" s="49"/>
      <c r="E1" s="49"/>
      <c r="F1" s="50"/>
      <c r="G1" s="50"/>
      <c r="H1" s="50"/>
      <c r="I1" s="51"/>
    </row>
    <row r="2" spans="1:9" ht="15.75" x14ac:dyDescent="0.25">
      <c r="A2" s="53"/>
      <c r="B2" s="54"/>
      <c r="C2" s="54"/>
      <c r="D2" s="54"/>
      <c r="E2" s="54"/>
      <c r="I2" s="55"/>
    </row>
    <row r="3" spans="1:9" ht="15.75" x14ac:dyDescent="0.25">
      <c r="A3" s="53" t="s">
        <v>42</v>
      </c>
      <c r="I3" s="55"/>
    </row>
    <row r="4" spans="1:9" ht="15.75" x14ac:dyDescent="0.25">
      <c r="A4" s="53"/>
      <c r="I4" s="55"/>
    </row>
    <row r="5" spans="1:9" ht="15.75" x14ac:dyDescent="0.25">
      <c r="A5" s="53" t="s">
        <v>43</v>
      </c>
      <c r="I5" s="55"/>
    </row>
    <row r="6" spans="1:9" ht="15.75" x14ac:dyDescent="0.25">
      <c r="A6" s="53"/>
      <c r="I6" s="55"/>
    </row>
    <row r="7" spans="1:9" ht="15.75" x14ac:dyDescent="0.25">
      <c r="A7" s="53" t="s">
        <v>44</v>
      </c>
      <c r="I7" s="55"/>
    </row>
    <row r="8" spans="1:9" ht="15.75" x14ac:dyDescent="0.25">
      <c r="A8" s="53"/>
      <c r="I8" s="55"/>
    </row>
    <row r="9" spans="1:9" ht="15.75" x14ac:dyDescent="0.25">
      <c r="A9" s="53" t="s">
        <v>45</v>
      </c>
      <c r="B9" s="54"/>
      <c r="C9" s="54"/>
      <c r="I9" s="55"/>
    </row>
    <row r="10" spans="1:9" ht="15.75" x14ac:dyDescent="0.25">
      <c r="A10" s="53"/>
      <c r="B10" s="54"/>
      <c r="C10" s="54"/>
      <c r="I10" s="55"/>
    </row>
    <row r="11" spans="1:9" ht="15.75" x14ac:dyDescent="0.25">
      <c r="A11" s="53" t="s">
        <v>46</v>
      </c>
      <c r="B11" s="54"/>
      <c r="C11" s="54"/>
      <c r="I11" s="55"/>
    </row>
    <row r="12" spans="1:9" x14ac:dyDescent="0.25">
      <c r="A12" s="56"/>
      <c r="I12" s="55"/>
    </row>
    <row r="13" spans="1:9" x14ac:dyDescent="0.25">
      <c r="A13" s="56"/>
      <c r="I13" s="55"/>
    </row>
    <row r="14" spans="1:9" x14ac:dyDescent="0.25">
      <c r="A14" s="56"/>
      <c r="I14" s="55"/>
    </row>
    <row r="15" spans="1:9" x14ac:dyDescent="0.25">
      <c r="A15" s="56"/>
      <c r="I15" s="55"/>
    </row>
    <row r="16" spans="1:9" x14ac:dyDescent="0.25">
      <c r="A16" s="56"/>
      <c r="I16" s="55"/>
    </row>
    <row r="17" spans="1:9" x14ac:dyDescent="0.25">
      <c r="A17" s="56"/>
      <c r="I17" s="55"/>
    </row>
    <row r="18" spans="1:9" x14ac:dyDescent="0.25">
      <c r="A18" s="56"/>
      <c r="I18" s="55"/>
    </row>
    <row r="19" spans="1:9" x14ac:dyDescent="0.25">
      <c r="A19" s="56"/>
      <c r="I19" s="55"/>
    </row>
    <row r="20" spans="1:9" x14ac:dyDescent="0.25">
      <c r="A20" s="56"/>
      <c r="I20" s="55"/>
    </row>
    <row r="21" spans="1:9" ht="15.75" x14ac:dyDescent="0.25">
      <c r="A21" s="459" t="s">
        <v>47</v>
      </c>
      <c r="B21" s="460"/>
      <c r="C21" s="460"/>
      <c r="D21" s="460"/>
      <c r="E21" s="460"/>
      <c r="F21" s="460"/>
      <c r="G21" s="460"/>
      <c r="H21" s="460"/>
      <c r="I21" s="461"/>
    </row>
    <row r="22" spans="1:9" x14ac:dyDescent="0.25">
      <c r="A22" s="56"/>
      <c r="I22" s="55"/>
    </row>
    <row r="23" spans="1:9" ht="15.75" x14ac:dyDescent="0.25">
      <c r="A23" s="53" t="s">
        <v>48</v>
      </c>
      <c r="B23" s="54"/>
      <c r="C23" s="54"/>
      <c r="D23" s="54"/>
      <c r="E23" s="54"/>
      <c r="F23" s="54"/>
      <c r="G23" s="54"/>
      <c r="H23" s="54"/>
      <c r="I23" s="57"/>
    </row>
    <row r="24" spans="1:9" ht="15.75" x14ac:dyDescent="0.25">
      <c r="A24" s="459" t="s">
        <v>49</v>
      </c>
      <c r="B24" s="460"/>
      <c r="C24" s="460"/>
      <c r="D24" s="460"/>
      <c r="E24" s="460"/>
      <c r="F24" s="460"/>
      <c r="G24" s="460"/>
      <c r="H24" s="460"/>
      <c r="I24" s="461"/>
    </row>
    <row r="25" spans="1:9" ht="15.75" x14ac:dyDescent="0.25">
      <c r="A25" s="53"/>
      <c r="B25" s="54"/>
      <c r="C25" s="54"/>
      <c r="D25" s="54"/>
      <c r="E25" s="54"/>
      <c r="F25" s="54"/>
      <c r="G25" s="54"/>
      <c r="H25" s="54"/>
      <c r="I25" s="57"/>
    </row>
    <row r="26" spans="1:9" ht="15.75" x14ac:dyDescent="0.25">
      <c r="A26" s="459" t="s">
        <v>274</v>
      </c>
      <c r="B26" s="460"/>
      <c r="C26" s="460"/>
      <c r="D26" s="460"/>
      <c r="E26" s="460"/>
      <c r="F26" s="460"/>
      <c r="G26" s="460"/>
      <c r="H26" s="460"/>
      <c r="I26" s="461"/>
    </row>
    <row r="27" spans="1:9" x14ac:dyDescent="0.25">
      <c r="A27" s="56"/>
      <c r="I27" s="55"/>
    </row>
    <row r="28" spans="1:9" x14ac:dyDescent="0.25">
      <c r="A28" s="56"/>
      <c r="I28" s="55"/>
    </row>
    <row r="29" spans="1:9" x14ac:dyDescent="0.25">
      <c r="A29" s="56"/>
      <c r="I29" s="55"/>
    </row>
    <row r="30" spans="1:9" x14ac:dyDescent="0.25">
      <c r="A30" s="56"/>
      <c r="I30" s="55"/>
    </row>
    <row r="31" spans="1:9" x14ac:dyDescent="0.25">
      <c r="A31" s="56"/>
      <c r="I31" s="55"/>
    </row>
    <row r="32" spans="1:9" x14ac:dyDescent="0.25">
      <c r="A32" s="56"/>
      <c r="I32" s="55"/>
    </row>
    <row r="33" spans="1:9" x14ac:dyDescent="0.25">
      <c r="A33" s="56"/>
      <c r="I33" s="55"/>
    </row>
    <row r="34" spans="1:9" x14ac:dyDescent="0.25">
      <c r="A34" s="56"/>
      <c r="I34" s="55"/>
    </row>
    <row r="35" spans="1:9" ht="15.75" x14ac:dyDescent="0.25">
      <c r="A35" s="56" t="s">
        <v>50</v>
      </c>
      <c r="I35" s="55"/>
    </row>
    <row r="36" spans="1:9" ht="15.75" x14ac:dyDescent="0.25">
      <c r="A36" s="56" t="s">
        <v>51</v>
      </c>
      <c r="G36" s="450" t="s">
        <v>422</v>
      </c>
      <c r="I36" s="55"/>
    </row>
    <row r="37" spans="1:9" ht="15.75" x14ac:dyDescent="0.25">
      <c r="A37" s="56" t="s">
        <v>52</v>
      </c>
      <c r="I37" s="55"/>
    </row>
    <row r="38" spans="1:9" ht="15.75" x14ac:dyDescent="0.25">
      <c r="A38" s="56" t="s">
        <v>53</v>
      </c>
      <c r="I38" s="55"/>
    </row>
    <row r="39" spans="1:9" x14ac:dyDescent="0.25">
      <c r="A39" s="56"/>
      <c r="I39" s="55"/>
    </row>
    <row r="40" spans="1:9" x14ac:dyDescent="0.25">
      <c r="A40" s="56" t="s">
        <v>54</v>
      </c>
      <c r="G40" s="457" t="s">
        <v>275</v>
      </c>
      <c r="H40" s="457"/>
      <c r="I40" s="458"/>
    </row>
    <row r="41" spans="1:9" x14ac:dyDescent="0.25">
      <c r="A41" s="56"/>
      <c r="I41" s="55"/>
    </row>
    <row r="42" spans="1:9" x14ac:dyDescent="0.25">
      <c r="A42" s="56"/>
      <c r="G42" s="457" t="s">
        <v>276</v>
      </c>
      <c r="H42" s="457"/>
      <c r="I42" s="458"/>
    </row>
    <row r="43" spans="1:9" x14ac:dyDescent="0.25">
      <c r="A43" s="56"/>
      <c r="I43" s="55"/>
    </row>
    <row r="44" spans="1:9" x14ac:dyDescent="0.25">
      <c r="A44" s="56" t="s">
        <v>55</v>
      </c>
      <c r="G44" s="456" t="s">
        <v>536</v>
      </c>
      <c r="H44" s="457"/>
      <c r="I44" s="458"/>
    </row>
    <row r="45" spans="1:9" x14ac:dyDescent="0.25">
      <c r="A45" s="56"/>
      <c r="I45" s="55"/>
    </row>
    <row r="46" spans="1:9" ht="15.75" thickBot="1" x14ac:dyDescent="0.3">
      <c r="A46" s="58"/>
      <c r="B46" s="59"/>
      <c r="C46" s="59"/>
      <c r="D46" s="59"/>
      <c r="E46" s="59"/>
      <c r="F46" s="59"/>
      <c r="G46" s="59"/>
      <c r="H46" s="59"/>
      <c r="I46" s="60"/>
    </row>
    <row r="47" spans="1:9" ht="15.75" thickTop="1" x14ac:dyDescent="0.25"/>
  </sheetData>
  <mergeCells count="6">
    <mergeCell ref="G44:I44"/>
    <mergeCell ref="A21:I21"/>
    <mergeCell ref="A24:I24"/>
    <mergeCell ref="A26:I26"/>
    <mergeCell ref="G40:I40"/>
    <mergeCell ref="G42:I42"/>
  </mergeCells>
  <printOptions horizontalCentered="1"/>
  <pageMargins left="0.7" right="0.7" top="0.75" bottom="0.75" header="0.3" footer="0.3"/>
  <pageSetup scale="9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4"/>
  <sheetViews>
    <sheetView view="pageBreakPreview" zoomScaleSheetLayoutView="100" workbookViewId="0">
      <selection activeCell="J5" sqref="J5"/>
    </sheetView>
  </sheetViews>
  <sheetFormatPr defaultRowHeight="15.75" x14ac:dyDescent="0.25"/>
  <cols>
    <col min="1" max="1" width="4.28515625" style="15" customWidth="1"/>
    <col min="2" max="2" width="36.85546875" style="15" customWidth="1"/>
    <col min="3" max="3" width="13.140625" style="99" customWidth="1"/>
    <col min="4" max="4" width="12" style="99" customWidth="1"/>
    <col min="5" max="5" width="7.5703125" style="99" customWidth="1"/>
    <col min="6" max="6" width="12.140625" style="99" customWidth="1"/>
    <col min="7" max="7" width="9.140625" style="99" customWidth="1"/>
    <col min="8" max="8" width="11.7109375" style="99" customWidth="1"/>
    <col min="9" max="9" width="12.42578125" style="99" customWidth="1"/>
    <col min="10" max="10" width="12.7109375" style="99" customWidth="1"/>
    <col min="11" max="11" width="12.85546875" style="99" customWidth="1"/>
    <col min="12" max="258" width="9.140625" style="15"/>
    <col min="259" max="259" width="4.28515625" style="15" customWidth="1"/>
    <col min="260" max="260" width="32.42578125" style="15" customWidth="1"/>
    <col min="261" max="261" width="14.140625" style="15" customWidth="1"/>
    <col min="262" max="262" width="12.28515625" style="15" customWidth="1"/>
    <col min="263" max="263" width="9.140625" style="15" customWidth="1"/>
    <col min="264" max="264" width="10.7109375" style="15" customWidth="1"/>
    <col min="265" max="265" width="13" style="15" customWidth="1"/>
    <col min="266" max="266" width="12.7109375" style="15" customWidth="1"/>
    <col min="267" max="267" width="12.85546875" style="15" customWidth="1"/>
    <col min="268" max="514" width="9.140625" style="15"/>
    <col min="515" max="515" width="4.28515625" style="15" customWidth="1"/>
    <col min="516" max="516" width="32.42578125" style="15" customWidth="1"/>
    <col min="517" max="517" width="14.140625" style="15" customWidth="1"/>
    <col min="518" max="518" width="12.28515625" style="15" customWidth="1"/>
    <col min="519" max="519" width="9.140625" style="15" customWidth="1"/>
    <col min="520" max="520" width="10.7109375" style="15" customWidth="1"/>
    <col min="521" max="521" width="13" style="15" customWidth="1"/>
    <col min="522" max="522" width="12.7109375" style="15" customWidth="1"/>
    <col min="523" max="523" width="12.85546875" style="15" customWidth="1"/>
    <col min="524" max="770" width="9.140625" style="15"/>
    <col min="771" max="771" width="4.28515625" style="15" customWidth="1"/>
    <col min="772" max="772" width="32.42578125" style="15" customWidth="1"/>
    <col min="773" max="773" width="14.140625" style="15" customWidth="1"/>
    <col min="774" max="774" width="12.28515625" style="15" customWidth="1"/>
    <col min="775" max="775" width="9.140625" style="15" customWidth="1"/>
    <col min="776" max="776" width="10.7109375" style="15" customWidth="1"/>
    <col min="777" max="777" width="13" style="15" customWidth="1"/>
    <col min="778" max="778" width="12.7109375" style="15" customWidth="1"/>
    <col min="779" max="779" width="12.85546875" style="15" customWidth="1"/>
    <col min="780" max="1026" width="9.140625" style="15"/>
    <col min="1027" max="1027" width="4.28515625" style="15" customWidth="1"/>
    <col min="1028" max="1028" width="32.42578125" style="15" customWidth="1"/>
    <col min="1029" max="1029" width="14.140625" style="15" customWidth="1"/>
    <col min="1030" max="1030" width="12.28515625" style="15" customWidth="1"/>
    <col min="1031" max="1031" width="9.140625" style="15" customWidth="1"/>
    <col min="1032" max="1032" width="10.7109375" style="15" customWidth="1"/>
    <col min="1033" max="1033" width="13" style="15" customWidth="1"/>
    <col min="1034" max="1034" width="12.7109375" style="15" customWidth="1"/>
    <col min="1035" max="1035" width="12.85546875" style="15" customWidth="1"/>
    <col min="1036" max="1282" width="9.140625" style="15"/>
    <col min="1283" max="1283" width="4.28515625" style="15" customWidth="1"/>
    <col min="1284" max="1284" width="32.42578125" style="15" customWidth="1"/>
    <col min="1285" max="1285" width="14.140625" style="15" customWidth="1"/>
    <col min="1286" max="1286" width="12.28515625" style="15" customWidth="1"/>
    <col min="1287" max="1287" width="9.140625" style="15" customWidth="1"/>
    <col min="1288" max="1288" width="10.7109375" style="15" customWidth="1"/>
    <col min="1289" max="1289" width="13" style="15" customWidth="1"/>
    <col min="1290" max="1290" width="12.7109375" style="15" customWidth="1"/>
    <col min="1291" max="1291" width="12.85546875" style="15" customWidth="1"/>
    <col min="1292" max="1538" width="9.140625" style="15"/>
    <col min="1539" max="1539" width="4.28515625" style="15" customWidth="1"/>
    <col min="1540" max="1540" width="32.42578125" style="15" customWidth="1"/>
    <col min="1541" max="1541" width="14.140625" style="15" customWidth="1"/>
    <col min="1542" max="1542" width="12.28515625" style="15" customWidth="1"/>
    <col min="1543" max="1543" width="9.140625" style="15" customWidth="1"/>
    <col min="1544" max="1544" width="10.7109375" style="15" customWidth="1"/>
    <col min="1545" max="1545" width="13" style="15" customWidth="1"/>
    <col min="1546" max="1546" width="12.7109375" style="15" customWidth="1"/>
    <col min="1547" max="1547" width="12.85546875" style="15" customWidth="1"/>
    <col min="1548" max="1794" width="9.140625" style="15"/>
    <col min="1795" max="1795" width="4.28515625" style="15" customWidth="1"/>
    <col min="1796" max="1796" width="32.42578125" style="15" customWidth="1"/>
    <col min="1797" max="1797" width="14.140625" style="15" customWidth="1"/>
    <col min="1798" max="1798" width="12.28515625" style="15" customWidth="1"/>
    <col min="1799" max="1799" width="9.140625" style="15" customWidth="1"/>
    <col min="1800" max="1800" width="10.7109375" style="15" customWidth="1"/>
    <col min="1801" max="1801" width="13" style="15" customWidth="1"/>
    <col min="1802" max="1802" width="12.7109375" style="15" customWidth="1"/>
    <col min="1803" max="1803" width="12.85546875" style="15" customWidth="1"/>
    <col min="1804" max="2050" width="9.140625" style="15"/>
    <col min="2051" max="2051" width="4.28515625" style="15" customWidth="1"/>
    <col min="2052" max="2052" width="32.42578125" style="15" customWidth="1"/>
    <col min="2053" max="2053" width="14.140625" style="15" customWidth="1"/>
    <col min="2054" max="2054" width="12.28515625" style="15" customWidth="1"/>
    <col min="2055" max="2055" width="9.140625" style="15" customWidth="1"/>
    <col min="2056" max="2056" width="10.7109375" style="15" customWidth="1"/>
    <col min="2057" max="2057" width="13" style="15" customWidth="1"/>
    <col min="2058" max="2058" width="12.7109375" style="15" customWidth="1"/>
    <col min="2059" max="2059" width="12.85546875" style="15" customWidth="1"/>
    <col min="2060" max="2306" width="9.140625" style="15"/>
    <col min="2307" max="2307" width="4.28515625" style="15" customWidth="1"/>
    <col min="2308" max="2308" width="32.42578125" style="15" customWidth="1"/>
    <col min="2309" max="2309" width="14.140625" style="15" customWidth="1"/>
    <col min="2310" max="2310" width="12.28515625" style="15" customWidth="1"/>
    <col min="2311" max="2311" width="9.140625" style="15" customWidth="1"/>
    <col min="2312" max="2312" width="10.7109375" style="15" customWidth="1"/>
    <col min="2313" max="2313" width="13" style="15" customWidth="1"/>
    <col min="2314" max="2314" width="12.7109375" style="15" customWidth="1"/>
    <col min="2315" max="2315" width="12.85546875" style="15" customWidth="1"/>
    <col min="2316" max="2562" width="9.140625" style="15"/>
    <col min="2563" max="2563" width="4.28515625" style="15" customWidth="1"/>
    <col min="2564" max="2564" width="32.42578125" style="15" customWidth="1"/>
    <col min="2565" max="2565" width="14.140625" style="15" customWidth="1"/>
    <col min="2566" max="2566" width="12.28515625" style="15" customWidth="1"/>
    <col min="2567" max="2567" width="9.140625" style="15" customWidth="1"/>
    <col min="2568" max="2568" width="10.7109375" style="15" customWidth="1"/>
    <col min="2569" max="2569" width="13" style="15" customWidth="1"/>
    <col min="2570" max="2570" width="12.7109375" style="15" customWidth="1"/>
    <col min="2571" max="2571" width="12.85546875" style="15" customWidth="1"/>
    <col min="2572" max="2818" width="9.140625" style="15"/>
    <col min="2819" max="2819" width="4.28515625" style="15" customWidth="1"/>
    <col min="2820" max="2820" width="32.42578125" style="15" customWidth="1"/>
    <col min="2821" max="2821" width="14.140625" style="15" customWidth="1"/>
    <col min="2822" max="2822" width="12.28515625" style="15" customWidth="1"/>
    <col min="2823" max="2823" width="9.140625" style="15" customWidth="1"/>
    <col min="2824" max="2824" width="10.7109375" style="15" customWidth="1"/>
    <col min="2825" max="2825" width="13" style="15" customWidth="1"/>
    <col min="2826" max="2826" width="12.7109375" style="15" customWidth="1"/>
    <col min="2827" max="2827" width="12.85546875" style="15" customWidth="1"/>
    <col min="2828" max="3074" width="9.140625" style="15"/>
    <col min="3075" max="3075" width="4.28515625" style="15" customWidth="1"/>
    <col min="3076" max="3076" width="32.42578125" style="15" customWidth="1"/>
    <col min="3077" max="3077" width="14.140625" style="15" customWidth="1"/>
    <col min="3078" max="3078" width="12.28515625" style="15" customWidth="1"/>
    <col min="3079" max="3079" width="9.140625" style="15" customWidth="1"/>
    <col min="3080" max="3080" width="10.7109375" style="15" customWidth="1"/>
    <col min="3081" max="3081" width="13" style="15" customWidth="1"/>
    <col min="3082" max="3082" width="12.7109375" style="15" customWidth="1"/>
    <col min="3083" max="3083" width="12.85546875" style="15" customWidth="1"/>
    <col min="3084" max="3330" width="9.140625" style="15"/>
    <col min="3331" max="3331" width="4.28515625" style="15" customWidth="1"/>
    <col min="3332" max="3332" width="32.42578125" style="15" customWidth="1"/>
    <col min="3333" max="3333" width="14.140625" style="15" customWidth="1"/>
    <col min="3334" max="3334" width="12.28515625" style="15" customWidth="1"/>
    <col min="3335" max="3335" width="9.140625" style="15" customWidth="1"/>
    <col min="3336" max="3336" width="10.7109375" style="15" customWidth="1"/>
    <col min="3337" max="3337" width="13" style="15" customWidth="1"/>
    <col min="3338" max="3338" width="12.7109375" style="15" customWidth="1"/>
    <col min="3339" max="3339" width="12.85546875" style="15" customWidth="1"/>
    <col min="3340" max="3586" width="9.140625" style="15"/>
    <col min="3587" max="3587" width="4.28515625" style="15" customWidth="1"/>
    <col min="3588" max="3588" width="32.42578125" style="15" customWidth="1"/>
    <col min="3589" max="3589" width="14.140625" style="15" customWidth="1"/>
    <col min="3590" max="3590" width="12.28515625" style="15" customWidth="1"/>
    <col min="3591" max="3591" width="9.140625" style="15" customWidth="1"/>
    <col min="3592" max="3592" width="10.7109375" style="15" customWidth="1"/>
    <col min="3593" max="3593" width="13" style="15" customWidth="1"/>
    <col min="3594" max="3594" width="12.7109375" style="15" customWidth="1"/>
    <col min="3595" max="3595" width="12.85546875" style="15" customWidth="1"/>
    <col min="3596" max="3842" width="9.140625" style="15"/>
    <col min="3843" max="3843" width="4.28515625" style="15" customWidth="1"/>
    <col min="3844" max="3844" width="32.42578125" style="15" customWidth="1"/>
    <col min="3845" max="3845" width="14.140625" style="15" customWidth="1"/>
    <col min="3846" max="3846" width="12.28515625" style="15" customWidth="1"/>
    <col min="3847" max="3847" width="9.140625" style="15" customWidth="1"/>
    <col min="3848" max="3848" width="10.7109375" style="15" customWidth="1"/>
    <col min="3849" max="3849" width="13" style="15" customWidth="1"/>
    <col min="3850" max="3850" width="12.7109375" style="15" customWidth="1"/>
    <col min="3851" max="3851" width="12.85546875" style="15" customWidth="1"/>
    <col min="3852" max="4098" width="9.140625" style="15"/>
    <col min="4099" max="4099" width="4.28515625" style="15" customWidth="1"/>
    <col min="4100" max="4100" width="32.42578125" style="15" customWidth="1"/>
    <col min="4101" max="4101" width="14.140625" style="15" customWidth="1"/>
    <col min="4102" max="4102" width="12.28515625" style="15" customWidth="1"/>
    <col min="4103" max="4103" width="9.140625" style="15" customWidth="1"/>
    <col min="4104" max="4104" width="10.7109375" style="15" customWidth="1"/>
    <col min="4105" max="4105" width="13" style="15" customWidth="1"/>
    <col min="4106" max="4106" width="12.7109375" style="15" customWidth="1"/>
    <col min="4107" max="4107" width="12.85546875" style="15" customWidth="1"/>
    <col min="4108" max="4354" width="9.140625" style="15"/>
    <col min="4355" max="4355" width="4.28515625" style="15" customWidth="1"/>
    <col min="4356" max="4356" width="32.42578125" style="15" customWidth="1"/>
    <col min="4357" max="4357" width="14.140625" style="15" customWidth="1"/>
    <col min="4358" max="4358" width="12.28515625" style="15" customWidth="1"/>
    <col min="4359" max="4359" width="9.140625" style="15" customWidth="1"/>
    <col min="4360" max="4360" width="10.7109375" style="15" customWidth="1"/>
    <col min="4361" max="4361" width="13" style="15" customWidth="1"/>
    <col min="4362" max="4362" width="12.7109375" style="15" customWidth="1"/>
    <col min="4363" max="4363" width="12.85546875" style="15" customWidth="1"/>
    <col min="4364" max="4610" width="9.140625" style="15"/>
    <col min="4611" max="4611" width="4.28515625" style="15" customWidth="1"/>
    <col min="4612" max="4612" width="32.42578125" style="15" customWidth="1"/>
    <col min="4613" max="4613" width="14.140625" style="15" customWidth="1"/>
    <col min="4614" max="4614" width="12.28515625" style="15" customWidth="1"/>
    <col min="4615" max="4615" width="9.140625" style="15" customWidth="1"/>
    <col min="4616" max="4616" width="10.7109375" style="15" customWidth="1"/>
    <col min="4617" max="4617" width="13" style="15" customWidth="1"/>
    <col min="4618" max="4618" width="12.7109375" style="15" customWidth="1"/>
    <col min="4619" max="4619" width="12.85546875" style="15" customWidth="1"/>
    <col min="4620" max="4866" width="9.140625" style="15"/>
    <col min="4867" max="4867" width="4.28515625" style="15" customWidth="1"/>
    <col min="4868" max="4868" width="32.42578125" style="15" customWidth="1"/>
    <col min="4869" max="4869" width="14.140625" style="15" customWidth="1"/>
    <col min="4870" max="4870" width="12.28515625" style="15" customWidth="1"/>
    <col min="4871" max="4871" width="9.140625" style="15" customWidth="1"/>
    <col min="4872" max="4872" width="10.7109375" style="15" customWidth="1"/>
    <col min="4873" max="4873" width="13" style="15" customWidth="1"/>
    <col min="4874" max="4874" width="12.7109375" style="15" customWidth="1"/>
    <col min="4875" max="4875" width="12.85546875" style="15" customWidth="1"/>
    <col min="4876" max="5122" width="9.140625" style="15"/>
    <col min="5123" max="5123" width="4.28515625" style="15" customWidth="1"/>
    <col min="5124" max="5124" width="32.42578125" style="15" customWidth="1"/>
    <col min="5125" max="5125" width="14.140625" style="15" customWidth="1"/>
    <col min="5126" max="5126" width="12.28515625" style="15" customWidth="1"/>
    <col min="5127" max="5127" width="9.140625" style="15" customWidth="1"/>
    <col min="5128" max="5128" width="10.7109375" style="15" customWidth="1"/>
    <col min="5129" max="5129" width="13" style="15" customWidth="1"/>
    <col min="5130" max="5130" width="12.7109375" style="15" customWidth="1"/>
    <col min="5131" max="5131" width="12.85546875" style="15" customWidth="1"/>
    <col min="5132" max="5378" width="9.140625" style="15"/>
    <col min="5379" max="5379" width="4.28515625" style="15" customWidth="1"/>
    <col min="5380" max="5380" width="32.42578125" style="15" customWidth="1"/>
    <col min="5381" max="5381" width="14.140625" style="15" customWidth="1"/>
    <col min="5382" max="5382" width="12.28515625" style="15" customWidth="1"/>
    <col min="5383" max="5383" width="9.140625" style="15" customWidth="1"/>
    <col min="5384" max="5384" width="10.7109375" style="15" customWidth="1"/>
    <col min="5385" max="5385" width="13" style="15" customWidth="1"/>
    <col min="5386" max="5386" width="12.7109375" style="15" customWidth="1"/>
    <col min="5387" max="5387" width="12.85546875" style="15" customWidth="1"/>
    <col min="5388" max="5634" width="9.140625" style="15"/>
    <col min="5635" max="5635" width="4.28515625" style="15" customWidth="1"/>
    <col min="5636" max="5636" width="32.42578125" style="15" customWidth="1"/>
    <col min="5637" max="5637" width="14.140625" style="15" customWidth="1"/>
    <col min="5638" max="5638" width="12.28515625" style="15" customWidth="1"/>
    <col min="5639" max="5639" width="9.140625" style="15" customWidth="1"/>
    <col min="5640" max="5640" width="10.7109375" style="15" customWidth="1"/>
    <col min="5641" max="5641" width="13" style="15" customWidth="1"/>
    <col min="5642" max="5642" width="12.7109375" style="15" customWidth="1"/>
    <col min="5643" max="5643" width="12.85546875" style="15" customWidth="1"/>
    <col min="5644" max="5890" width="9.140625" style="15"/>
    <col min="5891" max="5891" width="4.28515625" style="15" customWidth="1"/>
    <col min="5892" max="5892" width="32.42578125" style="15" customWidth="1"/>
    <col min="5893" max="5893" width="14.140625" style="15" customWidth="1"/>
    <col min="5894" max="5894" width="12.28515625" style="15" customWidth="1"/>
    <col min="5895" max="5895" width="9.140625" style="15" customWidth="1"/>
    <col min="5896" max="5896" width="10.7109375" style="15" customWidth="1"/>
    <col min="5897" max="5897" width="13" style="15" customWidth="1"/>
    <col min="5898" max="5898" width="12.7109375" style="15" customWidth="1"/>
    <col min="5899" max="5899" width="12.85546875" style="15" customWidth="1"/>
    <col min="5900" max="6146" width="9.140625" style="15"/>
    <col min="6147" max="6147" width="4.28515625" style="15" customWidth="1"/>
    <col min="6148" max="6148" width="32.42578125" style="15" customWidth="1"/>
    <col min="6149" max="6149" width="14.140625" style="15" customWidth="1"/>
    <col min="6150" max="6150" width="12.28515625" style="15" customWidth="1"/>
    <col min="6151" max="6151" width="9.140625" style="15" customWidth="1"/>
    <col min="6152" max="6152" width="10.7109375" style="15" customWidth="1"/>
    <col min="6153" max="6153" width="13" style="15" customWidth="1"/>
    <col min="6154" max="6154" width="12.7109375" style="15" customWidth="1"/>
    <col min="6155" max="6155" width="12.85546875" style="15" customWidth="1"/>
    <col min="6156" max="6402" width="9.140625" style="15"/>
    <col min="6403" max="6403" width="4.28515625" style="15" customWidth="1"/>
    <col min="6404" max="6404" width="32.42578125" style="15" customWidth="1"/>
    <col min="6405" max="6405" width="14.140625" style="15" customWidth="1"/>
    <col min="6406" max="6406" width="12.28515625" style="15" customWidth="1"/>
    <col min="6407" max="6407" width="9.140625" style="15" customWidth="1"/>
    <col min="6408" max="6408" width="10.7109375" style="15" customWidth="1"/>
    <col min="6409" max="6409" width="13" style="15" customWidth="1"/>
    <col min="6410" max="6410" width="12.7109375" style="15" customWidth="1"/>
    <col min="6411" max="6411" width="12.85546875" style="15" customWidth="1"/>
    <col min="6412" max="6658" width="9.140625" style="15"/>
    <col min="6659" max="6659" width="4.28515625" style="15" customWidth="1"/>
    <col min="6660" max="6660" width="32.42578125" style="15" customWidth="1"/>
    <col min="6661" max="6661" width="14.140625" style="15" customWidth="1"/>
    <col min="6662" max="6662" width="12.28515625" style="15" customWidth="1"/>
    <col min="6663" max="6663" width="9.140625" style="15" customWidth="1"/>
    <col min="6664" max="6664" width="10.7109375" style="15" customWidth="1"/>
    <col min="6665" max="6665" width="13" style="15" customWidth="1"/>
    <col min="6666" max="6666" width="12.7109375" style="15" customWidth="1"/>
    <col min="6667" max="6667" width="12.85546875" style="15" customWidth="1"/>
    <col min="6668" max="6914" width="9.140625" style="15"/>
    <col min="6915" max="6915" width="4.28515625" style="15" customWidth="1"/>
    <col min="6916" max="6916" width="32.42578125" style="15" customWidth="1"/>
    <col min="6917" max="6917" width="14.140625" style="15" customWidth="1"/>
    <col min="6918" max="6918" width="12.28515625" style="15" customWidth="1"/>
    <col min="6919" max="6919" width="9.140625" style="15" customWidth="1"/>
    <col min="6920" max="6920" width="10.7109375" style="15" customWidth="1"/>
    <col min="6921" max="6921" width="13" style="15" customWidth="1"/>
    <col min="6922" max="6922" width="12.7109375" style="15" customWidth="1"/>
    <col min="6923" max="6923" width="12.85546875" style="15" customWidth="1"/>
    <col min="6924" max="7170" width="9.140625" style="15"/>
    <col min="7171" max="7171" width="4.28515625" style="15" customWidth="1"/>
    <col min="7172" max="7172" width="32.42578125" style="15" customWidth="1"/>
    <col min="7173" max="7173" width="14.140625" style="15" customWidth="1"/>
    <col min="7174" max="7174" width="12.28515625" style="15" customWidth="1"/>
    <col min="7175" max="7175" width="9.140625" style="15" customWidth="1"/>
    <col min="7176" max="7176" width="10.7109375" style="15" customWidth="1"/>
    <col min="7177" max="7177" width="13" style="15" customWidth="1"/>
    <col min="7178" max="7178" width="12.7109375" style="15" customWidth="1"/>
    <col min="7179" max="7179" width="12.85546875" style="15" customWidth="1"/>
    <col min="7180" max="7426" width="9.140625" style="15"/>
    <col min="7427" max="7427" width="4.28515625" style="15" customWidth="1"/>
    <col min="7428" max="7428" width="32.42578125" style="15" customWidth="1"/>
    <col min="7429" max="7429" width="14.140625" style="15" customWidth="1"/>
    <col min="7430" max="7430" width="12.28515625" style="15" customWidth="1"/>
    <col min="7431" max="7431" width="9.140625" style="15" customWidth="1"/>
    <col min="7432" max="7432" width="10.7109375" style="15" customWidth="1"/>
    <col min="7433" max="7433" width="13" style="15" customWidth="1"/>
    <col min="7434" max="7434" width="12.7109375" style="15" customWidth="1"/>
    <col min="7435" max="7435" width="12.85546875" style="15" customWidth="1"/>
    <col min="7436" max="7682" width="9.140625" style="15"/>
    <col min="7683" max="7683" width="4.28515625" style="15" customWidth="1"/>
    <col min="7684" max="7684" width="32.42578125" style="15" customWidth="1"/>
    <col min="7685" max="7685" width="14.140625" style="15" customWidth="1"/>
    <col min="7686" max="7686" width="12.28515625" style="15" customWidth="1"/>
    <col min="7687" max="7687" width="9.140625" style="15" customWidth="1"/>
    <col min="7688" max="7688" width="10.7109375" style="15" customWidth="1"/>
    <col min="7689" max="7689" width="13" style="15" customWidth="1"/>
    <col min="7690" max="7690" width="12.7109375" style="15" customWidth="1"/>
    <col min="7691" max="7691" width="12.85546875" style="15" customWidth="1"/>
    <col min="7692" max="7938" width="9.140625" style="15"/>
    <col min="7939" max="7939" width="4.28515625" style="15" customWidth="1"/>
    <col min="7940" max="7940" width="32.42578125" style="15" customWidth="1"/>
    <col min="7941" max="7941" width="14.140625" style="15" customWidth="1"/>
    <col min="7942" max="7942" width="12.28515625" style="15" customWidth="1"/>
    <col min="7943" max="7943" width="9.140625" style="15" customWidth="1"/>
    <col min="7944" max="7944" width="10.7109375" style="15" customWidth="1"/>
    <col min="7945" max="7945" width="13" style="15" customWidth="1"/>
    <col min="7946" max="7946" width="12.7109375" style="15" customWidth="1"/>
    <col min="7947" max="7947" width="12.85546875" style="15" customWidth="1"/>
    <col min="7948" max="8194" width="9.140625" style="15"/>
    <col min="8195" max="8195" width="4.28515625" style="15" customWidth="1"/>
    <col min="8196" max="8196" width="32.42578125" style="15" customWidth="1"/>
    <col min="8197" max="8197" width="14.140625" style="15" customWidth="1"/>
    <col min="8198" max="8198" width="12.28515625" style="15" customWidth="1"/>
    <col min="8199" max="8199" width="9.140625" style="15" customWidth="1"/>
    <col min="8200" max="8200" width="10.7109375" style="15" customWidth="1"/>
    <col min="8201" max="8201" width="13" style="15" customWidth="1"/>
    <col min="8202" max="8202" width="12.7109375" style="15" customWidth="1"/>
    <col min="8203" max="8203" width="12.85546875" style="15" customWidth="1"/>
    <col min="8204" max="8450" width="9.140625" style="15"/>
    <col min="8451" max="8451" width="4.28515625" style="15" customWidth="1"/>
    <col min="8452" max="8452" width="32.42578125" style="15" customWidth="1"/>
    <col min="8453" max="8453" width="14.140625" style="15" customWidth="1"/>
    <col min="8454" max="8454" width="12.28515625" style="15" customWidth="1"/>
    <col min="8455" max="8455" width="9.140625" style="15" customWidth="1"/>
    <col min="8456" max="8456" width="10.7109375" style="15" customWidth="1"/>
    <col min="8457" max="8457" width="13" style="15" customWidth="1"/>
    <col min="8458" max="8458" width="12.7109375" style="15" customWidth="1"/>
    <col min="8459" max="8459" width="12.85546875" style="15" customWidth="1"/>
    <col min="8460" max="8706" width="9.140625" style="15"/>
    <col min="8707" max="8707" width="4.28515625" style="15" customWidth="1"/>
    <col min="8708" max="8708" width="32.42578125" style="15" customWidth="1"/>
    <col min="8709" max="8709" width="14.140625" style="15" customWidth="1"/>
    <col min="8710" max="8710" width="12.28515625" style="15" customWidth="1"/>
    <col min="8711" max="8711" width="9.140625" style="15" customWidth="1"/>
    <col min="8712" max="8712" width="10.7109375" style="15" customWidth="1"/>
    <col min="8713" max="8713" width="13" style="15" customWidth="1"/>
    <col min="8714" max="8714" width="12.7109375" style="15" customWidth="1"/>
    <col min="8715" max="8715" width="12.85546875" style="15" customWidth="1"/>
    <col min="8716" max="8962" width="9.140625" style="15"/>
    <col min="8963" max="8963" width="4.28515625" style="15" customWidth="1"/>
    <col min="8964" max="8964" width="32.42578125" style="15" customWidth="1"/>
    <col min="8965" max="8965" width="14.140625" style="15" customWidth="1"/>
    <col min="8966" max="8966" width="12.28515625" style="15" customWidth="1"/>
    <col min="8967" max="8967" width="9.140625" style="15" customWidth="1"/>
    <col min="8968" max="8968" width="10.7109375" style="15" customWidth="1"/>
    <col min="8969" max="8969" width="13" style="15" customWidth="1"/>
    <col min="8970" max="8970" width="12.7109375" style="15" customWidth="1"/>
    <col min="8971" max="8971" width="12.85546875" style="15" customWidth="1"/>
    <col min="8972" max="9218" width="9.140625" style="15"/>
    <col min="9219" max="9219" width="4.28515625" style="15" customWidth="1"/>
    <col min="9220" max="9220" width="32.42578125" style="15" customWidth="1"/>
    <col min="9221" max="9221" width="14.140625" style="15" customWidth="1"/>
    <col min="9222" max="9222" width="12.28515625" style="15" customWidth="1"/>
    <col min="9223" max="9223" width="9.140625" style="15" customWidth="1"/>
    <col min="9224" max="9224" width="10.7109375" style="15" customWidth="1"/>
    <col min="9225" max="9225" width="13" style="15" customWidth="1"/>
    <col min="9226" max="9226" width="12.7109375" style="15" customWidth="1"/>
    <col min="9227" max="9227" width="12.85546875" style="15" customWidth="1"/>
    <col min="9228" max="9474" width="9.140625" style="15"/>
    <col min="9475" max="9475" width="4.28515625" style="15" customWidth="1"/>
    <col min="9476" max="9476" width="32.42578125" style="15" customWidth="1"/>
    <col min="9477" max="9477" width="14.140625" style="15" customWidth="1"/>
    <col min="9478" max="9478" width="12.28515625" style="15" customWidth="1"/>
    <col min="9479" max="9479" width="9.140625" style="15" customWidth="1"/>
    <col min="9480" max="9480" width="10.7109375" style="15" customWidth="1"/>
    <col min="9481" max="9481" width="13" style="15" customWidth="1"/>
    <col min="9482" max="9482" width="12.7109375" style="15" customWidth="1"/>
    <col min="9483" max="9483" width="12.85546875" style="15" customWidth="1"/>
    <col min="9484" max="9730" width="9.140625" style="15"/>
    <col min="9731" max="9731" width="4.28515625" style="15" customWidth="1"/>
    <col min="9732" max="9732" width="32.42578125" style="15" customWidth="1"/>
    <col min="9733" max="9733" width="14.140625" style="15" customWidth="1"/>
    <col min="9734" max="9734" width="12.28515625" style="15" customWidth="1"/>
    <col min="9735" max="9735" width="9.140625" style="15" customWidth="1"/>
    <col min="9736" max="9736" width="10.7109375" style="15" customWidth="1"/>
    <col min="9737" max="9737" width="13" style="15" customWidth="1"/>
    <col min="9738" max="9738" width="12.7109375" style="15" customWidth="1"/>
    <col min="9739" max="9739" width="12.85546875" style="15" customWidth="1"/>
    <col min="9740" max="9986" width="9.140625" style="15"/>
    <col min="9987" max="9987" width="4.28515625" style="15" customWidth="1"/>
    <col min="9988" max="9988" width="32.42578125" style="15" customWidth="1"/>
    <col min="9989" max="9989" width="14.140625" style="15" customWidth="1"/>
    <col min="9990" max="9990" width="12.28515625" style="15" customWidth="1"/>
    <col min="9991" max="9991" width="9.140625" style="15" customWidth="1"/>
    <col min="9992" max="9992" width="10.7109375" style="15" customWidth="1"/>
    <col min="9993" max="9993" width="13" style="15" customWidth="1"/>
    <col min="9994" max="9994" width="12.7109375" style="15" customWidth="1"/>
    <col min="9995" max="9995" width="12.85546875" style="15" customWidth="1"/>
    <col min="9996" max="10242" width="9.140625" style="15"/>
    <col min="10243" max="10243" width="4.28515625" style="15" customWidth="1"/>
    <col min="10244" max="10244" width="32.42578125" style="15" customWidth="1"/>
    <col min="10245" max="10245" width="14.140625" style="15" customWidth="1"/>
    <col min="10246" max="10246" width="12.28515625" style="15" customWidth="1"/>
    <col min="10247" max="10247" width="9.140625" style="15" customWidth="1"/>
    <col min="10248" max="10248" width="10.7109375" style="15" customWidth="1"/>
    <col min="10249" max="10249" width="13" style="15" customWidth="1"/>
    <col min="10250" max="10250" width="12.7109375" style="15" customWidth="1"/>
    <col min="10251" max="10251" width="12.85546875" style="15" customWidth="1"/>
    <col min="10252" max="10498" width="9.140625" style="15"/>
    <col min="10499" max="10499" width="4.28515625" style="15" customWidth="1"/>
    <col min="10500" max="10500" width="32.42578125" style="15" customWidth="1"/>
    <col min="10501" max="10501" width="14.140625" style="15" customWidth="1"/>
    <col min="10502" max="10502" width="12.28515625" style="15" customWidth="1"/>
    <col min="10503" max="10503" width="9.140625" style="15" customWidth="1"/>
    <col min="10504" max="10504" width="10.7109375" style="15" customWidth="1"/>
    <col min="10505" max="10505" width="13" style="15" customWidth="1"/>
    <col min="10506" max="10506" width="12.7109375" style="15" customWidth="1"/>
    <col min="10507" max="10507" width="12.85546875" style="15" customWidth="1"/>
    <col min="10508" max="10754" width="9.140625" style="15"/>
    <col min="10755" max="10755" width="4.28515625" style="15" customWidth="1"/>
    <col min="10756" max="10756" width="32.42578125" style="15" customWidth="1"/>
    <col min="10757" max="10757" width="14.140625" style="15" customWidth="1"/>
    <col min="10758" max="10758" width="12.28515625" style="15" customWidth="1"/>
    <col min="10759" max="10759" width="9.140625" style="15" customWidth="1"/>
    <col min="10760" max="10760" width="10.7109375" style="15" customWidth="1"/>
    <col min="10761" max="10761" width="13" style="15" customWidth="1"/>
    <col min="10762" max="10762" width="12.7109375" style="15" customWidth="1"/>
    <col min="10763" max="10763" width="12.85546875" style="15" customWidth="1"/>
    <col min="10764" max="11010" width="9.140625" style="15"/>
    <col min="11011" max="11011" width="4.28515625" style="15" customWidth="1"/>
    <col min="11012" max="11012" width="32.42578125" style="15" customWidth="1"/>
    <col min="11013" max="11013" width="14.140625" style="15" customWidth="1"/>
    <col min="11014" max="11014" width="12.28515625" style="15" customWidth="1"/>
    <col min="11015" max="11015" width="9.140625" style="15" customWidth="1"/>
    <col min="11016" max="11016" width="10.7109375" style="15" customWidth="1"/>
    <col min="11017" max="11017" width="13" style="15" customWidth="1"/>
    <col min="11018" max="11018" width="12.7109375" style="15" customWidth="1"/>
    <col min="11019" max="11019" width="12.85546875" style="15" customWidth="1"/>
    <col min="11020" max="11266" width="9.140625" style="15"/>
    <col min="11267" max="11267" width="4.28515625" style="15" customWidth="1"/>
    <col min="11268" max="11268" width="32.42578125" style="15" customWidth="1"/>
    <col min="11269" max="11269" width="14.140625" style="15" customWidth="1"/>
    <col min="11270" max="11270" width="12.28515625" style="15" customWidth="1"/>
    <col min="11271" max="11271" width="9.140625" style="15" customWidth="1"/>
    <col min="11272" max="11272" width="10.7109375" style="15" customWidth="1"/>
    <col min="11273" max="11273" width="13" style="15" customWidth="1"/>
    <col min="11274" max="11274" width="12.7109375" style="15" customWidth="1"/>
    <col min="11275" max="11275" width="12.85546875" style="15" customWidth="1"/>
    <col min="11276" max="11522" width="9.140625" style="15"/>
    <col min="11523" max="11523" width="4.28515625" style="15" customWidth="1"/>
    <col min="11524" max="11524" width="32.42578125" style="15" customWidth="1"/>
    <col min="11525" max="11525" width="14.140625" style="15" customWidth="1"/>
    <col min="11526" max="11526" width="12.28515625" style="15" customWidth="1"/>
    <col min="11527" max="11527" width="9.140625" style="15" customWidth="1"/>
    <col min="11528" max="11528" width="10.7109375" style="15" customWidth="1"/>
    <col min="11529" max="11529" width="13" style="15" customWidth="1"/>
    <col min="11530" max="11530" width="12.7109375" style="15" customWidth="1"/>
    <col min="11531" max="11531" width="12.85546875" style="15" customWidth="1"/>
    <col min="11532" max="11778" width="9.140625" style="15"/>
    <col min="11779" max="11779" width="4.28515625" style="15" customWidth="1"/>
    <col min="11780" max="11780" width="32.42578125" style="15" customWidth="1"/>
    <col min="11781" max="11781" width="14.140625" style="15" customWidth="1"/>
    <col min="11782" max="11782" width="12.28515625" style="15" customWidth="1"/>
    <col min="11783" max="11783" width="9.140625" style="15" customWidth="1"/>
    <col min="11784" max="11784" width="10.7109375" style="15" customWidth="1"/>
    <col min="11785" max="11785" width="13" style="15" customWidth="1"/>
    <col min="11786" max="11786" width="12.7109375" style="15" customWidth="1"/>
    <col min="11787" max="11787" width="12.85546875" style="15" customWidth="1"/>
    <col min="11788" max="12034" width="9.140625" style="15"/>
    <col min="12035" max="12035" width="4.28515625" style="15" customWidth="1"/>
    <col min="12036" max="12036" width="32.42578125" style="15" customWidth="1"/>
    <col min="12037" max="12037" width="14.140625" style="15" customWidth="1"/>
    <col min="12038" max="12038" width="12.28515625" style="15" customWidth="1"/>
    <col min="12039" max="12039" width="9.140625" style="15" customWidth="1"/>
    <col min="12040" max="12040" width="10.7109375" style="15" customWidth="1"/>
    <col min="12041" max="12041" width="13" style="15" customWidth="1"/>
    <col min="12042" max="12042" width="12.7109375" style="15" customWidth="1"/>
    <col min="12043" max="12043" width="12.85546875" style="15" customWidth="1"/>
    <col min="12044" max="12290" width="9.140625" style="15"/>
    <col min="12291" max="12291" width="4.28515625" style="15" customWidth="1"/>
    <col min="12292" max="12292" width="32.42578125" style="15" customWidth="1"/>
    <col min="12293" max="12293" width="14.140625" style="15" customWidth="1"/>
    <col min="12294" max="12294" width="12.28515625" style="15" customWidth="1"/>
    <col min="12295" max="12295" width="9.140625" style="15" customWidth="1"/>
    <col min="12296" max="12296" width="10.7109375" style="15" customWidth="1"/>
    <col min="12297" max="12297" width="13" style="15" customWidth="1"/>
    <col min="12298" max="12298" width="12.7109375" style="15" customWidth="1"/>
    <col min="12299" max="12299" width="12.85546875" style="15" customWidth="1"/>
    <col min="12300" max="12546" width="9.140625" style="15"/>
    <col min="12547" max="12547" width="4.28515625" style="15" customWidth="1"/>
    <col min="12548" max="12548" width="32.42578125" style="15" customWidth="1"/>
    <col min="12549" max="12549" width="14.140625" style="15" customWidth="1"/>
    <col min="12550" max="12550" width="12.28515625" style="15" customWidth="1"/>
    <col min="12551" max="12551" width="9.140625" style="15" customWidth="1"/>
    <col min="12552" max="12552" width="10.7109375" style="15" customWidth="1"/>
    <col min="12553" max="12553" width="13" style="15" customWidth="1"/>
    <col min="12554" max="12554" width="12.7109375" style="15" customWidth="1"/>
    <col min="12555" max="12555" width="12.85546875" style="15" customWidth="1"/>
    <col min="12556" max="12802" width="9.140625" style="15"/>
    <col min="12803" max="12803" width="4.28515625" style="15" customWidth="1"/>
    <col min="12804" max="12804" width="32.42578125" style="15" customWidth="1"/>
    <col min="12805" max="12805" width="14.140625" style="15" customWidth="1"/>
    <col min="12806" max="12806" width="12.28515625" style="15" customWidth="1"/>
    <col min="12807" max="12807" width="9.140625" style="15" customWidth="1"/>
    <col min="12808" max="12808" width="10.7109375" style="15" customWidth="1"/>
    <col min="12809" max="12809" width="13" style="15" customWidth="1"/>
    <col min="12810" max="12810" width="12.7109375" style="15" customWidth="1"/>
    <col min="12811" max="12811" width="12.85546875" style="15" customWidth="1"/>
    <col min="12812" max="13058" width="9.140625" style="15"/>
    <col min="13059" max="13059" width="4.28515625" style="15" customWidth="1"/>
    <col min="13060" max="13060" width="32.42578125" style="15" customWidth="1"/>
    <col min="13061" max="13061" width="14.140625" style="15" customWidth="1"/>
    <col min="13062" max="13062" width="12.28515625" style="15" customWidth="1"/>
    <col min="13063" max="13063" width="9.140625" style="15" customWidth="1"/>
    <col min="13064" max="13064" width="10.7109375" style="15" customWidth="1"/>
    <col min="13065" max="13065" width="13" style="15" customWidth="1"/>
    <col min="13066" max="13066" width="12.7109375" style="15" customWidth="1"/>
    <col min="13067" max="13067" width="12.85546875" style="15" customWidth="1"/>
    <col min="13068" max="13314" width="9.140625" style="15"/>
    <col min="13315" max="13315" width="4.28515625" style="15" customWidth="1"/>
    <col min="13316" max="13316" width="32.42578125" style="15" customWidth="1"/>
    <col min="13317" max="13317" width="14.140625" style="15" customWidth="1"/>
    <col min="13318" max="13318" width="12.28515625" style="15" customWidth="1"/>
    <col min="13319" max="13319" width="9.140625" style="15" customWidth="1"/>
    <col min="13320" max="13320" width="10.7109375" style="15" customWidth="1"/>
    <col min="13321" max="13321" width="13" style="15" customWidth="1"/>
    <col min="13322" max="13322" width="12.7109375" style="15" customWidth="1"/>
    <col min="13323" max="13323" width="12.85546875" style="15" customWidth="1"/>
    <col min="13324" max="13570" width="9.140625" style="15"/>
    <col min="13571" max="13571" width="4.28515625" style="15" customWidth="1"/>
    <col min="13572" max="13572" width="32.42578125" style="15" customWidth="1"/>
    <col min="13573" max="13573" width="14.140625" style="15" customWidth="1"/>
    <col min="13574" max="13574" width="12.28515625" style="15" customWidth="1"/>
    <col min="13575" max="13575" width="9.140625" style="15" customWidth="1"/>
    <col min="13576" max="13576" width="10.7109375" style="15" customWidth="1"/>
    <col min="13577" max="13577" width="13" style="15" customWidth="1"/>
    <col min="13578" max="13578" width="12.7109375" style="15" customWidth="1"/>
    <col min="13579" max="13579" width="12.85546875" style="15" customWidth="1"/>
    <col min="13580" max="13826" width="9.140625" style="15"/>
    <col min="13827" max="13827" width="4.28515625" style="15" customWidth="1"/>
    <col min="13828" max="13828" width="32.42578125" style="15" customWidth="1"/>
    <col min="13829" max="13829" width="14.140625" style="15" customWidth="1"/>
    <col min="13830" max="13830" width="12.28515625" style="15" customWidth="1"/>
    <col min="13831" max="13831" width="9.140625" style="15" customWidth="1"/>
    <col min="13832" max="13832" width="10.7109375" style="15" customWidth="1"/>
    <col min="13833" max="13833" width="13" style="15" customWidth="1"/>
    <col min="13834" max="13834" width="12.7109375" style="15" customWidth="1"/>
    <col min="13835" max="13835" width="12.85546875" style="15" customWidth="1"/>
    <col min="13836" max="14082" width="9.140625" style="15"/>
    <col min="14083" max="14083" width="4.28515625" style="15" customWidth="1"/>
    <col min="14084" max="14084" width="32.42578125" style="15" customWidth="1"/>
    <col min="14085" max="14085" width="14.140625" style="15" customWidth="1"/>
    <col min="14086" max="14086" width="12.28515625" style="15" customWidth="1"/>
    <col min="14087" max="14087" width="9.140625" style="15" customWidth="1"/>
    <col min="14088" max="14088" width="10.7109375" style="15" customWidth="1"/>
    <col min="14089" max="14089" width="13" style="15" customWidth="1"/>
    <col min="14090" max="14090" width="12.7109375" style="15" customWidth="1"/>
    <col min="14091" max="14091" width="12.85546875" style="15" customWidth="1"/>
    <col min="14092" max="14338" width="9.140625" style="15"/>
    <col min="14339" max="14339" width="4.28515625" style="15" customWidth="1"/>
    <col min="14340" max="14340" width="32.42578125" style="15" customWidth="1"/>
    <col min="14341" max="14341" width="14.140625" style="15" customWidth="1"/>
    <col min="14342" max="14342" width="12.28515625" style="15" customWidth="1"/>
    <col min="14343" max="14343" width="9.140625" style="15" customWidth="1"/>
    <col min="14344" max="14344" width="10.7109375" style="15" customWidth="1"/>
    <col min="14345" max="14345" width="13" style="15" customWidth="1"/>
    <col min="14346" max="14346" width="12.7109375" style="15" customWidth="1"/>
    <col min="14347" max="14347" width="12.85546875" style="15" customWidth="1"/>
    <col min="14348" max="14594" width="9.140625" style="15"/>
    <col min="14595" max="14595" width="4.28515625" style="15" customWidth="1"/>
    <col min="14596" max="14596" width="32.42578125" style="15" customWidth="1"/>
    <col min="14597" max="14597" width="14.140625" style="15" customWidth="1"/>
    <col min="14598" max="14598" width="12.28515625" style="15" customWidth="1"/>
    <col min="14599" max="14599" width="9.140625" style="15" customWidth="1"/>
    <col min="14600" max="14600" width="10.7109375" style="15" customWidth="1"/>
    <col min="14601" max="14601" width="13" style="15" customWidth="1"/>
    <col min="14602" max="14602" width="12.7109375" style="15" customWidth="1"/>
    <col min="14603" max="14603" width="12.85546875" style="15" customWidth="1"/>
    <col min="14604" max="14850" width="9.140625" style="15"/>
    <col min="14851" max="14851" width="4.28515625" style="15" customWidth="1"/>
    <col min="14852" max="14852" width="32.42578125" style="15" customWidth="1"/>
    <col min="14853" max="14853" width="14.140625" style="15" customWidth="1"/>
    <col min="14854" max="14854" width="12.28515625" style="15" customWidth="1"/>
    <col min="14855" max="14855" width="9.140625" style="15" customWidth="1"/>
    <col min="14856" max="14856" width="10.7109375" style="15" customWidth="1"/>
    <col min="14857" max="14857" width="13" style="15" customWidth="1"/>
    <col min="14858" max="14858" width="12.7109375" style="15" customWidth="1"/>
    <col min="14859" max="14859" width="12.85546875" style="15" customWidth="1"/>
    <col min="14860" max="15106" width="9.140625" style="15"/>
    <col min="15107" max="15107" width="4.28515625" style="15" customWidth="1"/>
    <col min="15108" max="15108" width="32.42578125" style="15" customWidth="1"/>
    <col min="15109" max="15109" width="14.140625" style="15" customWidth="1"/>
    <col min="15110" max="15110" width="12.28515625" style="15" customWidth="1"/>
    <col min="15111" max="15111" width="9.140625" style="15" customWidth="1"/>
    <col min="15112" max="15112" width="10.7109375" style="15" customWidth="1"/>
    <col min="15113" max="15113" width="13" style="15" customWidth="1"/>
    <col min="15114" max="15114" width="12.7109375" style="15" customWidth="1"/>
    <col min="15115" max="15115" width="12.85546875" style="15" customWidth="1"/>
    <col min="15116" max="15362" width="9.140625" style="15"/>
    <col min="15363" max="15363" width="4.28515625" style="15" customWidth="1"/>
    <col min="15364" max="15364" width="32.42578125" style="15" customWidth="1"/>
    <col min="15365" max="15365" width="14.140625" style="15" customWidth="1"/>
    <col min="15366" max="15366" width="12.28515625" style="15" customWidth="1"/>
    <col min="15367" max="15367" width="9.140625" style="15" customWidth="1"/>
    <col min="15368" max="15368" width="10.7109375" style="15" customWidth="1"/>
    <col min="15369" max="15369" width="13" style="15" customWidth="1"/>
    <col min="15370" max="15370" width="12.7109375" style="15" customWidth="1"/>
    <col min="15371" max="15371" width="12.85546875" style="15" customWidth="1"/>
    <col min="15372" max="15618" width="9.140625" style="15"/>
    <col min="15619" max="15619" width="4.28515625" style="15" customWidth="1"/>
    <col min="15620" max="15620" width="32.42578125" style="15" customWidth="1"/>
    <col min="15621" max="15621" width="14.140625" style="15" customWidth="1"/>
    <col min="15622" max="15622" width="12.28515625" style="15" customWidth="1"/>
    <col min="15623" max="15623" width="9.140625" style="15" customWidth="1"/>
    <col min="15624" max="15624" width="10.7109375" style="15" customWidth="1"/>
    <col min="15625" max="15625" width="13" style="15" customWidth="1"/>
    <col min="15626" max="15626" width="12.7109375" style="15" customWidth="1"/>
    <col min="15627" max="15627" width="12.85546875" style="15" customWidth="1"/>
    <col min="15628" max="15874" width="9.140625" style="15"/>
    <col min="15875" max="15875" width="4.28515625" style="15" customWidth="1"/>
    <col min="15876" max="15876" width="32.42578125" style="15" customWidth="1"/>
    <col min="15877" max="15877" width="14.140625" style="15" customWidth="1"/>
    <col min="15878" max="15878" width="12.28515625" style="15" customWidth="1"/>
    <col min="15879" max="15879" width="9.140625" style="15" customWidth="1"/>
    <col min="15880" max="15880" width="10.7109375" style="15" customWidth="1"/>
    <col min="15881" max="15881" width="13" style="15" customWidth="1"/>
    <col min="15882" max="15882" width="12.7109375" style="15" customWidth="1"/>
    <col min="15883" max="15883" width="12.85546875" style="15" customWidth="1"/>
    <col min="15884" max="16130" width="9.140625" style="15"/>
    <col min="16131" max="16131" width="4.28515625" style="15" customWidth="1"/>
    <col min="16132" max="16132" width="32.42578125" style="15" customWidth="1"/>
    <col min="16133" max="16133" width="14.140625" style="15" customWidth="1"/>
    <col min="16134" max="16134" width="12.28515625" style="15" customWidth="1"/>
    <col min="16135" max="16135" width="9.140625" style="15" customWidth="1"/>
    <col min="16136" max="16136" width="10.7109375" style="15" customWidth="1"/>
    <col min="16137" max="16137" width="13" style="15" customWidth="1"/>
    <col min="16138" max="16138" width="12.7109375" style="15" customWidth="1"/>
    <col min="16139" max="16139" width="12.85546875" style="15" customWidth="1"/>
    <col min="16140" max="16384" width="9.140625" style="15"/>
  </cols>
  <sheetData>
    <row r="1" spans="1:11" x14ac:dyDescent="0.25">
      <c r="A1" s="509" t="s">
        <v>537</v>
      </c>
      <c r="B1" s="509"/>
      <c r="C1" s="509"/>
      <c r="D1" s="509"/>
      <c r="E1" s="509"/>
      <c r="F1" s="509"/>
      <c r="G1" s="509"/>
      <c r="H1" s="509"/>
      <c r="I1" s="509"/>
      <c r="J1" s="509"/>
      <c r="K1" s="509"/>
    </row>
    <row r="3" spans="1:11" x14ac:dyDescent="0.25">
      <c r="A3" s="510" t="s">
        <v>0</v>
      </c>
      <c r="B3" s="507" t="s">
        <v>237</v>
      </c>
      <c r="C3" s="511" t="s">
        <v>238</v>
      </c>
      <c r="D3" s="511" t="s">
        <v>239</v>
      </c>
      <c r="E3" s="511" t="s">
        <v>240</v>
      </c>
      <c r="F3" s="511" t="s">
        <v>241</v>
      </c>
      <c r="G3" s="511" t="s">
        <v>366</v>
      </c>
      <c r="H3" s="511" t="s">
        <v>416</v>
      </c>
      <c r="I3" s="511" t="s">
        <v>242</v>
      </c>
      <c r="J3" s="511" t="s">
        <v>243</v>
      </c>
      <c r="K3" s="511" t="s">
        <v>7</v>
      </c>
    </row>
    <row r="4" spans="1:11" x14ac:dyDescent="0.25">
      <c r="A4" s="510"/>
      <c r="B4" s="507"/>
      <c r="C4" s="511"/>
      <c r="D4" s="511"/>
      <c r="E4" s="511"/>
      <c r="F4" s="511"/>
      <c r="G4" s="511"/>
      <c r="H4" s="511"/>
      <c r="I4" s="511"/>
      <c r="J4" s="511"/>
      <c r="K4" s="511"/>
    </row>
    <row r="5" spans="1:11" x14ac:dyDescent="0.25">
      <c r="A5" s="31">
        <v>1</v>
      </c>
      <c r="B5" s="31" t="s">
        <v>411</v>
      </c>
      <c r="C5" s="33">
        <v>237146000</v>
      </c>
      <c r="D5" s="33">
        <v>0</v>
      </c>
      <c r="E5" s="33">
        <v>0</v>
      </c>
      <c r="F5" s="33">
        <v>18806332.876272555</v>
      </c>
      <c r="G5" s="33"/>
      <c r="H5" s="103">
        <v>0</v>
      </c>
      <c r="I5" s="103">
        <v>176396541.34917849</v>
      </c>
      <c r="J5" s="33">
        <v>73965014.225936875</v>
      </c>
      <c r="K5" s="33">
        <f>SUM(C5:J5)</f>
        <v>506313888.45138794</v>
      </c>
    </row>
    <row r="6" spans="1:11" x14ac:dyDescent="0.25">
      <c r="A6" s="32">
        <v>2</v>
      </c>
      <c r="B6" s="32" t="s">
        <v>412</v>
      </c>
      <c r="C6" s="35"/>
      <c r="D6" s="35"/>
      <c r="E6" s="35"/>
      <c r="F6" s="35"/>
      <c r="G6" s="35"/>
      <c r="H6" s="35"/>
      <c r="I6" s="35"/>
      <c r="J6" s="35"/>
      <c r="K6" s="35">
        <f>SUM(C6:J6)</f>
        <v>0</v>
      </c>
    </row>
    <row r="7" spans="1:11" x14ac:dyDescent="0.25">
      <c r="A7" s="32">
        <v>3</v>
      </c>
      <c r="B7" s="32" t="s">
        <v>413</v>
      </c>
      <c r="C7" s="35"/>
      <c r="D7" s="35"/>
      <c r="E7" s="35"/>
      <c r="F7" s="14">
        <v>3698250.7112968438</v>
      </c>
      <c r="G7" s="14"/>
      <c r="H7" s="14"/>
      <c r="I7" s="104"/>
      <c r="J7" s="35">
        <v>-3698250.7112968438</v>
      </c>
      <c r="K7" s="35">
        <f>SUM(C7:J7)</f>
        <v>0</v>
      </c>
    </row>
    <row r="8" spans="1:11" x14ac:dyDescent="0.25">
      <c r="A8" s="31">
        <v>4</v>
      </c>
      <c r="B8" s="32" t="s">
        <v>414</v>
      </c>
      <c r="C8" s="35"/>
      <c r="D8" s="35"/>
      <c r="E8" s="35"/>
      <c r="F8" s="35"/>
      <c r="G8" s="35"/>
      <c r="H8" s="35"/>
      <c r="I8" s="104">
        <v>65266763.514640033</v>
      </c>
      <c r="J8" s="35">
        <v>-65266763.514640033</v>
      </c>
      <c r="K8" s="35">
        <f t="shared" ref="K8" si="0">SUM(C8:J8)</f>
        <v>0</v>
      </c>
    </row>
    <row r="9" spans="1:11" x14ac:dyDescent="0.25">
      <c r="A9" s="32">
        <v>5</v>
      </c>
      <c r="B9" s="32" t="s">
        <v>415</v>
      </c>
      <c r="C9" s="35"/>
      <c r="D9" s="35"/>
      <c r="E9" s="35"/>
      <c r="F9" s="35"/>
      <c r="G9" s="35"/>
      <c r="H9" s="35"/>
      <c r="I9" s="35"/>
      <c r="J9" s="94">
        <v>22066148.293032285</v>
      </c>
      <c r="K9" s="35">
        <f>SUM(C9:J9)</f>
        <v>22066148.293032285</v>
      </c>
    </row>
    <row r="10" spans="1:11" x14ac:dyDescent="0.25">
      <c r="A10" s="32"/>
      <c r="B10" s="32" t="s">
        <v>416</v>
      </c>
      <c r="C10" s="35"/>
      <c r="D10" s="35"/>
      <c r="E10" s="35"/>
      <c r="F10" s="35"/>
      <c r="G10" s="32"/>
      <c r="H10" s="35">
        <v>4250000</v>
      </c>
      <c r="I10" s="35"/>
      <c r="J10" s="94">
        <v>-4250000</v>
      </c>
      <c r="K10" s="35">
        <f>SUM(I10:J10)</f>
        <v>-4250000</v>
      </c>
    </row>
    <row r="11" spans="1:11" x14ac:dyDescent="0.25">
      <c r="A11" s="32">
        <v>6</v>
      </c>
      <c r="B11" s="32" t="s">
        <v>417</v>
      </c>
      <c r="C11" s="35"/>
      <c r="D11" s="35"/>
      <c r="E11" s="35"/>
      <c r="F11" s="35"/>
      <c r="G11" s="35">
        <v>750000</v>
      </c>
      <c r="H11" s="35"/>
      <c r="I11" s="35"/>
      <c r="J11" s="35">
        <v>-750000</v>
      </c>
      <c r="K11" s="35">
        <f>SUM(I11:J11)</f>
        <v>-750000</v>
      </c>
    </row>
    <row r="12" spans="1:11" x14ac:dyDescent="0.25">
      <c r="A12" s="30">
        <v>6</v>
      </c>
      <c r="B12" s="44" t="s">
        <v>244</v>
      </c>
      <c r="C12" s="29">
        <f>SUM(C5:C11)</f>
        <v>237146000</v>
      </c>
      <c r="D12" s="29">
        <f t="shared" ref="D12:E12" si="1">SUM(D5:D11)</f>
        <v>0</v>
      </c>
      <c r="E12" s="29">
        <f t="shared" si="1"/>
        <v>0</v>
      </c>
      <c r="F12" s="29">
        <f>SUM(F5:F11)</f>
        <v>22504583.587569401</v>
      </c>
      <c r="G12" s="29">
        <f t="shared" ref="G12:H12" si="2">SUM(G5:G11)</f>
        <v>750000</v>
      </c>
      <c r="H12" s="29">
        <f t="shared" si="2"/>
        <v>4250000</v>
      </c>
      <c r="I12" s="29">
        <f>SUM(I5:I11)</f>
        <v>241663304.86381853</v>
      </c>
      <c r="J12" s="29">
        <f>SUM(J5:J11)</f>
        <v>22066148.293032285</v>
      </c>
      <c r="K12" s="29">
        <f>SUM(K5:K11)</f>
        <v>523380036.74442023</v>
      </c>
    </row>
    <row r="14" spans="1:11" x14ac:dyDescent="0.25">
      <c r="J14" s="508"/>
      <c r="K14" s="508"/>
    </row>
  </sheetData>
  <mergeCells count="13">
    <mergeCell ref="J14:K14"/>
    <mergeCell ref="A1:K1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H3:H4"/>
    <mergeCell ref="G3:G4"/>
  </mergeCells>
  <printOptions horizontalCentered="1"/>
  <pageMargins left="0.3" right="0.3" top="0.75" bottom="0.75" header="0.3" footer="0.3"/>
  <pageSetup scale="90" orientation="landscape" r:id="rId1"/>
  <ignoredErrors>
    <ignoredError sqref="K10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78"/>
  <sheetViews>
    <sheetView view="pageBreakPreview" topLeftCell="A151" zoomScaleNormal="100" zoomScaleSheetLayoutView="100" workbookViewId="0">
      <selection activeCell="J170" sqref="J170:M170"/>
    </sheetView>
  </sheetViews>
  <sheetFormatPr defaultRowHeight="15" x14ac:dyDescent="0.25"/>
  <cols>
    <col min="1" max="1" width="0.5703125" style="268" customWidth="1"/>
    <col min="2" max="2" width="0.7109375" style="268" customWidth="1"/>
    <col min="3" max="3" width="5" style="325" customWidth="1"/>
    <col min="4" max="4" width="6.28515625" style="268" customWidth="1"/>
    <col min="5" max="5" width="3.140625" style="268" customWidth="1"/>
    <col min="6" max="6" width="18.5703125" style="268" customWidth="1"/>
    <col min="7" max="7" width="15.28515625" style="268" customWidth="1"/>
    <col min="8" max="8" width="15.7109375" style="268" customWidth="1"/>
    <col min="9" max="9" width="12" style="268" customWidth="1"/>
    <col min="10" max="10" width="11.85546875" style="268" customWidth="1"/>
    <col min="11" max="11" width="9.7109375" style="268" customWidth="1"/>
    <col min="12" max="12" width="11.7109375" style="326" customWidth="1"/>
    <col min="13" max="13" width="0.85546875" style="326" customWidth="1"/>
    <col min="14" max="14" width="0.140625" style="268" customWidth="1"/>
    <col min="15" max="15" width="9.140625" style="332"/>
    <col min="16" max="16" width="21.140625" style="332" customWidth="1"/>
    <col min="17" max="16384" width="9.140625" style="332"/>
  </cols>
  <sheetData>
    <row r="1" spans="1:14" x14ac:dyDescent="0.25">
      <c r="A1" s="333"/>
      <c r="B1" s="512" t="s">
        <v>454</v>
      </c>
      <c r="C1" s="513"/>
      <c r="D1" s="513"/>
      <c r="E1" s="513"/>
      <c r="F1" s="513"/>
      <c r="G1" s="513"/>
      <c r="H1" s="513"/>
      <c r="I1" s="513"/>
      <c r="J1" s="513"/>
      <c r="K1" s="513"/>
      <c r="L1" s="448"/>
      <c r="M1" s="448"/>
      <c r="N1" s="449"/>
    </row>
    <row r="2" spans="1:14" x14ac:dyDescent="0.25">
      <c r="A2" s="333"/>
      <c r="B2" s="334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6"/>
    </row>
    <row r="3" spans="1:14" x14ac:dyDescent="0.25">
      <c r="B3" s="337"/>
      <c r="C3" s="283"/>
      <c r="D3" s="283"/>
      <c r="E3" s="283"/>
      <c r="F3" s="283"/>
      <c r="G3" s="283"/>
      <c r="H3" s="283"/>
      <c r="I3" s="283"/>
      <c r="J3" s="283"/>
      <c r="K3" s="283"/>
      <c r="L3" s="314"/>
      <c r="M3" s="314"/>
      <c r="N3" s="338"/>
    </row>
    <row r="4" spans="1:14" x14ac:dyDescent="0.25">
      <c r="B4" s="337"/>
      <c r="C4" s="287" t="s">
        <v>455</v>
      </c>
      <c r="D4" s="339" t="s">
        <v>456</v>
      </c>
      <c r="E4" s="283"/>
      <c r="F4" s="339"/>
      <c r="G4" s="283"/>
      <c r="H4" s="283"/>
      <c r="I4" s="283"/>
      <c r="J4" s="283"/>
      <c r="K4" s="283"/>
      <c r="L4" s="314"/>
      <c r="M4" s="314"/>
      <c r="N4" s="338"/>
    </row>
    <row r="5" spans="1:14" x14ac:dyDescent="0.25">
      <c r="B5" s="337"/>
      <c r="C5" s="284">
        <v>1</v>
      </c>
      <c r="D5" s="283" t="s">
        <v>457</v>
      </c>
      <c r="E5" s="283"/>
      <c r="F5" s="283"/>
      <c r="G5" s="283"/>
      <c r="H5" s="283"/>
      <c r="I5" s="283"/>
      <c r="J5" s="283"/>
      <c r="K5" s="283"/>
      <c r="L5" s="314"/>
      <c r="M5" s="314"/>
      <c r="N5" s="338"/>
    </row>
    <row r="6" spans="1:14" x14ac:dyDescent="0.25">
      <c r="B6" s="337"/>
      <c r="C6" s="284">
        <v>2</v>
      </c>
      <c r="D6" s="276" t="s">
        <v>458</v>
      </c>
      <c r="E6" s="283"/>
      <c r="F6" s="283"/>
      <c r="G6" s="283"/>
      <c r="H6" s="283"/>
      <c r="I6" s="283"/>
      <c r="J6" s="283"/>
      <c r="K6" s="283"/>
      <c r="L6" s="314"/>
      <c r="M6" s="314"/>
      <c r="N6" s="338"/>
    </row>
    <row r="7" spans="1:14" x14ac:dyDescent="0.25">
      <c r="B7" s="337"/>
      <c r="C7" s="284">
        <v>3</v>
      </c>
      <c r="D7" s="276" t="s">
        <v>459</v>
      </c>
      <c r="E7" s="283"/>
      <c r="F7" s="283"/>
      <c r="G7" s="283"/>
      <c r="H7" s="283"/>
      <c r="I7" s="283"/>
      <c r="J7" s="283"/>
      <c r="K7" s="283"/>
      <c r="L7" s="314"/>
      <c r="M7" s="314"/>
      <c r="N7" s="338"/>
    </row>
    <row r="8" spans="1:14" x14ac:dyDescent="0.25">
      <c r="B8" s="337"/>
      <c r="C8" s="284">
        <v>4</v>
      </c>
      <c r="D8" s="276" t="s">
        <v>460</v>
      </c>
      <c r="E8" s="283"/>
      <c r="F8" s="283"/>
      <c r="G8" s="283"/>
      <c r="H8" s="283"/>
      <c r="I8" s="283"/>
      <c r="J8" s="283"/>
      <c r="K8" s="283"/>
      <c r="L8" s="314"/>
      <c r="M8" s="314"/>
      <c r="N8" s="338"/>
    </row>
    <row r="9" spans="1:14" x14ac:dyDescent="0.25">
      <c r="B9" s="274"/>
      <c r="C9" s="283" t="s">
        <v>461</v>
      </c>
      <c r="E9" s="283"/>
      <c r="F9" s="283"/>
      <c r="G9" s="283"/>
      <c r="H9" s="283"/>
      <c r="I9" s="283"/>
      <c r="J9" s="283"/>
      <c r="K9" s="283"/>
      <c r="L9" s="314"/>
      <c r="M9" s="314"/>
      <c r="N9" s="338"/>
    </row>
    <row r="10" spans="1:14" x14ac:dyDescent="0.25">
      <c r="B10" s="274"/>
      <c r="C10" s="283" t="s">
        <v>462</v>
      </c>
      <c r="E10" s="283"/>
      <c r="F10" s="283"/>
      <c r="G10" s="283"/>
      <c r="H10" s="283"/>
      <c r="I10" s="283"/>
      <c r="J10" s="283"/>
      <c r="K10" s="283"/>
      <c r="L10" s="314"/>
      <c r="M10" s="314"/>
      <c r="N10" s="338"/>
    </row>
    <row r="11" spans="1:14" x14ac:dyDescent="0.25">
      <c r="B11" s="274"/>
      <c r="C11" s="283" t="s">
        <v>463</v>
      </c>
      <c r="E11" s="283"/>
      <c r="F11" s="283"/>
      <c r="G11" s="283"/>
      <c r="H11" s="283"/>
      <c r="I11" s="283"/>
      <c r="J11" s="283"/>
      <c r="K11" s="283"/>
      <c r="L11" s="314"/>
      <c r="M11" s="314"/>
      <c r="N11" s="338"/>
    </row>
    <row r="12" spans="1:14" x14ac:dyDescent="0.25">
      <c r="B12" s="274"/>
      <c r="C12" s="276" t="s">
        <v>464</v>
      </c>
      <c r="E12" s="283"/>
      <c r="F12" s="283"/>
      <c r="G12" s="283"/>
      <c r="H12" s="283"/>
      <c r="I12" s="283"/>
      <c r="J12" s="283"/>
      <c r="K12" s="283"/>
      <c r="L12" s="314"/>
      <c r="M12" s="314"/>
      <c r="N12" s="338"/>
    </row>
    <row r="13" spans="1:14" x14ac:dyDescent="0.25">
      <c r="B13" s="340"/>
      <c r="C13" s="276" t="s">
        <v>465</v>
      </c>
      <c r="E13" s="283"/>
      <c r="F13" s="283"/>
      <c r="G13" s="283"/>
      <c r="H13" s="283"/>
      <c r="I13" s="283"/>
      <c r="J13" s="283"/>
      <c r="K13" s="283"/>
      <c r="L13" s="314"/>
      <c r="M13" s="314"/>
      <c r="N13" s="338"/>
    </row>
    <row r="14" spans="1:14" x14ac:dyDescent="0.25">
      <c r="B14" s="274"/>
      <c r="C14" s="276" t="s">
        <v>466</v>
      </c>
      <c r="E14" s="283"/>
      <c r="F14" s="283"/>
      <c r="G14" s="283"/>
      <c r="H14" s="283"/>
      <c r="I14" s="283"/>
      <c r="J14" s="283"/>
      <c r="K14" s="283"/>
      <c r="L14" s="314"/>
      <c r="M14" s="314"/>
      <c r="N14" s="338"/>
    </row>
    <row r="15" spans="1:14" x14ac:dyDescent="0.25">
      <c r="B15" s="274"/>
      <c r="C15" s="276" t="s">
        <v>467</v>
      </c>
      <c r="E15" s="283"/>
      <c r="F15" s="283"/>
      <c r="G15" s="283"/>
      <c r="H15" s="283"/>
      <c r="I15" s="283"/>
      <c r="J15" s="283"/>
      <c r="K15" s="283"/>
      <c r="L15" s="314"/>
      <c r="M15" s="314"/>
      <c r="N15" s="338"/>
    </row>
    <row r="16" spans="1:14" x14ac:dyDescent="0.25">
      <c r="A16" s="332"/>
      <c r="B16" s="274" t="s">
        <v>468</v>
      </c>
      <c r="C16" s="276" t="s">
        <v>469</v>
      </c>
      <c r="E16" s="283"/>
      <c r="F16" s="283"/>
      <c r="G16" s="283"/>
      <c r="H16" s="283"/>
      <c r="I16" s="283"/>
      <c r="J16" s="283"/>
      <c r="K16" s="283"/>
      <c r="L16" s="314"/>
      <c r="M16" s="314"/>
      <c r="N16" s="338"/>
    </row>
    <row r="17" spans="1:14" x14ac:dyDescent="0.25">
      <c r="A17" s="332"/>
      <c r="B17" s="274"/>
      <c r="C17" s="283" t="s">
        <v>470</v>
      </c>
      <c r="E17" s="283"/>
      <c r="F17" s="283"/>
      <c r="G17" s="283"/>
      <c r="H17" s="283"/>
      <c r="I17" s="283"/>
      <c r="J17" s="283"/>
      <c r="K17" s="283"/>
      <c r="L17" s="314"/>
      <c r="M17" s="314"/>
      <c r="N17" s="338"/>
    </row>
    <row r="18" spans="1:14" x14ac:dyDescent="0.25">
      <c r="A18" s="332"/>
      <c r="B18" s="274"/>
      <c r="C18" s="283" t="s">
        <v>471</v>
      </c>
      <c r="E18" s="283"/>
      <c r="F18" s="283"/>
      <c r="G18" s="283"/>
      <c r="H18" s="283"/>
      <c r="I18" s="283"/>
      <c r="J18" s="283"/>
      <c r="K18" s="283"/>
      <c r="L18" s="314"/>
      <c r="M18" s="314"/>
      <c r="N18" s="338"/>
    </row>
    <row r="19" spans="1:14" x14ac:dyDescent="0.25">
      <c r="A19" s="332"/>
      <c r="B19" s="274"/>
      <c r="C19" s="283" t="s">
        <v>472</v>
      </c>
      <c r="E19" s="283"/>
      <c r="F19" s="283"/>
      <c r="G19" s="283"/>
      <c r="H19" s="283"/>
      <c r="I19" s="283"/>
      <c r="J19" s="283"/>
      <c r="K19" s="283"/>
      <c r="L19" s="314"/>
      <c r="M19" s="314"/>
      <c r="N19" s="338"/>
    </row>
    <row r="20" spans="1:14" x14ac:dyDescent="0.25">
      <c r="A20" s="332"/>
      <c r="B20" s="274"/>
      <c r="C20" s="283" t="s">
        <v>473</v>
      </c>
      <c r="E20" s="283"/>
      <c r="F20" s="283"/>
      <c r="G20" s="283"/>
      <c r="H20" s="283"/>
      <c r="I20" s="283"/>
      <c r="J20" s="283"/>
      <c r="K20" s="283"/>
      <c r="L20" s="314"/>
      <c r="M20" s="314"/>
      <c r="N20" s="338"/>
    </row>
    <row r="21" spans="1:14" x14ac:dyDescent="0.25">
      <c r="A21" s="332"/>
      <c r="B21" s="274"/>
      <c r="C21" s="283" t="s">
        <v>474</v>
      </c>
      <c r="E21" s="283"/>
      <c r="F21" s="283"/>
      <c r="G21" s="283"/>
      <c r="H21" s="283"/>
      <c r="I21" s="283"/>
      <c r="J21" s="283"/>
      <c r="K21" s="283"/>
      <c r="L21" s="314"/>
      <c r="M21" s="314"/>
      <c r="N21" s="338"/>
    </row>
    <row r="22" spans="1:14" x14ac:dyDescent="0.25">
      <c r="A22" s="332"/>
      <c r="B22" s="274"/>
      <c r="C22" s="283" t="s">
        <v>475</v>
      </c>
      <c r="E22" s="283"/>
      <c r="F22" s="283"/>
      <c r="G22" s="283"/>
      <c r="H22" s="283"/>
      <c r="I22" s="283"/>
      <c r="J22" s="283"/>
      <c r="K22" s="283"/>
      <c r="L22" s="314"/>
      <c r="M22" s="314"/>
      <c r="N22" s="338"/>
    </row>
    <row r="23" spans="1:14" x14ac:dyDescent="0.25">
      <c r="A23" s="332"/>
      <c r="B23" s="337"/>
      <c r="C23" s="276"/>
      <c r="D23" s="276"/>
      <c r="E23" s="283"/>
      <c r="F23" s="283"/>
      <c r="G23" s="283"/>
      <c r="H23" s="283"/>
      <c r="I23" s="283"/>
      <c r="J23" s="283"/>
      <c r="K23" s="283"/>
      <c r="L23" s="314"/>
      <c r="M23" s="314"/>
      <c r="N23" s="338"/>
    </row>
    <row r="24" spans="1:14" x14ac:dyDescent="0.25">
      <c r="A24" s="332"/>
      <c r="B24" s="337"/>
      <c r="C24" s="287" t="s">
        <v>476</v>
      </c>
      <c r="D24" s="339" t="s">
        <v>477</v>
      </c>
      <c r="E24" s="283"/>
      <c r="F24" s="339"/>
      <c r="G24" s="283"/>
      <c r="H24" s="283"/>
      <c r="I24" s="283"/>
      <c r="J24" s="283"/>
      <c r="K24" s="283"/>
      <c r="L24" s="314"/>
      <c r="M24" s="314"/>
      <c r="N24" s="338"/>
    </row>
    <row r="25" spans="1:14" x14ac:dyDescent="0.25">
      <c r="A25" s="332"/>
      <c r="B25" s="337"/>
      <c r="C25" s="283" t="s">
        <v>478</v>
      </c>
      <c r="D25" s="283"/>
      <c r="E25" s="283"/>
      <c r="F25" s="283"/>
      <c r="G25" s="283"/>
      <c r="H25" s="283"/>
      <c r="I25" s="283"/>
      <c r="J25" s="283"/>
      <c r="K25" s="283"/>
      <c r="L25" s="314"/>
      <c r="M25" s="314"/>
      <c r="N25" s="338"/>
    </row>
    <row r="26" spans="1:14" x14ac:dyDescent="0.25">
      <c r="A26" s="332"/>
      <c r="B26" s="337"/>
      <c r="C26" s="276" t="s">
        <v>479</v>
      </c>
      <c r="D26" s="283"/>
      <c r="E26" s="283"/>
      <c r="F26" s="283"/>
      <c r="G26" s="283"/>
      <c r="H26" s="283"/>
      <c r="I26" s="283"/>
      <c r="J26" s="283"/>
      <c r="K26" s="283"/>
      <c r="L26" s="314"/>
      <c r="M26" s="314"/>
      <c r="N26" s="338"/>
    </row>
    <row r="27" spans="1:14" x14ac:dyDescent="0.25">
      <c r="A27" s="332"/>
      <c r="B27" s="337"/>
      <c r="C27" s="276" t="s">
        <v>480</v>
      </c>
      <c r="D27" s="283"/>
      <c r="E27" s="283"/>
      <c r="F27" s="283"/>
      <c r="G27" s="283"/>
      <c r="H27" s="283"/>
      <c r="I27" s="283"/>
      <c r="J27" s="283"/>
      <c r="K27" s="283"/>
      <c r="L27" s="314"/>
      <c r="M27" s="314"/>
      <c r="N27" s="338"/>
    </row>
    <row r="28" spans="1:14" x14ac:dyDescent="0.25">
      <c r="A28" s="332"/>
      <c r="B28" s="337"/>
      <c r="C28" s="276" t="s">
        <v>481</v>
      </c>
      <c r="D28" s="283"/>
      <c r="E28" s="283"/>
      <c r="F28" s="283"/>
      <c r="G28" s="283"/>
      <c r="H28" s="283"/>
      <c r="I28" s="283"/>
      <c r="J28" s="283"/>
      <c r="K28" s="283"/>
      <c r="L28" s="314"/>
      <c r="M28" s="314"/>
      <c r="N28" s="338"/>
    </row>
    <row r="29" spans="1:14" x14ac:dyDescent="0.25">
      <c r="A29" s="332"/>
      <c r="B29" s="337"/>
      <c r="C29" s="276" t="s">
        <v>482</v>
      </c>
      <c r="D29" s="283"/>
      <c r="E29" s="283"/>
      <c r="F29" s="283"/>
      <c r="G29" s="283"/>
      <c r="H29" s="283"/>
      <c r="I29" s="283"/>
      <c r="J29" s="283"/>
      <c r="K29" s="283"/>
      <c r="L29" s="314"/>
      <c r="M29" s="314"/>
      <c r="N29" s="338"/>
    </row>
    <row r="30" spans="1:14" x14ac:dyDescent="0.25">
      <c r="A30" s="332"/>
      <c r="B30" s="337"/>
      <c r="C30" s="276" t="s">
        <v>483</v>
      </c>
      <c r="D30" s="283"/>
      <c r="E30" s="283"/>
      <c r="F30" s="283"/>
      <c r="G30" s="283"/>
      <c r="H30" s="283"/>
      <c r="I30" s="283"/>
      <c r="J30" s="283"/>
      <c r="K30" s="283"/>
      <c r="L30" s="314"/>
      <c r="M30" s="314"/>
      <c r="N30" s="338"/>
    </row>
    <row r="31" spans="1:14" x14ac:dyDescent="0.25">
      <c r="A31" s="332"/>
      <c r="B31" s="337"/>
      <c r="C31" s="276" t="s">
        <v>484</v>
      </c>
      <c r="D31" s="338"/>
      <c r="E31" s="283"/>
      <c r="F31" s="283"/>
      <c r="G31" s="283"/>
      <c r="H31" s="283"/>
      <c r="I31" s="283"/>
      <c r="J31" s="283"/>
      <c r="K31" s="283"/>
      <c r="L31" s="314"/>
      <c r="M31" s="314"/>
      <c r="N31" s="338"/>
    </row>
    <row r="32" spans="1:14" x14ac:dyDescent="0.25">
      <c r="A32" s="332"/>
      <c r="B32" s="337"/>
      <c r="C32" s="276" t="s">
        <v>485</v>
      </c>
      <c r="D32" s="338"/>
      <c r="E32" s="283"/>
      <c r="F32" s="283"/>
      <c r="G32" s="283"/>
      <c r="H32" s="283"/>
      <c r="I32" s="283"/>
      <c r="J32" s="283"/>
      <c r="K32" s="283"/>
      <c r="L32" s="314"/>
      <c r="M32" s="314"/>
      <c r="N32" s="338"/>
    </row>
    <row r="33" spans="1:14" x14ac:dyDescent="0.25">
      <c r="A33" s="332"/>
      <c r="B33" s="337"/>
      <c r="C33" s="276" t="s">
        <v>486</v>
      </c>
      <c r="D33" s="338"/>
      <c r="E33" s="283"/>
      <c r="F33" s="283"/>
      <c r="G33" s="283"/>
      <c r="H33" s="283"/>
      <c r="I33" s="283"/>
      <c r="J33" s="283"/>
      <c r="K33" s="283"/>
      <c r="L33" s="314"/>
      <c r="M33" s="314"/>
      <c r="N33" s="338"/>
    </row>
    <row r="34" spans="1:14" x14ac:dyDescent="0.25">
      <c r="A34" s="332"/>
      <c r="B34" s="337"/>
      <c r="C34" s="276" t="s">
        <v>535</v>
      </c>
      <c r="D34" s="338"/>
      <c r="E34" s="283"/>
      <c r="F34" s="283"/>
      <c r="G34" s="283"/>
      <c r="H34" s="283"/>
      <c r="I34" s="283"/>
      <c r="J34" s="283"/>
      <c r="K34" s="283"/>
      <c r="L34" s="314"/>
      <c r="M34" s="314"/>
      <c r="N34" s="338"/>
    </row>
    <row r="35" spans="1:14" x14ac:dyDescent="0.25">
      <c r="A35" s="332"/>
      <c r="B35" s="337"/>
      <c r="C35" s="276" t="s">
        <v>487</v>
      </c>
      <c r="D35" s="338"/>
      <c r="E35" s="283"/>
      <c r="F35" s="283"/>
      <c r="G35" s="283"/>
      <c r="H35" s="283"/>
      <c r="I35" s="283"/>
      <c r="J35" s="283"/>
      <c r="K35" s="283"/>
      <c r="L35" s="314"/>
      <c r="M35" s="314"/>
      <c r="N35" s="338"/>
    </row>
    <row r="36" spans="1:14" x14ac:dyDescent="0.25">
      <c r="A36" s="332"/>
      <c r="B36" s="337"/>
      <c r="C36" s="283"/>
      <c r="D36" s="283"/>
      <c r="E36" s="283"/>
      <c r="F36" s="283"/>
      <c r="G36" s="283"/>
      <c r="H36" s="283"/>
      <c r="I36" s="283"/>
      <c r="J36" s="283"/>
      <c r="K36" s="283"/>
      <c r="L36" s="314"/>
      <c r="M36" s="314"/>
      <c r="N36" s="338"/>
    </row>
    <row r="37" spans="1:14" x14ac:dyDescent="0.25">
      <c r="A37" s="332"/>
      <c r="B37" s="274"/>
      <c r="C37" s="341" t="s">
        <v>284</v>
      </c>
      <c r="D37" s="342" t="s">
        <v>488</v>
      </c>
      <c r="E37" s="283"/>
      <c r="F37" s="342"/>
      <c r="G37" s="276"/>
      <c r="H37" s="276"/>
      <c r="I37" s="276"/>
      <c r="J37" s="276"/>
      <c r="K37" s="343"/>
      <c r="L37" s="343"/>
      <c r="M37" s="276"/>
      <c r="N37" s="280"/>
    </row>
    <row r="38" spans="1:14" x14ac:dyDescent="0.25">
      <c r="A38" s="332"/>
      <c r="B38" s="274"/>
      <c r="C38" s="275"/>
      <c r="D38" s="276"/>
      <c r="E38" s="284"/>
      <c r="F38" s="276"/>
      <c r="G38" s="276"/>
      <c r="H38" s="276"/>
      <c r="I38" s="276"/>
      <c r="J38" s="276"/>
      <c r="K38" s="343"/>
      <c r="L38" s="343"/>
      <c r="M38" s="276"/>
      <c r="N38" s="280"/>
    </row>
    <row r="39" spans="1:14" x14ac:dyDescent="0.25">
      <c r="A39" s="332"/>
      <c r="B39" s="274"/>
      <c r="C39" s="313" t="s">
        <v>73</v>
      </c>
      <c r="D39" s="344" t="s">
        <v>489</v>
      </c>
      <c r="E39" s="283"/>
      <c r="F39" s="344"/>
      <c r="G39" s="344"/>
      <c r="H39" s="344"/>
      <c r="I39" s="276"/>
      <c r="J39" s="276"/>
      <c r="K39" s="276"/>
      <c r="L39" s="276"/>
      <c r="M39" s="276"/>
      <c r="N39" s="280"/>
    </row>
    <row r="40" spans="1:14" x14ac:dyDescent="0.25">
      <c r="A40" s="332"/>
      <c r="B40" s="274"/>
      <c r="C40" s="286">
        <v>1</v>
      </c>
      <c r="D40" s="287" t="s">
        <v>490</v>
      </c>
      <c r="E40" s="283"/>
      <c r="F40" s="283"/>
      <c r="G40" s="288"/>
      <c r="H40" s="276"/>
      <c r="I40" s="276"/>
      <c r="J40" s="276"/>
      <c r="K40" s="276"/>
      <c r="L40" s="276"/>
      <c r="M40" s="276"/>
      <c r="N40" s="280"/>
    </row>
    <row r="41" spans="1:14" x14ac:dyDescent="0.25">
      <c r="A41" s="332"/>
      <c r="B41" s="274"/>
      <c r="C41" s="345" t="s">
        <v>491</v>
      </c>
      <c r="D41" s="276"/>
      <c r="E41" s="283"/>
      <c r="F41" s="287"/>
      <c r="G41" s="288"/>
      <c r="H41" s="276"/>
      <c r="I41" s="276"/>
      <c r="J41" s="276"/>
      <c r="K41" s="276"/>
      <c r="L41" s="276"/>
      <c r="M41" s="276"/>
      <c r="N41" s="280"/>
    </row>
    <row r="42" spans="1:14" x14ac:dyDescent="0.25">
      <c r="A42" s="332"/>
      <c r="B42" s="337"/>
      <c r="C42" s="345" t="s">
        <v>492</v>
      </c>
      <c r="D42" s="283"/>
      <c r="E42" s="283"/>
      <c r="F42" s="278"/>
      <c r="G42" s="278"/>
      <c r="H42" s="278"/>
      <c r="I42" s="278"/>
      <c r="J42" s="278"/>
      <c r="K42" s="278"/>
      <c r="L42" s="278"/>
      <c r="M42" s="346"/>
      <c r="N42" s="338"/>
    </row>
    <row r="43" spans="1:14" x14ac:dyDescent="0.25">
      <c r="A43" s="332"/>
      <c r="B43" s="337"/>
      <c r="C43" s="347"/>
      <c r="D43" s="283"/>
      <c r="E43" s="345"/>
      <c r="F43" s="278"/>
      <c r="G43" s="278"/>
      <c r="H43" s="278"/>
      <c r="I43" s="278"/>
      <c r="J43" s="278"/>
      <c r="K43" s="278"/>
      <c r="L43" s="278"/>
      <c r="M43" s="346"/>
      <c r="N43" s="338"/>
    </row>
    <row r="44" spans="1:14" x14ac:dyDescent="0.25">
      <c r="A44" s="332"/>
      <c r="B44" s="337"/>
      <c r="C44" s="335">
        <v>3</v>
      </c>
      <c r="D44" s="348" t="s">
        <v>493</v>
      </c>
      <c r="E44" s="283"/>
      <c r="F44" s="283"/>
      <c r="G44" s="278"/>
      <c r="H44" s="278"/>
      <c r="I44" s="278"/>
      <c r="J44" s="278"/>
      <c r="K44" s="278"/>
      <c r="L44" s="278"/>
      <c r="M44" s="346"/>
      <c r="N44" s="338"/>
    </row>
    <row r="45" spans="1:14" x14ac:dyDescent="0.25">
      <c r="A45" s="332"/>
      <c r="B45" s="337"/>
      <c r="C45" s="347">
        <v>3.1</v>
      </c>
      <c r="D45" s="349" t="s">
        <v>494</v>
      </c>
      <c r="E45" s="278"/>
      <c r="F45" s="283"/>
      <c r="G45" s="278"/>
      <c r="H45" s="278"/>
      <c r="I45" s="278"/>
      <c r="J45" s="278"/>
      <c r="K45" s="278"/>
      <c r="L45" s="278"/>
      <c r="M45" s="346"/>
      <c r="N45" s="338"/>
    </row>
    <row r="46" spans="1:14" x14ac:dyDescent="0.25">
      <c r="A46" s="332"/>
      <c r="B46" s="337"/>
      <c r="C46" s="347"/>
      <c r="D46" s="288" t="str">
        <f>'BV18'!B10</f>
        <v>&gt;  Kliente per punime te kryera me fonde publike (Customer Receivable for public works)</v>
      </c>
      <c r="E46" s="332"/>
      <c r="F46" s="283"/>
      <c r="G46" s="276"/>
      <c r="H46" s="276"/>
      <c r="I46" s="276"/>
      <c r="J46" s="350">
        <f>'BV18'!G10</f>
        <v>267180774.76999992</v>
      </c>
      <c r="K46" s="276"/>
      <c r="L46" s="285"/>
      <c r="M46" s="346"/>
      <c r="N46" s="338"/>
    </row>
    <row r="47" spans="1:14" x14ac:dyDescent="0.25">
      <c r="A47" s="332"/>
      <c r="B47" s="337"/>
      <c r="C47" s="347"/>
      <c r="D47" s="288" t="str">
        <f>'BV18'!B11</f>
        <v>&gt;  Kliente per produkte dhe sherbime private (Customer Receivable for private works)</v>
      </c>
      <c r="E47" s="332"/>
      <c r="F47" s="283"/>
      <c r="G47" s="276"/>
      <c r="H47" s="276"/>
      <c r="I47" s="276"/>
      <c r="J47" s="350">
        <f>'BV18'!G11</f>
        <v>16094833.180417798</v>
      </c>
      <c r="K47" s="276"/>
      <c r="L47" s="285"/>
      <c r="M47" s="346"/>
      <c r="N47" s="338"/>
    </row>
    <row r="48" spans="1:14" x14ac:dyDescent="0.25">
      <c r="A48" s="332"/>
      <c r="B48" s="337"/>
      <c r="C48" s="347"/>
      <c r="D48" s="288" t="str">
        <f>'BV18'!B12</f>
        <v>&gt;  Tatim mbi fitimin (Profit Tax Prepaid)</v>
      </c>
      <c r="E48" s="332"/>
      <c r="F48" s="283"/>
      <c r="G48" s="276"/>
      <c r="H48" s="276"/>
      <c r="I48" s="276"/>
      <c r="J48" s="350">
        <f>'BV18'!G12</f>
        <v>8598265.8306413628</v>
      </c>
      <c r="K48" s="276"/>
      <c r="L48" s="285"/>
      <c r="M48" s="346"/>
      <c r="N48" s="338"/>
    </row>
    <row r="49" spans="1:14" x14ac:dyDescent="0.25">
      <c r="A49" s="332"/>
      <c r="B49" s="337"/>
      <c r="C49" s="347"/>
      <c r="D49" s="288"/>
      <c r="E49" s="351"/>
      <c r="F49" s="283"/>
      <c r="G49" s="276"/>
      <c r="H49" s="276"/>
      <c r="I49" s="276"/>
      <c r="J49" s="285"/>
      <c r="K49" s="285"/>
      <c r="L49" s="285"/>
      <c r="M49" s="346"/>
      <c r="N49" s="338"/>
    </row>
    <row r="50" spans="1:14" x14ac:dyDescent="0.25">
      <c r="A50" s="332"/>
      <c r="B50" s="274"/>
      <c r="C50" s="275"/>
      <c r="D50" s="276"/>
      <c r="E50" s="277"/>
      <c r="F50" s="278"/>
      <c r="G50" s="278"/>
      <c r="H50" s="278"/>
      <c r="I50" s="278"/>
      <c r="J50" s="278"/>
      <c r="K50" s="278"/>
      <c r="L50" s="278"/>
      <c r="M50" s="279"/>
      <c r="N50" s="280"/>
    </row>
    <row r="51" spans="1:14" x14ac:dyDescent="0.25">
      <c r="A51" s="332"/>
      <c r="B51" s="274"/>
      <c r="C51" s="281" t="s">
        <v>85</v>
      </c>
      <c r="D51" s="282" t="s">
        <v>423</v>
      </c>
      <c r="E51" s="283"/>
      <c r="F51" s="282"/>
      <c r="G51" s="276"/>
      <c r="H51" s="276"/>
      <c r="I51" s="284"/>
      <c r="J51" s="276"/>
      <c r="K51" s="284"/>
      <c r="L51" s="285"/>
      <c r="M51" s="276"/>
      <c r="N51" s="280"/>
    </row>
    <row r="52" spans="1:14" x14ac:dyDescent="0.25">
      <c r="A52" s="332"/>
      <c r="B52" s="274"/>
      <c r="C52" s="286">
        <v>4</v>
      </c>
      <c r="D52" s="287" t="s">
        <v>424</v>
      </c>
      <c r="E52" s="283"/>
      <c r="F52" s="283"/>
      <c r="G52" s="288"/>
      <c r="H52" s="276"/>
      <c r="I52" s="276"/>
      <c r="J52" s="276"/>
      <c r="K52" s="276"/>
      <c r="L52" s="276"/>
      <c r="M52" s="276"/>
      <c r="N52" s="280"/>
    </row>
    <row r="53" spans="1:14" x14ac:dyDescent="0.25">
      <c r="A53" s="332"/>
      <c r="B53" s="274"/>
      <c r="C53" s="289"/>
      <c r="D53" s="276"/>
      <c r="E53" s="290"/>
      <c r="F53" s="291"/>
      <c r="G53" s="276"/>
      <c r="H53" s="276"/>
      <c r="I53" s="276"/>
      <c r="J53" s="276"/>
      <c r="K53" s="284"/>
      <c r="L53" s="285"/>
      <c r="M53" s="276"/>
      <c r="N53" s="280"/>
    </row>
    <row r="54" spans="1:14" ht="31.5" x14ac:dyDescent="0.25">
      <c r="A54" s="332"/>
      <c r="B54" s="274"/>
      <c r="C54" s="289"/>
      <c r="D54" s="514" t="s">
        <v>495</v>
      </c>
      <c r="E54" s="514"/>
      <c r="F54" s="514"/>
      <c r="G54" s="514"/>
      <c r="H54" s="352" t="s">
        <v>496</v>
      </c>
      <c r="I54" s="352" t="s">
        <v>497</v>
      </c>
      <c r="J54" s="352" t="s">
        <v>498</v>
      </c>
      <c r="K54" s="352" t="s">
        <v>499</v>
      </c>
      <c r="L54" s="285"/>
      <c r="M54" s="276"/>
      <c r="N54" s="280"/>
    </row>
    <row r="55" spans="1:14" ht="15" customHeight="1" x14ac:dyDescent="0.25">
      <c r="A55" s="332"/>
      <c r="B55" s="274"/>
      <c r="C55" s="289"/>
      <c r="D55" s="525" t="str">
        <f>'BV18'!B15</f>
        <v>&gt;  Lendet e para (Raw Materials)</v>
      </c>
      <c r="E55" s="525"/>
      <c r="F55" s="525"/>
      <c r="G55" s="525"/>
      <c r="H55" s="353">
        <f>'BV18'!D15</f>
        <v>1146126.4999999404</v>
      </c>
      <c r="I55" s="353">
        <f>'BV18'!E15</f>
        <v>124232337.8</v>
      </c>
      <c r="J55" s="353">
        <f>'BV18'!F15</f>
        <v>122167184.3</v>
      </c>
      <c r="K55" s="354">
        <f>H55+I55-J55</f>
        <v>3211279.9999999404</v>
      </c>
      <c r="L55" s="285"/>
      <c r="M55" s="276"/>
      <c r="N55" s="280"/>
    </row>
    <row r="56" spans="1:14" x14ac:dyDescent="0.25">
      <c r="A56" s="332"/>
      <c r="B56" s="274"/>
      <c r="C56" s="289"/>
      <c r="D56" s="283"/>
      <c r="E56" s="355"/>
      <c r="F56" s="349"/>
      <c r="G56" s="283"/>
      <c r="H56" s="283"/>
      <c r="I56" s="283"/>
      <c r="J56" s="283"/>
      <c r="K56" s="351"/>
      <c r="L56" s="285"/>
      <c r="M56" s="276"/>
      <c r="N56" s="280"/>
    </row>
    <row r="57" spans="1:14" x14ac:dyDescent="0.25">
      <c r="A57" s="332"/>
      <c r="B57" s="274"/>
      <c r="C57" s="289"/>
      <c r="D57" s="515" t="s">
        <v>500</v>
      </c>
      <c r="E57" s="515"/>
      <c r="F57" s="515"/>
      <c r="G57" s="356" t="s">
        <v>4</v>
      </c>
      <c r="H57" s="356" t="s">
        <v>5</v>
      </c>
      <c r="I57" s="356" t="s">
        <v>501</v>
      </c>
      <c r="J57" s="357" t="s">
        <v>6</v>
      </c>
      <c r="K57" s="351"/>
      <c r="L57" s="285"/>
      <c r="M57" s="276"/>
      <c r="N57" s="280"/>
    </row>
    <row r="58" spans="1:14" x14ac:dyDescent="0.25">
      <c r="A58" s="332"/>
      <c r="B58" s="274"/>
      <c r="C58" s="289"/>
      <c r="D58" s="526" t="str">
        <f>'MP18'!B5</f>
        <v>Nafte</v>
      </c>
      <c r="E58" s="527"/>
      <c r="F58" s="528"/>
      <c r="G58" s="358" t="str">
        <f>'MP18'!C5</f>
        <v>Litra</v>
      </c>
      <c r="H58" s="445">
        <f>'MP18'!D5</f>
        <v>5580</v>
      </c>
      <c r="I58" s="445">
        <f>'MP18'!E5</f>
        <v>141</v>
      </c>
      <c r="J58" s="359">
        <f>H58*I58</f>
        <v>786780</v>
      </c>
      <c r="K58" s="351"/>
      <c r="L58" s="285"/>
      <c r="M58" s="276"/>
      <c r="N58" s="280"/>
    </row>
    <row r="59" spans="1:14" x14ac:dyDescent="0.25">
      <c r="A59" s="332"/>
      <c r="B59" s="274"/>
      <c r="C59" s="289"/>
      <c r="D59" s="526" t="str">
        <f>'MP18'!B6</f>
        <v>Materiale hidraulike</v>
      </c>
      <c r="E59" s="527"/>
      <c r="F59" s="528"/>
      <c r="G59" s="358" t="str">
        <f>'MP18'!C6</f>
        <v>Leke</v>
      </c>
      <c r="H59" s="445">
        <v>1</v>
      </c>
      <c r="I59" s="445">
        <f>'MP18'!F6</f>
        <v>1324500</v>
      </c>
      <c r="J59" s="359">
        <f t="shared" ref="J59:J60" si="0">H59*I59</f>
        <v>1324500</v>
      </c>
      <c r="K59" s="351"/>
      <c r="L59" s="285"/>
      <c r="M59" s="276"/>
      <c r="N59" s="280"/>
    </row>
    <row r="60" spans="1:14" x14ac:dyDescent="0.25">
      <c r="A60" s="332"/>
      <c r="B60" s="274"/>
      <c r="C60" s="289"/>
      <c r="D60" s="526" t="str">
        <f>'MP18'!B7</f>
        <v>Stabilizante</v>
      </c>
      <c r="E60" s="527"/>
      <c r="F60" s="528"/>
      <c r="G60" s="358" t="str">
        <f>'MP18'!C7</f>
        <v>m3</v>
      </c>
      <c r="H60" s="445">
        <f>'MP18'!D7</f>
        <v>2200</v>
      </c>
      <c r="I60" s="445">
        <f>'MP18'!E7</f>
        <v>500</v>
      </c>
      <c r="J60" s="359">
        <f t="shared" si="0"/>
        <v>1100000</v>
      </c>
      <c r="K60" s="351"/>
      <c r="L60" s="285"/>
      <c r="M60" s="276"/>
      <c r="N60" s="280"/>
    </row>
    <row r="61" spans="1:14" x14ac:dyDescent="0.25">
      <c r="A61" s="332"/>
      <c r="B61" s="274"/>
      <c r="C61" s="289"/>
      <c r="D61" s="276"/>
      <c r="E61" s="290"/>
      <c r="F61" s="291"/>
      <c r="G61" s="276"/>
      <c r="H61" s="276"/>
      <c r="I61" s="276"/>
      <c r="J61" s="276"/>
      <c r="K61" s="284"/>
      <c r="L61" s="285"/>
      <c r="M61" s="276"/>
      <c r="N61" s="280"/>
    </row>
    <row r="62" spans="1:14" ht="16.5" x14ac:dyDescent="0.35">
      <c r="A62" s="332"/>
      <c r="B62" s="274"/>
      <c r="C62" s="289"/>
      <c r="D62" s="446" t="s">
        <v>533</v>
      </c>
      <c r="E62" s="361"/>
      <c r="F62" s="362"/>
      <c r="G62" s="362"/>
      <c r="H62" s="362"/>
      <c r="I62" s="363"/>
      <c r="J62" s="364">
        <f>'BV18'!G18</f>
        <v>76766568.999200001</v>
      </c>
      <c r="K62" s="284"/>
      <c r="L62" s="285"/>
      <c r="M62" s="276"/>
      <c r="N62" s="280"/>
    </row>
    <row r="63" spans="1:14" ht="16.5" x14ac:dyDescent="0.35">
      <c r="A63" s="332"/>
      <c r="B63" s="274"/>
      <c r="C63" s="289"/>
      <c r="D63" s="531" t="s">
        <v>534</v>
      </c>
      <c r="E63" s="532"/>
      <c r="F63" s="532"/>
      <c r="G63" s="532"/>
      <c r="H63" s="532"/>
      <c r="I63" s="533"/>
      <c r="J63" s="365">
        <v>52466568.999200001</v>
      </c>
      <c r="K63" s="284"/>
      <c r="L63" s="285"/>
      <c r="M63" s="276"/>
      <c r="N63" s="280"/>
    </row>
    <row r="64" spans="1:14" ht="16.5" x14ac:dyDescent="0.35">
      <c r="A64" s="332"/>
      <c r="B64" s="274"/>
      <c r="C64" s="289"/>
      <c r="D64" s="534" t="s">
        <v>532</v>
      </c>
      <c r="E64" s="535"/>
      <c r="F64" s="535"/>
      <c r="G64" s="535"/>
      <c r="H64" s="535"/>
      <c r="I64" s="536"/>
      <c r="J64" s="365">
        <v>24300000</v>
      </c>
      <c r="K64" s="284"/>
      <c r="L64" s="285"/>
      <c r="M64" s="276"/>
      <c r="N64" s="280"/>
    </row>
    <row r="65" spans="1:14" x14ac:dyDescent="0.25">
      <c r="A65" s="284"/>
      <c r="B65" s="284"/>
      <c r="C65" s="284"/>
      <c r="D65" s="284"/>
      <c r="E65" s="284"/>
      <c r="F65" s="284"/>
      <c r="G65" s="284"/>
      <c r="H65" s="284"/>
      <c r="I65" s="284"/>
      <c r="J65" s="284"/>
      <c r="K65" s="284"/>
      <c r="L65" s="285"/>
      <c r="M65" s="276"/>
      <c r="N65" s="280"/>
    </row>
    <row r="66" spans="1:14" ht="16.5" x14ac:dyDescent="0.35">
      <c r="A66" s="332"/>
      <c r="B66" s="274"/>
      <c r="C66" s="289"/>
      <c r="D66" s="360" t="s">
        <v>246</v>
      </c>
      <c r="E66" s="366"/>
      <c r="F66" s="367"/>
      <c r="G66" s="368"/>
      <c r="H66" s="367"/>
      <c r="I66" s="367"/>
      <c r="J66" s="365">
        <f>'BV18'!G19</f>
        <v>285106.5</v>
      </c>
      <c r="K66" s="284"/>
      <c r="L66" s="285"/>
      <c r="M66" s="276"/>
      <c r="N66" s="280"/>
    </row>
    <row r="67" spans="1:14" ht="16.5" x14ac:dyDescent="0.35">
      <c r="A67" s="332"/>
      <c r="B67" s="274"/>
      <c r="C67" s="289"/>
      <c r="D67" s="360" t="s">
        <v>245</v>
      </c>
      <c r="E67" s="366"/>
      <c r="F67" s="367"/>
      <c r="G67" s="368"/>
      <c r="H67" s="367"/>
      <c r="I67" s="367"/>
      <c r="J67" s="365">
        <f>'BV18'!G20</f>
        <v>317545.02</v>
      </c>
      <c r="K67" s="284"/>
      <c r="L67" s="285"/>
      <c r="M67" s="276"/>
      <c r="N67" s="280"/>
    </row>
    <row r="68" spans="1:14" x14ac:dyDescent="0.25">
      <c r="A68" s="332"/>
      <c r="B68" s="274"/>
      <c r="C68" s="289"/>
      <c r="D68" s="276"/>
      <c r="E68" s="290"/>
      <c r="F68" s="291"/>
      <c r="G68" s="276"/>
      <c r="H68" s="276"/>
      <c r="I68" s="276"/>
      <c r="J68" s="276"/>
      <c r="K68" s="284"/>
      <c r="L68" s="285"/>
      <c r="M68" s="276"/>
      <c r="N68" s="280"/>
    </row>
    <row r="69" spans="1:14" x14ac:dyDescent="0.25">
      <c r="A69" s="332"/>
      <c r="B69" s="274"/>
      <c r="C69" s="289"/>
      <c r="D69" s="276"/>
      <c r="E69" s="290"/>
      <c r="F69" s="291"/>
      <c r="G69" s="276"/>
      <c r="H69" s="276"/>
      <c r="I69" s="276"/>
      <c r="J69" s="276"/>
      <c r="K69" s="284"/>
      <c r="L69" s="285"/>
      <c r="M69" s="276"/>
      <c r="N69" s="280"/>
    </row>
    <row r="70" spans="1:14" x14ac:dyDescent="0.25">
      <c r="A70" s="332"/>
      <c r="B70" s="274"/>
      <c r="C70" s="275"/>
      <c r="D70" s="516" t="s">
        <v>0</v>
      </c>
      <c r="E70" s="518" t="s">
        <v>425</v>
      </c>
      <c r="F70" s="519"/>
      <c r="G70" s="522" t="s">
        <v>426</v>
      </c>
      <c r="H70" s="523"/>
      <c r="I70" s="523"/>
      <c r="J70" s="524"/>
      <c r="K70" s="542" t="s">
        <v>427</v>
      </c>
      <c r="L70" s="542" t="s">
        <v>428</v>
      </c>
      <c r="M70" s="276"/>
      <c r="N70" s="280"/>
    </row>
    <row r="71" spans="1:14" ht="45.75" customHeight="1" x14ac:dyDescent="0.25">
      <c r="A71" s="332"/>
      <c r="B71" s="274"/>
      <c r="C71" s="275"/>
      <c r="D71" s="517"/>
      <c r="E71" s="520"/>
      <c r="F71" s="521"/>
      <c r="G71" s="369" t="s">
        <v>429</v>
      </c>
      <c r="H71" s="369" t="s">
        <v>430</v>
      </c>
      <c r="I71" s="369" t="s">
        <v>431</v>
      </c>
      <c r="J71" s="369" t="s">
        <v>432</v>
      </c>
      <c r="K71" s="543"/>
      <c r="L71" s="543"/>
      <c r="M71" s="276"/>
      <c r="N71" s="280"/>
    </row>
    <row r="72" spans="1:14" x14ac:dyDescent="0.25">
      <c r="A72" s="332"/>
      <c r="B72" s="274"/>
      <c r="C72" s="275"/>
      <c r="D72" s="370">
        <v>1</v>
      </c>
      <c r="E72" s="371" t="str">
        <f>P.AQT18!E7</f>
        <v>Toka</v>
      </c>
      <c r="F72" s="372"/>
      <c r="G72" s="373">
        <f>P.AQT18!G7</f>
        <v>85799800</v>
      </c>
      <c r="H72" s="373">
        <f>P.AQT18!H7</f>
        <v>0</v>
      </c>
      <c r="I72" s="373">
        <f>P.AQT18!I7</f>
        <v>0</v>
      </c>
      <c r="J72" s="373">
        <f>G72+H72-I72</f>
        <v>85799800</v>
      </c>
      <c r="K72" s="374"/>
      <c r="L72" s="375">
        <f>J72-K72</f>
        <v>85799800</v>
      </c>
      <c r="M72" s="276"/>
      <c r="N72" s="280"/>
    </row>
    <row r="73" spans="1:14" ht="23.25" customHeight="1" x14ac:dyDescent="0.25">
      <c r="A73" s="332"/>
      <c r="B73" s="274"/>
      <c r="C73" s="275"/>
      <c r="D73" s="370">
        <v>2</v>
      </c>
      <c r="E73" s="529" t="str">
        <f>P.AQT18!E8</f>
        <v>Ndertime gjithesej ne proces dhe perdorim b=(3+4):</v>
      </c>
      <c r="F73" s="530"/>
      <c r="G73" s="373">
        <f>SUM(G74:G75)</f>
        <v>162515737.56630901</v>
      </c>
      <c r="H73" s="373">
        <f t="shared" ref="H73:I73" si="1">SUM(H74:H75)</f>
        <v>0</v>
      </c>
      <c r="I73" s="373">
        <f t="shared" si="1"/>
        <v>0</v>
      </c>
      <c r="J73" s="373">
        <f>SUM(J74:J75)</f>
        <v>162515737.56630901</v>
      </c>
      <c r="K73" s="373">
        <f t="shared" ref="K73" si="2">SUM(K74:K75)</f>
        <v>4431563.9870000007</v>
      </c>
      <c r="L73" s="373">
        <f>SUM(L74:L75)</f>
        <v>158084173.57930902</v>
      </c>
      <c r="M73" s="276"/>
      <c r="N73" s="280"/>
    </row>
    <row r="74" spans="1:14" x14ac:dyDescent="0.25">
      <c r="A74" s="332"/>
      <c r="B74" s="274"/>
      <c r="C74" s="275"/>
      <c r="D74" s="370">
        <v>3</v>
      </c>
      <c r="E74" s="371" t="str">
        <f>P.AQT18!E9</f>
        <v xml:space="preserve">-Ndertime gjithsej ne proces </v>
      </c>
      <c r="F74" s="372"/>
      <c r="G74" s="376">
        <f>P.AQT18!G9</f>
        <v>136458077.56630901</v>
      </c>
      <c r="H74" s="377"/>
      <c r="I74" s="377"/>
      <c r="J74" s="376">
        <f>G74+H74-I74</f>
        <v>136458077.56630901</v>
      </c>
      <c r="K74" s="378">
        <v>0</v>
      </c>
      <c r="L74" s="379">
        <f>J74-K74</f>
        <v>136458077.56630901</v>
      </c>
      <c r="M74" s="276"/>
      <c r="N74" s="280"/>
    </row>
    <row r="75" spans="1:14" x14ac:dyDescent="0.25">
      <c r="A75" s="332"/>
      <c r="B75" s="274"/>
      <c r="C75" s="275"/>
      <c r="D75" s="370">
        <v>4</v>
      </c>
      <c r="E75" s="371" t="str">
        <f>P.AQT18!E10</f>
        <v>-Ne shfrytezim</v>
      </c>
      <c r="F75" s="372"/>
      <c r="G75" s="376">
        <f>P.AQT18!G10</f>
        <v>26057660</v>
      </c>
      <c r="H75" s="377"/>
      <c r="I75" s="377"/>
      <c r="J75" s="376">
        <f>G75+H75-I75</f>
        <v>26057660</v>
      </c>
      <c r="K75" s="378">
        <f>L137</f>
        <v>4431563.9870000007</v>
      </c>
      <c r="L75" s="379">
        <f>J75-K75</f>
        <v>21626096.013</v>
      </c>
      <c r="M75" s="276"/>
      <c r="N75" s="280"/>
    </row>
    <row r="76" spans="1:14" x14ac:dyDescent="0.25">
      <c r="A76" s="332"/>
      <c r="B76" s="274"/>
      <c r="C76" s="275"/>
      <c r="D76" s="370">
        <v>4</v>
      </c>
      <c r="E76" s="371" t="str">
        <f>P.AQT18!E11</f>
        <v>Makineri e pajisje:</v>
      </c>
      <c r="F76" s="372"/>
      <c r="G76" s="373">
        <f>SUM(G77:G78)</f>
        <v>57738803.027137145</v>
      </c>
      <c r="H76" s="373">
        <f>SUM(H77:H78)</f>
        <v>7780664</v>
      </c>
      <c r="I76" s="373">
        <f t="shared" ref="I76" si="3">SUM(I77:I78)</f>
        <v>0</v>
      </c>
      <c r="J76" s="373">
        <f>SUM(J77:J78)</f>
        <v>65519467.027137145</v>
      </c>
      <c r="K76" s="373">
        <f>SUM(K77:K78)</f>
        <v>28700930.058865305</v>
      </c>
      <c r="L76" s="373">
        <f>SUM(L77:L78)</f>
        <v>36818536.968271837</v>
      </c>
      <c r="M76" s="373">
        <f>SUM(M77:M78)</f>
        <v>0</v>
      </c>
      <c r="N76" s="280"/>
    </row>
    <row r="77" spans="1:14" x14ac:dyDescent="0.25">
      <c r="A77" s="332"/>
      <c r="B77" s="274"/>
      <c r="C77" s="275"/>
      <c r="D77" s="370"/>
      <c r="E77" s="371" t="str">
        <f>P.AQT18!E12</f>
        <v xml:space="preserve"> - Makineri e pajisje</v>
      </c>
      <c r="F77" s="372"/>
      <c r="G77" s="376">
        <f>P.AQT18!G12</f>
        <v>57738803.027137145</v>
      </c>
      <c r="H77" s="376">
        <f>P.AQT18!H12</f>
        <v>3381960</v>
      </c>
      <c r="I77" s="377"/>
      <c r="J77" s="376">
        <f>G77+H77-I77</f>
        <v>61120763.027137145</v>
      </c>
      <c r="K77" s="378">
        <f>P.AQT18!L26</f>
        <v>28700930.058865305</v>
      </c>
      <c r="L77" s="379">
        <f t="shared" ref="L77:L78" si="4">J77-K77</f>
        <v>32419832.96827184</v>
      </c>
      <c r="M77" s="276"/>
      <c r="N77" s="280"/>
    </row>
    <row r="78" spans="1:14" ht="24" customHeight="1" x14ac:dyDescent="0.25">
      <c r="A78" s="332"/>
      <c r="B78" s="274"/>
      <c r="C78" s="275"/>
      <c r="D78" s="370"/>
      <c r="E78" s="529" t="str">
        <f>P.AQT18!E13</f>
        <v xml:space="preserve"> - Makineri e pajisje (pjese kembimi, goma dhe riparim paisje)</v>
      </c>
      <c r="F78" s="530"/>
      <c r="G78" s="377"/>
      <c r="H78" s="376">
        <f>P.AQT18!H13</f>
        <v>4398704</v>
      </c>
      <c r="I78" s="377"/>
      <c r="J78" s="376">
        <f>G78+H78-I78</f>
        <v>4398704</v>
      </c>
      <c r="K78" s="378"/>
      <c r="L78" s="379">
        <f t="shared" si="4"/>
        <v>4398704</v>
      </c>
      <c r="M78" s="276"/>
      <c r="N78" s="280"/>
    </row>
    <row r="79" spans="1:14" x14ac:dyDescent="0.25">
      <c r="A79" s="332"/>
      <c r="B79" s="274"/>
      <c r="C79" s="275"/>
      <c r="D79" s="370">
        <v>4</v>
      </c>
      <c r="E79" s="371" t="str">
        <f>P.AQT18!E14</f>
        <v>AAM të tjera:</v>
      </c>
      <c r="F79" s="372"/>
      <c r="G79" s="373">
        <f>SUM(G80:G81)</f>
        <v>1731652.0468505127</v>
      </c>
      <c r="H79" s="373">
        <f>SUM(H80:H81)</f>
        <v>247640</v>
      </c>
      <c r="I79" s="373">
        <f t="shared" ref="I79:J79" si="5">SUM(I80:I81)</f>
        <v>0</v>
      </c>
      <c r="J79" s="373">
        <f t="shared" si="5"/>
        <v>1979292.0468505127</v>
      </c>
      <c r="K79" s="373">
        <f t="shared" ref="K79" si="6">SUM(K80:K81)</f>
        <v>1012924.4334858056</v>
      </c>
      <c r="L79" s="373">
        <f t="shared" ref="L79" si="7">SUM(L80:L81)</f>
        <v>966367.61336470721</v>
      </c>
      <c r="M79" s="276"/>
      <c r="N79" s="280"/>
    </row>
    <row r="80" spans="1:14" x14ac:dyDescent="0.25">
      <c r="A80" s="332"/>
      <c r="B80" s="274"/>
      <c r="C80" s="275"/>
      <c r="D80" s="380"/>
      <c r="E80" s="371" t="str">
        <f>P.AQT18!E15</f>
        <v xml:space="preserve"> - Pajisje kompjuterike</v>
      </c>
      <c r="F80" s="381"/>
      <c r="G80" s="382">
        <f>P.AQT18!G15</f>
        <v>764337.25020028616</v>
      </c>
      <c r="H80" s="382">
        <f>P.AQT18!H15</f>
        <v>161585</v>
      </c>
      <c r="I80" s="382"/>
      <c r="J80" s="376">
        <f t="shared" ref="J80:J81" si="8">G80+H80-I80</f>
        <v>925922.25020028616</v>
      </c>
      <c r="K80" s="382">
        <f>P.AQT18!L28</f>
        <v>580380.40164091229</v>
      </c>
      <c r="L80" s="379">
        <f>J80-K80</f>
        <v>345541.84855937387</v>
      </c>
      <c r="M80" s="276"/>
      <c r="N80" s="280"/>
    </row>
    <row r="81" spans="1:14" x14ac:dyDescent="0.25">
      <c r="A81" s="332"/>
      <c r="B81" s="274"/>
      <c r="C81" s="275"/>
      <c r="D81" s="380"/>
      <c r="E81" s="371" t="str">
        <f>P.AQT18!E16</f>
        <v xml:space="preserve"> - Të tjera paisje zyre</v>
      </c>
      <c r="F81" s="381"/>
      <c r="G81" s="382">
        <f>P.AQT18!G16</f>
        <v>967314.79665022669</v>
      </c>
      <c r="H81" s="382">
        <f>P.AQT18!H16</f>
        <v>86055</v>
      </c>
      <c r="I81" s="382"/>
      <c r="J81" s="376">
        <f t="shared" si="8"/>
        <v>1053369.7966502267</v>
      </c>
      <c r="K81" s="382">
        <f>P.AQT18!L29</f>
        <v>432544.03184489335</v>
      </c>
      <c r="L81" s="379">
        <f>J81-K81</f>
        <v>620825.76480533334</v>
      </c>
      <c r="M81" s="276"/>
      <c r="N81" s="280"/>
    </row>
    <row r="82" spans="1:14" ht="12.75" customHeight="1" x14ac:dyDescent="0.25">
      <c r="A82" s="332"/>
      <c r="B82" s="274"/>
      <c r="C82" s="275"/>
      <c r="D82" s="383"/>
      <c r="E82" s="371" t="str">
        <f>P.AQT18!E17</f>
        <v>Gjithsej</v>
      </c>
      <c r="F82" s="300"/>
      <c r="G82" s="384">
        <f>G72+G73+G76+G79</f>
        <v>307785992.64029664</v>
      </c>
      <c r="H82" s="384">
        <f>H72+H73+H76+H79</f>
        <v>8028304</v>
      </c>
      <c r="I82" s="384">
        <f t="shared" ref="I82:L82" si="9">I72+I73+I76+I79</f>
        <v>0</v>
      </c>
      <c r="J82" s="384">
        <f t="shared" si="9"/>
        <v>315814296.64029664</v>
      </c>
      <c r="K82" s="384">
        <f t="shared" si="9"/>
        <v>34145418.479351111</v>
      </c>
      <c r="L82" s="384">
        <f t="shared" si="9"/>
        <v>281668878.16094553</v>
      </c>
      <c r="M82" s="276"/>
      <c r="N82" s="280"/>
    </row>
    <row r="83" spans="1:14" ht="13.5" customHeight="1" x14ac:dyDescent="0.25">
      <c r="A83" s="332"/>
      <c r="B83" s="274"/>
      <c r="C83" s="275"/>
      <c r="D83" s="276"/>
      <c r="E83" s="290"/>
      <c r="F83" s="310"/>
      <c r="G83" s="276"/>
      <c r="H83" s="276"/>
      <c r="I83" s="276"/>
      <c r="J83" s="276"/>
      <c r="K83" s="284"/>
      <c r="L83" s="310"/>
      <c r="M83" s="276"/>
      <c r="N83" s="280"/>
    </row>
    <row r="84" spans="1:14" ht="13.5" customHeight="1" x14ac:dyDescent="0.25">
      <c r="A84" s="332"/>
      <c r="B84" s="274"/>
      <c r="C84" s="281" t="s">
        <v>119</v>
      </c>
      <c r="D84" s="339" t="s">
        <v>502</v>
      </c>
      <c r="E84" s="283"/>
      <c r="F84" s="339"/>
      <c r="G84" s="344"/>
      <c r="H84" s="343"/>
      <c r="I84" s="343"/>
      <c r="J84" s="276"/>
      <c r="K84" s="284"/>
      <c r="L84" s="310"/>
      <c r="M84" s="276"/>
      <c r="N84" s="280"/>
    </row>
    <row r="85" spans="1:14" ht="23.45" customHeight="1" x14ac:dyDescent="0.25">
      <c r="A85" s="332"/>
      <c r="B85" s="274"/>
      <c r="C85" s="286">
        <v>13</v>
      </c>
      <c r="D85" s="287" t="s">
        <v>503</v>
      </c>
      <c r="E85" s="283"/>
      <c r="F85" s="283"/>
      <c r="G85" s="288"/>
      <c r="H85" s="276"/>
      <c r="I85" s="276"/>
      <c r="J85" s="276"/>
      <c r="K85" s="276"/>
      <c r="L85" s="276"/>
      <c r="M85" s="276"/>
      <c r="N85" s="280"/>
    </row>
    <row r="86" spans="1:14" ht="13.5" customHeight="1" x14ac:dyDescent="0.25">
      <c r="A86" s="332"/>
      <c r="B86" s="274"/>
      <c r="C86" s="289" t="s">
        <v>504</v>
      </c>
      <c r="D86" s="291" t="s">
        <v>505</v>
      </c>
      <c r="E86" s="283"/>
      <c r="F86" s="283"/>
      <c r="G86" s="344"/>
      <c r="H86" s="343"/>
      <c r="I86" s="343"/>
      <c r="J86" s="310"/>
      <c r="K86" s="284"/>
      <c r="L86" s="310"/>
      <c r="M86" s="276"/>
      <c r="N86" s="280"/>
    </row>
    <row r="87" spans="1:14" ht="13.5" customHeight="1" x14ac:dyDescent="0.25">
      <c r="A87" s="332"/>
      <c r="B87" s="274"/>
      <c r="C87" s="289"/>
      <c r="D87" s="276" t="str">
        <f>'BV18'!B42</f>
        <v>&gt;  Overdrafte bankare (Bank Overdraft)</v>
      </c>
      <c r="E87" s="332"/>
      <c r="F87" s="344"/>
      <c r="G87" s="343"/>
      <c r="H87" s="385">
        <f>'BV18'!G42</f>
        <v>33000000</v>
      </c>
      <c r="I87" s="332"/>
      <c r="J87" s="332"/>
      <c r="K87" s="284"/>
      <c r="L87" s="310"/>
      <c r="M87" s="276"/>
      <c r="N87" s="280"/>
    </row>
    <row r="88" spans="1:14" ht="13.5" customHeight="1" x14ac:dyDescent="0.25">
      <c r="A88" s="332"/>
      <c r="B88" s="274"/>
      <c r="C88" s="289"/>
      <c r="D88" s="276"/>
      <c r="E88" s="290"/>
      <c r="F88" s="291"/>
      <c r="G88" s="344"/>
      <c r="H88" s="386"/>
      <c r="I88" s="332"/>
      <c r="J88" s="332"/>
      <c r="K88" s="284"/>
      <c r="L88" s="310"/>
      <c r="M88" s="276"/>
      <c r="N88" s="280"/>
    </row>
    <row r="89" spans="1:14" ht="17.25" customHeight="1" x14ac:dyDescent="0.35">
      <c r="A89" s="332"/>
      <c r="B89" s="274"/>
      <c r="C89" s="277">
        <v>13.2</v>
      </c>
      <c r="D89" s="539" t="str">
        <f>'BV18'!B46</f>
        <v>&gt; Te pagueshme ndaj furnitoreve (Payables to suppliers)</v>
      </c>
      <c r="E89" s="539"/>
      <c r="F89" s="539"/>
      <c r="G89" s="539"/>
      <c r="H89" s="387">
        <f>'BV18'!G46</f>
        <v>83177219.665359974</v>
      </c>
      <c r="I89" s="332"/>
      <c r="J89" s="332"/>
      <c r="K89" s="284"/>
      <c r="L89" s="310"/>
      <c r="M89" s="276"/>
      <c r="N89" s="280"/>
    </row>
    <row r="90" spans="1:14" ht="17.25" customHeight="1" x14ac:dyDescent="0.35">
      <c r="A90" s="332"/>
      <c r="B90" s="274"/>
      <c r="C90" s="277"/>
      <c r="D90" s="431"/>
      <c r="E90" s="431"/>
      <c r="F90" s="431"/>
      <c r="G90" s="431"/>
      <c r="H90" s="387"/>
      <c r="I90" s="332"/>
      <c r="J90" s="332"/>
      <c r="K90" s="284"/>
      <c r="L90" s="310"/>
      <c r="M90" s="276"/>
      <c r="N90" s="280"/>
    </row>
    <row r="91" spans="1:14" x14ac:dyDescent="0.25">
      <c r="A91" s="332"/>
      <c r="B91" s="274"/>
      <c r="C91" s="277">
        <v>13.3</v>
      </c>
      <c r="D91" s="344" t="s">
        <v>528</v>
      </c>
      <c r="E91" s="332"/>
      <c r="F91" s="344"/>
      <c r="G91" s="343"/>
      <c r="H91" s="386"/>
      <c r="I91" s="332"/>
      <c r="J91" s="332"/>
      <c r="K91" s="284"/>
      <c r="L91" s="310"/>
      <c r="M91" s="276"/>
      <c r="N91" s="280"/>
    </row>
    <row r="92" spans="1:14" ht="17.25" customHeight="1" x14ac:dyDescent="0.35">
      <c r="A92" s="332"/>
      <c r="B92" s="274"/>
      <c r="C92" s="277"/>
      <c r="D92" s="540" t="str">
        <f>'BV18'!B47</f>
        <v>&gt; Te pa gueshme ndaj punonjesve (Payables to employees)</v>
      </c>
      <c r="E92" s="540"/>
      <c r="F92" s="540"/>
      <c r="G92" s="540"/>
      <c r="H92" s="387">
        <f>'BV18'!G47</f>
        <v>1446872.5</v>
      </c>
      <c r="I92" s="332"/>
      <c r="J92" s="332"/>
      <c r="K92" s="284"/>
      <c r="L92" s="310"/>
      <c r="M92" s="276"/>
      <c r="N92" s="280"/>
    </row>
    <row r="93" spans="1:14" ht="23.25" customHeight="1" x14ac:dyDescent="0.35">
      <c r="A93" s="332"/>
      <c r="B93" s="274"/>
      <c r="C93" s="277"/>
      <c r="D93" s="541" t="str">
        <f>'BV18'!B48</f>
        <v>&gt; Detyrime per Sigurime Shoq.Shend. (Payables for Health and Social Insurance)</v>
      </c>
      <c r="E93" s="541"/>
      <c r="F93" s="541"/>
      <c r="G93" s="541"/>
      <c r="H93" s="387">
        <f>'BV18'!G48</f>
        <v>643653</v>
      </c>
      <c r="I93" s="332"/>
      <c r="J93" s="332"/>
      <c r="K93" s="284"/>
      <c r="L93" s="310"/>
      <c r="M93" s="276"/>
      <c r="N93" s="280"/>
    </row>
    <row r="94" spans="1:14" ht="15" customHeight="1" x14ac:dyDescent="0.35">
      <c r="A94" s="332"/>
      <c r="B94" s="274"/>
      <c r="C94" s="277"/>
      <c r="D94" s="431"/>
      <c r="E94" s="431"/>
      <c r="F94" s="431"/>
      <c r="G94" s="431"/>
      <c r="H94" s="387"/>
      <c r="I94" s="332"/>
      <c r="J94" s="332"/>
      <c r="K94" s="284"/>
      <c r="L94" s="310"/>
      <c r="M94" s="276"/>
      <c r="N94" s="280"/>
    </row>
    <row r="95" spans="1:14" x14ac:dyDescent="0.25">
      <c r="A95" s="332"/>
      <c r="B95" s="274"/>
      <c r="C95" s="289">
        <v>13.4</v>
      </c>
      <c r="D95" s="313" t="s">
        <v>527</v>
      </c>
      <c r="E95" s="332"/>
      <c r="F95" s="344"/>
      <c r="G95" s="343"/>
      <c r="H95" s="386"/>
      <c r="I95" s="332"/>
      <c r="J95" s="332"/>
      <c r="K95" s="284"/>
      <c r="L95" s="310"/>
      <c r="M95" s="276"/>
      <c r="N95" s="280"/>
    </row>
    <row r="96" spans="1:14" ht="16.5" x14ac:dyDescent="0.35">
      <c r="A96" s="332"/>
      <c r="B96" s="274"/>
      <c r="C96" s="277"/>
      <c r="D96" s="540" t="str">
        <f>'BV18'!B49</f>
        <v>&gt; Defyrime tatimore per TAP-in (Payable Income Tax for Employees)</v>
      </c>
      <c r="E96" s="540"/>
      <c r="F96" s="540"/>
      <c r="G96" s="540"/>
      <c r="H96" s="387">
        <f>'BV18'!G49</f>
        <v>31200</v>
      </c>
      <c r="I96" s="332"/>
      <c r="J96" s="332"/>
      <c r="K96" s="284"/>
      <c r="L96" s="310"/>
      <c r="M96" s="276"/>
      <c r="N96" s="280"/>
    </row>
    <row r="97" spans="1:14" ht="16.5" x14ac:dyDescent="0.35">
      <c r="A97" s="332"/>
      <c r="B97" s="274"/>
      <c r="C97" s="277"/>
      <c r="D97" s="540" t="str">
        <f>'BV18'!B51</f>
        <v>&gt; Detyrime tatimore per Tvsh-ne (Payable Added Value Tax)</v>
      </c>
      <c r="E97" s="540"/>
      <c r="F97" s="540"/>
      <c r="G97" s="540"/>
      <c r="H97" s="387">
        <f>'BV18'!G51</f>
        <v>2422656.9999999627</v>
      </c>
      <c r="I97" s="332"/>
      <c r="J97" s="332"/>
      <c r="K97" s="284"/>
      <c r="L97" s="310"/>
      <c r="M97" s="276"/>
      <c r="N97" s="280"/>
    </row>
    <row r="98" spans="1:14" x14ac:dyDescent="0.25">
      <c r="A98" s="332"/>
      <c r="B98" s="274"/>
      <c r="C98" s="277"/>
      <c r="D98" s="277"/>
      <c r="E98" s="276"/>
      <c r="F98" s="344"/>
      <c r="G98" s="343"/>
      <c r="H98" s="388"/>
      <c r="I98" s="332"/>
      <c r="J98" s="332"/>
      <c r="K98" s="284"/>
      <c r="L98" s="310"/>
      <c r="M98" s="276"/>
      <c r="N98" s="280"/>
    </row>
    <row r="99" spans="1:14" x14ac:dyDescent="0.25">
      <c r="A99" s="332"/>
      <c r="B99" s="274"/>
      <c r="C99" s="289"/>
      <c r="D99" s="277"/>
      <c r="E99" s="276"/>
      <c r="F99" s="283"/>
      <c r="G99" s="283"/>
      <c r="H99" s="389"/>
      <c r="I99" s="332"/>
      <c r="J99" s="332"/>
      <c r="K99" s="284"/>
      <c r="L99" s="284"/>
      <c r="M99" s="276"/>
      <c r="N99" s="280"/>
    </row>
    <row r="100" spans="1:14" x14ac:dyDescent="0.25">
      <c r="A100" s="332"/>
      <c r="B100" s="274"/>
      <c r="C100" s="289"/>
      <c r="D100" s="287" t="s">
        <v>506</v>
      </c>
      <c r="E100" s="276"/>
      <c r="F100" s="283"/>
      <c r="G100" s="283"/>
      <c r="H100" s="389"/>
      <c r="I100" s="332"/>
      <c r="J100" s="332"/>
      <c r="K100" s="284"/>
      <c r="L100" s="284"/>
      <c r="M100" s="276"/>
      <c r="N100" s="280"/>
    </row>
    <row r="101" spans="1:14" x14ac:dyDescent="0.25">
      <c r="A101" s="332"/>
      <c r="B101" s="274"/>
      <c r="C101" s="289"/>
      <c r="D101" s="276" t="str">
        <f>'BV18'!B64</f>
        <v xml:space="preserve">         &gt; Huamarrje (Loans)</v>
      </c>
      <c r="E101" s="332"/>
      <c r="F101" s="332"/>
      <c r="G101" s="283"/>
      <c r="H101" s="389">
        <f>'BV18'!G64</f>
        <v>29000000.120000001</v>
      </c>
      <c r="I101" s="332"/>
      <c r="J101" s="332"/>
      <c r="K101" s="284"/>
      <c r="L101" s="284"/>
      <c r="M101" s="276"/>
      <c r="N101" s="280"/>
    </row>
    <row r="102" spans="1:14" x14ac:dyDescent="0.25">
      <c r="A102" s="332"/>
      <c r="B102" s="274"/>
      <c r="C102" s="289"/>
      <c r="D102" s="276" t="str">
        <f>'BV18'!B65</f>
        <v xml:space="preserve">         &gt; Ortak (Partner)</v>
      </c>
      <c r="E102" s="332"/>
      <c r="F102" s="332"/>
      <c r="G102" s="283"/>
      <c r="H102" s="389">
        <f>'BV18'!G65</f>
        <v>11215289.211349405</v>
      </c>
      <c r="I102" s="332"/>
      <c r="J102" s="332"/>
      <c r="K102" s="284"/>
      <c r="L102" s="284"/>
      <c r="M102" s="276"/>
      <c r="N102" s="280"/>
    </row>
    <row r="103" spans="1:14" x14ac:dyDescent="0.25">
      <c r="A103" s="332"/>
      <c r="B103" s="274"/>
      <c r="C103" s="275"/>
      <c r="D103" s="276"/>
      <c r="E103" s="290"/>
      <c r="F103" s="344"/>
      <c r="G103" s="344"/>
      <c r="H103" s="343"/>
      <c r="I103" s="343"/>
      <c r="J103" s="276"/>
      <c r="K103" s="284"/>
      <c r="L103" s="310"/>
      <c r="M103" s="276"/>
      <c r="N103" s="280"/>
    </row>
    <row r="104" spans="1:14" x14ac:dyDescent="0.25">
      <c r="A104" s="332"/>
      <c r="B104" s="274"/>
      <c r="C104" s="286">
        <v>28</v>
      </c>
      <c r="D104" s="287" t="s">
        <v>507</v>
      </c>
      <c r="E104" s="283"/>
      <c r="F104" s="283"/>
      <c r="G104" s="288"/>
      <c r="H104" s="276"/>
      <c r="I104" s="276"/>
      <c r="J104" s="285"/>
      <c r="K104" s="276"/>
      <c r="L104" s="314"/>
      <c r="M104" s="276"/>
      <c r="N104" s="280"/>
    </row>
    <row r="105" spans="1:14" x14ac:dyDescent="0.25">
      <c r="A105" s="332"/>
      <c r="B105" s="274"/>
      <c r="C105" s="275"/>
      <c r="D105" s="386" t="s">
        <v>508</v>
      </c>
      <c r="E105" s="343" t="s">
        <v>243</v>
      </c>
      <c r="F105" s="283"/>
      <c r="G105" s="283"/>
      <c r="H105" s="390">
        <f>SHFS18!B17</f>
        <v>25960174.462390922</v>
      </c>
      <c r="I105" s="276"/>
      <c r="J105" s="285"/>
      <c r="K105" s="276"/>
      <c r="L105" s="314"/>
      <c r="M105" s="276"/>
      <c r="N105" s="280"/>
    </row>
    <row r="106" spans="1:14" x14ac:dyDescent="0.25">
      <c r="A106" s="332"/>
      <c r="B106" s="274"/>
      <c r="C106" s="275"/>
      <c r="D106" s="386" t="s">
        <v>508</v>
      </c>
      <c r="E106" s="276" t="s">
        <v>509</v>
      </c>
      <c r="F106" s="283"/>
      <c r="G106" s="283"/>
      <c r="H106" s="391">
        <v>0</v>
      </c>
      <c r="I106" s="276"/>
      <c r="J106" s="285"/>
      <c r="K106" s="276"/>
      <c r="L106" s="314"/>
      <c r="M106" s="276"/>
      <c r="N106" s="280"/>
    </row>
    <row r="107" spans="1:14" x14ac:dyDescent="0.25">
      <c r="A107" s="332"/>
      <c r="B107" s="274"/>
      <c r="C107" s="275"/>
      <c r="D107" s="386" t="s">
        <v>508</v>
      </c>
      <c r="E107" s="276" t="s">
        <v>510</v>
      </c>
      <c r="F107" s="283"/>
      <c r="G107" s="283"/>
      <c r="H107" s="392">
        <f>H105+H106</f>
        <v>25960174.462390922</v>
      </c>
      <c r="I107" s="276"/>
      <c r="J107" s="285"/>
      <c r="K107" s="276"/>
      <c r="L107" s="314"/>
      <c r="M107" s="276"/>
      <c r="N107" s="280"/>
    </row>
    <row r="108" spans="1:14" x14ac:dyDescent="0.25">
      <c r="A108" s="332"/>
      <c r="B108" s="274"/>
      <c r="C108" s="275"/>
      <c r="D108" s="386" t="s">
        <v>508</v>
      </c>
      <c r="E108" s="283" t="s">
        <v>511</v>
      </c>
      <c r="F108" s="283"/>
      <c r="G108" s="283"/>
      <c r="H108" s="438">
        <f>H107*15%</f>
        <v>3894026.1693586381</v>
      </c>
      <c r="I108" s="276"/>
      <c r="J108" s="285"/>
      <c r="K108" s="276"/>
      <c r="L108" s="314"/>
      <c r="M108" s="276"/>
      <c r="N108" s="280"/>
    </row>
    <row r="109" spans="1:14" x14ac:dyDescent="0.25">
      <c r="A109" s="332"/>
      <c r="B109" s="274"/>
      <c r="C109" s="275"/>
      <c r="D109" s="386" t="s">
        <v>508</v>
      </c>
      <c r="E109" s="283" t="s">
        <v>512</v>
      </c>
      <c r="F109" s="344"/>
      <c r="G109" s="344"/>
      <c r="H109" s="392">
        <f>H107-H108</f>
        <v>22066148.293032285</v>
      </c>
      <c r="I109" s="343"/>
      <c r="J109" s="285"/>
      <c r="K109" s="276"/>
      <c r="L109" s="310"/>
      <c r="M109" s="276"/>
      <c r="N109" s="280"/>
    </row>
    <row r="110" spans="1:14" x14ac:dyDescent="0.25">
      <c r="A110" s="332"/>
      <c r="B110" s="274"/>
      <c r="C110" s="275"/>
      <c r="D110" s="276"/>
      <c r="E110" s="290"/>
      <c r="F110" s="393"/>
      <c r="G110" s="344"/>
      <c r="H110" s="343"/>
      <c r="I110" s="343"/>
      <c r="J110" s="285"/>
      <c r="K110" s="276"/>
      <c r="L110" s="310"/>
      <c r="M110" s="276"/>
      <c r="N110" s="280"/>
    </row>
    <row r="111" spans="1:14" x14ac:dyDescent="0.25">
      <c r="A111" s="332"/>
      <c r="B111" s="274"/>
      <c r="C111" s="281" t="s">
        <v>130</v>
      </c>
      <c r="D111" s="339" t="s">
        <v>513</v>
      </c>
      <c r="E111" s="283"/>
      <c r="F111" s="283"/>
      <c r="G111" s="344"/>
      <c r="H111" s="343"/>
      <c r="I111" s="343"/>
      <c r="J111" s="276"/>
      <c r="K111" s="284"/>
      <c r="L111" s="310"/>
      <c r="M111" s="276"/>
      <c r="N111" s="280"/>
    </row>
    <row r="112" spans="1:14" x14ac:dyDescent="0.25">
      <c r="A112" s="332"/>
      <c r="B112" s="274"/>
      <c r="C112" s="275"/>
      <c r="D112" s="276"/>
      <c r="E112" s="290"/>
      <c r="F112" s="344"/>
      <c r="G112" s="344"/>
      <c r="H112" s="343"/>
      <c r="I112" s="343"/>
      <c r="J112" s="276"/>
      <c r="K112" s="284"/>
      <c r="L112" s="310"/>
      <c r="M112" s="276"/>
      <c r="N112" s="280"/>
    </row>
    <row r="113" spans="1:14" x14ac:dyDescent="0.25">
      <c r="A113" s="332"/>
      <c r="B113" s="274"/>
      <c r="C113" s="276">
        <v>1</v>
      </c>
      <c r="D113" s="394" t="s">
        <v>514</v>
      </c>
      <c r="E113" s="283"/>
      <c r="F113" s="283"/>
      <c r="G113" s="344"/>
      <c r="H113" s="343"/>
      <c r="I113" s="343"/>
      <c r="J113" s="276"/>
      <c r="K113" s="284"/>
      <c r="L113" s="310"/>
      <c r="M113" s="276"/>
      <c r="N113" s="280"/>
    </row>
    <row r="114" spans="1:14" x14ac:dyDescent="0.25">
      <c r="A114" s="332"/>
      <c r="B114" s="274"/>
      <c r="C114" s="276"/>
      <c r="D114" s="268" t="s">
        <v>515</v>
      </c>
      <c r="E114" s="394" t="s">
        <v>529</v>
      </c>
      <c r="F114" s="283"/>
      <c r="G114" s="283"/>
      <c r="H114" s="395">
        <f>SHFS18!B84</f>
        <v>281834449</v>
      </c>
      <c r="J114" s="332"/>
      <c r="K114" s="284"/>
      <c r="L114" s="310"/>
      <c r="M114" s="276"/>
      <c r="N114" s="280"/>
    </row>
    <row r="115" spans="1:14" x14ac:dyDescent="0.25">
      <c r="A115" s="332"/>
      <c r="B115" s="274"/>
      <c r="C115" s="276"/>
      <c r="D115" s="268" t="s">
        <v>516</v>
      </c>
      <c r="E115" s="394" t="str">
        <f>SHFS18!A85</f>
        <v>Te Ardhura nga qeraja</v>
      </c>
      <c r="F115" s="283"/>
      <c r="G115" s="283"/>
      <c r="H115" s="395">
        <f>SHFS18!B85</f>
        <v>3309581</v>
      </c>
      <c r="J115" s="396"/>
      <c r="K115" s="284"/>
      <c r="L115" s="310"/>
      <c r="M115" s="276"/>
      <c r="N115" s="280"/>
    </row>
    <row r="116" spans="1:14" x14ac:dyDescent="0.25">
      <c r="A116" s="332"/>
      <c r="B116" s="274"/>
      <c r="C116" s="276"/>
      <c r="E116" s="394"/>
      <c r="F116" s="283"/>
      <c r="G116" s="283"/>
      <c r="H116" s="396"/>
      <c r="J116" s="396"/>
      <c r="K116" s="284"/>
      <c r="L116" s="310"/>
      <c r="M116" s="276"/>
      <c r="N116" s="280"/>
    </row>
    <row r="117" spans="1:14" x14ac:dyDescent="0.25">
      <c r="A117" s="332"/>
      <c r="B117" s="274"/>
      <c r="C117" s="276"/>
      <c r="E117" s="394"/>
      <c r="F117" s="276"/>
      <c r="G117" s="283"/>
      <c r="H117" s="344"/>
      <c r="J117" s="397"/>
      <c r="K117" s="284"/>
      <c r="M117" s="276"/>
      <c r="N117" s="280"/>
    </row>
    <row r="118" spans="1:14" ht="16.5" x14ac:dyDescent="0.35">
      <c r="A118" s="332"/>
      <c r="B118" s="274"/>
      <c r="C118" s="398">
        <v>1</v>
      </c>
      <c r="D118" s="399" t="s">
        <v>530</v>
      </c>
      <c r="E118" s="400"/>
      <c r="F118" s="401"/>
      <c r="G118" s="401"/>
      <c r="H118" s="332"/>
      <c r="I118" s="443">
        <f>I119+I120+I121+I122-I123-I124</f>
        <v>122167185</v>
      </c>
      <c r="J118" s="397"/>
      <c r="K118" s="284"/>
      <c r="L118" s="310"/>
      <c r="M118" s="276"/>
      <c r="N118" s="280"/>
    </row>
    <row r="119" spans="1:14" x14ac:dyDescent="0.25">
      <c r="A119" s="332"/>
      <c r="B119" s="274"/>
      <c r="C119" s="398"/>
      <c r="D119" s="403" t="s">
        <v>542</v>
      </c>
      <c r="E119" s="400"/>
      <c r="F119" s="401"/>
      <c r="G119" s="401"/>
      <c r="H119" s="332"/>
      <c r="I119" s="439">
        <v>782407</v>
      </c>
      <c r="J119" s="397"/>
      <c r="K119" s="284"/>
      <c r="L119" s="310"/>
      <c r="M119" s="276"/>
      <c r="N119" s="280"/>
    </row>
    <row r="120" spans="1:14" x14ac:dyDescent="0.25">
      <c r="A120" s="332"/>
      <c r="B120" s="274"/>
      <c r="C120" s="398"/>
      <c r="D120" s="403" t="s">
        <v>538</v>
      </c>
      <c r="E120" s="400"/>
      <c r="F120" s="401"/>
      <c r="G120" s="401"/>
      <c r="H120" s="332"/>
      <c r="I120" s="439">
        <v>363720</v>
      </c>
      <c r="J120" s="397"/>
      <c r="K120" s="284"/>
      <c r="L120" s="310"/>
      <c r="M120" s="276"/>
      <c r="N120" s="280"/>
    </row>
    <row r="121" spans="1:14" x14ac:dyDescent="0.25">
      <c r="A121" s="332"/>
      <c r="B121" s="274"/>
      <c r="C121" s="398"/>
      <c r="D121" s="403" t="s">
        <v>539</v>
      </c>
      <c r="E121" s="400"/>
      <c r="F121" s="401"/>
      <c r="G121" s="401"/>
      <c r="H121" s="332"/>
      <c r="I121" s="440">
        <v>109618243</v>
      </c>
      <c r="J121" s="397"/>
      <c r="K121" s="284"/>
      <c r="L121" s="310"/>
      <c r="M121" s="276"/>
      <c r="N121" s="280"/>
    </row>
    <row r="122" spans="1:14" x14ac:dyDescent="0.25">
      <c r="A122" s="332"/>
      <c r="B122" s="274"/>
      <c r="C122" s="398"/>
      <c r="D122" s="403" t="s">
        <v>540</v>
      </c>
      <c r="E122" s="400"/>
      <c r="F122" s="401"/>
      <c r="G122" s="401"/>
      <c r="H122" s="332"/>
      <c r="I122" s="440">
        <v>14614095</v>
      </c>
      <c r="J122" s="397"/>
      <c r="K122" s="284"/>
      <c r="L122" s="310"/>
      <c r="M122" s="276"/>
      <c r="N122" s="280"/>
    </row>
    <row r="123" spans="1:14" x14ac:dyDescent="0.25">
      <c r="A123" s="332"/>
      <c r="B123" s="274"/>
      <c r="C123" s="398"/>
      <c r="D123" s="403" t="s">
        <v>541</v>
      </c>
      <c r="E123" s="400"/>
      <c r="F123" s="401"/>
      <c r="G123" s="401"/>
      <c r="H123" s="332"/>
      <c r="I123" s="440">
        <v>2424500</v>
      </c>
      <c r="J123" s="397"/>
      <c r="K123" s="284"/>
      <c r="L123" s="310"/>
      <c r="M123" s="276"/>
      <c r="N123" s="280"/>
    </row>
    <row r="124" spans="1:14" x14ac:dyDescent="0.25">
      <c r="A124" s="332"/>
      <c r="B124" s="274"/>
      <c r="C124" s="398"/>
      <c r="D124" s="403" t="s">
        <v>543</v>
      </c>
      <c r="E124" s="400"/>
      <c r="F124" s="401"/>
      <c r="G124" s="401"/>
      <c r="H124" s="332"/>
      <c r="I124" s="440">
        <v>786780</v>
      </c>
      <c r="J124" s="397"/>
      <c r="K124" s="284"/>
      <c r="L124" s="310"/>
      <c r="M124" s="276"/>
      <c r="N124" s="280"/>
    </row>
    <row r="125" spans="1:14" x14ac:dyDescent="0.25">
      <c r="A125" s="332"/>
      <c r="B125" s="274"/>
      <c r="C125" s="398"/>
      <c r="D125" s="403"/>
      <c r="E125" s="400"/>
      <c r="F125" s="401"/>
      <c r="G125" s="401"/>
      <c r="H125" s="332"/>
      <c r="I125" s="402"/>
      <c r="J125" s="397"/>
      <c r="K125" s="284"/>
      <c r="L125" s="310"/>
      <c r="M125" s="276"/>
      <c r="N125" s="280"/>
    </row>
    <row r="126" spans="1:14" ht="22.5" customHeight="1" x14ac:dyDescent="0.35">
      <c r="A126" s="332"/>
      <c r="B126" s="274"/>
      <c r="C126" s="441">
        <v>2</v>
      </c>
      <c r="D126" s="538" t="str">
        <f>SHFS18!A25</f>
        <v>Punime te kryera nga te trete (Work Performed by Subcontractors, incl. labour and row materiales)</v>
      </c>
      <c r="E126" s="538"/>
      <c r="F126" s="538"/>
      <c r="G126" s="538"/>
      <c r="H126" s="538"/>
      <c r="I126" s="442">
        <f>SHFS18!B25</f>
        <v>95703820</v>
      </c>
      <c r="J126" s="397"/>
      <c r="K126" s="284"/>
      <c r="L126" s="310"/>
      <c r="M126" s="276"/>
      <c r="N126" s="280"/>
    </row>
    <row r="127" spans="1:14" x14ac:dyDescent="0.25">
      <c r="A127" s="332"/>
      <c r="B127" s="274"/>
      <c r="C127" s="398"/>
      <c r="D127" s="403"/>
      <c r="E127" s="400"/>
      <c r="F127" s="401"/>
      <c r="G127" s="401"/>
      <c r="H127" s="402"/>
      <c r="I127" s="403"/>
      <c r="J127" s="397"/>
      <c r="K127" s="284"/>
      <c r="L127" s="310"/>
      <c r="M127" s="276"/>
      <c r="N127" s="280"/>
    </row>
    <row r="128" spans="1:14" ht="16.5" x14ac:dyDescent="0.35">
      <c r="A128" s="332"/>
      <c r="B128" s="274"/>
      <c r="C128" s="398"/>
      <c r="D128" s="400" t="s">
        <v>384</v>
      </c>
      <c r="E128" s="401" t="s">
        <v>517</v>
      </c>
      <c r="F128" s="332"/>
      <c r="G128" s="401" t="s">
        <v>518</v>
      </c>
      <c r="H128" s="406"/>
      <c r="I128" s="407">
        <f>SUM(I129:I130)</f>
        <v>28103423.074999999</v>
      </c>
      <c r="J128" s="332"/>
      <c r="K128" s="284"/>
      <c r="L128" s="310"/>
      <c r="M128" s="276"/>
      <c r="N128" s="280"/>
    </row>
    <row r="129" spans="1:14" ht="15.75" x14ac:dyDescent="0.25">
      <c r="A129" s="332"/>
      <c r="B129" s="274"/>
      <c r="C129" s="398"/>
      <c r="D129" s="400">
        <v>1</v>
      </c>
      <c r="E129" s="408" t="s">
        <v>340</v>
      </c>
      <c r="F129" s="332"/>
      <c r="G129" s="401"/>
      <c r="H129" s="283"/>
      <c r="I129" s="405">
        <f>SHFS18!B27</f>
        <v>24081768</v>
      </c>
      <c r="J129" s="332"/>
      <c r="K129" s="284"/>
      <c r="L129" s="310"/>
      <c r="M129" s="276"/>
      <c r="N129" s="280"/>
    </row>
    <row r="130" spans="1:14" ht="15.75" x14ac:dyDescent="0.25">
      <c r="A130" s="332"/>
      <c r="B130" s="274"/>
      <c r="C130" s="276"/>
      <c r="D130" s="283">
        <v>2</v>
      </c>
      <c r="E130" s="408" t="s">
        <v>519</v>
      </c>
      <c r="F130" s="332"/>
      <c r="G130" s="401"/>
      <c r="H130" s="283"/>
      <c r="I130" s="405">
        <f>SHFS18!B28</f>
        <v>4021655.0750000002</v>
      </c>
      <c r="J130" s="332"/>
      <c r="K130" s="276"/>
      <c r="L130" s="285"/>
      <c r="M130" s="276"/>
      <c r="N130" s="280"/>
    </row>
    <row r="131" spans="1:14" ht="15.75" x14ac:dyDescent="0.25">
      <c r="A131" s="332"/>
      <c r="B131" s="274"/>
      <c r="C131" s="276"/>
      <c r="D131" s="312"/>
      <c r="E131" s="283"/>
      <c r="F131" s="408"/>
      <c r="G131" s="409"/>
      <c r="H131" s="276"/>
      <c r="I131" s="276"/>
      <c r="J131" s="285"/>
      <c r="K131" s="276"/>
      <c r="L131" s="285"/>
      <c r="M131" s="276"/>
      <c r="N131" s="280"/>
    </row>
    <row r="132" spans="1:14" x14ac:dyDescent="0.25">
      <c r="A132" s="332"/>
      <c r="B132" s="274"/>
      <c r="C132" s="311">
        <v>2.2000000000000002</v>
      </c>
      <c r="D132" s="312" t="s">
        <v>439</v>
      </c>
      <c r="E132" s="313"/>
      <c r="F132" s="283"/>
      <c r="G132" s="288"/>
      <c r="H132" s="276"/>
      <c r="I132" s="276"/>
      <c r="J132" s="276"/>
      <c r="K132" s="276"/>
      <c r="L132" s="285"/>
      <c r="M132" s="276"/>
      <c r="N132" s="280"/>
    </row>
    <row r="133" spans="1:14" x14ac:dyDescent="0.25">
      <c r="A133" s="332"/>
      <c r="B133" s="274"/>
      <c r="C133" s="275"/>
      <c r="D133" s="311"/>
      <c r="E133" s="290"/>
      <c r="F133" s="313"/>
      <c r="G133" s="288"/>
      <c r="H133" s="276"/>
      <c r="I133" s="276"/>
      <c r="J133" s="276"/>
      <c r="K133" s="276"/>
      <c r="L133" s="285"/>
      <c r="M133" s="276"/>
      <c r="N133" s="280"/>
    </row>
    <row r="134" spans="1:14" x14ac:dyDescent="0.25">
      <c r="A134" s="332"/>
      <c r="B134" s="274"/>
      <c r="C134" s="275"/>
      <c r="D134" s="545" t="s">
        <v>440</v>
      </c>
      <c r="E134" s="547" t="s">
        <v>425</v>
      </c>
      <c r="F134" s="548"/>
      <c r="G134" s="551" t="s">
        <v>441</v>
      </c>
      <c r="H134" s="553" t="s">
        <v>442</v>
      </c>
      <c r="I134" s="554"/>
      <c r="J134" s="553" t="s">
        <v>443</v>
      </c>
      <c r="K134" s="554"/>
      <c r="L134" s="555" t="s">
        <v>444</v>
      </c>
      <c r="M134" s="314"/>
      <c r="N134" s="280"/>
    </row>
    <row r="135" spans="1:14" ht="21.75" customHeight="1" x14ac:dyDescent="0.25">
      <c r="A135" s="332"/>
      <c r="B135" s="274"/>
      <c r="C135" s="275"/>
      <c r="D135" s="546"/>
      <c r="E135" s="549"/>
      <c r="F135" s="550"/>
      <c r="G135" s="552"/>
      <c r="H135" s="410" t="s">
        <v>445</v>
      </c>
      <c r="I135" s="411" t="s">
        <v>446</v>
      </c>
      <c r="J135" s="410" t="s">
        <v>447</v>
      </c>
      <c r="K135" s="410" t="s">
        <v>446</v>
      </c>
      <c r="L135" s="555"/>
      <c r="M135" s="314"/>
      <c r="N135" s="280"/>
    </row>
    <row r="136" spans="1:14" x14ac:dyDescent="0.25">
      <c r="A136" s="332"/>
      <c r="B136" s="274"/>
      <c r="C136" s="275"/>
      <c r="D136" s="368"/>
      <c r="E136" s="383" t="s">
        <v>434</v>
      </c>
      <c r="F136" s="383"/>
      <c r="G136" s="384">
        <f>SUM(G137)</f>
        <v>3293348.4600000004</v>
      </c>
      <c r="H136" s="384">
        <f>SUM(H137)</f>
        <v>1138215.5270000002</v>
      </c>
      <c r="I136" s="412"/>
      <c r="J136" s="384"/>
      <c r="K136" s="384"/>
      <c r="L136" s="301">
        <f>SUM(L137)</f>
        <v>4431563.9870000007</v>
      </c>
      <c r="M136" s="314"/>
      <c r="N136" s="280"/>
    </row>
    <row r="137" spans="1:14" x14ac:dyDescent="0.25">
      <c r="A137" s="332"/>
      <c r="B137" s="274"/>
      <c r="C137" s="275"/>
      <c r="D137" s="368"/>
      <c r="E137" s="413" t="s">
        <v>450</v>
      </c>
      <c r="F137" s="414"/>
      <c r="G137" s="382">
        <f>P.AQT18!G24</f>
        <v>3293348.4600000004</v>
      </c>
      <c r="H137" s="415">
        <f>P.AQT18!H24</f>
        <v>1138215.5270000002</v>
      </c>
      <c r="I137" s="412"/>
      <c r="J137" s="384"/>
      <c r="K137" s="384"/>
      <c r="L137" s="302">
        <f>G137+H137+I137-J137-K137</f>
        <v>4431563.9870000007</v>
      </c>
      <c r="M137" s="314"/>
      <c r="N137" s="280"/>
    </row>
    <row r="138" spans="1:14" x14ac:dyDescent="0.25">
      <c r="A138" s="332"/>
      <c r="B138" s="274"/>
      <c r="C138" s="275"/>
      <c r="D138" s="368">
        <v>2</v>
      </c>
      <c r="E138" s="413" t="s">
        <v>435</v>
      </c>
      <c r="F138" s="414"/>
      <c r="G138" s="384">
        <f>SUM(G139)</f>
        <v>25411039.179378964</v>
      </c>
      <c r="H138" s="384">
        <f>SUM(H139)</f>
        <v>3289890.8794863401</v>
      </c>
      <c r="I138" s="412">
        <v>0</v>
      </c>
      <c r="J138" s="384">
        <v>0</v>
      </c>
      <c r="K138" s="384">
        <v>0</v>
      </c>
      <c r="L138" s="301">
        <f>SUM(L139:L139)</f>
        <v>28700930.058865305</v>
      </c>
      <c r="M138" s="314"/>
      <c r="N138" s="280"/>
    </row>
    <row r="139" spans="1:14" x14ac:dyDescent="0.25">
      <c r="A139" s="332"/>
      <c r="B139" s="274"/>
      <c r="C139" s="275"/>
      <c r="D139" s="368"/>
      <c r="E139" s="413" t="s">
        <v>436</v>
      </c>
      <c r="F139" s="414"/>
      <c r="G139" s="382">
        <f>P.AQT18!G26</f>
        <v>25411039.179378964</v>
      </c>
      <c r="H139" s="412">
        <f>P.AQT18!H26</f>
        <v>3289890.8794863401</v>
      </c>
      <c r="I139" s="412"/>
      <c r="J139" s="384"/>
      <c r="K139" s="384"/>
      <c r="L139" s="302">
        <f>G139+H139+I139-J139-K139</f>
        <v>28700930.058865305</v>
      </c>
      <c r="M139" s="314"/>
      <c r="N139" s="280"/>
    </row>
    <row r="140" spans="1:14" x14ac:dyDescent="0.25">
      <c r="A140" s="332"/>
      <c r="B140" s="274"/>
      <c r="C140" s="275"/>
      <c r="D140" s="368">
        <v>3</v>
      </c>
      <c r="E140" s="413" t="s">
        <v>437</v>
      </c>
      <c r="F140" s="414"/>
      <c r="G140" s="384">
        <f>SUM(G141:G142)</f>
        <v>740536.54336308152</v>
      </c>
      <c r="H140" s="384">
        <f>SUM(H141:H142)</f>
        <v>272387.89012272411</v>
      </c>
      <c r="I140" s="412">
        <v>0</v>
      </c>
      <c r="J140" s="384">
        <v>0</v>
      </c>
      <c r="K140" s="384">
        <v>0</v>
      </c>
      <c r="L140" s="301">
        <f>SUM(L141:L142)</f>
        <v>1012924.4334858056</v>
      </c>
      <c r="M140" s="314"/>
      <c r="N140" s="280"/>
    </row>
    <row r="141" spans="1:14" x14ac:dyDescent="0.25">
      <c r="A141" s="332"/>
      <c r="B141" s="274"/>
      <c r="C141" s="275"/>
      <c r="D141" s="368"/>
      <c r="E141" s="413" t="s">
        <v>452</v>
      </c>
      <c r="F141" s="414"/>
      <c r="G141" s="382">
        <f>P.AQT18!G28</f>
        <v>465904.14697952149</v>
      </c>
      <c r="H141" s="415">
        <f>P.AQT18!H28</f>
        <v>114476.25466139082</v>
      </c>
      <c r="I141" s="412"/>
      <c r="J141" s="384"/>
      <c r="K141" s="384"/>
      <c r="L141" s="302">
        <f>G141+H141+I141-J141-K141</f>
        <v>580380.40164091229</v>
      </c>
      <c r="M141" s="314"/>
      <c r="N141" s="280"/>
    </row>
    <row r="142" spans="1:14" x14ac:dyDescent="0.25">
      <c r="A142" s="332"/>
      <c r="B142" s="274"/>
      <c r="C142" s="275"/>
      <c r="D142" s="368"/>
      <c r="E142" s="413" t="s">
        <v>451</v>
      </c>
      <c r="F142" s="414"/>
      <c r="G142" s="382">
        <f>P.AQT18!G29</f>
        <v>274632.39638356003</v>
      </c>
      <c r="H142" s="415">
        <f>P.AQT18!H29</f>
        <v>157911.63546133332</v>
      </c>
      <c r="I142" s="412"/>
      <c r="J142" s="384"/>
      <c r="K142" s="384"/>
      <c r="L142" s="302">
        <f>G142+H142+I142-J142-K142</f>
        <v>432544.03184489335</v>
      </c>
      <c r="M142" s="314"/>
      <c r="N142" s="280"/>
    </row>
    <row r="143" spans="1:14" x14ac:dyDescent="0.25">
      <c r="A143" s="332"/>
      <c r="B143" s="274"/>
      <c r="C143" s="275"/>
      <c r="D143" s="368"/>
      <c r="E143" s="413"/>
      <c r="F143" s="414"/>
      <c r="G143" s="384"/>
      <c r="H143" s="412"/>
      <c r="I143" s="412"/>
      <c r="J143" s="384"/>
      <c r="K143" s="384"/>
      <c r="L143" s="384"/>
      <c r="M143" s="314"/>
      <c r="N143" s="280"/>
    </row>
    <row r="144" spans="1:14" x14ac:dyDescent="0.25">
      <c r="A144" s="332"/>
      <c r="B144" s="274"/>
      <c r="C144" s="275"/>
      <c r="D144" s="368"/>
      <c r="E144" s="413" t="s">
        <v>438</v>
      </c>
      <c r="F144" s="414"/>
      <c r="G144" s="384">
        <f>G136+G138+G140</f>
        <v>29444924.182742048</v>
      </c>
      <c r="H144" s="384">
        <f t="shared" ref="H144:L144" si="10">H136+H138+H140</f>
        <v>4700494.2966090636</v>
      </c>
      <c r="I144" s="384">
        <f t="shared" si="10"/>
        <v>0</v>
      </c>
      <c r="J144" s="384">
        <f t="shared" si="10"/>
        <v>0</v>
      </c>
      <c r="K144" s="384">
        <f t="shared" si="10"/>
        <v>0</v>
      </c>
      <c r="L144" s="384">
        <f t="shared" si="10"/>
        <v>34145418.479351111</v>
      </c>
      <c r="M144" s="314"/>
      <c r="N144" s="280"/>
    </row>
    <row r="145" spans="1:14" x14ac:dyDescent="0.25">
      <c r="A145" s="332"/>
      <c r="B145" s="274"/>
      <c r="C145" s="275"/>
      <c r="D145" s="416"/>
      <c r="E145" s="309"/>
      <c r="F145" s="309"/>
      <c r="G145" s="417"/>
      <c r="H145" s="417"/>
      <c r="I145" s="417"/>
      <c r="J145" s="417"/>
      <c r="K145" s="417"/>
      <c r="L145" s="417"/>
      <c r="M145" s="314"/>
      <c r="N145" s="280"/>
    </row>
    <row r="146" spans="1:14" x14ac:dyDescent="0.25">
      <c r="A146" s="332"/>
      <c r="B146" s="274"/>
      <c r="C146" s="275"/>
      <c r="D146" s="311"/>
      <c r="E146" s="290"/>
      <c r="F146" s="313"/>
      <c r="G146" s="288"/>
      <c r="H146" s="276"/>
      <c r="I146" s="276"/>
      <c r="J146" s="276"/>
      <c r="K146" s="276"/>
      <c r="L146" s="285"/>
      <c r="M146" s="276"/>
      <c r="N146" s="280"/>
    </row>
    <row r="147" spans="1:14" ht="16.5" x14ac:dyDescent="0.35">
      <c r="A147" s="332"/>
      <c r="B147" s="274"/>
      <c r="C147" s="311">
        <v>2.2999999999999998</v>
      </c>
      <c r="D147" s="418" t="s">
        <v>520</v>
      </c>
      <c r="E147" s="416"/>
      <c r="F147" s="416"/>
      <c r="G147" s="283"/>
      <c r="H147" s="419"/>
      <c r="I147" s="419"/>
      <c r="J147" s="444">
        <f>SUM(J150:J163)</f>
        <v>4575983</v>
      </c>
      <c r="K147" s="276"/>
      <c r="L147" s="285"/>
      <c r="M147" s="276"/>
      <c r="N147" s="280"/>
    </row>
    <row r="148" spans="1:14" x14ac:dyDescent="0.25">
      <c r="A148" s="332"/>
      <c r="B148" s="274"/>
      <c r="C148" s="311"/>
      <c r="D148" s="420" t="s">
        <v>521</v>
      </c>
      <c r="E148" s="416"/>
      <c r="F148" s="416"/>
      <c r="G148" s="283"/>
      <c r="H148" s="419"/>
      <c r="I148" s="419"/>
      <c r="J148" s="276"/>
      <c r="K148" s="276"/>
      <c r="L148" s="285"/>
      <c r="M148" s="276"/>
      <c r="N148" s="280"/>
    </row>
    <row r="149" spans="1:14" x14ac:dyDescent="0.25">
      <c r="A149" s="332"/>
      <c r="B149" s="274"/>
      <c r="C149" s="311"/>
      <c r="E149" s="416"/>
      <c r="F149" s="419"/>
      <c r="J149" s="421"/>
      <c r="K149" s="276"/>
      <c r="L149" s="285"/>
      <c r="M149" s="276"/>
      <c r="N149" s="280"/>
    </row>
    <row r="150" spans="1:14" ht="17.25" x14ac:dyDescent="0.4">
      <c r="A150" s="332"/>
      <c r="B150" s="274"/>
      <c r="C150" s="311"/>
      <c r="D150" s="422">
        <v>1</v>
      </c>
      <c r="E150" s="423" t="str">
        <f>SHFS18!A33</f>
        <v>Analiza Laboraterike</v>
      </c>
      <c r="F150" s="419"/>
      <c r="J150" s="424">
        <f>SHFS18!B33</f>
        <v>433520</v>
      </c>
      <c r="K150" s="276"/>
      <c r="L150" s="285"/>
      <c r="M150" s="276"/>
      <c r="N150" s="280"/>
    </row>
    <row r="151" spans="1:14" ht="17.25" x14ac:dyDescent="0.4">
      <c r="A151" s="332"/>
      <c r="B151" s="274"/>
      <c r="C151" s="311"/>
      <c r="D151" s="422">
        <v>2</v>
      </c>
      <c r="E151" s="423" t="str">
        <f>SHFS18!A34</f>
        <v>Shpenzime Auditimi</v>
      </c>
      <c r="J151" s="424">
        <f>SHFS18!B34</f>
        <v>300000</v>
      </c>
      <c r="K151" s="276"/>
      <c r="L151" s="285"/>
      <c r="M151" s="276"/>
      <c r="N151" s="280"/>
    </row>
    <row r="152" spans="1:14" ht="17.25" x14ac:dyDescent="0.4">
      <c r="A152" s="332"/>
      <c r="B152" s="274"/>
      <c r="C152" s="311"/>
      <c r="D152" s="422">
        <v>3</v>
      </c>
      <c r="E152" s="423" t="str">
        <f>SHFS18!A35</f>
        <v>Sherbime Konsulence</v>
      </c>
      <c r="F152" s="419"/>
      <c r="J152" s="424">
        <f>SHFS18!B35</f>
        <v>328755</v>
      </c>
      <c r="K152" s="276"/>
      <c r="L152" s="285"/>
      <c r="M152" s="276"/>
      <c r="N152" s="280"/>
    </row>
    <row r="153" spans="1:14" ht="17.25" x14ac:dyDescent="0.4">
      <c r="A153" s="332"/>
      <c r="B153" s="274"/>
      <c r="C153" s="311"/>
      <c r="D153" s="422">
        <v>4</v>
      </c>
      <c r="E153" s="423" t="str">
        <f>SHFS18!A36</f>
        <v>Sherbime Topografike</v>
      </c>
      <c r="F153" s="419"/>
      <c r="J153" s="424">
        <f>SHFS18!B36</f>
        <v>9165</v>
      </c>
      <c r="K153" s="276"/>
      <c r="L153" s="285"/>
      <c r="M153" s="276"/>
      <c r="N153" s="280"/>
    </row>
    <row r="154" spans="1:14" ht="17.25" x14ac:dyDescent="0.4">
      <c r="A154" s="332"/>
      <c r="B154" s="274"/>
      <c r="C154" s="311"/>
      <c r="D154" s="422">
        <v>5</v>
      </c>
      <c r="E154" s="423" t="str">
        <f>SHFS18!A37</f>
        <v>Shpenzime noteriale</v>
      </c>
      <c r="F154" s="419"/>
      <c r="J154" s="424">
        <f>SHFS18!B37</f>
        <v>27470</v>
      </c>
      <c r="K154" s="276"/>
      <c r="L154" s="285"/>
      <c r="M154" s="276"/>
      <c r="N154" s="280"/>
    </row>
    <row r="155" spans="1:14" ht="17.25" x14ac:dyDescent="0.4">
      <c r="A155" s="332"/>
      <c r="B155" s="274"/>
      <c r="C155" s="311"/>
      <c r="D155" s="422">
        <v>6</v>
      </c>
      <c r="E155" s="423" t="str">
        <f>SHFS18!A38</f>
        <v>Shpenzime Transporti</v>
      </c>
      <c r="F155" s="419"/>
      <c r="J155" s="424">
        <f>SHFS18!B38</f>
        <v>300000</v>
      </c>
      <c r="K155" s="276"/>
      <c r="L155" s="285"/>
      <c r="M155" s="276"/>
      <c r="N155" s="280"/>
    </row>
    <row r="156" spans="1:14" ht="17.25" x14ac:dyDescent="0.4">
      <c r="A156" s="332"/>
      <c r="B156" s="274"/>
      <c r="C156" s="311"/>
      <c r="D156" s="422">
        <v>7</v>
      </c>
      <c r="E156" s="423" t="str">
        <f>SHFS18!A39</f>
        <v>Shpenzime energji elektrike</v>
      </c>
      <c r="J156" s="424">
        <f>SHFS18!B39</f>
        <v>582580</v>
      </c>
      <c r="K156" s="276"/>
      <c r="L156" s="285"/>
      <c r="M156" s="276"/>
      <c r="N156" s="280"/>
    </row>
    <row r="157" spans="1:14" ht="17.25" x14ac:dyDescent="0.4">
      <c r="A157" s="332"/>
      <c r="B157" s="274"/>
      <c r="C157" s="311"/>
      <c r="D157" s="422">
        <v>8</v>
      </c>
      <c r="E157" s="423" t="str">
        <f>SHFS18!A40</f>
        <v>Shpenzime Telefoni</v>
      </c>
      <c r="J157" s="424">
        <f>SHFS18!B40</f>
        <v>863140</v>
      </c>
      <c r="K157" s="276"/>
      <c r="L157" s="285"/>
      <c r="M157" s="276"/>
      <c r="N157" s="280"/>
    </row>
    <row r="158" spans="1:14" ht="17.25" x14ac:dyDescent="0.4">
      <c r="A158" s="332"/>
      <c r="B158" s="274"/>
      <c r="C158" s="311"/>
      <c r="D158" s="422">
        <v>9</v>
      </c>
      <c r="E158" s="423" t="str">
        <f>SHFS18!A41</f>
        <v>Shpenzime Hoteli</v>
      </c>
      <c r="J158" s="424">
        <f>SHFS18!B41</f>
        <v>770000</v>
      </c>
      <c r="K158" s="276"/>
      <c r="L158" s="285"/>
      <c r="M158" s="276"/>
      <c r="N158" s="280"/>
    </row>
    <row r="159" spans="1:14" ht="17.25" x14ac:dyDescent="0.4">
      <c r="A159" s="332"/>
      <c r="B159" s="274"/>
      <c r="C159" s="311"/>
      <c r="D159" s="422">
        <v>10</v>
      </c>
      <c r="E159" s="423" t="str">
        <f>SHFS18!A42</f>
        <v>Sherbime tjera</v>
      </c>
      <c r="F159" s="419"/>
      <c r="J159" s="424">
        <f>SHFS18!B42</f>
        <v>168335</v>
      </c>
      <c r="K159" s="276"/>
      <c r="L159" s="285"/>
      <c r="M159" s="276"/>
      <c r="N159" s="280"/>
    </row>
    <row r="160" spans="1:14" ht="17.25" x14ac:dyDescent="0.4">
      <c r="A160" s="332"/>
      <c r="B160" s="274"/>
      <c r="C160" s="311"/>
      <c r="D160" s="422">
        <v>11</v>
      </c>
      <c r="E160" s="423" t="str">
        <f>SHFS18!A43</f>
        <v>Shpenzime Kancelarie</v>
      </c>
      <c r="F160" s="419"/>
      <c r="J160" s="424">
        <f>SHFS18!B43</f>
        <v>45770</v>
      </c>
      <c r="K160" s="276"/>
      <c r="L160" s="285"/>
      <c r="M160" s="276"/>
      <c r="N160" s="280"/>
    </row>
    <row r="161" spans="1:14" ht="17.25" x14ac:dyDescent="0.4">
      <c r="A161" s="332"/>
      <c r="B161" s="274"/>
      <c r="C161" s="311"/>
      <c r="D161" s="422">
        <v>12</v>
      </c>
      <c r="E161" s="423" t="str">
        <f>SHFS18!A44</f>
        <v>Siguracione</v>
      </c>
      <c r="F161" s="419"/>
      <c r="J161" s="424">
        <f>SHFS18!B44</f>
        <v>664187</v>
      </c>
      <c r="K161" s="276"/>
      <c r="L161" s="285"/>
      <c r="M161" s="276"/>
      <c r="N161" s="280"/>
    </row>
    <row r="162" spans="1:14" ht="17.25" x14ac:dyDescent="0.4">
      <c r="A162" s="332"/>
      <c r="B162" s="274"/>
      <c r="C162" s="311"/>
      <c r="D162" s="422">
        <v>13</v>
      </c>
      <c r="E162" s="556" t="str">
        <f>SHFS18!A45</f>
        <v>Taksa per mjetet</v>
      </c>
      <c r="F162" s="556"/>
      <c r="J162" s="424">
        <f>SHFS18!B45</f>
        <v>76171</v>
      </c>
      <c r="K162" s="276"/>
      <c r="L162" s="285"/>
      <c r="M162" s="276"/>
      <c r="N162" s="280"/>
    </row>
    <row r="163" spans="1:14" ht="17.25" x14ac:dyDescent="0.4">
      <c r="A163" s="332"/>
      <c r="B163" s="274"/>
      <c r="C163" s="311"/>
      <c r="D163" s="422">
        <v>14</v>
      </c>
      <c r="E163" s="556" t="str">
        <f>SHFS18!A46</f>
        <v>Shpenzime Kolaudimi</v>
      </c>
      <c r="F163" s="556"/>
      <c r="J163" s="424">
        <f>SHFS18!B46</f>
        <v>6890</v>
      </c>
      <c r="K163" s="276"/>
      <c r="L163" s="285"/>
      <c r="M163" s="276"/>
      <c r="N163" s="280"/>
    </row>
    <row r="164" spans="1:14" x14ac:dyDescent="0.25">
      <c r="A164" s="332"/>
      <c r="B164" s="274"/>
      <c r="C164" s="425"/>
      <c r="D164" s="426"/>
      <c r="E164" s="404"/>
      <c r="F164" s="427"/>
      <c r="G164" s="283"/>
      <c r="H164" s="283"/>
      <c r="J164" s="421"/>
      <c r="K164" s="276"/>
      <c r="L164" s="285"/>
      <c r="M164" s="276"/>
      <c r="N164" s="280"/>
    </row>
    <row r="165" spans="1:14" ht="18" x14ac:dyDescent="0.4">
      <c r="A165" s="332"/>
      <c r="B165" s="274"/>
      <c r="C165" s="425"/>
      <c r="D165" s="426">
        <v>1</v>
      </c>
      <c r="E165" s="428" t="s">
        <v>342</v>
      </c>
      <c r="F165" s="427"/>
      <c r="H165" s="429">
        <f>SHFS18!B49</f>
        <v>1321183.7440000002</v>
      </c>
      <c r="J165" s="421"/>
      <c r="K165" s="276"/>
      <c r="L165" s="285"/>
      <c r="M165" s="276"/>
      <c r="N165" s="280"/>
    </row>
    <row r="166" spans="1:14" ht="18" x14ac:dyDescent="0.4">
      <c r="A166" s="332"/>
      <c r="B166" s="274"/>
      <c r="C166" s="425"/>
      <c r="D166" s="426">
        <v>2</v>
      </c>
      <c r="E166" s="428" t="s">
        <v>341</v>
      </c>
      <c r="F166" s="427"/>
      <c r="H166" s="429">
        <f>SHFS18!B52</f>
        <v>1864675.122</v>
      </c>
      <c r="J166" s="421"/>
      <c r="K166" s="276"/>
      <c r="L166" s="285"/>
      <c r="M166" s="276"/>
      <c r="N166" s="280"/>
    </row>
    <row r="167" spans="1:14" ht="18" x14ac:dyDescent="0.4">
      <c r="A167" s="332"/>
      <c r="B167" s="274"/>
      <c r="C167" s="425"/>
      <c r="D167" s="426">
        <v>3</v>
      </c>
      <c r="E167" s="404" t="s">
        <v>522</v>
      </c>
      <c r="F167" s="427"/>
      <c r="H167" s="430">
        <f>SHFS18!B50</f>
        <v>747092</v>
      </c>
      <c r="J167" s="421"/>
      <c r="K167" s="276"/>
      <c r="L167" s="285"/>
      <c r="M167" s="276"/>
      <c r="N167" s="280"/>
    </row>
    <row r="168" spans="1:14" x14ac:dyDescent="0.25">
      <c r="A168" s="332"/>
      <c r="B168" s="274"/>
      <c r="C168" s="275"/>
      <c r="D168" s="276"/>
      <c r="E168" s="431"/>
      <c r="F168" s="276"/>
      <c r="G168" s="276"/>
      <c r="H168" s="276"/>
      <c r="I168" s="276"/>
      <c r="J168" s="276"/>
      <c r="K168" s="276"/>
      <c r="L168" s="276"/>
      <c r="M168" s="276"/>
      <c r="N168" s="280"/>
    </row>
    <row r="169" spans="1:14" x14ac:dyDescent="0.25">
      <c r="A169" s="332"/>
      <c r="B169" s="274"/>
      <c r="C169" s="275"/>
      <c r="D169" s="276"/>
      <c r="E169" s="284"/>
      <c r="F169" s="276"/>
      <c r="G169" s="276"/>
      <c r="H169" s="276"/>
      <c r="I169" s="276"/>
      <c r="J169" s="276"/>
      <c r="K169" s="276"/>
      <c r="L169" s="276"/>
      <c r="M169" s="276"/>
      <c r="N169" s="280"/>
    </row>
    <row r="170" spans="1:14" x14ac:dyDescent="0.25">
      <c r="A170" s="332"/>
      <c r="B170" s="274"/>
      <c r="C170" s="537" t="s">
        <v>523</v>
      </c>
      <c r="D170" s="537"/>
      <c r="E170" s="537"/>
      <c r="F170" s="537"/>
      <c r="G170" s="537"/>
      <c r="H170" s="276"/>
      <c r="I170" s="276"/>
      <c r="J170" s="537" t="s">
        <v>524</v>
      </c>
      <c r="K170" s="537"/>
      <c r="L170" s="537"/>
      <c r="M170" s="537"/>
      <c r="N170" s="280"/>
    </row>
    <row r="171" spans="1:14" x14ac:dyDescent="0.25">
      <c r="A171" s="332"/>
      <c r="B171" s="274"/>
      <c r="C171" s="557" t="s">
        <v>531</v>
      </c>
      <c r="D171" s="557"/>
      <c r="E171" s="557"/>
      <c r="F171" s="557"/>
      <c r="G171" s="557"/>
      <c r="H171" s="276"/>
      <c r="I171" s="276"/>
      <c r="J171" s="557" t="s">
        <v>18</v>
      </c>
      <c r="K171" s="557"/>
      <c r="L171" s="557"/>
      <c r="M171" s="557"/>
      <c r="N171" s="280"/>
    </row>
    <row r="172" spans="1:14" x14ac:dyDescent="0.25">
      <c r="A172" s="332"/>
      <c r="B172" s="274"/>
      <c r="C172" s="544" t="s">
        <v>525</v>
      </c>
      <c r="D172" s="544"/>
      <c r="E172" s="544"/>
      <c r="F172" s="544"/>
      <c r="G172" s="544"/>
      <c r="H172" s="276"/>
      <c r="I172" s="276"/>
      <c r="J172" s="544" t="s">
        <v>526</v>
      </c>
      <c r="K172" s="544"/>
      <c r="L172" s="544"/>
      <c r="M172" s="544"/>
      <c r="N172" s="280"/>
    </row>
    <row r="173" spans="1:14" x14ac:dyDescent="0.25">
      <c r="A173" s="332"/>
      <c r="B173" s="274"/>
      <c r="C173" s="284"/>
      <c r="D173" s="284"/>
      <c r="E173" s="284"/>
      <c r="F173" s="284"/>
      <c r="G173" s="284"/>
      <c r="H173" s="276"/>
      <c r="I173" s="276"/>
      <c r="J173" s="284"/>
      <c r="K173" s="284"/>
      <c r="L173" s="284"/>
      <c r="M173" s="284"/>
      <c r="N173" s="280"/>
    </row>
    <row r="174" spans="1:14" x14ac:dyDescent="0.25">
      <c r="A174" s="332"/>
      <c r="B174" s="274"/>
      <c r="C174" s="284"/>
      <c r="D174" s="284"/>
      <c r="E174" s="284"/>
      <c r="F174" s="284"/>
      <c r="G174" s="284"/>
      <c r="H174" s="276"/>
      <c r="I174" s="276"/>
      <c r="J174" s="284"/>
      <c r="K174" s="284"/>
      <c r="L174" s="284"/>
      <c r="M174" s="284"/>
      <c r="N174" s="280"/>
    </row>
    <row r="175" spans="1:14" x14ac:dyDescent="0.25">
      <c r="A175" s="332"/>
      <c r="B175" s="274"/>
      <c r="C175" s="284"/>
      <c r="D175" s="284"/>
      <c r="E175" s="284"/>
      <c r="F175" s="284"/>
      <c r="G175" s="284"/>
      <c r="H175" s="276"/>
      <c r="I175" s="276"/>
      <c r="J175" s="284"/>
      <c r="K175" s="284"/>
      <c r="L175" s="284"/>
      <c r="M175" s="284"/>
      <c r="N175" s="280"/>
    </row>
    <row r="176" spans="1:14" x14ac:dyDescent="0.25">
      <c r="A176" s="332"/>
      <c r="B176" s="432"/>
      <c r="C176" s="433"/>
      <c r="D176" s="434"/>
      <c r="E176" s="435"/>
      <c r="F176" s="434"/>
      <c r="G176" s="434"/>
      <c r="H176" s="434"/>
      <c r="I176" s="434"/>
      <c r="J176" s="434"/>
      <c r="K176" s="434"/>
      <c r="L176" s="434"/>
      <c r="M176" s="434"/>
      <c r="N176" s="436"/>
    </row>
    <row r="177" spans="1:14" x14ac:dyDescent="0.25">
      <c r="A177" s="332"/>
      <c r="B177" s="270"/>
      <c r="C177" s="437"/>
      <c r="D177" s="270"/>
      <c r="E177" s="270"/>
      <c r="F177" s="270"/>
      <c r="G177" s="270"/>
      <c r="H177" s="270"/>
      <c r="I177" s="270"/>
      <c r="J177" s="270"/>
      <c r="K177" s="270"/>
      <c r="L177" s="271"/>
      <c r="M177" s="271"/>
      <c r="N177" s="270"/>
    </row>
    <row r="178" spans="1:14" x14ac:dyDescent="0.25">
      <c r="A178" s="332"/>
      <c r="B178" s="283"/>
      <c r="C178" s="351"/>
      <c r="D178" s="283"/>
      <c r="E178" s="283"/>
      <c r="F178" s="283"/>
      <c r="G178" s="283"/>
      <c r="H178" s="283"/>
      <c r="I178" s="283"/>
      <c r="J178" s="283"/>
      <c r="K178" s="283"/>
      <c r="L178" s="314"/>
      <c r="M178" s="314"/>
      <c r="N178" s="283"/>
    </row>
  </sheetData>
  <mergeCells count="36">
    <mergeCell ref="C172:G172"/>
    <mergeCell ref="J172:M172"/>
    <mergeCell ref="D134:D135"/>
    <mergeCell ref="E134:F135"/>
    <mergeCell ref="G134:G135"/>
    <mergeCell ref="H134:I134"/>
    <mergeCell ref="J134:K134"/>
    <mergeCell ref="L134:L135"/>
    <mergeCell ref="E162:F162"/>
    <mergeCell ref="E163:F163"/>
    <mergeCell ref="C171:G171"/>
    <mergeCell ref="J171:M171"/>
    <mergeCell ref="E78:F78"/>
    <mergeCell ref="D63:I63"/>
    <mergeCell ref="D64:I64"/>
    <mergeCell ref="C170:G170"/>
    <mergeCell ref="J170:M170"/>
    <mergeCell ref="E73:F73"/>
    <mergeCell ref="D126:H126"/>
    <mergeCell ref="D89:G89"/>
    <mergeCell ref="D92:G92"/>
    <mergeCell ref="D93:G93"/>
    <mergeCell ref="D96:G96"/>
    <mergeCell ref="D97:G97"/>
    <mergeCell ref="K70:K71"/>
    <mergeCell ref="L70:L71"/>
    <mergeCell ref="B1:K1"/>
    <mergeCell ref="D54:G54"/>
    <mergeCell ref="D57:F57"/>
    <mergeCell ref="D70:D71"/>
    <mergeCell ref="E70:F71"/>
    <mergeCell ref="G70:J70"/>
    <mergeCell ref="D55:G55"/>
    <mergeCell ref="D58:F58"/>
    <mergeCell ref="D59:F59"/>
    <mergeCell ref="D60:F60"/>
  </mergeCells>
  <printOptions horizontalCentered="1"/>
  <pageMargins left="0.7" right="0.7" top="0.75" bottom="0.75" header="0.3" footer="0.3"/>
  <pageSetup scale="82" orientation="portrait" horizontalDpi="1200" verticalDpi="1200" r:id="rId1"/>
  <rowBreaks count="3" manualBreakCount="3">
    <brk id="50" min="1" max="10" man="1"/>
    <brk id="83" max="13" man="1"/>
    <brk id="131" max="13" man="1"/>
  </rowBreaks>
  <ignoredErrors>
    <ignoredError sqref="I76" formulaRange="1"/>
    <ignoredError sqref="G137 J73:L81 L138 L1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I95"/>
  <sheetViews>
    <sheetView view="pageBreakPreview" topLeftCell="A13" zoomScaleSheetLayoutView="100" workbookViewId="0">
      <selection activeCell="G51" sqref="G51:I51"/>
    </sheetView>
  </sheetViews>
  <sheetFormatPr defaultColWidth="7" defaultRowHeight="14.25" x14ac:dyDescent="0.25"/>
  <cols>
    <col min="1" max="1" width="5.5703125" style="217" customWidth="1"/>
    <col min="2" max="2" width="43.140625" style="122" customWidth="1"/>
    <col min="3" max="3" width="7.42578125" style="122" customWidth="1"/>
    <col min="4" max="4" width="14.42578125" style="122" customWidth="1"/>
    <col min="5" max="5" width="13.85546875" style="124" customWidth="1"/>
    <col min="6" max="6" width="7" style="122"/>
    <col min="7" max="7" width="8.85546875" style="122" bestFit="1" customWidth="1"/>
    <col min="8" max="8" width="7" style="122"/>
    <col min="9" max="9" width="8.85546875" style="122" bestFit="1" customWidth="1"/>
    <col min="10" max="230" width="7" style="122"/>
    <col min="231" max="231" width="4.140625" style="122" customWidth="1"/>
    <col min="232" max="232" width="43.140625" style="122" customWidth="1"/>
    <col min="233" max="233" width="5" style="122" customWidth="1"/>
    <col min="234" max="234" width="11.85546875" style="122" customWidth="1"/>
    <col min="235" max="235" width="12.140625" style="122" customWidth="1"/>
    <col min="236" max="236" width="13" style="122" customWidth="1"/>
    <col min="237" max="237" width="11" style="122" customWidth="1"/>
    <col min="238" max="238" width="7" style="122"/>
    <col min="239" max="239" width="9.7109375" style="122" bestFit="1" customWidth="1"/>
    <col min="240" max="243" width="17" style="122" customWidth="1"/>
    <col min="244" max="244" width="11.5703125" style="122" customWidth="1"/>
    <col min="245" max="245" width="12.5703125" style="122" customWidth="1"/>
    <col min="246" max="486" width="7" style="122"/>
    <col min="487" max="487" width="4.140625" style="122" customWidth="1"/>
    <col min="488" max="488" width="43.140625" style="122" customWidth="1"/>
    <col min="489" max="489" width="5" style="122" customWidth="1"/>
    <col min="490" max="490" width="11.85546875" style="122" customWidth="1"/>
    <col min="491" max="491" width="12.140625" style="122" customWidth="1"/>
    <col min="492" max="492" width="13" style="122" customWidth="1"/>
    <col min="493" max="493" width="11" style="122" customWidth="1"/>
    <col min="494" max="494" width="7" style="122"/>
    <col min="495" max="495" width="9.7109375" style="122" bestFit="1" customWidth="1"/>
    <col min="496" max="499" width="17" style="122" customWidth="1"/>
    <col min="500" max="500" width="11.5703125" style="122" customWidth="1"/>
    <col min="501" max="501" width="12.5703125" style="122" customWidth="1"/>
    <col min="502" max="742" width="7" style="122"/>
    <col min="743" max="743" width="4.140625" style="122" customWidth="1"/>
    <col min="744" max="744" width="43.140625" style="122" customWidth="1"/>
    <col min="745" max="745" width="5" style="122" customWidth="1"/>
    <col min="746" max="746" width="11.85546875" style="122" customWidth="1"/>
    <col min="747" max="747" width="12.140625" style="122" customWidth="1"/>
    <col min="748" max="748" width="13" style="122" customWidth="1"/>
    <col min="749" max="749" width="11" style="122" customWidth="1"/>
    <col min="750" max="750" width="7" style="122"/>
    <col min="751" max="751" width="9.7109375" style="122" bestFit="1" customWidth="1"/>
    <col min="752" max="755" width="17" style="122" customWidth="1"/>
    <col min="756" max="756" width="11.5703125" style="122" customWidth="1"/>
    <col min="757" max="757" width="12.5703125" style="122" customWidth="1"/>
    <col min="758" max="998" width="7" style="122"/>
    <col min="999" max="999" width="4.140625" style="122" customWidth="1"/>
    <col min="1000" max="1000" width="43.140625" style="122" customWidth="1"/>
    <col min="1001" max="1001" width="5" style="122" customWidth="1"/>
    <col min="1002" max="1002" width="11.85546875" style="122" customWidth="1"/>
    <col min="1003" max="1003" width="12.140625" style="122" customWidth="1"/>
    <col min="1004" max="1004" width="13" style="122" customWidth="1"/>
    <col min="1005" max="1005" width="11" style="122" customWidth="1"/>
    <col min="1006" max="1006" width="7" style="122"/>
    <col min="1007" max="1007" width="9.7109375" style="122" bestFit="1" customWidth="1"/>
    <col min="1008" max="1011" width="17" style="122" customWidth="1"/>
    <col min="1012" max="1012" width="11.5703125" style="122" customWidth="1"/>
    <col min="1013" max="1013" width="12.5703125" style="122" customWidth="1"/>
    <col min="1014" max="1254" width="7" style="122"/>
    <col min="1255" max="1255" width="4.140625" style="122" customWidth="1"/>
    <col min="1256" max="1256" width="43.140625" style="122" customWidth="1"/>
    <col min="1257" max="1257" width="5" style="122" customWidth="1"/>
    <col min="1258" max="1258" width="11.85546875" style="122" customWidth="1"/>
    <col min="1259" max="1259" width="12.140625" style="122" customWidth="1"/>
    <col min="1260" max="1260" width="13" style="122" customWidth="1"/>
    <col min="1261" max="1261" width="11" style="122" customWidth="1"/>
    <col min="1262" max="1262" width="7" style="122"/>
    <col min="1263" max="1263" width="9.7109375" style="122" bestFit="1" customWidth="1"/>
    <col min="1264" max="1267" width="17" style="122" customWidth="1"/>
    <col min="1268" max="1268" width="11.5703125" style="122" customWidth="1"/>
    <col min="1269" max="1269" width="12.5703125" style="122" customWidth="1"/>
    <col min="1270" max="1510" width="7" style="122"/>
    <col min="1511" max="1511" width="4.140625" style="122" customWidth="1"/>
    <col min="1512" max="1512" width="43.140625" style="122" customWidth="1"/>
    <col min="1513" max="1513" width="5" style="122" customWidth="1"/>
    <col min="1514" max="1514" width="11.85546875" style="122" customWidth="1"/>
    <col min="1515" max="1515" width="12.140625" style="122" customWidth="1"/>
    <col min="1516" max="1516" width="13" style="122" customWidth="1"/>
    <col min="1517" max="1517" width="11" style="122" customWidth="1"/>
    <col min="1518" max="1518" width="7" style="122"/>
    <col min="1519" max="1519" width="9.7109375" style="122" bestFit="1" customWidth="1"/>
    <col min="1520" max="1523" width="17" style="122" customWidth="1"/>
    <col min="1524" max="1524" width="11.5703125" style="122" customWidth="1"/>
    <col min="1525" max="1525" width="12.5703125" style="122" customWidth="1"/>
    <col min="1526" max="1766" width="7" style="122"/>
    <col min="1767" max="1767" width="4.140625" style="122" customWidth="1"/>
    <col min="1768" max="1768" width="43.140625" style="122" customWidth="1"/>
    <col min="1769" max="1769" width="5" style="122" customWidth="1"/>
    <col min="1770" max="1770" width="11.85546875" style="122" customWidth="1"/>
    <col min="1771" max="1771" width="12.140625" style="122" customWidth="1"/>
    <col min="1772" max="1772" width="13" style="122" customWidth="1"/>
    <col min="1773" max="1773" width="11" style="122" customWidth="1"/>
    <col min="1774" max="1774" width="7" style="122"/>
    <col min="1775" max="1775" width="9.7109375" style="122" bestFit="1" customWidth="1"/>
    <col min="1776" max="1779" width="17" style="122" customWidth="1"/>
    <col min="1780" max="1780" width="11.5703125" style="122" customWidth="1"/>
    <col min="1781" max="1781" width="12.5703125" style="122" customWidth="1"/>
    <col min="1782" max="2022" width="7" style="122"/>
    <col min="2023" max="2023" width="4.140625" style="122" customWidth="1"/>
    <col min="2024" max="2024" width="43.140625" style="122" customWidth="1"/>
    <col min="2025" max="2025" width="5" style="122" customWidth="1"/>
    <col min="2026" max="2026" width="11.85546875" style="122" customWidth="1"/>
    <col min="2027" max="2027" width="12.140625" style="122" customWidth="1"/>
    <col min="2028" max="2028" width="13" style="122" customWidth="1"/>
    <col min="2029" max="2029" width="11" style="122" customWidth="1"/>
    <col min="2030" max="2030" width="7" style="122"/>
    <col min="2031" max="2031" width="9.7109375" style="122" bestFit="1" customWidth="1"/>
    <col min="2032" max="2035" width="17" style="122" customWidth="1"/>
    <col min="2036" max="2036" width="11.5703125" style="122" customWidth="1"/>
    <col min="2037" max="2037" width="12.5703125" style="122" customWidth="1"/>
    <col min="2038" max="2278" width="7" style="122"/>
    <col min="2279" max="2279" width="4.140625" style="122" customWidth="1"/>
    <col min="2280" max="2280" width="43.140625" style="122" customWidth="1"/>
    <col min="2281" max="2281" width="5" style="122" customWidth="1"/>
    <col min="2282" max="2282" width="11.85546875" style="122" customWidth="1"/>
    <col min="2283" max="2283" width="12.140625" style="122" customWidth="1"/>
    <col min="2284" max="2284" width="13" style="122" customWidth="1"/>
    <col min="2285" max="2285" width="11" style="122" customWidth="1"/>
    <col min="2286" max="2286" width="7" style="122"/>
    <col min="2287" max="2287" width="9.7109375" style="122" bestFit="1" customWidth="1"/>
    <col min="2288" max="2291" width="17" style="122" customWidth="1"/>
    <col min="2292" max="2292" width="11.5703125" style="122" customWidth="1"/>
    <col min="2293" max="2293" width="12.5703125" style="122" customWidth="1"/>
    <col min="2294" max="2534" width="7" style="122"/>
    <col min="2535" max="2535" width="4.140625" style="122" customWidth="1"/>
    <col min="2536" max="2536" width="43.140625" style="122" customWidth="1"/>
    <col min="2537" max="2537" width="5" style="122" customWidth="1"/>
    <col min="2538" max="2538" width="11.85546875" style="122" customWidth="1"/>
    <col min="2539" max="2539" width="12.140625" style="122" customWidth="1"/>
    <col min="2540" max="2540" width="13" style="122" customWidth="1"/>
    <col min="2541" max="2541" width="11" style="122" customWidth="1"/>
    <col min="2542" max="2542" width="7" style="122"/>
    <col min="2543" max="2543" width="9.7109375" style="122" bestFit="1" customWidth="1"/>
    <col min="2544" max="2547" width="17" style="122" customWidth="1"/>
    <col min="2548" max="2548" width="11.5703125" style="122" customWidth="1"/>
    <col min="2549" max="2549" width="12.5703125" style="122" customWidth="1"/>
    <col min="2550" max="2790" width="7" style="122"/>
    <col min="2791" max="2791" width="4.140625" style="122" customWidth="1"/>
    <col min="2792" max="2792" width="43.140625" style="122" customWidth="1"/>
    <col min="2793" max="2793" width="5" style="122" customWidth="1"/>
    <col min="2794" max="2794" width="11.85546875" style="122" customWidth="1"/>
    <col min="2795" max="2795" width="12.140625" style="122" customWidth="1"/>
    <col min="2796" max="2796" width="13" style="122" customWidth="1"/>
    <col min="2797" max="2797" width="11" style="122" customWidth="1"/>
    <col min="2798" max="2798" width="7" style="122"/>
    <col min="2799" max="2799" width="9.7109375" style="122" bestFit="1" customWidth="1"/>
    <col min="2800" max="2803" width="17" style="122" customWidth="1"/>
    <col min="2804" max="2804" width="11.5703125" style="122" customWidth="1"/>
    <col min="2805" max="2805" width="12.5703125" style="122" customWidth="1"/>
    <col min="2806" max="3046" width="7" style="122"/>
    <col min="3047" max="3047" width="4.140625" style="122" customWidth="1"/>
    <col min="3048" max="3048" width="43.140625" style="122" customWidth="1"/>
    <col min="3049" max="3049" width="5" style="122" customWidth="1"/>
    <col min="3050" max="3050" width="11.85546875" style="122" customWidth="1"/>
    <col min="3051" max="3051" width="12.140625" style="122" customWidth="1"/>
    <col min="3052" max="3052" width="13" style="122" customWidth="1"/>
    <col min="3053" max="3053" width="11" style="122" customWidth="1"/>
    <col min="3054" max="3054" width="7" style="122"/>
    <col min="3055" max="3055" width="9.7109375" style="122" bestFit="1" customWidth="1"/>
    <col min="3056" max="3059" width="17" style="122" customWidth="1"/>
    <col min="3060" max="3060" width="11.5703125" style="122" customWidth="1"/>
    <col min="3061" max="3061" width="12.5703125" style="122" customWidth="1"/>
    <col min="3062" max="3302" width="7" style="122"/>
    <col min="3303" max="3303" width="4.140625" style="122" customWidth="1"/>
    <col min="3304" max="3304" width="43.140625" style="122" customWidth="1"/>
    <col min="3305" max="3305" width="5" style="122" customWidth="1"/>
    <col min="3306" max="3306" width="11.85546875" style="122" customWidth="1"/>
    <col min="3307" max="3307" width="12.140625" style="122" customWidth="1"/>
    <col min="3308" max="3308" width="13" style="122" customWidth="1"/>
    <col min="3309" max="3309" width="11" style="122" customWidth="1"/>
    <col min="3310" max="3310" width="7" style="122"/>
    <col min="3311" max="3311" width="9.7109375" style="122" bestFit="1" customWidth="1"/>
    <col min="3312" max="3315" width="17" style="122" customWidth="1"/>
    <col min="3316" max="3316" width="11.5703125" style="122" customWidth="1"/>
    <col min="3317" max="3317" width="12.5703125" style="122" customWidth="1"/>
    <col min="3318" max="3558" width="7" style="122"/>
    <col min="3559" max="3559" width="4.140625" style="122" customWidth="1"/>
    <col min="3560" max="3560" width="43.140625" style="122" customWidth="1"/>
    <col min="3561" max="3561" width="5" style="122" customWidth="1"/>
    <col min="3562" max="3562" width="11.85546875" style="122" customWidth="1"/>
    <col min="3563" max="3563" width="12.140625" style="122" customWidth="1"/>
    <col min="3564" max="3564" width="13" style="122" customWidth="1"/>
    <col min="3565" max="3565" width="11" style="122" customWidth="1"/>
    <col min="3566" max="3566" width="7" style="122"/>
    <col min="3567" max="3567" width="9.7109375" style="122" bestFit="1" customWidth="1"/>
    <col min="3568" max="3571" width="17" style="122" customWidth="1"/>
    <col min="3572" max="3572" width="11.5703125" style="122" customWidth="1"/>
    <col min="3573" max="3573" width="12.5703125" style="122" customWidth="1"/>
    <col min="3574" max="3814" width="7" style="122"/>
    <col min="3815" max="3815" width="4.140625" style="122" customWidth="1"/>
    <col min="3816" max="3816" width="43.140625" style="122" customWidth="1"/>
    <col min="3817" max="3817" width="5" style="122" customWidth="1"/>
    <col min="3818" max="3818" width="11.85546875" style="122" customWidth="1"/>
    <col min="3819" max="3819" width="12.140625" style="122" customWidth="1"/>
    <col min="3820" max="3820" width="13" style="122" customWidth="1"/>
    <col min="3821" max="3821" width="11" style="122" customWidth="1"/>
    <col min="3822" max="3822" width="7" style="122"/>
    <col min="3823" max="3823" width="9.7109375" style="122" bestFit="1" customWidth="1"/>
    <col min="3824" max="3827" width="17" style="122" customWidth="1"/>
    <col min="3828" max="3828" width="11.5703125" style="122" customWidth="1"/>
    <col min="3829" max="3829" width="12.5703125" style="122" customWidth="1"/>
    <col min="3830" max="4070" width="7" style="122"/>
    <col min="4071" max="4071" width="4.140625" style="122" customWidth="1"/>
    <col min="4072" max="4072" width="43.140625" style="122" customWidth="1"/>
    <col min="4073" max="4073" width="5" style="122" customWidth="1"/>
    <col min="4074" max="4074" width="11.85546875" style="122" customWidth="1"/>
    <col min="4075" max="4075" width="12.140625" style="122" customWidth="1"/>
    <col min="4076" max="4076" width="13" style="122" customWidth="1"/>
    <col min="4077" max="4077" width="11" style="122" customWidth="1"/>
    <col min="4078" max="4078" width="7" style="122"/>
    <col min="4079" max="4079" width="9.7109375" style="122" bestFit="1" customWidth="1"/>
    <col min="4080" max="4083" width="17" style="122" customWidth="1"/>
    <col min="4084" max="4084" width="11.5703125" style="122" customWidth="1"/>
    <col min="4085" max="4085" width="12.5703125" style="122" customWidth="1"/>
    <col min="4086" max="4326" width="7" style="122"/>
    <col min="4327" max="4327" width="4.140625" style="122" customWidth="1"/>
    <col min="4328" max="4328" width="43.140625" style="122" customWidth="1"/>
    <col min="4329" max="4329" width="5" style="122" customWidth="1"/>
    <col min="4330" max="4330" width="11.85546875" style="122" customWidth="1"/>
    <col min="4331" max="4331" width="12.140625" style="122" customWidth="1"/>
    <col min="4332" max="4332" width="13" style="122" customWidth="1"/>
    <col min="4333" max="4333" width="11" style="122" customWidth="1"/>
    <col min="4334" max="4334" width="7" style="122"/>
    <col min="4335" max="4335" width="9.7109375" style="122" bestFit="1" customWidth="1"/>
    <col min="4336" max="4339" width="17" style="122" customWidth="1"/>
    <col min="4340" max="4340" width="11.5703125" style="122" customWidth="1"/>
    <col min="4341" max="4341" width="12.5703125" style="122" customWidth="1"/>
    <col min="4342" max="4582" width="7" style="122"/>
    <col min="4583" max="4583" width="4.140625" style="122" customWidth="1"/>
    <col min="4584" max="4584" width="43.140625" style="122" customWidth="1"/>
    <col min="4585" max="4585" width="5" style="122" customWidth="1"/>
    <col min="4586" max="4586" width="11.85546875" style="122" customWidth="1"/>
    <col min="4587" max="4587" width="12.140625" style="122" customWidth="1"/>
    <col min="4588" max="4588" width="13" style="122" customWidth="1"/>
    <col min="4589" max="4589" width="11" style="122" customWidth="1"/>
    <col min="4590" max="4590" width="7" style="122"/>
    <col min="4591" max="4591" width="9.7109375" style="122" bestFit="1" customWidth="1"/>
    <col min="4592" max="4595" width="17" style="122" customWidth="1"/>
    <col min="4596" max="4596" width="11.5703125" style="122" customWidth="1"/>
    <col min="4597" max="4597" width="12.5703125" style="122" customWidth="1"/>
    <col min="4598" max="4838" width="7" style="122"/>
    <col min="4839" max="4839" width="4.140625" style="122" customWidth="1"/>
    <col min="4840" max="4840" width="43.140625" style="122" customWidth="1"/>
    <col min="4841" max="4841" width="5" style="122" customWidth="1"/>
    <col min="4842" max="4842" width="11.85546875" style="122" customWidth="1"/>
    <col min="4843" max="4843" width="12.140625" style="122" customWidth="1"/>
    <col min="4844" max="4844" width="13" style="122" customWidth="1"/>
    <col min="4845" max="4845" width="11" style="122" customWidth="1"/>
    <col min="4846" max="4846" width="7" style="122"/>
    <col min="4847" max="4847" width="9.7109375" style="122" bestFit="1" customWidth="1"/>
    <col min="4848" max="4851" width="17" style="122" customWidth="1"/>
    <col min="4852" max="4852" width="11.5703125" style="122" customWidth="1"/>
    <col min="4853" max="4853" width="12.5703125" style="122" customWidth="1"/>
    <col min="4854" max="5094" width="7" style="122"/>
    <col min="5095" max="5095" width="4.140625" style="122" customWidth="1"/>
    <col min="5096" max="5096" width="43.140625" style="122" customWidth="1"/>
    <col min="5097" max="5097" width="5" style="122" customWidth="1"/>
    <col min="5098" max="5098" width="11.85546875" style="122" customWidth="1"/>
    <col min="5099" max="5099" width="12.140625" style="122" customWidth="1"/>
    <col min="5100" max="5100" width="13" style="122" customWidth="1"/>
    <col min="5101" max="5101" width="11" style="122" customWidth="1"/>
    <col min="5102" max="5102" width="7" style="122"/>
    <col min="5103" max="5103" width="9.7109375" style="122" bestFit="1" customWidth="1"/>
    <col min="5104" max="5107" width="17" style="122" customWidth="1"/>
    <col min="5108" max="5108" width="11.5703125" style="122" customWidth="1"/>
    <col min="5109" max="5109" width="12.5703125" style="122" customWidth="1"/>
    <col min="5110" max="5350" width="7" style="122"/>
    <col min="5351" max="5351" width="4.140625" style="122" customWidth="1"/>
    <col min="5352" max="5352" width="43.140625" style="122" customWidth="1"/>
    <col min="5353" max="5353" width="5" style="122" customWidth="1"/>
    <col min="5354" max="5354" width="11.85546875" style="122" customWidth="1"/>
    <col min="5355" max="5355" width="12.140625" style="122" customWidth="1"/>
    <col min="5356" max="5356" width="13" style="122" customWidth="1"/>
    <col min="5357" max="5357" width="11" style="122" customWidth="1"/>
    <col min="5358" max="5358" width="7" style="122"/>
    <col min="5359" max="5359" width="9.7109375" style="122" bestFit="1" customWidth="1"/>
    <col min="5360" max="5363" width="17" style="122" customWidth="1"/>
    <col min="5364" max="5364" width="11.5703125" style="122" customWidth="1"/>
    <col min="5365" max="5365" width="12.5703125" style="122" customWidth="1"/>
    <col min="5366" max="5606" width="7" style="122"/>
    <col min="5607" max="5607" width="4.140625" style="122" customWidth="1"/>
    <col min="5608" max="5608" width="43.140625" style="122" customWidth="1"/>
    <col min="5609" max="5609" width="5" style="122" customWidth="1"/>
    <col min="5610" max="5610" width="11.85546875" style="122" customWidth="1"/>
    <col min="5611" max="5611" width="12.140625" style="122" customWidth="1"/>
    <col min="5612" max="5612" width="13" style="122" customWidth="1"/>
    <col min="5613" max="5613" width="11" style="122" customWidth="1"/>
    <col min="5614" max="5614" width="7" style="122"/>
    <col min="5615" max="5615" width="9.7109375" style="122" bestFit="1" customWidth="1"/>
    <col min="5616" max="5619" width="17" style="122" customWidth="1"/>
    <col min="5620" max="5620" width="11.5703125" style="122" customWidth="1"/>
    <col min="5621" max="5621" width="12.5703125" style="122" customWidth="1"/>
    <col min="5622" max="5862" width="7" style="122"/>
    <col min="5863" max="5863" width="4.140625" style="122" customWidth="1"/>
    <col min="5864" max="5864" width="43.140625" style="122" customWidth="1"/>
    <col min="5865" max="5865" width="5" style="122" customWidth="1"/>
    <col min="5866" max="5866" width="11.85546875" style="122" customWidth="1"/>
    <col min="5867" max="5867" width="12.140625" style="122" customWidth="1"/>
    <col min="5868" max="5868" width="13" style="122" customWidth="1"/>
    <col min="5869" max="5869" width="11" style="122" customWidth="1"/>
    <col min="5870" max="5870" width="7" style="122"/>
    <col min="5871" max="5871" width="9.7109375" style="122" bestFit="1" customWidth="1"/>
    <col min="5872" max="5875" width="17" style="122" customWidth="1"/>
    <col min="5876" max="5876" width="11.5703125" style="122" customWidth="1"/>
    <col min="5877" max="5877" width="12.5703125" style="122" customWidth="1"/>
    <col min="5878" max="6118" width="7" style="122"/>
    <col min="6119" max="6119" width="4.140625" style="122" customWidth="1"/>
    <col min="6120" max="6120" width="43.140625" style="122" customWidth="1"/>
    <col min="6121" max="6121" width="5" style="122" customWidth="1"/>
    <col min="6122" max="6122" width="11.85546875" style="122" customWidth="1"/>
    <col min="6123" max="6123" width="12.140625" style="122" customWidth="1"/>
    <col min="6124" max="6124" width="13" style="122" customWidth="1"/>
    <col min="6125" max="6125" width="11" style="122" customWidth="1"/>
    <col min="6126" max="6126" width="7" style="122"/>
    <col min="6127" max="6127" width="9.7109375" style="122" bestFit="1" customWidth="1"/>
    <col min="6128" max="6131" width="17" style="122" customWidth="1"/>
    <col min="6132" max="6132" width="11.5703125" style="122" customWidth="1"/>
    <col min="6133" max="6133" width="12.5703125" style="122" customWidth="1"/>
    <col min="6134" max="6374" width="7" style="122"/>
    <col min="6375" max="6375" width="4.140625" style="122" customWidth="1"/>
    <col min="6376" max="6376" width="43.140625" style="122" customWidth="1"/>
    <col min="6377" max="6377" width="5" style="122" customWidth="1"/>
    <col min="6378" max="6378" width="11.85546875" style="122" customWidth="1"/>
    <col min="6379" max="6379" width="12.140625" style="122" customWidth="1"/>
    <col min="6380" max="6380" width="13" style="122" customWidth="1"/>
    <col min="6381" max="6381" width="11" style="122" customWidth="1"/>
    <col min="6382" max="6382" width="7" style="122"/>
    <col min="6383" max="6383" width="9.7109375" style="122" bestFit="1" customWidth="1"/>
    <col min="6384" max="6387" width="17" style="122" customWidth="1"/>
    <col min="6388" max="6388" width="11.5703125" style="122" customWidth="1"/>
    <col min="6389" max="6389" width="12.5703125" style="122" customWidth="1"/>
    <col min="6390" max="6630" width="7" style="122"/>
    <col min="6631" max="6631" width="4.140625" style="122" customWidth="1"/>
    <col min="6632" max="6632" width="43.140625" style="122" customWidth="1"/>
    <col min="6633" max="6633" width="5" style="122" customWidth="1"/>
    <col min="6634" max="6634" width="11.85546875" style="122" customWidth="1"/>
    <col min="6635" max="6635" width="12.140625" style="122" customWidth="1"/>
    <col min="6636" max="6636" width="13" style="122" customWidth="1"/>
    <col min="6637" max="6637" width="11" style="122" customWidth="1"/>
    <col min="6638" max="6638" width="7" style="122"/>
    <col min="6639" max="6639" width="9.7109375" style="122" bestFit="1" customWidth="1"/>
    <col min="6640" max="6643" width="17" style="122" customWidth="1"/>
    <col min="6644" max="6644" width="11.5703125" style="122" customWidth="1"/>
    <col min="6645" max="6645" width="12.5703125" style="122" customWidth="1"/>
    <col min="6646" max="6886" width="7" style="122"/>
    <col min="6887" max="6887" width="4.140625" style="122" customWidth="1"/>
    <col min="6888" max="6888" width="43.140625" style="122" customWidth="1"/>
    <col min="6889" max="6889" width="5" style="122" customWidth="1"/>
    <col min="6890" max="6890" width="11.85546875" style="122" customWidth="1"/>
    <col min="6891" max="6891" width="12.140625" style="122" customWidth="1"/>
    <col min="6892" max="6892" width="13" style="122" customWidth="1"/>
    <col min="6893" max="6893" width="11" style="122" customWidth="1"/>
    <col min="6894" max="6894" width="7" style="122"/>
    <col min="6895" max="6895" width="9.7109375" style="122" bestFit="1" customWidth="1"/>
    <col min="6896" max="6899" width="17" style="122" customWidth="1"/>
    <col min="6900" max="6900" width="11.5703125" style="122" customWidth="1"/>
    <col min="6901" max="6901" width="12.5703125" style="122" customWidth="1"/>
    <col min="6902" max="7142" width="7" style="122"/>
    <col min="7143" max="7143" width="4.140625" style="122" customWidth="1"/>
    <col min="7144" max="7144" width="43.140625" style="122" customWidth="1"/>
    <col min="7145" max="7145" width="5" style="122" customWidth="1"/>
    <col min="7146" max="7146" width="11.85546875" style="122" customWidth="1"/>
    <col min="7147" max="7147" width="12.140625" style="122" customWidth="1"/>
    <col min="7148" max="7148" width="13" style="122" customWidth="1"/>
    <col min="7149" max="7149" width="11" style="122" customWidth="1"/>
    <col min="7150" max="7150" width="7" style="122"/>
    <col min="7151" max="7151" width="9.7109375" style="122" bestFit="1" customWidth="1"/>
    <col min="7152" max="7155" width="17" style="122" customWidth="1"/>
    <col min="7156" max="7156" width="11.5703125" style="122" customWidth="1"/>
    <col min="7157" max="7157" width="12.5703125" style="122" customWidth="1"/>
    <col min="7158" max="7398" width="7" style="122"/>
    <col min="7399" max="7399" width="4.140625" style="122" customWidth="1"/>
    <col min="7400" max="7400" width="43.140625" style="122" customWidth="1"/>
    <col min="7401" max="7401" width="5" style="122" customWidth="1"/>
    <col min="7402" max="7402" width="11.85546875" style="122" customWidth="1"/>
    <col min="7403" max="7403" width="12.140625" style="122" customWidth="1"/>
    <col min="7404" max="7404" width="13" style="122" customWidth="1"/>
    <col min="7405" max="7405" width="11" style="122" customWidth="1"/>
    <col min="7406" max="7406" width="7" style="122"/>
    <col min="7407" max="7407" width="9.7109375" style="122" bestFit="1" customWidth="1"/>
    <col min="7408" max="7411" width="17" style="122" customWidth="1"/>
    <col min="7412" max="7412" width="11.5703125" style="122" customWidth="1"/>
    <col min="7413" max="7413" width="12.5703125" style="122" customWidth="1"/>
    <col min="7414" max="7654" width="7" style="122"/>
    <col min="7655" max="7655" width="4.140625" style="122" customWidth="1"/>
    <col min="7656" max="7656" width="43.140625" style="122" customWidth="1"/>
    <col min="7657" max="7657" width="5" style="122" customWidth="1"/>
    <col min="7658" max="7658" width="11.85546875" style="122" customWidth="1"/>
    <col min="7659" max="7659" width="12.140625" style="122" customWidth="1"/>
    <col min="7660" max="7660" width="13" style="122" customWidth="1"/>
    <col min="7661" max="7661" width="11" style="122" customWidth="1"/>
    <col min="7662" max="7662" width="7" style="122"/>
    <col min="7663" max="7663" width="9.7109375" style="122" bestFit="1" customWidth="1"/>
    <col min="7664" max="7667" width="17" style="122" customWidth="1"/>
    <col min="7668" max="7668" width="11.5703125" style="122" customWidth="1"/>
    <col min="7669" max="7669" width="12.5703125" style="122" customWidth="1"/>
    <col min="7670" max="7910" width="7" style="122"/>
    <col min="7911" max="7911" width="4.140625" style="122" customWidth="1"/>
    <col min="7912" max="7912" width="43.140625" style="122" customWidth="1"/>
    <col min="7913" max="7913" width="5" style="122" customWidth="1"/>
    <col min="7914" max="7914" width="11.85546875" style="122" customWidth="1"/>
    <col min="7915" max="7915" width="12.140625" style="122" customWidth="1"/>
    <col min="7916" max="7916" width="13" style="122" customWidth="1"/>
    <col min="7917" max="7917" width="11" style="122" customWidth="1"/>
    <col min="7918" max="7918" width="7" style="122"/>
    <col min="7919" max="7919" width="9.7109375" style="122" bestFit="1" customWidth="1"/>
    <col min="7920" max="7923" width="17" style="122" customWidth="1"/>
    <col min="7924" max="7924" width="11.5703125" style="122" customWidth="1"/>
    <col min="7925" max="7925" width="12.5703125" style="122" customWidth="1"/>
    <col min="7926" max="8166" width="7" style="122"/>
    <col min="8167" max="8167" width="4.140625" style="122" customWidth="1"/>
    <col min="8168" max="8168" width="43.140625" style="122" customWidth="1"/>
    <col min="8169" max="8169" width="5" style="122" customWidth="1"/>
    <col min="8170" max="8170" width="11.85546875" style="122" customWidth="1"/>
    <col min="8171" max="8171" width="12.140625" style="122" customWidth="1"/>
    <col min="8172" max="8172" width="13" style="122" customWidth="1"/>
    <col min="8173" max="8173" width="11" style="122" customWidth="1"/>
    <col min="8174" max="8174" width="7" style="122"/>
    <col min="8175" max="8175" width="9.7109375" style="122" bestFit="1" customWidth="1"/>
    <col min="8176" max="8179" width="17" style="122" customWidth="1"/>
    <col min="8180" max="8180" width="11.5703125" style="122" customWidth="1"/>
    <col min="8181" max="8181" width="12.5703125" style="122" customWidth="1"/>
    <col min="8182" max="8422" width="7" style="122"/>
    <col min="8423" max="8423" width="4.140625" style="122" customWidth="1"/>
    <col min="8424" max="8424" width="43.140625" style="122" customWidth="1"/>
    <col min="8425" max="8425" width="5" style="122" customWidth="1"/>
    <col min="8426" max="8426" width="11.85546875" style="122" customWidth="1"/>
    <col min="8427" max="8427" width="12.140625" style="122" customWidth="1"/>
    <col min="8428" max="8428" width="13" style="122" customWidth="1"/>
    <col min="8429" max="8429" width="11" style="122" customWidth="1"/>
    <col min="8430" max="8430" width="7" style="122"/>
    <col min="8431" max="8431" width="9.7109375" style="122" bestFit="1" customWidth="1"/>
    <col min="8432" max="8435" width="17" style="122" customWidth="1"/>
    <col min="8436" max="8436" width="11.5703125" style="122" customWidth="1"/>
    <col min="8437" max="8437" width="12.5703125" style="122" customWidth="1"/>
    <col min="8438" max="8678" width="7" style="122"/>
    <col min="8679" max="8679" width="4.140625" style="122" customWidth="1"/>
    <col min="8680" max="8680" width="43.140625" style="122" customWidth="1"/>
    <col min="8681" max="8681" width="5" style="122" customWidth="1"/>
    <col min="8682" max="8682" width="11.85546875" style="122" customWidth="1"/>
    <col min="8683" max="8683" width="12.140625" style="122" customWidth="1"/>
    <col min="8684" max="8684" width="13" style="122" customWidth="1"/>
    <col min="8685" max="8685" width="11" style="122" customWidth="1"/>
    <col min="8686" max="8686" width="7" style="122"/>
    <col min="8687" max="8687" width="9.7109375" style="122" bestFit="1" customWidth="1"/>
    <col min="8688" max="8691" width="17" style="122" customWidth="1"/>
    <col min="8692" max="8692" width="11.5703125" style="122" customWidth="1"/>
    <col min="8693" max="8693" width="12.5703125" style="122" customWidth="1"/>
    <col min="8694" max="8934" width="7" style="122"/>
    <col min="8935" max="8935" width="4.140625" style="122" customWidth="1"/>
    <col min="8936" max="8936" width="43.140625" style="122" customWidth="1"/>
    <col min="8937" max="8937" width="5" style="122" customWidth="1"/>
    <col min="8938" max="8938" width="11.85546875" style="122" customWidth="1"/>
    <col min="8939" max="8939" width="12.140625" style="122" customWidth="1"/>
    <col min="8940" max="8940" width="13" style="122" customWidth="1"/>
    <col min="8941" max="8941" width="11" style="122" customWidth="1"/>
    <col min="8942" max="8942" width="7" style="122"/>
    <col min="8943" max="8943" width="9.7109375" style="122" bestFit="1" customWidth="1"/>
    <col min="8944" max="8947" width="17" style="122" customWidth="1"/>
    <col min="8948" max="8948" width="11.5703125" style="122" customWidth="1"/>
    <col min="8949" max="8949" width="12.5703125" style="122" customWidth="1"/>
    <col min="8950" max="9190" width="7" style="122"/>
    <col min="9191" max="9191" width="4.140625" style="122" customWidth="1"/>
    <col min="9192" max="9192" width="43.140625" style="122" customWidth="1"/>
    <col min="9193" max="9193" width="5" style="122" customWidth="1"/>
    <col min="9194" max="9194" width="11.85546875" style="122" customWidth="1"/>
    <col min="9195" max="9195" width="12.140625" style="122" customWidth="1"/>
    <col min="9196" max="9196" width="13" style="122" customWidth="1"/>
    <col min="9197" max="9197" width="11" style="122" customWidth="1"/>
    <col min="9198" max="9198" width="7" style="122"/>
    <col min="9199" max="9199" width="9.7109375" style="122" bestFit="1" customWidth="1"/>
    <col min="9200" max="9203" width="17" style="122" customWidth="1"/>
    <col min="9204" max="9204" width="11.5703125" style="122" customWidth="1"/>
    <col min="9205" max="9205" width="12.5703125" style="122" customWidth="1"/>
    <col min="9206" max="9446" width="7" style="122"/>
    <col min="9447" max="9447" width="4.140625" style="122" customWidth="1"/>
    <col min="9448" max="9448" width="43.140625" style="122" customWidth="1"/>
    <col min="9449" max="9449" width="5" style="122" customWidth="1"/>
    <col min="9450" max="9450" width="11.85546875" style="122" customWidth="1"/>
    <col min="9451" max="9451" width="12.140625" style="122" customWidth="1"/>
    <col min="9452" max="9452" width="13" style="122" customWidth="1"/>
    <col min="9453" max="9453" width="11" style="122" customWidth="1"/>
    <col min="9454" max="9454" width="7" style="122"/>
    <col min="9455" max="9455" width="9.7109375" style="122" bestFit="1" customWidth="1"/>
    <col min="9456" max="9459" width="17" style="122" customWidth="1"/>
    <col min="9460" max="9460" width="11.5703125" style="122" customWidth="1"/>
    <col min="9461" max="9461" width="12.5703125" style="122" customWidth="1"/>
    <col min="9462" max="9702" width="7" style="122"/>
    <col min="9703" max="9703" width="4.140625" style="122" customWidth="1"/>
    <col min="9704" max="9704" width="43.140625" style="122" customWidth="1"/>
    <col min="9705" max="9705" width="5" style="122" customWidth="1"/>
    <col min="9706" max="9706" width="11.85546875" style="122" customWidth="1"/>
    <col min="9707" max="9707" width="12.140625" style="122" customWidth="1"/>
    <col min="9708" max="9708" width="13" style="122" customWidth="1"/>
    <col min="9709" max="9709" width="11" style="122" customWidth="1"/>
    <col min="9710" max="9710" width="7" style="122"/>
    <col min="9711" max="9711" width="9.7109375" style="122" bestFit="1" customWidth="1"/>
    <col min="9712" max="9715" width="17" style="122" customWidth="1"/>
    <col min="9716" max="9716" width="11.5703125" style="122" customWidth="1"/>
    <col min="9717" max="9717" width="12.5703125" style="122" customWidth="1"/>
    <col min="9718" max="9958" width="7" style="122"/>
    <col min="9959" max="9959" width="4.140625" style="122" customWidth="1"/>
    <col min="9960" max="9960" width="43.140625" style="122" customWidth="1"/>
    <col min="9961" max="9961" width="5" style="122" customWidth="1"/>
    <col min="9962" max="9962" width="11.85546875" style="122" customWidth="1"/>
    <col min="9963" max="9963" width="12.140625" style="122" customWidth="1"/>
    <col min="9964" max="9964" width="13" style="122" customWidth="1"/>
    <col min="9965" max="9965" width="11" style="122" customWidth="1"/>
    <col min="9966" max="9966" width="7" style="122"/>
    <col min="9967" max="9967" width="9.7109375" style="122" bestFit="1" customWidth="1"/>
    <col min="9968" max="9971" width="17" style="122" customWidth="1"/>
    <col min="9972" max="9972" width="11.5703125" style="122" customWidth="1"/>
    <col min="9973" max="9973" width="12.5703125" style="122" customWidth="1"/>
    <col min="9974" max="10214" width="7" style="122"/>
    <col min="10215" max="10215" width="4.140625" style="122" customWidth="1"/>
    <col min="10216" max="10216" width="43.140625" style="122" customWidth="1"/>
    <col min="10217" max="10217" width="5" style="122" customWidth="1"/>
    <col min="10218" max="10218" width="11.85546875" style="122" customWidth="1"/>
    <col min="10219" max="10219" width="12.140625" style="122" customWidth="1"/>
    <col min="10220" max="10220" width="13" style="122" customWidth="1"/>
    <col min="10221" max="10221" width="11" style="122" customWidth="1"/>
    <col min="10222" max="10222" width="7" style="122"/>
    <col min="10223" max="10223" width="9.7109375" style="122" bestFit="1" customWidth="1"/>
    <col min="10224" max="10227" width="17" style="122" customWidth="1"/>
    <col min="10228" max="10228" width="11.5703125" style="122" customWidth="1"/>
    <col min="10229" max="10229" width="12.5703125" style="122" customWidth="1"/>
    <col min="10230" max="10470" width="7" style="122"/>
    <col min="10471" max="10471" width="4.140625" style="122" customWidth="1"/>
    <col min="10472" max="10472" width="43.140625" style="122" customWidth="1"/>
    <col min="10473" max="10473" width="5" style="122" customWidth="1"/>
    <col min="10474" max="10474" width="11.85546875" style="122" customWidth="1"/>
    <col min="10475" max="10475" width="12.140625" style="122" customWidth="1"/>
    <col min="10476" max="10476" width="13" style="122" customWidth="1"/>
    <col min="10477" max="10477" width="11" style="122" customWidth="1"/>
    <col min="10478" max="10478" width="7" style="122"/>
    <col min="10479" max="10479" width="9.7109375" style="122" bestFit="1" customWidth="1"/>
    <col min="10480" max="10483" width="17" style="122" customWidth="1"/>
    <col min="10484" max="10484" width="11.5703125" style="122" customWidth="1"/>
    <col min="10485" max="10485" width="12.5703125" style="122" customWidth="1"/>
    <col min="10486" max="10726" width="7" style="122"/>
    <col min="10727" max="10727" width="4.140625" style="122" customWidth="1"/>
    <col min="10728" max="10728" width="43.140625" style="122" customWidth="1"/>
    <col min="10729" max="10729" width="5" style="122" customWidth="1"/>
    <col min="10730" max="10730" width="11.85546875" style="122" customWidth="1"/>
    <col min="10731" max="10731" width="12.140625" style="122" customWidth="1"/>
    <col min="10732" max="10732" width="13" style="122" customWidth="1"/>
    <col min="10733" max="10733" width="11" style="122" customWidth="1"/>
    <col min="10734" max="10734" width="7" style="122"/>
    <col min="10735" max="10735" width="9.7109375" style="122" bestFit="1" customWidth="1"/>
    <col min="10736" max="10739" width="17" style="122" customWidth="1"/>
    <col min="10740" max="10740" width="11.5703125" style="122" customWidth="1"/>
    <col min="10741" max="10741" width="12.5703125" style="122" customWidth="1"/>
    <col min="10742" max="10982" width="7" style="122"/>
    <col min="10983" max="10983" width="4.140625" style="122" customWidth="1"/>
    <col min="10984" max="10984" width="43.140625" style="122" customWidth="1"/>
    <col min="10985" max="10985" width="5" style="122" customWidth="1"/>
    <col min="10986" max="10986" width="11.85546875" style="122" customWidth="1"/>
    <col min="10987" max="10987" width="12.140625" style="122" customWidth="1"/>
    <col min="10988" max="10988" width="13" style="122" customWidth="1"/>
    <col min="10989" max="10989" width="11" style="122" customWidth="1"/>
    <col min="10990" max="10990" width="7" style="122"/>
    <col min="10991" max="10991" width="9.7109375" style="122" bestFit="1" customWidth="1"/>
    <col min="10992" max="10995" width="17" style="122" customWidth="1"/>
    <col min="10996" max="10996" width="11.5703125" style="122" customWidth="1"/>
    <col min="10997" max="10997" width="12.5703125" style="122" customWidth="1"/>
    <col min="10998" max="11238" width="7" style="122"/>
    <col min="11239" max="11239" width="4.140625" style="122" customWidth="1"/>
    <col min="11240" max="11240" width="43.140625" style="122" customWidth="1"/>
    <col min="11241" max="11241" width="5" style="122" customWidth="1"/>
    <col min="11242" max="11242" width="11.85546875" style="122" customWidth="1"/>
    <col min="11243" max="11243" width="12.140625" style="122" customWidth="1"/>
    <col min="11244" max="11244" width="13" style="122" customWidth="1"/>
    <col min="11245" max="11245" width="11" style="122" customWidth="1"/>
    <col min="11246" max="11246" width="7" style="122"/>
    <col min="11247" max="11247" width="9.7109375" style="122" bestFit="1" customWidth="1"/>
    <col min="11248" max="11251" width="17" style="122" customWidth="1"/>
    <col min="11252" max="11252" width="11.5703125" style="122" customWidth="1"/>
    <col min="11253" max="11253" width="12.5703125" style="122" customWidth="1"/>
    <col min="11254" max="11494" width="7" style="122"/>
    <col min="11495" max="11495" width="4.140625" style="122" customWidth="1"/>
    <col min="11496" max="11496" width="43.140625" style="122" customWidth="1"/>
    <col min="11497" max="11497" width="5" style="122" customWidth="1"/>
    <col min="11498" max="11498" width="11.85546875" style="122" customWidth="1"/>
    <col min="11499" max="11499" width="12.140625" style="122" customWidth="1"/>
    <col min="11500" max="11500" width="13" style="122" customWidth="1"/>
    <col min="11501" max="11501" width="11" style="122" customWidth="1"/>
    <col min="11502" max="11502" width="7" style="122"/>
    <col min="11503" max="11503" width="9.7109375" style="122" bestFit="1" customWidth="1"/>
    <col min="11504" max="11507" width="17" style="122" customWidth="1"/>
    <col min="11508" max="11508" width="11.5703125" style="122" customWidth="1"/>
    <col min="11509" max="11509" width="12.5703125" style="122" customWidth="1"/>
    <col min="11510" max="11750" width="7" style="122"/>
    <col min="11751" max="11751" width="4.140625" style="122" customWidth="1"/>
    <col min="11752" max="11752" width="43.140625" style="122" customWidth="1"/>
    <col min="11753" max="11753" width="5" style="122" customWidth="1"/>
    <col min="11754" max="11754" width="11.85546875" style="122" customWidth="1"/>
    <col min="11755" max="11755" width="12.140625" style="122" customWidth="1"/>
    <col min="11756" max="11756" width="13" style="122" customWidth="1"/>
    <col min="11757" max="11757" width="11" style="122" customWidth="1"/>
    <col min="11758" max="11758" width="7" style="122"/>
    <col min="11759" max="11759" width="9.7109375" style="122" bestFit="1" customWidth="1"/>
    <col min="11760" max="11763" width="17" style="122" customWidth="1"/>
    <col min="11764" max="11764" width="11.5703125" style="122" customWidth="1"/>
    <col min="11765" max="11765" width="12.5703125" style="122" customWidth="1"/>
    <col min="11766" max="12006" width="7" style="122"/>
    <col min="12007" max="12007" width="4.140625" style="122" customWidth="1"/>
    <col min="12008" max="12008" width="43.140625" style="122" customWidth="1"/>
    <col min="12009" max="12009" width="5" style="122" customWidth="1"/>
    <col min="12010" max="12010" width="11.85546875" style="122" customWidth="1"/>
    <col min="12011" max="12011" width="12.140625" style="122" customWidth="1"/>
    <col min="12012" max="12012" width="13" style="122" customWidth="1"/>
    <col min="12013" max="12013" width="11" style="122" customWidth="1"/>
    <col min="12014" max="12014" width="7" style="122"/>
    <col min="12015" max="12015" width="9.7109375" style="122" bestFit="1" customWidth="1"/>
    <col min="12016" max="12019" width="17" style="122" customWidth="1"/>
    <col min="12020" max="12020" width="11.5703125" style="122" customWidth="1"/>
    <col min="12021" max="12021" width="12.5703125" style="122" customWidth="1"/>
    <col min="12022" max="12262" width="7" style="122"/>
    <col min="12263" max="12263" width="4.140625" style="122" customWidth="1"/>
    <col min="12264" max="12264" width="43.140625" style="122" customWidth="1"/>
    <col min="12265" max="12265" width="5" style="122" customWidth="1"/>
    <col min="12266" max="12266" width="11.85546875" style="122" customWidth="1"/>
    <col min="12267" max="12267" width="12.140625" style="122" customWidth="1"/>
    <col min="12268" max="12268" width="13" style="122" customWidth="1"/>
    <col min="12269" max="12269" width="11" style="122" customWidth="1"/>
    <col min="12270" max="12270" width="7" style="122"/>
    <col min="12271" max="12271" width="9.7109375" style="122" bestFit="1" customWidth="1"/>
    <col min="12272" max="12275" width="17" style="122" customWidth="1"/>
    <col min="12276" max="12276" width="11.5703125" style="122" customWidth="1"/>
    <col min="12277" max="12277" width="12.5703125" style="122" customWidth="1"/>
    <col min="12278" max="12518" width="7" style="122"/>
    <col min="12519" max="12519" width="4.140625" style="122" customWidth="1"/>
    <col min="12520" max="12520" width="43.140625" style="122" customWidth="1"/>
    <col min="12521" max="12521" width="5" style="122" customWidth="1"/>
    <col min="12522" max="12522" width="11.85546875" style="122" customWidth="1"/>
    <col min="12523" max="12523" width="12.140625" style="122" customWidth="1"/>
    <col min="12524" max="12524" width="13" style="122" customWidth="1"/>
    <col min="12525" max="12525" width="11" style="122" customWidth="1"/>
    <col min="12526" max="12526" width="7" style="122"/>
    <col min="12527" max="12527" width="9.7109375" style="122" bestFit="1" customWidth="1"/>
    <col min="12528" max="12531" width="17" style="122" customWidth="1"/>
    <col min="12532" max="12532" width="11.5703125" style="122" customWidth="1"/>
    <col min="12533" max="12533" width="12.5703125" style="122" customWidth="1"/>
    <col min="12534" max="12774" width="7" style="122"/>
    <col min="12775" max="12775" width="4.140625" style="122" customWidth="1"/>
    <col min="12776" max="12776" width="43.140625" style="122" customWidth="1"/>
    <col min="12777" max="12777" width="5" style="122" customWidth="1"/>
    <col min="12778" max="12778" width="11.85546875" style="122" customWidth="1"/>
    <col min="12779" max="12779" width="12.140625" style="122" customWidth="1"/>
    <col min="12780" max="12780" width="13" style="122" customWidth="1"/>
    <col min="12781" max="12781" width="11" style="122" customWidth="1"/>
    <col min="12782" max="12782" width="7" style="122"/>
    <col min="12783" max="12783" width="9.7109375" style="122" bestFit="1" customWidth="1"/>
    <col min="12784" max="12787" width="17" style="122" customWidth="1"/>
    <col min="12788" max="12788" width="11.5703125" style="122" customWidth="1"/>
    <col min="12789" max="12789" width="12.5703125" style="122" customWidth="1"/>
    <col min="12790" max="13030" width="7" style="122"/>
    <col min="13031" max="13031" width="4.140625" style="122" customWidth="1"/>
    <col min="13032" max="13032" width="43.140625" style="122" customWidth="1"/>
    <col min="13033" max="13033" width="5" style="122" customWidth="1"/>
    <col min="13034" max="13034" width="11.85546875" style="122" customWidth="1"/>
    <col min="13035" max="13035" width="12.140625" style="122" customWidth="1"/>
    <col min="13036" max="13036" width="13" style="122" customWidth="1"/>
    <col min="13037" max="13037" width="11" style="122" customWidth="1"/>
    <col min="13038" max="13038" width="7" style="122"/>
    <col min="13039" max="13039" width="9.7109375" style="122" bestFit="1" customWidth="1"/>
    <col min="13040" max="13043" width="17" style="122" customWidth="1"/>
    <col min="13044" max="13044" width="11.5703125" style="122" customWidth="1"/>
    <col min="13045" max="13045" width="12.5703125" style="122" customWidth="1"/>
    <col min="13046" max="13286" width="7" style="122"/>
    <col min="13287" max="13287" width="4.140625" style="122" customWidth="1"/>
    <col min="13288" max="13288" width="43.140625" style="122" customWidth="1"/>
    <col min="13289" max="13289" width="5" style="122" customWidth="1"/>
    <col min="13290" max="13290" width="11.85546875" style="122" customWidth="1"/>
    <col min="13291" max="13291" width="12.140625" style="122" customWidth="1"/>
    <col min="13292" max="13292" width="13" style="122" customWidth="1"/>
    <col min="13293" max="13293" width="11" style="122" customWidth="1"/>
    <col min="13294" max="13294" width="7" style="122"/>
    <col min="13295" max="13295" width="9.7109375" style="122" bestFit="1" customWidth="1"/>
    <col min="13296" max="13299" width="17" style="122" customWidth="1"/>
    <col min="13300" max="13300" width="11.5703125" style="122" customWidth="1"/>
    <col min="13301" max="13301" width="12.5703125" style="122" customWidth="1"/>
    <col min="13302" max="13542" width="7" style="122"/>
    <col min="13543" max="13543" width="4.140625" style="122" customWidth="1"/>
    <col min="13544" max="13544" width="43.140625" style="122" customWidth="1"/>
    <col min="13545" max="13545" width="5" style="122" customWidth="1"/>
    <col min="13546" max="13546" width="11.85546875" style="122" customWidth="1"/>
    <col min="13547" max="13547" width="12.140625" style="122" customWidth="1"/>
    <col min="13548" max="13548" width="13" style="122" customWidth="1"/>
    <col min="13549" max="13549" width="11" style="122" customWidth="1"/>
    <col min="13550" max="13550" width="7" style="122"/>
    <col min="13551" max="13551" width="9.7109375" style="122" bestFit="1" customWidth="1"/>
    <col min="13552" max="13555" width="17" style="122" customWidth="1"/>
    <col min="13556" max="13556" width="11.5703125" style="122" customWidth="1"/>
    <col min="13557" max="13557" width="12.5703125" style="122" customWidth="1"/>
    <col min="13558" max="13798" width="7" style="122"/>
    <col min="13799" max="13799" width="4.140625" style="122" customWidth="1"/>
    <col min="13800" max="13800" width="43.140625" style="122" customWidth="1"/>
    <col min="13801" max="13801" width="5" style="122" customWidth="1"/>
    <col min="13802" max="13802" width="11.85546875" style="122" customWidth="1"/>
    <col min="13803" max="13803" width="12.140625" style="122" customWidth="1"/>
    <col min="13804" max="13804" width="13" style="122" customWidth="1"/>
    <col min="13805" max="13805" width="11" style="122" customWidth="1"/>
    <col min="13806" max="13806" width="7" style="122"/>
    <col min="13807" max="13807" width="9.7109375" style="122" bestFit="1" customWidth="1"/>
    <col min="13808" max="13811" width="17" style="122" customWidth="1"/>
    <col min="13812" max="13812" width="11.5703125" style="122" customWidth="1"/>
    <col min="13813" max="13813" width="12.5703125" style="122" customWidth="1"/>
    <col min="13814" max="14054" width="7" style="122"/>
    <col min="14055" max="14055" width="4.140625" style="122" customWidth="1"/>
    <col min="14056" max="14056" width="43.140625" style="122" customWidth="1"/>
    <col min="14057" max="14057" width="5" style="122" customWidth="1"/>
    <col min="14058" max="14058" width="11.85546875" style="122" customWidth="1"/>
    <col min="14059" max="14059" width="12.140625" style="122" customWidth="1"/>
    <col min="14060" max="14060" width="13" style="122" customWidth="1"/>
    <col min="14061" max="14061" width="11" style="122" customWidth="1"/>
    <col min="14062" max="14062" width="7" style="122"/>
    <col min="14063" max="14063" width="9.7109375" style="122" bestFit="1" customWidth="1"/>
    <col min="14064" max="14067" width="17" style="122" customWidth="1"/>
    <col min="14068" max="14068" width="11.5703125" style="122" customWidth="1"/>
    <col min="14069" max="14069" width="12.5703125" style="122" customWidth="1"/>
    <col min="14070" max="14310" width="7" style="122"/>
    <col min="14311" max="14311" width="4.140625" style="122" customWidth="1"/>
    <col min="14312" max="14312" width="43.140625" style="122" customWidth="1"/>
    <col min="14313" max="14313" width="5" style="122" customWidth="1"/>
    <col min="14314" max="14314" width="11.85546875" style="122" customWidth="1"/>
    <col min="14315" max="14315" width="12.140625" style="122" customWidth="1"/>
    <col min="14316" max="14316" width="13" style="122" customWidth="1"/>
    <col min="14317" max="14317" width="11" style="122" customWidth="1"/>
    <col min="14318" max="14318" width="7" style="122"/>
    <col min="14319" max="14319" width="9.7109375" style="122" bestFit="1" customWidth="1"/>
    <col min="14320" max="14323" width="17" style="122" customWidth="1"/>
    <col min="14324" max="14324" width="11.5703125" style="122" customWidth="1"/>
    <col min="14325" max="14325" width="12.5703125" style="122" customWidth="1"/>
    <col min="14326" max="14566" width="7" style="122"/>
    <col min="14567" max="14567" width="4.140625" style="122" customWidth="1"/>
    <col min="14568" max="14568" width="43.140625" style="122" customWidth="1"/>
    <col min="14569" max="14569" width="5" style="122" customWidth="1"/>
    <col min="14570" max="14570" width="11.85546875" style="122" customWidth="1"/>
    <col min="14571" max="14571" width="12.140625" style="122" customWidth="1"/>
    <col min="14572" max="14572" width="13" style="122" customWidth="1"/>
    <col min="14573" max="14573" width="11" style="122" customWidth="1"/>
    <col min="14574" max="14574" width="7" style="122"/>
    <col min="14575" max="14575" width="9.7109375" style="122" bestFit="1" customWidth="1"/>
    <col min="14576" max="14579" width="17" style="122" customWidth="1"/>
    <col min="14580" max="14580" width="11.5703125" style="122" customWidth="1"/>
    <col min="14581" max="14581" width="12.5703125" style="122" customWidth="1"/>
    <col min="14582" max="14822" width="7" style="122"/>
    <col min="14823" max="14823" width="4.140625" style="122" customWidth="1"/>
    <col min="14824" max="14824" width="43.140625" style="122" customWidth="1"/>
    <col min="14825" max="14825" width="5" style="122" customWidth="1"/>
    <col min="14826" max="14826" width="11.85546875" style="122" customWidth="1"/>
    <col min="14827" max="14827" width="12.140625" style="122" customWidth="1"/>
    <col min="14828" max="14828" width="13" style="122" customWidth="1"/>
    <col min="14829" max="14829" width="11" style="122" customWidth="1"/>
    <col min="14830" max="14830" width="7" style="122"/>
    <col min="14831" max="14831" width="9.7109375" style="122" bestFit="1" customWidth="1"/>
    <col min="14832" max="14835" width="17" style="122" customWidth="1"/>
    <col min="14836" max="14836" width="11.5703125" style="122" customWidth="1"/>
    <col min="14837" max="14837" width="12.5703125" style="122" customWidth="1"/>
    <col min="14838" max="15078" width="7" style="122"/>
    <col min="15079" max="15079" width="4.140625" style="122" customWidth="1"/>
    <col min="15080" max="15080" width="43.140625" style="122" customWidth="1"/>
    <col min="15081" max="15081" width="5" style="122" customWidth="1"/>
    <col min="15082" max="15082" width="11.85546875" style="122" customWidth="1"/>
    <col min="15083" max="15083" width="12.140625" style="122" customWidth="1"/>
    <col min="15084" max="15084" width="13" style="122" customWidth="1"/>
    <col min="15085" max="15085" width="11" style="122" customWidth="1"/>
    <col min="15086" max="15086" width="7" style="122"/>
    <col min="15087" max="15087" width="9.7109375" style="122" bestFit="1" customWidth="1"/>
    <col min="15088" max="15091" width="17" style="122" customWidth="1"/>
    <col min="15092" max="15092" width="11.5703125" style="122" customWidth="1"/>
    <col min="15093" max="15093" width="12.5703125" style="122" customWidth="1"/>
    <col min="15094" max="15334" width="7" style="122"/>
    <col min="15335" max="15335" width="4.140625" style="122" customWidth="1"/>
    <col min="15336" max="15336" width="43.140625" style="122" customWidth="1"/>
    <col min="15337" max="15337" width="5" style="122" customWidth="1"/>
    <col min="15338" max="15338" width="11.85546875" style="122" customWidth="1"/>
    <col min="15339" max="15339" width="12.140625" style="122" customWidth="1"/>
    <col min="15340" max="15340" width="13" style="122" customWidth="1"/>
    <col min="15341" max="15341" width="11" style="122" customWidth="1"/>
    <col min="15342" max="15342" width="7" style="122"/>
    <col min="15343" max="15343" width="9.7109375" style="122" bestFit="1" customWidth="1"/>
    <col min="15344" max="15347" width="17" style="122" customWidth="1"/>
    <col min="15348" max="15348" width="11.5703125" style="122" customWidth="1"/>
    <col min="15349" max="15349" width="12.5703125" style="122" customWidth="1"/>
    <col min="15350" max="15590" width="7" style="122"/>
    <col min="15591" max="15591" width="4.140625" style="122" customWidth="1"/>
    <col min="15592" max="15592" width="43.140625" style="122" customWidth="1"/>
    <col min="15593" max="15593" width="5" style="122" customWidth="1"/>
    <col min="15594" max="15594" width="11.85546875" style="122" customWidth="1"/>
    <col min="15595" max="15595" width="12.140625" style="122" customWidth="1"/>
    <col min="15596" max="15596" width="13" style="122" customWidth="1"/>
    <col min="15597" max="15597" width="11" style="122" customWidth="1"/>
    <col min="15598" max="15598" width="7" style="122"/>
    <col min="15599" max="15599" width="9.7109375" style="122" bestFit="1" customWidth="1"/>
    <col min="15600" max="15603" width="17" style="122" customWidth="1"/>
    <col min="15604" max="15604" width="11.5703125" style="122" customWidth="1"/>
    <col min="15605" max="15605" width="12.5703125" style="122" customWidth="1"/>
    <col min="15606" max="15846" width="7" style="122"/>
    <col min="15847" max="15847" width="4.140625" style="122" customWidth="1"/>
    <col min="15848" max="15848" width="43.140625" style="122" customWidth="1"/>
    <col min="15849" max="15849" width="5" style="122" customWidth="1"/>
    <col min="15850" max="15850" width="11.85546875" style="122" customWidth="1"/>
    <col min="15851" max="15851" width="12.140625" style="122" customWidth="1"/>
    <col min="15852" max="15852" width="13" style="122" customWidth="1"/>
    <col min="15853" max="15853" width="11" style="122" customWidth="1"/>
    <col min="15854" max="15854" width="7" style="122"/>
    <col min="15855" max="15855" width="9.7109375" style="122" bestFit="1" customWidth="1"/>
    <col min="15856" max="15859" width="17" style="122" customWidth="1"/>
    <col min="15860" max="15860" width="11.5703125" style="122" customWidth="1"/>
    <col min="15861" max="15861" width="12.5703125" style="122" customWidth="1"/>
    <col min="15862" max="16102" width="7" style="122"/>
    <col min="16103" max="16103" width="4.140625" style="122" customWidth="1"/>
    <col min="16104" max="16104" width="43.140625" style="122" customWidth="1"/>
    <col min="16105" max="16105" width="5" style="122" customWidth="1"/>
    <col min="16106" max="16106" width="11.85546875" style="122" customWidth="1"/>
    <col min="16107" max="16107" width="12.140625" style="122" customWidth="1"/>
    <col min="16108" max="16108" width="13" style="122" customWidth="1"/>
    <col min="16109" max="16109" width="11" style="122" customWidth="1"/>
    <col min="16110" max="16110" width="7" style="122"/>
    <col min="16111" max="16111" width="9.7109375" style="122" bestFit="1" customWidth="1"/>
    <col min="16112" max="16115" width="17" style="122" customWidth="1"/>
    <col min="16116" max="16116" width="11.5703125" style="122" customWidth="1"/>
    <col min="16117" max="16117" width="12.5703125" style="122" customWidth="1"/>
    <col min="16118" max="16384" width="7" style="122"/>
  </cols>
  <sheetData>
    <row r="2" spans="1:9" ht="18.75" customHeight="1" x14ac:dyDescent="0.25">
      <c r="A2" s="462" t="s">
        <v>277</v>
      </c>
      <c r="B2" s="462"/>
      <c r="C2" s="462"/>
      <c r="D2" s="462"/>
      <c r="E2" s="462"/>
    </row>
    <row r="3" spans="1:9" ht="15" thickBot="1" x14ac:dyDescent="0.3">
      <c r="B3" s="123"/>
      <c r="E3" s="122"/>
    </row>
    <row r="4" spans="1:9" ht="31.5" customHeight="1" x14ac:dyDescent="0.25">
      <c r="A4" s="238" t="s">
        <v>56</v>
      </c>
      <c r="B4" s="239" t="s">
        <v>57</v>
      </c>
      <c r="C4" s="240" t="s">
        <v>58</v>
      </c>
      <c r="D4" s="242" t="s">
        <v>283</v>
      </c>
      <c r="E4" s="241" t="s">
        <v>268</v>
      </c>
    </row>
    <row r="5" spans="1:9" ht="15.75" x14ac:dyDescent="0.25">
      <c r="A5" s="243" t="s">
        <v>35</v>
      </c>
      <c r="B5" s="146" t="s">
        <v>59</v>
      </c>
      <c r="C5" s="147"/>
      <c r="D5" s="244"/>
      <c r="E5" s="154"/>
    </row>
    <row r="6" spans="1:9" ht="15.75" x14ac:dyDescent="0.25">
      <c r="A6" s="245"/>
      <c r="B6" s="146" t="s">
        <v>60</v>
      </c>
      <c r="C6" s="147"/>
      <c r="D6" s="244">
        <f>SUM(D7:D8)</f>
        <v>30193676.556501448</v>
      </c>
      <c r="E6" s="154">
        <f t="shared" ref="E6" si="0">SUM(E7:E8)</f>
        <v>22687145.684201702</v>
      </c>
    </row>
    <row r="7" spans="1:9" ht="15.75" x14ac:dyDescent="0.25">
      <c r="A7" s="245"/>
      <c r="B7" s="147" t="s">
        <v>61</v>
      </c>
      <c r="C7" s="147"/>
      <c r="D7" s="246">
        <v>25081750.878700033</v>
      </c>
      <c r="E7" s="155">
        <v>16773136.006400287</v>
      </c>
    </row>
    <row r="8" spans="1:9" ht="15.75" x14ac:dyDescent="0.25">
      <c r="A8" s="245"/>
      <c r="B8" s="147" t="s">
        <v>62</v>
      </c>
      <c r="C8" s="147"/>
      <c r="D8" s="246">
        <v>5111925.6778014153</v>
      </c>
      <c r="E8" s="155">
        <v>5914009.6778014153</v>
      </c>
    </row>
    <row r="9" spans="1:9" ht="15.75" x14ac:dyDescent="0.25">
      <c r="A9" s="245"/>
      <c r="B9" s="148" t="s">
        <v>63</v>
      </c>
      <c r="C9" s="147"/>
      <c r="D9" s="247">
        <f>SUM(D10:D13)</f>
        <v>291873873.78105909</v>
      </c>
      <c r="E9" s="157">
        <f t="shared" ref="E9" si="1">SUM(E10:E13)</f>
        <v>358772834.96041775</v>
      </c>
    </row>
    <row r="10" spans="1:9" ht="15.75" x14ac:dyDescent="0.25">
      <c r="A10" s="245"/>
      <c r="B10" s="147" t="s">
        <v>64</v>
      </c>
      <c r="C10" s="147"/>
      <c r="D10" s="246">
        <v>267180774.76999992</v>
      </c>
      <c r="E10" s="26">
        <v>337726462.29999995</v>
      </c>
      <c r="G10" s="177">
        <f>SUM(D10:D11)</f>
        <v>283275607.9504177</v>
      </c>
      <c r="I10" s="177">
        <f>SUM(E10:E11)</f>
        <v>358772834.96041775</v>
      </c>
    </row>
    <row r="11" spans="1:9" ht="15.75" x14ac:dyDescent="0.25">
      <c r="A11" s="245"/>
      <c r="B11" s="147" t="s">
        <v>65</v>
      </c>
      <c r="C11" s="147"/>
      <c r="D11" s="246">
        <v>16094833.180417798</v>
      </c>
      <c r="E11" s="26">
        <v>21046372.660417799</v>
      </c>
    </row>
    <row r="12" spans="1:9" ht="15.75" x14ac:dyDescent="0.25">
      <c r="A12" s="245" t="s">
        <v>339</v>
      </c>
      <c r="B12" s="147" t="s">
        <v>66</v>
      </c>
      <c r="C12" s="147"/>
      <c r="D12" s="246">
        <v>8598265.8306413628</v>
      </c>
      <c r="E12" s="26">
        <v>0</v>
      </c>
    </row>
    <row r="13" spans="1:9" ht="15.75" x14ac:dyDescent="0.25">
      <c r="A13" s="245"/>
      <c r="B13" s="147" t="s">
        <v>67</v>
      </c>
      <c r="C13" s="147"/>
      <c r="D13" s="246">
        <v>0</v>
      </c>
      <c r="E13" s="155">
        <v>0</v>
      </c>
    </row>
    <row r="14" spans="1:9" ht="15.75" x14ac:dyDescent="0.25">
      <c r="A14" s="245"/>
      <c r="B14" s="146" t="s">
        <v>68</v>
      </c>
      <c r="C14" s="147"/>
      <c r="D14" s="247">
        <f>SUM(D15:D20)</f>
        <v>80580500.519199938</v>
      </c>
      <c r="E14" s="157">
        <f t="shared" ref="E14" si="2">SUM(E15:E20)</f>
        <v>77799280.519199938</v>
      </c>
    </row>
    <row r="15" spans="1:9" ht="15.75" x14ac:dyDescent="0.25">
      <c r="A15" s="245"/>
      <c r="B15" s="147" t="s">
        <v>69</v>
      </c>
      <c r="C15" s="147"/>
      <c r="D15" s="246">
        <v>3211279.9999999404</v>
      </c>
      <c r="E15" s="26">
        <v>1146126.4999999404</v>
      </c>
    </row>
    <row r="16" spans="1:9" ht="15.75" x14ac:dyDescent="0.25">
      <c r="A16" s="245"/>
      <c r="B16" s="147" t="s">
        <v>71</v>
      </c>
      <c r="C16" s="147"/>
      <c r="D16" s="246">
        <v>0</v>
      </c>
      <c r="E16" s="26">
        <v>0</v>
      </c>
    </row>
    <row r="17" spans="1:9" ht="15.75" x14ac:dyDescent="0.25">
      <c r="A17" s="245"/>
      <c r="B17" s="147" t="s">
        <v>70</v>
      </c>
      <c r="C17" s="147"/>
      <c r="D17" s="246">
        <v>0</v>
      </c>
      <c r="E17" s="155">
        <v>0</v>
      </c>
    </row>
    <row r="18" spans="1:9" ht="15.75" customHeight="1" x14ac:dyDescent="0.25">
      <c r="A18" s="245"/>
      <c r="B18" s="147" t="s">
        <v>72</v>
      </c>
      <c r="C18" s="147"/>
      <c r="D18" s="246">
        <v>76766568.999200001</v>
      </c>
      <c r="E18" s="155">
        <v>76166568.999200001</v>
      </c>
      <c r="G18" s="177">
        <f>D18+D24</f>
        <v>213224646.56550896</v>
      </c>
      <c r="I18" s="177">
        <f>E18+E24</f>
        <v>212624646.56550896</v>
      </c>
    </row>
    <row r="19" spans="1:9" ht="15.75" customHeight="1" x14ac:dyDescent="0.25">
      <c r="A19" s="245"/>
      <c r="B19" s="147" t="s">
        <v>246</v>
      </c>
      <c r="C19" s="147"/>
      <c r="D19" s="246">
        <v>285106.5</v>
      </c>
      <c r="E19" s="155">
        <v>316585</v>
      </c>
      <c r="G19" s="177">
        <f t="shared" ref="G19:G20" si="3">D19</f>
        <v>285106.5</v>
      </c>
      <c r="I19" s="177">
        <f t="shared" ref="I19:I20" si="4">E19</f>
        <v>316585</v>
      </c>
    </row>
    <row r="20" spans="1:9" ht="15.75" customHeight="1" x14ac:dyDescent="0.25">
      <c r="A20" s="245"/>
      <c r="B20" s="147" t="s">
        <v>245</v>
      </c>
      <c r="C20" s="147"/>
      <c r="D20" s="246">
        <v>317545.02</v>
      </c>
      <c r="E20" s="155">
        <v>170000.02000000002</v>
      </c>
      <c r="G20" s="177">
        <f t="shared" si="3"/>
        <v>317545.02</v>
      </c>
      <c r="I20" s="177">
        <f t="shared" si="4"/>
        <v>170000.02000000002</v>
      </c>
    </row>
    <row r="21" spans="1:9" ht="15.75" customHeight="1" x14ac:dyDescent="0.25">
      <c r="A21" s="226" t="s">
        <v>73</v>
      </c>
      <c r="B21" s="134" t="s">
        <v>74</v>
      </c>
      <c r="C21" s="158">
        <f t="shared" ref="C21:E21" si="5">C6+C9+C14</f>
        <v>0</v>
      </c>
      <c r="D21" s="249">
        <f>D6+D9+D14</f>
        <v>402648050.8567605</v>
      </c>
      <c r="E21" s="158">
        <f t="shared" si="5"/>
        <v>459259261.16381943</v>
      </c>
    </row>
    <row r="22" spans="1:9" ht="15" customHeight="1" x14ac:dyDescent="0.25">
      <c r="A22" s="226"/>
      <c r="B22" s="63" t="s">
        <v>75</v>
      </c>
      <c r="C22" s="61"/>
      <c r="D22" s="246"/>
      <c r="E22" s="152">
        <v>0</v>
      </c>
    </row>
    <row r="23" spans="1:9" ht="15.75" x14ac:dyDescent="0.25">
      <c r="A23" s="226"/>
      <c r="B23" s="97" t="s">
        <v>76</v>
      </c>
      <c r="C23" s="61"/>
      <c r="D23" s="246">
        <v>85799800</v>
      </c>
      <c r="E23" s="26">
        <v>85799800</v>
      </c>
      <c r="G23" s="177">
        <f>D23+D25+D26</f>
        <v>107425895.81299999</v>
      </c>
      <c r="I23" s="177">
        <f>E23+E25+E26</f>
        <v>108564111.34</v>
      </c>
    </row>
    <row r="24" spans="1:9" ht="15.75" x14ac:dyDescent="0.25">
      <c r="A24" s="226"/>
      <c r="B24" s="97" t="s">
        <v>77</v>
      </c>
      <c r="C24" s="61"/>
      <c r="D24" s="246">
        <v>136458077.56630898</v>
      </c>
      <c r="E24" s="155">
        <v>136458077.56630898</v>
      </c>
    </row>
    <row r="25" spans="1:9" ht="15.75" x14ac:dyDescent="0.25">
      <c r="A25" s="226"/>
      <c r="B25" s="97" t="s">
        <v>247</v>
      </c>
      <c r="C25" s="61"/>
      <c r="D25" s="246">
        <v>26057660</v>
      </c>
      <c r="E25" s="155">
        <v>26057660</v>
      </c>
    </row>
    <row r="26" spans="1:9" ht="31.5" x14ac:dyDescent="0.25">
      <c r="A26" s="226"/>
      <c r="B26" s="151" t="s">
        <v>78</v>
      </c>
      <c r="C26" s="61"/>
      <c r="D26" s="250">
        <v>-4431564.1870000008</v>
      </c>
      <c r="E26" s="159">
        <v>-3293348.66</v>
      </c>
    </row>
    <row r="27" spans="1:9" ht="15.75" x14ac:dyDescent="0.25">
      <c r="A27" s="226"/>
      <c r="B27" s="97" t="s">
        <v>79</v>
      </c>
      <c r="C27" s="61"/>
      <c r="D27" s="246">
        <v>0</v>
      </c>
      <c r="E27" s="155">
        <v>0</v>
      </c>
    </row>
    <row r="28" spans="1:9" ht="15.75" x14ac:dyDescent="0.25">
      <c r="A28" s="226"/>
      <c r="B28" s="97" t="s">
        <v>80</v>
      </c>
      <c r="C28" s="61"/>
      <c r="D28" s="246">
        <v>67498759.086999997</v>
      </c>
      <c r="E28" s="26">
        <v>59470455.086999997</v>
      </c>
      <c r="G28" s="177">
        <f>SUM(D28:D29)</f>
        <v>37784904.339700267</v>
      </c>
      <c r="I28" s="177">
        <f>SUM(E28:E29)</f>
        <v>33318879.109309327</v>
      </c>
    </row>
    <row r="29" spans="1:9" ht="15.75" x14ac:dyDescent="0.25">
      <c r="A29" s="226"/>
      <c r="B29" s="97" t="s">
        <v>81</v>
      </c>
      <c r="C29" s="61"/>
      <c r="D29" s="246">
        <v>-29713854.747299735</v>
      </c>
      <c r="E29" s="26">
        <v>-26151575.977690671</v>
      </c>
    </row>
    <row r="30" spans="1:9" ht="15.75" x14ac:dyDescent="0.25">
      <c r="A30" s="226"/>
      <c r="B30" s="97" t="s">
        <v>82</v>
      </c>
      <c r="C30" s="61"/>
      <c r="D30" s="246">
        <v>0</v>
      </c>
      <c r="E30" s="155">
        <v>0</v>
      </c>
    </row>
    <row r="31" spans="1:9" ht="15.75" x14ac:dyDescent="0.25">
      <c r="A31" s="226"/>
      <c r="B31" s="97" t="s">
        <v>83</v>
      </c>
      <c r="C31" s="61"/>
      <c r="D31" s="246">
        <v>0</v>
      </c>
      <c r="E31" s="155">
        <v>0</v>
      </c>
    </row>
    <row r="32" spans="1:9" ht="15.75" x14ac:dyDescent="0.25">
      <c r="A32" s="226"/>
      <c r="B32" s="97" t="s">
        <v>84</v>
      </c>
      <c r="C32" s="61"/>
      <c r="D32" s="246">
        <v>0</v>
      </c>
      <c r="E32" s="155">
        <v>0</v>
      </c>
    </row>
    <row r="33" spans="1:9" ht="28.5" x14ac:dyDescent="0.25">
      <c r="A33" s="226" t="s">
        <v>85</v>
      </c>
      <c r="B33" s="135" t="s">
        <v>86</v>
      </c>
      <c r="C33" s="127"/>
      <c r="D33" s="251">
        <f>SUM(D23:D32)</f>
        <v>281668877.71900922</v>
      </c>
      <c r="E33" s="160">
        <f t="shared" ref="E33" si="6">SUM(E23:E32)</f>
        <v>278341068.01561826</v>
      </c>
    </row>
    <row r="34" spans="1:9" ht="15" thickBot="1" x14ac:dyDescent="0.3">
      <c r="A34" s="233"/>
      <c r="B34" s="252" t="s">
        <v>87</v>
      </c>
      <c r="C34" s="253"/>
      <c r="D34" s="255">
        <f>D21+D33</f>
        <v>684316928.57576966</v>
      </c>
      <c r="E34" s="254">
        <f t="shared" ref="E34" si="7">E21+E33</f>
        <v>737600329.17943764</v>
      </c>
    </row>
    <row r="36" spans="1:9" x14ac:dyDescent="0.25">
      <c r="B36" s="178"/>
      <c r="D36" s="137">
        <v>684316929</v>
      </c>
      <c r="E36" s="125">
        <v>737600329</v>
      </c>
    </row>
    <row r="37" spans="1:9" ht="15" thickBot="1" x14ac:dyDescent="0.3"/>
    <row r="38" spans="1:9" ht="28.5" customHeight="1" x14ac:dyDescent="0.25">
      <c r="A38" s="219" t="s">
        <v>56</v>
      </c>
      <c r="B38" s="220" t="s">
        <v>89</v>
      </c>
      <c r="C38" s="221" t="s">
        <v>58</v>
      </c>
      <c r="D38" s="223" t="s">
        <v>282</v>
      </c>
      <c r="E38" s="222" t="s">
        <v>133</v>
      </c>
    </row>
    <row r="39" spans="1:9" x14ac:dyDescent="0.25">
      <c r="A39" s="224"/>
      <c r="B39" s="132" t="s">
        <v>90</v>
      </c>
      <c r="C39" s="127"/>
      <c r="D39" s="225"/>
      <c r="E39" s="128"/>
    </row>
    <row r="40" spans="1:9" x14ac:dyDescent="0.25">
      <c r="A40" s="226"/>
      <c r="B40" s="129" t="s">
        <v>91</v>
      </c>
      <c r="C40" s="127"/>
      <c r="D40" s="227"/>
      <c r="E40" s="130"/>
    </row>
    <row r="41" spans="1:9" x14ac:dyDescent="0.25">
      <c r="A41" s="226"/>
      <c r="B41" s="129" t="s">
        <v>92</v>
      </c>
      <c r="C41" s="127"/>
      <c r="D41" s="225">
        <f>SUM(D42:D44)</f>
        <v>33000000</v>
      </c>
      <c r="E41" s="128">
        <f t="shared" ref="E41" si="8">SUM(E42:E44)</f>
        <v>32937125.890000045</v>
      </c>
    </row>
    <row r="42" spans="1:9" x14ac:dyDescent="0.25">
      <c r="A42" s="226"/>
      <c r="B42" s="149" t="s">
        <v>273</v>
      </c>
      <c r="C42" s="127"/>
      <c r="D42" s="228">
        <v>33000000</v>
      </c>
      <c r="E42" s="136">
        <v>32937125.890000045</v>
      </c>
      <c r="G42" s="177">
        <f>D42</f>
        <v>33000000</v>
      </c>
      <c r="I42" s="177">
        <f>E42</f>
        <v>32937125.890000045</v>
      </c>
    </row>
    <row r="43" spans="1:9" x14ac:dyDescent="0.25">
      <c r="A43" s="226"/>
      <c r="B43" s="149" t="s">
        <v>93</v>
      </c>
      <c r="C43" s="127"/>
      <c r="D43" s="228">
        <v>0</v>
      </c>
      <c r="E43" s="130">
        <v>0</v>
      </c>
    </row>
    <row r="44" spans="1:9" x14ac:dyDescent="0.25">
      <c r="A44" s="226"/>
      <c r="B44" s="149" t="s">
        <v>94</v>
      </c>
      <c r="C44" s="127"/>
      <c r="D44" s="228">
        <v>0</v>
      </c>
      <c r="E44" s="130">
        <v>0</v>
      </c>
    </row>
    <row r="45" spans="1:9" x14ac:dyDescent="0.25">
      <c r="A45" s="226"/>
      <c r="B45" s="135" t="s">
        <v>95</v>
      </c>
      <c r="C45" s="127"/>
      <c r="D45" s="225">
        <f>SUM(D46:D55)</f>
        <v>87721602.165359944</v>
      </c>
      <c r="E45" s="128">
        <f t="shared" ref="E45" si="9">SUM(E46:E55)</f>
        <v>115514054.97565573</v>
      </c>
    </row>
    <row r="46" spans="1:9" x14ac:dyDescent="0.25">
      <c r="A46" s="226"/>
      <c r="B46" s="149" t="s">
        <v>96</v>
      </c>
      <c r="C46" s="127"/>
      <c r="D46" s="228">
        <v>83177219.665359974</v>
      </c>
      <c r="E46" s="136">
        <v>98602062.365359962</v>
      </c>
      <c r="G46" s="177">
        <f>D46</f>
        <v>83177219.665359974</v>
      </c>
      <c r="I46" s="177">
        <f>E46</f>
        <v>98602062.365359962</v>
      </c>
    </row>
    <row r="47" spans="1:9" x14ac:dyDescent="0.25">
      <c r="A47" s="226"/>
      <c r="B47" s="149" t="s">
        <v>97</v>
      </c>
      <c r="C47" s="127"/>
      <c r="D47" s="228">
        <v>1446872.5</v>
      </c>
      <c r="E47" s="136">
        <v>2401201.9999999814</v>
      </c>
      <c r="G47" s="177"/>
      <c r="I47" s="177"/>
    </row>
    <row r="48" spans="1:9" x14ac:dyDescent="0.25">
      <c r="A48" s="226"/>
      <c r="B48" s="149" t="s">
        <v>98</v>
      </c>
      <c r="C48" s="127"/>
      <c r="D48" s="228">
        <v>643653</v>
      </c>
      <c r="E48" s="136">
        <v>546816</v>
      </c>
      <c r="G48" s="177"/>
      <c r="I48" s="177"/>
    </row>
    <row r="49" spans="1:9" x14ac:dyDescent="0.25">
      <c r="A49" s="226"/>
      <c r="B49" s="149" t="s">
        <v>99</v>
      </c>
      <c r="C49" s="127"/>
      <c r="D49" s="228">
        <v>31200</v>
      </c>
      <c r="E49" s="138">
        <v>26650</v>
      </c>
      <c r="G49" s="177">
        <f>SUM(D47:D49)</f>
        <v>2121725.5</v>
      </c>
      <c r="I49" s="177">
        <f>SUM(E47:E49)</f>
        <v>2974667.9999999814</v>
      </c>
    </row>
    <row r="50" spans="1:9" x14ac:dyDescent="0.25">
      <c r="A50" s="226"/>
      <c r="B50" s="149" t="s">
        <v>100</v>
      </c>
      <c r="C50" s="127"/>
      <c r="D50" s="228">
        <v>0</v>
      </c>
      <c r="E50" s="130">
        <v>1619197.7543491255</v>
      </c>
      <c r="G50" s="177">
        <f t="shared" ref="G50" si="10">D50</f>
        <v>0</v>
      </c>
      <c r="I50" s="177"/>
    </row>
    <row r="51" spans="1:9" x14ac:dyDescent="0.25">
      <c r="A51" s="226"/>
      <c r="B51" s="149" t="s">
        <v>101</v>
      </c>
      <c r="C51" s="127"/>
      <c r="D51" s="228">
        <v>2422656.9999999627</v>
      </c>
      <c r="E51" s="138">
        <v>12318126.85594666</v>
      </c>
      <c r="G51" s="177">
        <f>SUM(D50:D51)</f>
        <v>2422656.9999999627</v>
      </c>
      <c r="I51" s="177">
        <f>SUM(E50:E51)</f>
        <v>13937324.610295786</v>
      </c>
    </row>
    <row r="52" spans="1:9" x14ac:dyDescent="0.25">
      <c r="A52" s="226"/>
      <c r="B52" s="149" t="s">
        <v>102</v>
      </c>
      <c r="C52" s="127"/>
      <c r="D52" s="228">
        <v>0</v>
      </c>
      <c r="E52" s="130">
        <v>0</v>
      </c>
    </row>
    <row r="53" spans="1:9" x14ac:dyDescent="0.25">
      <c r="A53" s="226"/>
      <c r="B53" s="149" t="s">
        <v>103</v>
      </c>
      <c r="C53" s="127"/>
      <c r="D53" s="228">
        <v>0</v>
      </c>
      <c r="E53" s="130">
        <v>0</v>
      </c>
    </row>
    <row r="54" spans="1:9" x14ac:dyDescent="0.25">
      <c r="A54" s="226"/>
      <c r="B54" s="149" t="s">
        <v>104</v>
      </c>
      <c r="C54" s="127"/>
      <c r="D54" s="228">
        <v>0</v>
      </c>
      <c r="E54" s="130">
        <v>0</v>
      </c>
    </row>
    <row r="55" spans="1:9" x14ac:dyDescent="0.25">
      <c r="A55" s="226"/>
      <c r="B55" s="149" t="s">
        <v>105</v>
      </c>
      <c r="C55" s="127"/>
      <c r="D55" s="228">
        <v>0</v>
      </c>
      <c r="E55" s="136">
        <v>0</v>
      </c>
    </row>
    <row r="56" spans="1:9" ht="28.5" x14ac:dyDescent="0.25">
      <c r="A56" s="226"/>
      <c r="B56" s="135" t="s">
        <v>106</v>
      </c>
      <c r="C56" s="139"/>
      <c r="D56" s="228">
        <v>0</v>
      </c>
      <c r="E56" s="140">
        <v>0</v>
      </c>
    </row>
    <row r="57" spans="1:9" x14ac:dyDescent="0.25">
      <c r="A57" s="226"/>
      <c r="B57" s="129" t="s">
        <v>107</v>
      </c>
      <c r="C57" s="139"/>
      <c r="D57" s="229"/>
      <c r="E57" s="140"/>
    </row>
    <row r="58" spans="1:9" ht="28.5" x14ac:dyDescent="0.25">
      <c r="A58" s="224" t="s">
        <v>73</v>
      </c>
      <c r="B58" s="135" t="s">
        <v>108</v>
      </c>
      <c r="C58" s="139"/>
      <c r="D58" s="230">
        <f>D40+D41+D45+D56+D57</f>
        <v>120721602.16535994</v>
      </c>
      <c r="E58" s="133">
        <f t="shared" ref="E58" si="11">E40+E41+E45+E56+E57</f>
        <v>148451180.86565578</v>
      </c>
    </row>
    <row r="59" spans="1:9" x14ac:dyDescent="0.25">
      <c r="A59" s="224"/>
      <c r="B59" s="132" t="s">
        <v>109</v>
      </c>
      <c r="C59" s="139"/>
      <c r="D59" s="229"/>
      <c r="E59" s="140"/>
    </row>
    <row r="60" spans="1:9" x14ac:dyDescent="0.25">
      <c r="A60" s="226"/>
      <c r="B60" s="129" t="s">
        <v>110</v>
      </c>
      <c r="C60" s="139"/>
      <c r="D60" s="225">
        <v>0</v>
      </c>
      <c r="E60" s="128">
        <v>0</v>
      </c>
    </row>
    <row r="61" spans="1:9" ht="28.5" x14ac:dyDescent="0.25">
      <c r="A61" s="226"/>
      <c r="B61" s="150" t="s">
        <v>111</v>
      </c>
      <c r="C61" s="139"/>
      <c r="D61" s="228">
        <v>0</v>
      </c>
      <c r="E61" s="130">
        <v>0</v>
      </c>
    </row>
    <row r="62" spans="1:9" x14ac:dyDescent="0.25">
      <c r="A62" s="226"/>
      <c r="B62" s="149" t="s">
        <v>112</v>
      </c>
      <c r="C62" s="139"/>
      <c r="D62" s="228">
        <v>0</v>
      </c>
      <c r="E62" s="130">
        <v>0</v>
      </c>
    </row>
    <row r="63" spans="1:9" x14ac:dyDescent="0.25">
      <c r="A63" s="226"/>
      <c r="B63" s="127" t="s">
        <v>271</v>
      </c>
      <c r="C63" s="139"/>
      <c r="D63" s="231">
        <f>SUM(D64:D66)</f>
        <v>40215289.331349403</v>
      </c>
      <c r="E63" s="141">
        <f t="shared" ref="E63" si="12">SUM(E64:E66)</f>
        <v>82835259.569999993</v>
      </c>
    </row>
    <row r="64" spans="1:9" x14ac:dyDescent="0.25">
      <c r="A64" s="226"/>
      <c r="B64" s="127" t="s">
        <v>113</v>
      </c>
      <c r="C64" s="139"/>
      <c r="D64" s="228">
        <v>29000000.120000001</v>
      </c>
      <c r="E64" s="136">
        <v>38448333.369999997</v>
      </c>
      <c r="G64" s="177">
        <f>D64</f>
        <v>29000000.120000001</v>
      </c>
      <c r="I64" s="177">
        <f>E64</f>
        <v>38448333.369999997</v>
      </c>
    </row>
    <row r="65" spans="1:9" x14ac:dyDescent="0.25">
      <c r="A65" s="226"/>
      <c r="B65" s="127" t="s">
        <v>114</v>
      </c>
      <c r="C65" s="139"/>
      <c r="D65" s="228">
        <v>11215289.211349405</v>
      </c>
      <c r="E65" s="136">
        <v>44386926.200000003</v>
      </c>
      <c r="G65" s="177">
        <f>D65</f>
        <v>11215289.211349405</v>
      </c>
      <c r="I65" s="177">
        <f>E65</f>
        <v>44386926.200000003</v>
      </c>
    </row>
    <row r="66" spans="1:9" x14ac:dyDescent="0.25">
      <c r="A66" s="226"/>
      <c r="B66" s="139" t="s">
        <v>115</v>
      </c>
      <c r="C66" s="139"/>
      <c r="D66" s="228">
        <v>0</v>
      </c>
      <c r="E66" s="130">
        <v>0</v>
      </c>
    </row>
    <row r="67" spans="1:9" ht="28.5" x14ac:dyDescent="0.25">
      <c r="A67" s="226"/>
      <c r="B67" s="135" t="s">
        <v>116</v>
      </c>
      <c r="C67" s="139"/>
      <c r="D67" s="228">
        <v>0</v>
      </c>
      <c r="E67" s="140">
        <v>0</v>
      </c>
    </row>
    <row r="68" spans="1:9" x14ac:dyDescent="0.25">
      <c r="A68" s="226"/>
      <c r="B68" s="129" t="s">
        <v>117</v>
      </c>
      <c r="C68" s="139"/>
      <c r="D68" s="228">
        <v>0</v>
      </c>
      <c r="E68" s="140">
        <v>0</v>
      </c>
    </row>
    <row r="69" spans="1:9" ht="28.5" x14ac:dyDescent="0.25">
      <c r="A69" s="224" t="s">
        <v>85</v>
      </c>
      <c r="B69" s="134" t="s">
        <v>118</v>
      </c>
      <c r="C69" s="142">
        <f t="shared" ref="C69:E69" si="13">C63+C60</f>
        <v>0</v>
      </c>
      <c r="D69" s="232">
        <f>D63+D60</f>
        <v>40215289.331349403</v>
      </c>
      <c r="E69" s="143">
        <f t="shared" si="13"/>
        <v>82835259.569999993</v>
      </c>
    </row>
    <row r="70" spans="1:9" x14ac:dyDescent="0.25">
      <c r="A70" s="224" t="s">
        <v>119</v>
      </c>
      <c r="B70" s="132" t="s">
        <v>120</v>
      </c>
      <c r="C70" s="139"/>
      <c r="D70" s="232">
        <f>D58+D69</f>
        <v>160936891.49670935</v>
      </c>
      <c r="E70" s="143">
        <f t="shared" ref="E70" si="14">E58+E69</f>
        <v>231286440.43565577</v>
      </c>
    </row>
    <row r="71" spans="1:9" x14ac:dyDescent="0.25">
      <c r="A71" s="226"/>
      <c r="B71" s="129" t="s">
        <v>121</v>
      </c>
      <c r="C71" s="139"/>
      <c r="D71" s="232">
        <f>SUM(D72:D74)</f>
        <v>237146000</v>
      </c>
      <c r="E71" s="143">
        <f t="shared" ref="E71" si="15">SUM(E72:E74)</f>
        <v>237146000</v>
      </c>
    </row>
    <row r="72" spans="1:9" x14ac:dyDescent="0.25">
      <c r="A72" s="226"/>
      <c r="B72" s="127" t="s">
        <v>122</v>
      </c>
      <c r="C72" s="139"/>
      <c r="D72" s="228">
        <v>237146000</v>
      </c>
      <c r="E72" s="136">
        <v>237146000</v>
      </c>
      <c r="G72" s="177">
        <f>D72</f>
        <v>237146000</v>
      </c>
      <c r="I72" s="177">
        <f>E72</f>
        <v>237146000</v>
      </c>
    </row>
    <row r="73" spans="1:9" x14ac:dyDescent="0.25">
      <c r="A73" s="226"/>
      <c r="B73" s="127" t="s">
        <v>123</v>
      </c>
      <c r="C73" s="139"/>
      <c r="D73" s="228">
        <v>0</v>
      </c>
      <c r="E73" s="140">
        <v>0</v>
      </c>
    </row>
    <row r="74" spans="1:9" x14ac:dyDescent="0.25">
      <c r="A74" s="226"/>
      <c r="B74" s="127" t="s">
        <v>124</v>
      </c>
      <c r="C74" s="139"/>
      <c r="D74" s="228">
        <v>0</v>
      </c>
      <c r="E74" s="140">
        <v>0</v>
      </c>
    </row>
    <row r="75" spans="1:9" ht="28.5" x14ac:dyDescent="0.25">
      <c r="A75" s="226"/>
      <c r="B75" s="135" t="s">
        <v>269</v>
      </c>
      <c r="C75" s="142">
        <f>SUM(C76:C80)</f>
        <v>0</v>
      </c>
      <c r="D75" s="232">
        <f>SUM(D76:D80)</f>
        <v>286234036.74442023</v>
      </c>
      <c r="E75" s="143">
        <f>SUM(E76:E80)</f>
        <v>269167888.45138794</v>
      </c>
    </row>
    <row r="76" spans="1:9" x14ac:dyDescent="0.25">
      <c r="A76" s="226"/>
      <c r="B76" s="127" t="s">
        <v>125</v>
      </c>
      <c r="C76" s="139"/>
      <c r="D76" s="228">
        <v>0</v>
      </c>
      <c r="E76" s="140">
        <v>0</v>
      </c>
    </row>
    <row r="77" spans="1:9" x14ac:dyDescent="0.25">
      <c r="A77" s="226"/>
      <c r="B77" s="127" t="s">
        <v>126</v>
      </c>
      <c r="C77" s="139"/>
      <c r="D77" s="228">
        <v>22504583.587569401</v>
      </c>
      <c r="E77" s="130">
        <v>18806332.876272555</v>
      </c>
      <c r="G77" s="177">
        <f>D77</f>
        <v>22504583.587569401</v>
      </c>
      <c r="I77" s="177">
        <f>E77</f>
        <v>18806332.876272555</v>
      </c>
    </row>
    <row r="78" spans="1:9" x14ac:dyDescent="0.25">
      <c r="A78" s="226"/>
      <c r="B78" s="127" t="s">
        <v>127</v>
      </c>
      <c r="C78" s="139"/>
      <c r="D78" s="228">
        <v>0</v>
      </c>
      <c r="E78" s="140">
        <v>0</v>
      </c>
    </row>
    <row r="79" spans="1:9" x14ac:dyDescent="0.25">
      <c r="A79" s="226"/>
      <c r="B79" s="127" t="s">
        <v>128</v>
      </c>
      <c r="C79" s="139"/>
      <c r="D79" s="228">
        <v>241663304.86381853</v>
      </c>
      <c r="E79" s="130">
        <v>176396541.34917849</v>
      </c>
      <c r="G79" s="177">
        <f>D79</f>
        <v>241663304.86381853</v>
      </c>
      <c r="I79" s="177">
        <f>E79</f>
        <v>176396541.34917849</v>
      </c>
    </row>
    <row r="80" spans="1:9" x14ac:dyDescent="0.25">
      <c r="A80" s="226"/>
      <c r="B80" s="129" t="s">
        <v>129</v>
      </c>
      <c r="C80" s="139"/>
      <c r="D80" s="228">
        <v>22066148.293032285</v>
      </c>
      <c r="E80" s="130">
        <v>73965014.225936875</v>
      </c>
      <c r="G80" s="177">
        <f>D80</f>
        <v>22066148.293032285</v>
      </c>
      <c r="I80" s="177">
        <f>E80</f>
        <v>73965014.225936875</v>
      </c>
    </row>
    <row r="81" spans="1:5" x14ac:dyDescent="0.25">
      <c r="A81" s="226" t="s">
        <v>130</v>
      </c>
      <c r="B81" s="134" t="s">
        <v>270</v>
      </c>
      <c r="C81" s="139"/>
      <c r="D81" s="225">
        <f>D71+D75</f>
        <v>523380036.74442023</v>
      </c>
      <c r="E81" s="128">
        <f>E71+E75</f>
        <v>506313888.45138794</v>
      </c>
    </row>
    <row r="82" spans="1:5" ht="29.25" thickBot="1" x14ac:dyDescent="0.3">
      <c r="A82" s="233" t="s">
        <v>131</v>
      </c>
      <c r="B82" s="234" t="s">
        <v>132</v>
      </c>
      <c r="C82" s="235"/>
      <c r="D82" s="237">
        <f>D70+D81</f>
        <v>684316928.24112964</v>
      </c>
      <c r="E82" s="236">
        <f>E70+E81</f>
        <v>737600328.88704371</v>
      </c>
    </row>
    <row r="84" spans="1:5" x14ac:dyDescent="0.25">
      <c r="D84" s="177"/>
      <c r="E84" s="177"/>
    </row>
    <row r="94" spans="1:5" x14ac:dyDescent="0.25">
      <c r="A94" s="218"/>
    </row>
    <row r="95" spans="1:5" x14ac:dyDescent="0.25">
      <c r="E95" s="122"/>
    </row>
  </sheetData>
  <mergeCells count="1">
    <mergeCell ref="A2:E2"/>
  </mergeCells>
  <printOptions horizontalCentered="1"/>
  <pageMargins left="0.4" right="0.4" top="0.4" bottom="0.4" header="0.3" footer="0.3"/>
  <pageSetup scale="96" orientation="portrait" r:id="rId1"/>
  <rowBreaks count="1" manualBreakCount="1">
    <brk id="35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AA95"/>
  <sheetViews>
    <sheetView tabSelected="1" view="pageBreakPreview" topLeftCell="A73" zoomScaleSheetLayoutView="100" workbookViewId="0">
      <selection activeCell="E79" sqref="E79"/>
    </sheetView>
  </sheetViews>
  <sheetFormatPr defaultColWidth="7" defaultRowHeight="14.25" x14ac:dyDescent="0.25"/>
  <cols>
    <col min="1" max="1" width="5.5703125" style="217" customWidth="1"/>
    <col min="2" max="2" width="43.140625" style="122" customWidth="1"/>
    <col min="3" max="3" width="7.42578125" style="122" customWidth="1"/>
    <col min="4" max="4" width="12.140625" style="124" customWidth="1"/>
    <col min="5" max="5" width="12.42578125" style="124" customWidth="1"/>
    <col min="6" max="6" width="13.5703125" style="124" customWidth="1"/>
    <col min="7" max="7" width="14.140625" style="125" customWidth="1"/>
    <col min="8" max="8" width="11.85546875" style="126" hidden="1" customWidth="1"/>
    <col min="9" max="10" width="17" style="122" hidden="1" customWidth="1"/>
    <col min="11" max="11" width="11.5703125" style="122" hidden="1" customWidth="1"/>
    <col min="12" max="12" width="12.5703125" style="122" hidden="1" customWidth="1"/>
    <col min="13" max="13" width="9.85546875" style="122" hidden="1" customWidth="1"/>
    <col min="14" max="14" width="11.28515625" style="122" hidden="1" customWidth="1"/>
    <col min="15" max="15" width="9" style="122" hidden="1" customWidth="1"/>
    <col min="16" max="16" width="7.140625" style="122" hidden="1" customWidth="1"/>
    <col min="17" max="17" width="9" style="122" hidden="1" customWidth="1"/>
    <col min="18" max="18" width="7.140625" style="122" hidden="1" customWidth="1"/>
    <col min="19" max="19" width="8.28515625" style="122" hidden="1" customWidth="1"/>
    <col min="20" max="23" width="0" style="122" hidden="1" customWidth="1"/>
    <col min="24" max="24" width="8.85546875" style="122" bestFit="1" customWidth="1"/>
    <col min="25" max="26" width="7" style="122"/>
    <col min="27" max="27" width="7.7109375" style="122" bestFit="1" customWidth="1"/>
    <col min="28" max="253" width="7" style="122"/>
    <col min="254" max="254" width="4.140625" style="122" customWidth="1"/>
    <col min="255" max="255" width="43.140625" style="122" customWidth="1"/>
    <col min="256" max="256" width="5" style="122" customWidth="1"/>
    <col min="257" max="257" width="11.85546875" style="122" customWidth="1"/>
    <col min="258" max="258" width="12.140625" style="122" customWidth="1"/>
    <col min="259" max="259" width="13" style="122" customWidth="1"/>
    <col min="260" max="260" width="11" style="122" customWidth="1"/>
    <col min="261" max="261" width="7" style="122"/>
    <col min="262" max="262" width="9.7109375" style="122" bestFit="1" customWidth="1"/>
    <col min="263" max="266" width="17" style="122" customWidth="1"/>
    <col min="267" max="267" width="11.5703125" style="122" customWidth="1"/>
    <col min="268" max="268" width="12.5703125" style="122" customWidth="1"/>
    <col min="269" max="509" width="7" style="122"/>
    <col min="510" max="510" width="4.140625" style="122" customWidth="1"/>
    <col min="511" max="511" width="43.140625" style="122" customWidth="1"/>
    <col min="512" max="512" width="5" style="122" customWidth="1"/>
    <col min="513" max="513" width="11.85546875" style="122" customWidth="1"/>
    <col min="514" max="514" width="12.140625" style="122" customWidth="1"/>
    <col min="515" max="515" width="13" style="122" customWidth="1"/>
    <col min="516" max="516" width="11" style="122" customWidth="1"/>
    <col min="517" max="517" width="7" style="122"/>
    <col min="518" max="518" width="9.7109375" style="122" bestFit="1" customWidth="1"/>
    <col min="519" max="522" width="17" style="122" customWidth="1"/>
    <col min="523" max="523" width="11.5703125" style="122" customWidth="1"/>
    <col min="524" max="524" width="12.5703125" style="122" customWidth="1"/>
    <col min="525" max="765" width="7" style="122"/>
    <col min="766" max="766" width="4.140625" style="122" customWidth="1"/>
    <col min="767" max="767" width="43.140625" style="122" customWidth="1"/>
    <col min="768" max="768" width="5" style="122" customWidth="1"/>
    <col min="769" max="769" width="11.85546875" style="122" customWidth="1"/>
    <col min="770" max="770" width="12.140625" style="122" customWidth="1"/>
    <col min="771" max="771" width="13" style="122" customWidth="1"/>
    <col min="772" max="772" width="11" style="122" customWidth="1"/>
    <col min="773" max="773" width="7" style="122"/>
    <col min="774" max="774" width="9.7109375" style="122" bestFit="1" customWidth="1"/>
    <col min="775" max="778" width="17" style="122" customWidth="1"/>
    <col min="779" max="779" width="11.5703125" style="122" customWidth="1"/>
    <col min="780" max="780" width="12.5703125" style="122" customWidth="1"/>
    <col min="781" max="1021" width="7" style="122"/>
    <col min="1022" max="1022" width="4.140625" style="122" customWidth="1"/>
    <col min="1023" max="1023" width="43.140625" style="122" customWidth="1"/>
    <col min="1024" max="1024" width="5" style="122" customWidth="1"/>
    <col min="1025" max="1025" width="11.85546875" style="122" customWidth="1"/>
    <col min="1026" max="1026" width="12.140625" style="122" customWidth="1"/>
    <col min="1027" max="1027" width="13" style="122" customWidth="1"/>
    <col min="1028" max="1028" width="11" style="122" customWidth="1"/>
    <col min="1029" max="1029" width="7" style="122"/>
    <col min="1030" max="1030" width="9.7109375" style="122" bestFit="1" customWidth="1"/>
    <col min="1031" max="1034" width="17" style="122" customWidth="1"/>
    <col min="1035" max="1035" width="11.5703125" style="122" customWidth="1"/>
    <col min="1036" max="1036" width="12.5703125" style="122" customWidth="1"/>
    <col min="1037" max="1277" width="7" style="122"/>
    <col min="1278" max="1278" width="4.140625" style="122" customWidth="1"/>
    <col min="1279" max="1279" width="43.140625" style="122" customWidth="1"/>
    <col min="1280" max="1280" width="5" style="122" customWidth="1"/>
    <col min="1281" max="1281" width="11.85546875" style="122" customWidth="1"/>
    <col min="1282" max="1282" width="12.140625" style="122" customWidth="1"/>
    <col min="1283" max="1283" width="13" style="122" customWidth="1"/>
    <col min="1284" max="1284" width="11" style="122" customWidth="1"/>
    <col min="1285" max="1285" width="7" style="122"/>
    <col min="1286" max="1286" width="9.7109375" style="122" bestFit="1" customWidth="1"/>
    <col min="1287" max="1290" width="17" style="122" customWidth="1"/>
    <col min="1291" max="1291" width="11.5703125" style="122" customWidth="1"/>
    <col min="1292" max="1292" width="12.5703125" style="122" customWidth="1"/>
    <col min="1293" max="1533" width="7" style="122"/>
    <col min="1534" max="1534" width="4.140625" style="122" customWidth="1"/>
    <col min="1535" max="1535" width="43.140625" style="122" customWidth="1"/>
    <col min="1536" max="1536" width="5" style="122" customWidth="1"/>
    <col min="1537" max="1537" width="11.85546875" style="122" customWidth="1"/>
    <col min="1538" max="1538" width="12.140625" style="122" customWidth="1"/>
    <col min="1539" max="1539" width="13" style="122" customWidth="1"/>
    <col min="1540" max="1540" width="11" style="122" customWidth="1"/>
    <col min="1541" max="1541" width="7" style="122"/>
    <col min="1542" max="1542" width="9.7109375" style="122" bestFit="1" customWidth="1"/>
    <col min="1543" max="1546" width="17" style="122" customWidth="1"/>
    <col min="1547" max="1547" width="11.5703125" style="122" customWidth="1"/>
    <col min="1548" max="1548" width="12.5703125" style="122" customWidth="1"/>
    <col min="1549" max="1789" width="7" style="122"/>
    <col min="1790" max="1790" width="4.140625" style="122" customWidth="1"/>
    <col min="1791" max="1791" width="43.140625" style="122" customWidth="1"/>
    <col min="1792" max="1792" width="5" style="122" customWidth="1"/>
    <col min="1793" max="1793" width="11.85546875" style="122" customWidth="1"/>
    <col min="1794" max="1794" width="12.140625" style="122" customWidth="1"/>
    <col min="1795" max="1795" width="13" style="122" customWidth="1"/>
    <col min="1796" max="1796" width="11" style="122" customWidth="1"/>
    <col min="1797" max="1797" width="7" style="122"/>
    <col min="1798" max="1798" width="9.7109375" style="122" bestFit="1" customWidth="1"/>
    <col min="1799" max="1802" width="17" style="122" customWidth="1"/>
    <col min="1803" max="1803" width="11.5703125" style="122" customWidth="1"/>
    <col min="1804" max="1804" width="12.5703125" style="122" customWidth="1"/>
    <col min="1805" max="2045" width="7" style="122"/>
    <col min="2046" max="2046" width="4.140625" style="122" customWidth="1"/>
    <col min="2047" max="2047" width="43.140625" style="122" customWidth="1"/>
    <col min="2048" max="2048" width="5" style="122" customWidth="1"/>
    <col min="2049" max="2049" width="11.85546875" style="122" customWidth="1"/>
    <col min="2050" max="2050" width="12.140625" style="122" customWidth="1"/>
    <col min="2051" max="2051" width="13" style="122" customWidth="1"/>
    <col min="2052" max="2052" width="11" style="122" customWidth="1"/>
    <col min="2053" max="2053" width="7" style="122"/>
    <col min="2054" max="2054" width="9.7109375" style="122" bestFit="1" customWidth="1"/>
    <col min="2055" max="2058" width="17" style="122" customWidth="1"/>
    <col min="2059" max="2059" width="11.5703125" style="122" customWidth="1"/>
    <col min="2060" max="2060" width="12.5703125" style="122" customWidth="1"/>
    <col min="2061" max="2301" width="7" style="122"/>
    <col min="2302" max="2302" width="4.140625" style="122" customWidth="1"/>
    <col min="2303" max="2303" width="43.140625" style="122" customWidth="1"/>
    <col min="2304" max="2304" width="5" style="122" customWidth="1"/>
    <col min="2305" max="2305" width="11.85546875" style="122" customWidth="1"/>
    <col min="2306" max="2306" width="12.140625" style="122" customWidth="1"/>
    <col min="2307" max="2307" width="13" style="122" customWidth="1"/>
    <col min="2308" max="2308" width="11" style="122" customWidth="1"/>
    <col min="2309" max="2309" width="7" style="122"/>
    <col min="2310" max="2310" width="9.7109375" style="122" bestFit="1" customWidth="1"/>
    <col min="2311" max="2314" width="17" style="122" customWidth="1"/>
    <col min="2315" max="2315" width="11.5703125" style="122" customWidth="1"/>
    <col min="2316" max="2316" width="12.5703125" style="122" customWidth="1"/>
    <col min="2317" max="2557" width="7" style="122"/>
    <col min="2558" max="2558" width="4.140625" style="122" customWidth="1"/>
    <col min="2559" max="2559" width="43.140625" style="122" customWidth="1"/>
    <col min="2560" max="2560" width="5" style="122" customWidth="1"/>
    <col min="2561" max="2561" width="11.85546875" style="122" customWidth="1"/>
    <col min="2562" max="2562" width="12.140625" style="122" customWidth="1"/>
    <col min="2563" max="2563" width="13" style="122" customWidth="1"/>
    <col min="2564" max="2564" width="11" style="122" customWidth="1"/>
    <col min="2565" max="2565" width="7" style="122"/>
    <col min="2566" max="2566" width="9.7109375" style="122" bestFit="1" customWidth="1"/>
    <col min="2567" max="2570" width="17" style="122" customWidth="1"/>
    <col min="2571" max="2571" width="11.5703125" style="122" customWidth="1"/>
    <col min="2572" max="2572" width="12.5703125" style="122" customWidth="1"/>
    <col min="2573" max="2813" width="7" style="122"/>
    <col min="2814" max="2814" width="4.140625" style="122" customWidth="1"/>
    <col min="2815" max="2815" width="43.140625" style="122" customWidth="1"/>
    <col min="2816" max="2816" width="5" style="122" customWidth="1"/>
    <col min="2817" max="2817" width="11.85546875" style="122" customWidth="1"/>
    <col min="2818" max="2818" width="12.140625" style="122" customWidth="1"/>
    <col min="2819" max="2819" width="13" style="122" customWidth="1"/>
    <col min="2820" max="2820" width="11" style="122" customWidth="1"/>
    <col min="2821" max="2821" width="7" style="122"/>
    <col min="2822" max="2822" width="9.7109375" style="122" bestFit="1" customWidth="1"/>
    <col min="2823" max="2826" width="17" style="122" customWidth="1"/>
    <col min="2827" max="2827" width="11.5703125" style="122" customWidth="1"/>
    <col min="2828" max="2828" width="12.5703125" style="122" customWidth="1"/>
    <col min="2829" max="3069" width="7" style="122"/>
    <col min="3070" max="3070" width="4.140625" style="122" customWidth="1"/>
    <col min="3071" max="3071" width="43.140625" style="122" customWidth="1"/>
    <col min="3072" max="3072" width="5" style="122" customWidth="1"/>
    <col min="3073" max="3073" width="11.85546875" style="122" customWidth="1"/>
    <col min="3074" max="3074" width="12.140625" style="122" customWidth="1"/>
    <col min="3075" max="3075" width="13" style="122" customWidth="1"/>
    <col min="3076" max="3076" width="11" style="122" customWidth="1"/>
    <col min="3077" max="3077" width="7" style="122"/>
    <col min="3078" max="3078" width="9.7109375" style="122" bestFit="1" customWidth="1"/>
    <col min="3079" max="3082" width="17" style="122" customWidth="1"/>
    <col min="3083" max="3083" width="11.5703125" style="122" customWidth="1"/>
    <col min="3084" max="3084" width="12.5703125" style="122" customWidth="1"/>
    <col min="3085" max="3325" width="7" style="122"/>
    <col min="3326" max="3326" width="4.140625" style="122" customWidth="1"/>
    <col min="3327" max="3327" width="43.140625" style="122" customWidth="1"/>
    <col min="3328" max="3328" width="5" style="122" customWidth="1"/>
    <col min="3329" max="3329" width="11.85546875" style="122" customWidth="1"/>
    <col min="3330" max="3330" width="12.140625" style="122" customWidth="1"/>
    <col min="3331" max="3331" width="13" style="122" customWidth="1"/>
    <col min="3332" max="3332" width="11" style="122" customWidth="1"/>
    <col min="3333" max="3333" width="7" style="122"/>
    <col min="3334" max="3334" width="9.7109375" style="122" bestFit="1" customWidth="1"/>
    <col min="3335" max="3338" width="17" style="122" customWidth="1"/>
    <col min="3339" max="3339" width="11.5703125" style="122" customWidth="1"/>
    <col min="3340" max="3340" width="12.5703125" style="122" customWidth="1"/>
    <col min="3341" max="3581" width="7" style="122"/>
    <col min="3582" max="3582" width="4.140625" style="122" customWidth="1"/>
    <col min="3583" max="3583" width="43.140625" style="122" customWidth="1"/>
    <col min="3584" max="3584" width="5" style="122" customWidth="1"/>
    <col min="3585" max="3585" width="11.85546875" style="122" customWidth="1"/>
    <col min="3586" max="3586" width="12.140625" style="122" customWidth="1"/>
    <col min="3587" max="3587" width="13" style="122" customWidth="1"/>
    <col min="3588" max="3588" width="11" style="122" customWidth="1"/>
    <col min="3589" max="3589" width="7" style="122"/>
    <col min="3590" max="3590" width="9.7109375" style="122" bestFit="1" customWidth="1"/>
    <col min="3591" max="3594" width="17" style="122" customWidth="1"/>
    <col min="3595" max="3595" width="11.5703125" style="122" customWidth="1"/>
    <col min="3596" max="3596" width="12.5703125" style="122" customWidth="1"/>
    <col min="3597" max="3837" width="7" style="122"/>
    <col min="3838" max="3838" width="4.140625" style="122" customWidth="1"/>
    <col min="3839" max="3839" width="43.140625" style="122" customWidth="1"/>
    <col min="3840" max="3840" width="5" style="122" customWidth="1"/>
    <col min="3841" max="3841" width="11.85546875" style="122" customWidth="1"/>
    <col min="3842" max="3842" width="12.140625" style="122" customWidth="1"/>
    <col min="3843" max="3843" width="13" style="122" customWidth="1"/>
    <col min="3844" max="3844" width="11" style="122" customWidth="1"/>
    <col min="3845" max="3845" width="7" style="122"/>
    <col min="3846" max="3846" width="9.7109375" style="122" bestFit="1" customWidth="1"/>
    <col min="3847" max="3850" width="17" style="122" customWidth="1"/>
    <col min="3851" max="3851" width="11.5703125" style="122" customWidth="1"/>
    <col min="3852" max="3852" width="12.5703125" style="122" customWidth="1"/>
    <col min="3853" max="4093" width="7" style="122"/>
    <col min="4094" max="4094" width="4.140625" style="122" customWidth="1"/>
    <col min="4095" max="4095" width="43.140625" style="122" customWidth="1"/>
    <col min="4096" max="4096" width="5" style="122" customWidth="1"/>
    <col min="4097" max="4097" width="11.85546875" style="122" customWidth="1"/>
    <col min="4098" max="4098" width="12.140625" style="122" customWidth="1"/>
    <col min="4099" max="4099" width="13" style="122" customWidth="1"/>
    <col min="4100" max="4100" width="11" style="122" customWidth="1"/>
    <col min="4101" max="4101" width="7" style="122"/>
    <col min="4102" max="4102" width="9.7109375" style="122" bestFit="1" customWidth="1"/>
    <col min="4103" max="4106" width="17" style="122" customWidth="1"/>
    <col min="4107" max="4107" width="11.5703125" style="122" customWidth="1"/>
    <col min="4108" max="4108" width="12.5703125" style="122" customWidth="1"/>
    <col min="4109" max="4349" width="7" style="122"/>
    <col min="4350" max="4350" width="4.140625" style="122" customWidth="1"/>
    <col min="4351" max="4351" width="43.140625" style="122" customWidth="1"/>
    <col min="4352" max="4352" width="5" style="122" customWidth="1"/>
    <col min="4353" max="4353" width="11.85546875" style="122" customWidth="1"/>
    <col min="4354" max="4354" width="12.140625" style="122" customWidth="1"/>
    <col min="4355" max="4355" width="13" style="122" customWidth="1"/>
    <col min="4356" max="4356" width="11" style="122" customWidth="1"/>
    <col min="4357" max="4357" width="7" style="122"/>
    <col min="4358" max="4358" width="9.7109375" style="122" bestFit="1" customWidth="1"/>
    <col min="4359" max="4362" width="17" style="122" customWidth="1"/>
    <col min="4363" max="4363" width="11.5703125" style="122" customWidth="1"/>
    <col min="4364" max="4364" width="12.5703125" style="122" customWidth="1"/>
    <col min="4365" max="4605" width="7" style="122"/>
    <col min="4606" max="4606" width="4.140625" style="122" customWidth="1"/>
    <col min="4607" max="4607" width="43.140625" style="122" customWidth="1"/>
    <col min="4608" max="4608" width="5" style="122" customWidth="1"/>
    <col min="4609" max="4609" width="11.85546875" style="122" customWidth="1"/>
    <col min="4610" max="4610" width="12.140625" style="122" customWidth="1"/>
    <col min="4611" max="4611" width="13" style="122" customWidth="1"/>
    <col min="4612" max="4612" width="11" style="122" customWidth="1"/>
    <col min="4613" max="4613" width="7" style="122"/>
    <col min="4614" max="4614" width="9.7109375" style="122" bestFit="1" customWidth="1"/>
    <col min="4615" max="4618" width="17" style="122" customWidth="1"/>
    <col min="4619" max="4619" width="11.5703125" style="122" customWidth="1"/>
    <col min="4620" max="4620" width="12.5703125" style="122" customWidth="1"/>
    <col min="4621" max="4861" width="7" style="122"/>
    <col min="4862" max="4862" width="4.140625" style="122" customWidth="1"/>
    <col min="4863" max="4863" width="43.140625" style="122" customWidth="1"/>
    <col min="4864" max="4864" width="5" style="122" customWidth="1"/>
    <col min="4865" max="4865" width="11.85546875" style="122" customWidth="1"/>
    <col min="4866" max="4866" width="12.140625" style="122" customWidth="1"/>
    <col min="4867" max="4867" width="13" style="122" customWidth="1"/>
    <col min="4868" max="4868" width="11" style="122" customWidth="1"/>
    <col min="4869" max="4869" width="7" style="122"/>
    <col min="4870" max="4870" width="9.7109375" style="122" bestFit="1" customWidth="1"/>
    <col min="4871" max="4874" width="17" style="122" customWidth="1"/>
    <col min="4875" max="4875" width="11.5703125" style="122" customWidth="1"/>
    <col min="4876" max="4876" width="12.5703125" style="122" customWidth="1"/>
    <col min="4877" max="5117" width="7" style="122"/>
    <col min="5118" max="5118" width="4.140625" style="122" customWidth="1"/>
    <col min="5119" max="5119" width="43.140625" style="122" customWidth="1"/>
    <col min="5120" max="5120" width="5" style="122" customWidth="1"/>
    <col min="5121" max="5121" width="11.85546875" style="122" customWidth="1"/>
    <col min="5122" max="5122" width="12.140625" style="122" customWidth="1"/>
    <col min="5123" max="5123" width="13" style="122" customWidth="1"/>
    <col min="5124" max="5124" width="11" style="122" customWidth="1"/>
    <col min="5125" max="5125" width="7" style="122"/>
    <col min="5126" max="5126" width="9.7109375" style="122" bestFit="1" customWidth="1"/>
    <col min="5127" max="5130" width="17" style="122" customWidth="1"/>
    <col min="5131" max="5131" width="11.5703125" style="122" customWidth="1"/>
    <col min="5132" max="5132" width="12.5703125" style="122" customWidth="1"/>
    <col min="5133" max="5373" width="7" style="122"/>
    <col min="5374" max="5374" width="4.140625" style="122" customWidth="1"/>
    <col min="5375" max="5375" width="43.140625" style="122" customWidth="1"/>
    <col min="5376" max="5376" width="5" style="122" customWidth="1"/>
    <col min="5377" max="5377" width="11.85546875" style="122" customWidth="1"/>
    <col min="5378" max="5378" width="12.140625" style="122" customWidth="1"/>
    <col min="5379" max="5379" width="13" style="122" customWidth="1"/>
    <col min="5380" max="5380" width="11" style="122" customWidth="1"/>
    <col min="5381" max="5381" width="7" style="122"/>
    <col min="5382" max="5382" width="9.7109375" style="122" bestFit="1" customWidth="1"/>
    <col min="5383" max="5386" width="17" style="122" customWidth="1"/>
    <col min="5387" max="5387" width="11.5703125" style="122" customWidth="1"/>
    <col min="5388" max="5388" width="12.5703125" style="122" customWidth="1"/>
    <col min="5389" max="5629" width="7" style="122"/>
    <col min="5630" max="5630" width="4.140625" style="122" customWidth="1"/>
    <col min="5631" max="5631" width="43.140625" style="122" customWidth="1"/>
    <col min="5632" max="5632" width="5" style="122" customWidth="1"/>
    <col min="5633" max="5633" width="11.85546875" style="122" customWidth="1"/>
    <col min="5634" max="5634" width="12.140625" style="122" customWidth="1"/>
    <col min="5635" max="5635" width="13" style="122" customWidth="1"/>
    <col min="5636" max="5636" width="11" style="122" customWidth="1"/>
    <col min="5637" max="5637" width="7" style="122"/>
    <col min="5638" max="5638" width="9.7109375" style="122" bestFit="1" customWidth="1"/>
    <col min="5639" max="5642" width="17" style="122" customWidth="1"/>
    <col min="5643" max="5643" width="11.5703125" style="122" customWidth="1"/>
    <col min="5644" max="5644" width="12.5703125" style="122" customWidth="1"/>
    <col min="5645" max="5885" width="7" style="122"/>
    <col min="5886" max="5886" width="4.140625" style="122" customWidth="1"/>
    <col min="5887" max="5887" width="43.140625" style="122" customWidth="1"/>
    <col min="5888" max="5888" width="5" style="122" customWidth="1"/>
    <col min="5889" max="5889" width="11.85546875" style="122" customWidth="1"/>
    <col min="5890" max="5890" width="12.140625" style="122" customWidth="1"/>
    <col min="5891" max="5891" width="13" style="122" customWidth="1"/>
    <col min="5892" max="5892" width="11" style="122" customWidth="1"/>
    <col min="5893" max="5893" width="7" style="122"/>
    <col min="5894" max="5894" width="9.7109375" style="122" bestFit="1" customWidth="1"/>
    <col min="5895" max="5898" width="17" style="122" customWidth="1"/>
    <col min="5899" max="5899" width="11.5703125" style="122" customWidth="1"/>
    <col min="5900" max="5900" width="12.5703125" style="122" customWidth="1"/>
    <col min="5901" max="6141" width="7" style="122"/>
    <col min="6142" max="6142" width="4.140625" style="122" customWidth="1"/>
    <col min="6143" max="6143" width="43.140625" style="122" customWidth="1"/>
    <col min="6144" max="6144" width="5" style="122" customWidth="1"/>
    <col min="6145" max="6145" width="11.85546875" style="122" customWidth="1"/>
    <col min="6146" max="6146" width="12.140625" style="122" customWidth="1"/>
    <col min="6147" max="6147" width="13" style="122" customWidth="1"/>
    <col min="6148" max="6148" width="11" style="122" customWidth="1"/>
    <col min="6149" max="6149" width="7" style="122"/>
    <col min="6150" max="6150" width="9.7109375" style="122" bestFit="1" customWidth="1"/>
    <col min="6151" max="6154" width="17" style="122" customWidth="1"/>
    <col min="6155" max="6155" width="11.5703125" style="122" customWidth="1"/>
    <col min="6156" max="6156" width="12.5703125" style="122" customWidth="1"/>
    <col min="6157" max="6397" width="7" style="122"/>
    <col min="6398" max="6398" width="4.140625" style="122" customWidth="1"/>
    <col min="6399" max="6399" width="43.140625" style="122" customWidth="1"/>
    <col min="6400" max="6400" width="5" style="122" customWidth="1"/>
    <col min="6401" max="6401" width="11.85546875" style="122" customWidth="1"/>
    <col min="6402" max="6402" width="12.140625" style="122" customWidth="1"/>
    <col min="6403" max="6403" width="13" style="122" customWidth="1"/>
    <col min="6404" max="6404" width="11" style="122" customWidth="1"/>
    <col min="6405" max="6405" width="7" style="122"/>
    <col min="6406" max="6406" width="9.7109375" style="122" bestFit="1" customWidth="1"/>
    <col min="6407" max="6410" width="17" style="122" customWidth="1"/>
    <col min="6411" max="6411" width="11.5703125" style="122" customWidth="1"/>
    <col min="6412" max="6412" width="12.5703125" style="122" customWidth="1"/>
    <col min="6413" max="6653" width="7" style="122"/>
    <col min="6654" max="6654" width="4.140625" style="122" customWidth="1"/>
    <col min="6655" max="6655" width="43.140625" style="122" customWidth="1"/>
    <col min="6656" max="6656" width="5" style="122" customWidth="1"/>
    <col min="6657" max="6657" width="11.85546875" style="122" customWidth="1"/>
    <col min="6658" max="6658" width="12.140625" style="122" customWidth="1"/>
    <col min="6659" max="6659" width="13" style="122" customWidth="1"/>
    <col min="6660" max="6660" width="11" style="122" customWidth="1"/>
    <col min="6661" max="6661" width="7" style="122"/>
    <col min="6662" max="6662" width="9.7109375" style="122" bestFit="1" customWidth="1"/>
    <col min="6663" max="6666" width="17" style="122" customWidth="1"/>
    <col min="6667" max="6667" width="11.5703125" style="122" customWidth="1"/>
    <col min="6668" max="6668" width="12.5703125" style="122" customWidth="1"/>
    <col min="6669" max="6909" width="7" style="122"/>
    <col min="6910" max="6910" width="4.140625" style="122" customWidth="1"/>
    <col min="6911" max="6911" width="43.140625" style="122" customWidth="1"/>
    <col min="6912" max="6912" width="5" style="122" customWidth="1"/>
    <col min="6913" max="6913" width="11.85546875" style="122" customWidth="1"/>
    <col min="6914" max="6914" width="12.140625" style="122" customWidth="1"/>
    <col min="6915" max="6915" width="13" style="122" customWidth="1"/>
    <col min="6916" max="6916" width="11" style="122" customWidth="1"/>
    <col min="6917" max="6917" width="7" style="122"/>
    <col min="6918" max="6918" width="9.7109375" style="122" bestFit="1" customWidth="1"/>
    <col min="6919" max="6922" width="17" style="122" customWidth="1"/>
    <col min="6923" max="6923" width="11.5703125" style="122" customWidth="1"/>
    <col min="6924" max="6924" width="12.5703125" style="122" customWidth="1"/>
    <col min="6925" max="7165" width="7" style="122"/>
    <col min="7166" max="7166" width="4.140625" style="122" customWidth="1"/>
    <col min="7167" max="7167" width="43.140625" style="122" customWidth="1"/>
    <col min="7168" max="7168" width="5" style="122" customWidth="1"/>
    <col min="7169" max="7169" width="11.85546875" style="122" customWidth="1"/>
    <col min="7170" max="7170" width="12.140625" style="122" customWidth="1"/>
    <col min="7171" max="7171" width="13" style="122" customWidth="1"/>
    <col min="7172" max="7172" width="11" style="122" customWidth="1"/>
    <col min="7173" max="7173" width="7" style="122"/>
    <col min="7174" max="7174" width="9.7109375" style="122" bestFit="1" customWidth="1"/>
    <col min="7175" max="7178" width="17" style="122" customWidth="1"/>
    <col min="7179" max="7179" width="11.5703125" style="122" customWidth="1"/>
    <col min="7180" max="7180" width="12.5703125" style="122" customWidth="1"/>
    <col min="7181" max="7421" width="7" style="122"/>
    <col min="7422" max="7422" width="4.140625" style="122" customWidth="1"/>
    <col min="7423" max="7423" width="43.140625" style="122" customWidth="1"/>
    <col min="7424" max="7424" width="5" style="122" customWidth="1"/>
    <col min="7425" max="7425" width="11.85546875" style="122" customWidth="1"/>
    <col min="7426" max="7426" width="12.140625" style="122" customWidth="1"/>
    <col min="7427" max="7427" width="13" style="122" customWidth="1"/>
    <col min="7428" max="7428" width="11" style="122" customWidth="1"/>
    <col min="7429" max="7429" width="7" style="122"/>
    <col min="7430" max="7430" width="9.7109375" style="122" bestFit="1" customWidth="1"/>
    <col min="7431" max="7434" width="17" style="122" customWidth="1"/>
    <col min="7435" max="7435" width="11.5703125" style="122" customWidth="1"/>
    <col min="7436" max="7436" width="12.5703125" style="122" customWidth="1"/>
    <col min="7437" max="7677" width="7" style="122"/>
    <col min="7678" max="7678" width="4.140625" style="122" customWidth="1"/>
    <col min="7679" max="7679" width="43.140625" style="122" customWidth="1"/>
    <col min="7680" max="7680" width="5" style="122" customWidth="1"/>
    <col min="7681" max="7681" width="11.85546875" style="122" customWidth="1"/>
    <col min="7682" max="7682" width="12.140625" style="122" customWidth="1"/>
    <col min="7683" max="7683" width="13" style="122" customWidth="1"/>
    <col min="7684" max="7684" width="11" style="122" customWidth="1"/>
    <col min="7685" max="7685" width="7" style="122"/>
    <col min="7686" max="7686" width="9.7109375" style="122" bestFit="1" customWidth="1"/>
    <col min="7687" max="7690" width="17" style="122" customWidth="1"/>
    <col min="7691" max="7691" width="11.5703125" style="122" customWidth="1"/>
    <col min="7692" max="7692" width="12.5703125" style="122" customWidth="1"/>
    <col min="7693" max="7933" width="7" style="122"/>
    <col min="7934" max="7934" width="4.140625" style="122" customWidth="1"/>
    <col min="7935" max="7935" width="43.140625" style="122" customWidth="1"/>
    <col min="7936" max="7936" width="5" style="122" customWidth="1"/>
    <col min="7937" max="7937" width="11.85546875" style="122" customWidth="1"/>
    <col min="7938" max="7938" width="12.140625" style="122" customWidth="1"/>
    <col min="7939" max="7939" width="13" style="122" customWidth="1"/>
    <col min="7940" max="7940" width="11" style="122" customWidth="1"/>
    <col min="7941" max="7941" width="7" style="122"/>
    <col min="7942" max="7942" width="9.7109375" style="122" bestFit="1" customWidth="1"/>
    <col min="7943" max="7946" width="17" style="122" customWidth="1"/>
    <col min="7947" max="7947" width="11.5703125" style="122" customWidth="1"/>
    <col min="7948" max="7948" width="12.5703125" style="122" customWidth="1"/>
    <col min="7949" max="8189" width="7" style="122"/>
    <col min="8190" max="8190" width="4.140625" style="122" customWidth="1"/>
    <col min="8191" max="8191" width="43.140625" style="122" customWidth="1"/>
    <col min="8192" max="8192" width="5" style="122" customWidth="1"/>
    <col min="8193" max="8193" width="11.85546875" style="122" customWidth="1"/>
    <col min="8194" max="8194" width="12.140625" style="122" customWidth="1"/>
    <col min="8195" max="8195" width="13" style="122" customWidth="1"/>
    <col min="8196" max="8196" width="11" style="122" customWidth="1"/>
    <col min="8197" max="8197" width="7" style="122"/>
    <col min="8198" max="8198" width="9.7109375" style="122" bestFit="1" customWidth="1"/>
    <col min="8199" max="8202" width="17" style="122" customWidth="1"/>
    <col min="8203" max="8203" width="11.5703125" style="122" customWidth="1"/>
    <col min="8204" max="8204" width="12.5703125" style="122" customWidth="1"/>
    <col min="8205" max="8445" width="7" style="122"/>
    <col min="8446" max="8446" width="4.140625" style="122" customWidth="1"/>
    <col min="8447" max="8447" width="43.140625" style="122" customWidth="1"/>
    <col min="8448" max="8448" width="5" style="122" customWidth="1"/>
    <col min="8449" max="8449" width="11.85546875" style="122" customWidth="1"/>
    <col min="8450" max="8450" width="12.140625" style="122" customWidth="1"/>
    <col min="8451" max="8451" width="13" style="122" customWidth="1"/>
    <col min="8452" max="8452" width="11" style="122" customWidth="1"/>
    <col min="8453" max="8453" width="7" style="122"/>
    <col min="8454" max="8454" width="9.7109375" style="122" bestFit="1" customWidth="1"/>
    <col min="8455" max="8458" width="17" style="122" customWidth="1"/>
    <col min="8459" max="8459" width="11.5703125" style="122" customWidth="1"/>
    <col min="8460" max="8460" width="12.5703125" style="122" customWidth="1"/>
    <col min="8461" max="8701" width="7" style="122"/>
    <col min="8702" max="8702" width="4.140625" style="122" customWidth="1"/>
    <col min="8703" max="8703" width="43.140625" style="122" customWidth="1"/>
    <col min="8704" max="8704" width="5" style="122" customWidth="1"/>
    <col min="8705" max="8705" width="11.85546875" style="122" customWidth="1"/>
    <col min="8706" max="8706" width="12.140625" style="122" customWidth="1"/>
    <col min="8707" max="8707" width="13" style="122" customWidth="1"/>
    <col min="8708" max="8708" width="11" style="122" customWidth="1"/>
    <col min="8709" max="8709" width="7" style="122"/>
    <col min="8710" max="8710" width="9.7109375" style="122" bestFit="1" customWidth="1"/>
    <col min="8711" max="8714" width="17" style="122" customWidth="1"/>
    <col min="8715" max="8715" width="11.5703125" style="122" customWidth="1"/>
    <col min="8716" max="8716" width="12.5703125" style="122" customWidth="1"/>
    <col min="8717" max="8957" width="7" style="122"/>
    <col min="8958" max="8958" width="4.140625" style="122" customWidth="1"/>
    <col min="8959" max="8959" width="43.140625" style="122" customWidth="1"/>
    <col min="8960" max="8960" width="5" style="122" customWidth="1"/>
    <col min="8961" max="8961" width="11.85546875" style="122" customWidth="1"/>
    <col min="8962" max="8962" width="12.140625" style="122" customWidth="1"/>
    <col min="8963" max="8963" width="13" style="122" customWidth="1"/>
    <col min="8964" max="8964" width="11" style="122" customWidth="1"/>
    <col min="8965" max="8965" width="7" style="122"/>
    <col min="8966" max="8966" width="9.7109375" style="122" bestFit="1" customWidth="1"/>
    <col min="8967" max="8970" width="17" style="122" customWidth="1"/>
    <col min="8971" max="8971" width="11.5703125" style="122" customWidth="1"/>
    <col min="8972" max="8972" width="12.5703125" style="122" customWidth="1"/>
    <col min="8973" max="9213" width="7" style="122"/>
    <col min="9214" max="9214" width="4.140625" style="122" customWidth="1"/>
    <col min="9215" max="9215" width="43.140625" style="122" customWidth="1"/>
    <col min="9216" max="9216" width="5" style="122" customWidth="1"/>
    <col min="9217" max="9217" width="11.85546875" style="122" customWidth="1"/>
    <col min="9218" max="9218" width="12.140625" style="122" customWidth="1"/>
    <col min="9219" max="9219" width="13" style="122" customWidth="1"/>
    <col min="9220" max="9220" width="11" style="122" customWidth="1"/>
    <col min="9221" max="9221" width="7" style="122"/>
    <col min="9222" max="9222" width="9.7109375" style="122" bestFit="1" customWidth="1"/>
    <col min="9223" max="9226" width="17" style="122" customWidth="1"/>
    <col min="9227" max="9227" width="11.5703125" style="122" customWidth="1"/>
    <col min="9228" max="9228" width="12.5703125" style="122" customWidth="1"/>
    <col min="9229" max="9469" width="7" style="122"/>
    <col min="9470" max="9470" width="4.140625" style="122" customWidth="1"/>
    <col min="9471" max="9471" width="43.140625" style="122" customWidth="1"/>
    <col min="9472" max="9472" width="5" style="122" customWidth="1"/>
    <col min="9473" max="9473" width="11.85546875" style="122" customWidth="1"/>
    <col min="9474" max="9474" width="12.140625" style="122" customWidth="1"/>
    <col min="9475" max="9475" width="13" style="122" customWidth="1"/>
    <col min="9476" max="9476" width="11" style="122" customWidth="1"/>
    <col min="9477" max="9477" width="7" style="122"/>
    <col min="9478" max="9478" width="9.7109375" style="122" bestFit="1" customWidth="1"/>
    <col min="9479" max="9482" width="17" style="122" customWidth="1"/>
    <col min="9483" max="9483" width="11.5703125" style="122" customWidth="1"/>
    <col min="9484" max="9484" width="12.5703125" style="122" customWidth="1"/>
    <col min="9485" max="9725" width="7" style="122"/>
    <col min="9726" max="9726" width="4.140625" style="122" customWidth="1"/>
    <col min="9727" max="9727" width="43.140625" style="122" customWidth="1"/>
    <col min="9728" max="9728" width="5" style="122" customWidth="1"/>
    <col min="9729" max="9729" width="11.85546875" style="122" customWidth="1"/>
    <col min="9730" max="9730" width="12.140625" style="122" customWidth="1"/>
    <col min="9731" max="9731" width="13" style="122" customWidth="1"/>
    <col min="9732" max="9732" width="11" style="122" customWidth="1"/>
    <col min="9733" max="9733" width="7" style="122"/>
    <col min="9734" max="9734" width="9.7109375" style="122" bestFit="1" customWidth="1"/>
    <col min="9735" max="9738" width="17" style="122" customWidth="1"/>
    <col min="9739" max="9739" width="11.5703125" style="122" customWidth="1"/>
    <col min="9740" max="9740" width="12.5703125" style="122" customWidth="1"/>
    <col min="9741" max="9981" width="7" style="122"/>
    <col min="9982" max="9982" width="4.140625" style="122" customWidth="1"/>
    <col min="9983" max="9983" width="43.140625" style="122" customWidth="1"/>
    <col min="9984" max="9984" width="5" style="122" customWidth="1"/>
    <col min="9985" max="9985" width="11.85546875" style="122" customWidth="1"/>
    <col min="9986" max="9986" width="12.140625" style="122" customWidth="1"/>
    <col min="9987" max="9987" width="13" style="122" customWidth="1"/>
    <col min="9988" max="9988" width="11" style="122" customWidth="1"/>
    <col min="9989" max="9989" width="7" style="122"/>
    <col min="9990" max="9990" width="9.7109375" style="122" bestFit="1" customWidth="1"/>
    <col min="9991" max="9994" width="17" style="122" customWidth="1"/>
    <col min="9995" max="9995" width="11.5703125" style="122" customWidth="1"/>
    <col min="9996" max="9996" width="12.5703125" style="122" customWidth="1"/>
    <col min="9997" max="10237" width="7" style="122"/>
    <col min="10238" max="10238" width="4.140625" style="122" customWidth="1"/>
    <col min="10239" max="10239" width="43.140625" style="122" customWidth="1"/>
    <col min="10240" max="10240" width="5" style="122" customWidth="1"/>
    <col min="10241" max="10241" width="11.85546875" style="122" customWidth="1"/>
    <col min="10242" max="10242" width="12.140625" style="122" customWidth="1"/>
    <col min="10243" max="10243" width="13" style="122" customWidth="1"/>
    <col min="10244" max="10244" width="11" style="122" customWidth="1"/>
    <col min="10245" max="10245" width="7" style="122"/>
    <col min="10246" max="10246" width="9.7109375" style="122" bestFit="1" customWidth="1"/>
    <col min="10247" max="10250" width="17" style="122" customWidth="1"/>
    <col min="10251" max="10251" width="11.5703125" style="122" customWidth="1"/>
    <col min="10252" max="10252" width="12.5703125" style="122" customWidth="1"/>
    <col min="10253" max="10493" width="7" style="122"/>
    <col min="10494" max="10494" width="4.140625" style="122" customWidth="1"/>
    <col min="10495" max="10495" width="43.140625" style="122" customWidth="1"/>
    <col min="10496" max="10496" width="5" style="122" customWidth="1"/>
    <col min="10497" max="10497" width="11.85546875" style="122" customWidth="1"/>
    <col min="10498" max="10498" width="12.140625" style="122" customWidth="1"/>
    <col min="10499" max="10499" width="13" style="122" customWidth="1"/>
    <col min="10500" max="10500" width="11" style="122" customWidth="1"/>
    <col min="10501" max="10501" width="7" style="122"/>
    <col min="10502" max="10502" width="9.7109375" style="122" bestFit="1" customWidth="1"/>
    <col min="10503" max="10506" width="17" style="122" customWidth="1"/>
    <col min="10507" max="10507" width="11.5703125" style="122" customWidth="1"/>
    <col min="10508" max="10508" width="12.5703125" style="122" customWidth="1"/>
    <col min="10509" max="10749" width="7" style="122"/>
    <col min="10750" max="10750" width="4.140625" style="122" customWidth="1"/>
    <col min="10751" max="10751" width="43.140625" style="122" customWidth="1"/>
    <col min="10752" max="10752" width="5" style="122" customWidth="1"/>
    <col min="10753" max="10753" width="11.85546875" style="122" customWidth="1"/>
    <col min="10754" max="10754" width="12.140625" style="122" customWidth="1"/>
    <col min="10755" max="10755" width="13" style="122" customWidth="1"/>
    <col min="10756" max="10756" width="11" style="122" customWidth="1"/>
    <col min="10757" max="10757" width="7" style="122"/>
    <col min="10758" max="10758" width="9.7109375" style="122" bestFit="1" customWidth="1"/>
    <col min="10759" max="10762" width="17" style="122" customWidth="1"/>
    <col min="10763" max="10763" width="11.5703125" style="122" customWidth="1"/>
    <col min="10764" max="10764" width="12.5703125" style="122" customWidth="1"/>
    <col min="10765" max="11005" width="7" style="122"/>
    <col min="11006" max="11006" width="4.140625" style="122" customWidth="1"/>
    <col min="11007" max="11007" width="43.140625" style="122" customWidth="1"/>
    <col min="11008" max="11008" width="5" style="122" customWidth="1"/>
    <col min="11009" max="11009" width="11.85546875" style="122" customWidth="1"/>
    <col min="11010" max="11010" width="12.140625" style="122" customWidth="1"/>
    <col min="11011" max="11011" width="13" style="122" customWidth="1"/>
    <col min="11012" max="11012" width="11" style="122" customWidth="1"/>
    <col min="11013" max="11013" width="7" style="122"/>
    <col min="11014" max="11014" width="9.7109375" style="122" bestFit="1" customWidth="1"/>
    <col min="11015" max="11018" width="17" style="122" customWidth="1"/>
    <col min="11019" max="11019" width="11.5703125" style="122" customWidth="1"/>
    <col min="11020" max="11020" width="12.5703125" style="122" customWidth="1"/>
    <col min="11021" max="11261" width="7" style="122"/>
    <col min="11262" max="11262" width="4.140625" style="122" customWidth="1"/>
    <col min="11263" max="11263" width="43.140625" style="122" customWidth="1"/>
    <col min="11264" max="11264" width="5" style="122" customWidth="1"/>
    <col min="11265" max="11265" width="11.85546875" style="122" customWidth="1"/>
    <col min="11266" max="11266" width="12.140625" style="122" customWidth="1"/>
    <col min="11267" max="11267" width="13" style="122" customWidth="1"/>
    <col min="11268" max="11268" width="11" style="122" customWidth="1"/>
    <col min="11269" max="11269" width="7" style="122"/>
    <col min="11270" max="11270" width="9.7109375" style="122" bestFit="1" customWidth="1"/>
    <col min="11271" max="11274" width="17" style="122" customWidth="1"/>
    <col min="11275" max="11275" width="11.5703125" style="122" customWidth="1"/>
    <col min="11276" max="11276" width="12.5703125" style="122" customWidth="1"/>
    <col min="11277" max="11517" width="7" style="122"/>
    <col min="11518" max="11518" width="4.140625" style="122" customWidth="1"/>
    <col min="11519" max="11519" width="43.140625" style="122" customWidth="1"/>
    <col min="11520" max="11520" width="5" style="122" customWidth="1"/>
    <col min="11521" max="11521" width="11.85546875" style="122" customWidth="1"/>
    <col min="11522" max="11522" width="12.140625" style="122" customWidth="1"/>
    <col min="11523" max="11523" width="13" style="122" customWidth="1"/>
    <col min="11524" max="11524" width="11" style="122" customWidth="1"/>
    <col min="11525" max="11525" width="7" style="122"/>
    <col min="11526" max="11526" width="9.7109375" style="122" bestFit="1" customWidth="1"/>
    <col min="11527" max="11530" width="17" style="122" customWidth="1"/>
    <col min="11531" max="11531" width="11.5703125" style="122" customWidth="1"/>
    <col min="11532" max="11532" width="12.5703125" style="122" customWidth="1"/>
    <col min="11533" max="11773" width="7" style="122"/>
    <col min="11774" max="11774" width="4.140625" style="122" customWidth="1"/>
    <col min="11775" max="11775" width="43.140625" style="122" customWidth="1"/>
    <col min="11776" max="11776" width="5" style="122" customWidth="1"/>
    <col min="11777" max="11777" width="11.85546875" style="122" customWidth="1"/>
    <col min="11778" max="11778" width="12.140625" style="122" customWidth="1"/>
    <col min="11779" max="11779" width="13" style="122" customWidth="1"/>
    <col min="11780" max="11780" width="11" style="122" customWidth="1"/>
    <col min="11781" max="11781" width="7" style="122"/>
    <col min="11782" max="11782" width="9.7109375" style="122" bestFit="1" customWidth="1"/>
    <col min="11783" max="11786" width="17" style="122" customWidth="1"/>
    <col min="11787" max="11787" width="11.5703125" style="122" customWidth="1"/>
    <col min="11788" max="11788" width="12.5703125" style="122" customWidth="1"/>
    <col min="11789" max="12029" width="7" style="122"/>
    <col min="12030" max="12030" width="4.140625" style="122" customWidth="1"/>
    <col min="12031" max="12031" width="43.140625" style="122" customWidth="1"/>
    <col min="12032" max="12032" width="5" style="122" customWidth="1"/>
    <col min="12033" max="12033" width="11.85546875" style="122" customWidth="1"/>
    <col min="12034" max="12034" width="12.140625" style="122" customWidth="1"/>
    <col min="12035" max="12035" width="13" style="122" customWidth="1"/>
    <col min="12036" max="12036" width="11" style="122" customWidth="1"/>
    <col min="12037" max="12037" width="7" style="122"/>
    <col min="12038" max="12038" width="9.7109375" style="122" bestFit="1" customWidth="1"/>
    <col min="12039" max="12042" width="17" style="122" customWidth="1"/>
    <col min="12043" max="12043" width="11.5703125" style="122" customWidth="1"/>
    <col min="12044" max="12044" width="12.5703125" style="122" customWidth="1"/>
    <col min="12045" max="12285" width="7" style="122"/>
    <col min="12286" max="12286" width="4.140625" style="122" customWidth="1"/>
    <col min="12287" max="12287" width="43.140625" style="122" customWidth="1"/>
    <col min="12288" max="12288" width="5" style="122" customWidth="1"/>
    <col min="12289" max="12289" width="11.85546875" style="122" customWidth="1"/>
    <col min="12290" max="12290" width="12.140625" style="122" customWidth="1"/>
    <col min="12291" max="12291" width="13" style="122" customWidth="1"/>
    <col min="12292" max="12292" width="11" style="122" customWidth="1"/>
    <col min="12293" max="12293" width="7" style="122"/>
    <col min="12294" max="12294" width="9.7109375" style="122" bestFit="1" customWidth="1"/>
    <col min="12295" max="12298" width="17" style="122" customWidth="1"/>
    <col min="12299" max="12299" width="11.5703125" style="122" customWidth="1"/>
    <col min="12300" max="12300" width="12.5703125" style="122" customWidth="1"/>
    <col min="12301" max="12541" width="7" style="122"/>
    <col min="12542" max="12542" width="4.140625" style="122" customWidth="1"/>
    <col min="12543" max="12543" width="43.140625" style="122" customWidth="1"/>
    <col min="12544" max="12544" width="5" style="122" customWidth="1"/>
    <col min="12545" max="12545" width="11.85546875" style="122" customWidth="1"/>
    <col min="12546" max="12546" width="12.140625" style="122" customWidth="1"/>
    <col min="12547" max="12547" width="13" style="122" customWidth="1"/>
    <col min="12548" max="12548" width="11" style="122" customWidth="1"/>
    <col min="12549" max="12549" width="7" style="122"/>
    <col min="12550" max="12550" width="9.7109375" style="122" bestFit="1" customWidth="1"/>
    <col min="12551" max="12554" width="17" style="122" customWidth="1"/>
    <col min="12555" max="12555" width="11.5703125" style="122" customWidth="1"/>
    <col min="12556" max="12556" width="12.5703125" style="122" customWidth="1"/>
    <col min="12557" max="12797" width="7" style="122"/>
    <col min="12798" max="12798" width="4.140625" style="122" customWidth="1"/>
    <col min="12799" max="12799" width="43.140625" style="122" customWidth="1"/>
    <col min="12800" max="12800" width="5" style="122" customWidth="1"/>
    <col min="12801" max="12801" width="11.85546875" style="122" customWidth="1"/>
    <col min="12802" max="12802" width="12.140625" style="122" customWidth="1"/>
    <col min="12803" max="12803" width="13" style="122" customWidth="1"/>
    <col min="12804" max="12804" width="11" style="122" customWidth="1"/>
    <col min="12805" max="12805" width="7" style="122"/>
    <col min="12806" max="12806" width="9.7109375" style="122" bestFit="1" customWidth="1"/>
    <col min="12807" max="12810" width="17" style="122" customWidth="1"/>
    <col min="12811" max="12811" width="11.5703125" style="122" customWidth="1"/>
    <col min="12812" max="12812" width="12.5703125" style="122" customWidth="1"/>
    <col min="12813" max="13053" width="7" style="122"/>
    <col min="13054" max="13054" width="4.140625" style="122" customWidth="1"/>
    <col min="13055" max="13055" width="43.140625" style="122" customWidth="1"/>
    <col min="13056" max="13056" width="5" style="122" customWidth="1"/>
    <col min="13057" max="13057" width="11.85546875" style="122" customWidth="1"/>
    <col min="13058" max="13058" width="12.140625" style="122" customWidth="1"/>
    <col min="13059" max="13059" width="13" style="122" customWidth="1"/>
    <col min="13060" max="13060" width="11" style="122" customWidth="1"/>
    <col min="13061" max="13061" width="7" style="122"/>
    <col min="13062" max="13062" width="9.7109375" style="122" bestFit="1" customWidth="1"/>
    <col min="13063" max="13066" width="17" style="122" customWidth="1"/>
    <col min="13067" max="13067" width="11.5703125" style="122" customWidth="1"/>
    <col min="13068" max="13068" width="12.5703125" style="122" customWidth="1"/>
    <col min="13069" max="13309" width="7" style="122"/>
    <col min="13310" max="13310" width="4.140625" style="122" customWidth="1"/>
    <col min="13311" max="13311" width="43.140625" style="122" customWidth="1"/>
    <col min="13312" max="13312" width="5" style="122" customWidth="1"/>
    <col min="13313" max="13313" width="11.85546875" style="122" customWidth="1"/>
    <col min="13314" max="13314" width="12.140625" style="122" customWidth="1"/>
    <col min="13315" max="13315" width="13" style="122" customWidth="1"/>
    <col min="13316" max="13316" width="11" style="122" customWidth="1"/>
    <col min="13317" max="13317" width="7" style="122"/>
    <col min="13318" max="13318" width="9.7109375" style="122" bestFit="1" customWidth="1"/>
    <col min="13319" max="13322" width="17" style="122" customWidth="1"/>
    <col min="13323" max="13323" width="11.5703125" style="122" customWidth="1"/>
    <col min="13324" max="13324" width="12.5703125" style="122" customWidth="1"/>
    <col min="13325" max="13565" width="7" style="122"/>
    <col min="13566" max="13566" width="4.140625" style="122" customWidth="1"/>
    <col min="13567" max="13567" width="43.140625" style="122" customWidth="1"/>
    <col min="13568" max="13568" width="5" style="122" customWidth="1"/>
    <col min="13569" max="13569" width="11.85546875" style="122" customWidth="1"/>
    <col min="13570" max="13570" width="12.140625" style="122" customWidth="1"/>
    <col min="13571" max="13571" width="13" style="122" customWidth="1"/>
    <col min="13572" max="13572" width="11" style="122" customWidth="1"/>
    <col min="13573" max="13573" width="7" style="122"/>
    <col min="13574" max="13574" width="9.7109375" style="122" bestFit="1" customWidth="1"/>
    <col min="13575" max="13578" width="17" style="122" customWidth="1"/>
    <col min="13579" max="13579" width="11.5703125" style="122" customWidth="1"/>
    <col min="13580" max="13580" width="12.5703125" style="122" customWidth="1"/>
    <col min="13581" max="13821" width="7" style="122"/>
    <col min="13822" max="13822" width="4.140625" style="122" customWidth="1"/>
    <col min="13823" max="13823" width="43.140625" style="122" customWidth="1"/>
    <col min="13824" max="13824" width="5" style="122" customWidth="1"/>
    <col min="13825" max="13825" width="11.85546875" style="122" customWidth="1"/>
    <col min="13826" max="13826" width="12.140625" style="122" customWidth="1"/>
    <col min="13827" max="13827" width="13" style="122" customWidth="1"/>
    <col min="13828" max="13828" width="11" style="122" customWidth="1"/>
    <col min="13829" max="13829" width="7" style="122"/>
    <col min="13830" max="13830" width="9.7109375" style="122" bestFit="1" customWidth="1"/>
    <col min="13831" max="13834" width="17" style="122" customWidth="1"/>
    <col min="13835" max="13835" width="11.5703125" style="122" customWidth="1"/>
    <col min="13836" max="13836" width="12.5703125" style="122" customWidth="1"/>
    <col min="13837" max="14077" width="7" style="122"/>
    <col min="14078" max="14078" width="4.140625" style="122" customWidth="1"/>
    <col min="14079" max="14079" width="43.140625" style="122" customWidth="1"/>
    <col min="14080" max="14080" width="5" style="122" customWidth="1"/>
    <col min="14081" max="14081" width="11.85546875" style="122" customWidth="1"/>
    <col min="14082" max="14082" width="12.140625" style="122" customWidth="1"/>
    <col min="14083" max="14083" width="13" style="122" customWidth="1"/>
    <col min="14084" max="14084" width="11" style="122" customWidth="1"/>
    <col min="14085" max="14085" width="7" style="122"/>
    <col min="14086" max="14086" width="9.7109375" style="122" bestFit="1" customWidth="1"/>
    <col min="14087" max="14090" width="17" style="122" customWidth="1"/>
    <col min="14091" max="14091" width="11.5703125" style="122" customWidth="1"/>
    <col min="14092" max="14092" width="12.5703125" style="122" customWidth="1"/>
    <col min="14093" max="14333" width="7" style="122"/>
    <col min="14334" max="14334" width="4.140625" style="122" customWidth="1"/>
    <col min="14335" max="14335" width="43.140625" style="122" customWidth="1"/>
    <col min="14336" max="14336" width="5" style="122" customWidth="1"/>
    <col min="14337" max="14337" width="11.85546875" style="122" customWidth="1"/>
    <col min="14338" max="14338" width="12.140625" style="122" customWidth="1"/>
    <col min="14339" max="14339" width="13" style="122" customWidth="1"/>
    <col min="14340" max="14340" width="11" style="122" customWidth="1"/>
    <col min="14341" max="14341" width="7" style="122"/>
    <col min="14342" max="14342" width="9.7109375" style="122" bestFit="1" customWidth="1"/>
    <col min="14343" max="14346" width="17" style="122" customWidth="1"/>
    <col min="14347" max="14347" width="11.5703125" style="122" customWidth="1"/>
    <col min="14348" max="14348" width="12.5703125" style="122" customWidth="1"/>
    <col min="14349" max="14589" width="7" style="122"/>
    <col min="14590" max="14590" width="4.140625" style="122" customWidth="1"/>
    <col min="14591" max="14591" width="43.140625" style="122" customWidth="1"/>
    <col min="14592" max="14592" width="5" style="122" customWidth="1"/>
    <col min="14593" max="14593" width="11.85546875" style="122" customWidth="1"/>
    <col min="14594" max="14594" width="12.140625" style="122" customWidth="1"/>
    <col min="14595" max="14595" width="13" style="122" customWidth="1"/>
    <col min="14596" max="14596" width="11" style="122" customWidth="1"/>
    <col min="14597" max="14597" width="7" style="122"/>
    <col min="14598" max="14598" width="9.7109375" style="122" bestFit="1" customWidth="1"/>
    <col min="14599" max="14602" width="17" style="122" customWidth="1"/>
    <col min="14603" max="14603" width="11.5703125" style="122" customWidth="1"/>
    <col min="14604" max="14604" width="12.5703125" style="122" customWidth="1"/>
    <col min="14605" max="14845" width="7" style="122"/>
    <col min="14846" max="14846" width="4.140625" style="122" customWidth="1"/>
    <col min="14847" max="14847" width="43.140625" style="122" customWidth="1"/>
    <col min="14848" max="14848" width="5" style="122" customWidth="1"/>
    <col min="14849" max="14849" width="11.85546875" style="122" customWidth="1"/>
    <col min="14850" max="14850" width="12.140625" style="122" customWidth="1"/>
    <col min="14851" max="14851" width="13" style="122" customWidth="1"/>
    <col min="14852" max="14852" width="11" style="122" customWidth="1"/>
    <col min="14853" max="14853" width="7" style="122"/>
    <col min="14854" max="14854" width="9.7109375" style="122" bestFit="1" customWidth="1"/>
    <col min="14855" max="14858" width="17" style="122" customWidth="1"/>
    <col min="14859" max="14859" width="11.5703125" style="122" customWidth="1"/>
    <col min="14860" max="14860" width="12.5703125" style="122" customWidth="1"/>
    <col min="14861" max="15101" width="7" style="122"/>
    <col min="15102" max="15102" width="4.140625" style="122" customWidth="1"/>
    <col min="15103" max="15103" width="43.140625" style="122" customWidth="1"/>
    <col min="15104" max="15104" width="5" style="122" customWidth="1"/>
    <col min="15105" max="15105" width="11.85546875" style="122" customWidth="1"/>
    <col min="15106" max="15106" width="12.140625" style="122" customWidth="1"/>
    <col min="15107" max="15107" width="13" style="122" customWidth="1"/>
    <col min="15108" max="15108" width="11" style="122" customWidth="1"/>
    <col min="15109" max="15109" width="7" style="122"/>
    <col min="15110" max="15110" width="9.7109375" style="122" bestFit="1" customWidth="1"/>
    <col min="15111" max="15114" width="17" style="122" customWidth="1"/>
    <col min="15115" max="15115" width="11.5703125" style="122" customWidth="1"/>
    <col min="15116" max="15116" width="12.5703125" style="122" customWidth="1"/>
    <col min="15117" max="15357" width="7" style="122"/>
    <col min="15358" max="15358" width="4.140625" style="122" customWidth="1"/>
    <col min="15359" max="15359" width="43.140625" style="122" customWidth="1"/>
    <col min="15360" max="15360" width="5" style="122" customWidth="1"/>
    <col min="15361" max="15361" width="11.85546875" style="122" customWidth="1"/>
    <col min="15362" max="15362" width="12.140625" style="122" customWidth="1"/>
    <col min="15363" max="15363" width="13" style="122" customWidth="1"/>
    <col min="15364" max="15364" width="11" style="122" customWidth="1"/>
    <col min="15365" max="15365" width="7" style="122"/>
    <col min="15366" max="15366" width="9.7109375" style="122" bestFit="1" customWidth="1"/>
    <col min="15367" max="15370" width="17" style="122" customWidth="1"/>
    <col min="15371" max="15371" width="11.5703125" style="122" customWidth="1"/>
    <col min="15372" max="15372" width="12.5703125" style="122" customWidth="1"/>
    <col min="15373" max="15613" width="7" style="122"/>
    <col min="15614" max="15614" width="4.140625" style="122" customWidth="1"/>
    <col min="15615" max="15615" width="43.140625" style="122" customWidth="1"/>
    <col min="15616" max="15616" width="5" style="122" customWidth="1"/>
    <col min="15617" max="15617" width="11.85546875" style="122" customWidth="1"/>
    <col min="15618" max="15618" width="12.140625" style="122" customWidth="1"/>
    <col min="15619" max="15619" width="13" style="122" customWidth="1"/>
    <col min="15620" max="15620" width="11" style="122" customWidth="1"/>
    <col min="15621" max="15621" width="7" style="122"/>
    <col min="15622" max="15622" width="9.7109375" style="122" bestFit="1" customWidth="1"/>
    <col min="15623" max="15626" width="17" style="122" customWidth="1"/>
    <col min="15627" max="15627" width="11.5703125" style="122" customWidth="1"/>
    <col min="15628" max="15628" width="12.5703125" style="122" customWidth="1"/>
    <col min="15629" max="15869" width="7" style="122"/>
    <col min="15870" max="15870" width="4.140625" style="122" customWidth="1"/>
    <col min="15871" max="15871" width="43.140625" style="122" customWidth="1"/>
    <col min="15872" max="15872" width="5" style="122" customWidth="1"/>
    <col min="15873" max="15873" width="11.85546875" style="122" customWidth="1"/>
    <col min="15874" max="15874" width="12.140625" style="122" customWidth="1"/>
    <col min="15875" max="15875" width="13" style="122" customWidth="1"/>
    <col min="15876" max="15876" width="11" style="122" customWidth="1"/>
    <col min="15877" max="15877" width="7" style="122"/>
    <col min="15878" max="15878" width="9.7109375" style="122" bestFit="1" customWidth="1"/>
    <col min="15879" max="15882" width="17" style="122" customWidth="1"/>
    <col min="15883" max="15883" width="11.5703125" style="122" customWidth="1"/>
    <col min="15884" max="15884" width="12.5703125" style="122" customWidth="1"/>
    <col min="15885" max="16125" width="7" style="122"/>
    <col min="16126" max="16126" width="4.140625" style="122" customWidth="1"/>
    <col min="16127" max="16127" width="43.140625" style="122" customWidth="1"/>
    <col min="16128" max="16128" width="5" style="122" customWidth="1"/>
    <col min="16129" max="16129" width="11.85546875" style="122" customWidth="1"/>
    <col min="16130" max="16130" width="12.140625" style="122" customWidth="1"/>
    <col min="16131" max="16131" width="13" style="122" customWidth="1"/>
    <col min="16132" max="16132" width="11" style="122" customWidth="1"/>
    <col min="16133" max="16133" width="7" style="122"/>
    <col min="16134" max="16134" width="9.7109375" style="122" bestFit="1" customWidth="1"/>
    <col min="16135" max="16138" width="17" style="122" customWidth="1"/>
    <col min="16139" max="16139" width="11.5703125" style="122" customWidth="1"/>
    <col min="16140" max="16140" width="12.5703125" style="122" customWidth="1"/>
    <col min="16141" max="16384" width="7" style="122"/>
  </cols>
  <sheetData>
    <row r="2" spans="1:21" ht="18.75" customHeight="1" x14ac:dyDescent="0.25">
      <c r="A2" s="462" t="s">
        <v>277</v>
      </c>
      <c r="B2" s="462"/>
      <c r="C2" s="462"/>
      <c r="D2" s="462"/>
      <c r="E2" s="462"/>
      <c r="F2" s="462"/>
      <c r="G2" s="462"/>
      <c r="H2" s="122"/>
      <c r="I2" s="122" t="s">
        <v>350</v>
      </c>
    </row>
    <row r="3" spans="1:21" ht="15.75" thickBot="1" x14ac:dyDescent="0.3">
      <c r="B3" s="123"/>
      <c r="D3" s="122"/>
      <c r="E3" s="122"/>
      <c r="F3" s="122"/>
      <c r="G3" s="137"/>
      <c r="I3" s="169" t="s">
        <v>347</v>
      </c>
      <c r="J3" s="169" t="s">
        <v>348</v>
      </c>
      <c r="K3" s="169" t="s">
        <v>349</v>
      </c>
    </row>
    <row r="4" spans="1:21" ht="31.5" customHeight="1" x14ac:dyDescent="0.25">
      <c r="A4" s="238" t="s">
        <v>56</v>
      </c>
      <c r="B4" s="239" t="s">
        <v>57</v>
      </c>
      <c r="C4" s="240" t="s">
        <v>58</v>
      </c>
      <c r="D4" s="241" t="s">
        <v>268</v>
      </c>
      <c r="E4" s="241" t="s">
        <v>278</v>
      </c>
      <c r="F4" s="241" t="s">
        <v>279</v>
      </c>
      <c r="G4" s="242" t="s">
        <v>283</v>
      </c>
      <c r="H4" s="124"/>
      <c r="I4" s="169">
        <v>34319</v>
      </c>
      <c r="J4" s="169">
        <v>1600</v>
      </c>
      <c r="K4" s="169">
        <v>702826</v>
      </c>
    </row>
    <row r="5" spans="1:21" ht="17.25" x14ac:dyDescent="0.3">
      <c r="A5" s="243" t="s">
        <v>35</v>
      </c>
      <c r="B5" s="146" t="s">
        <v>59</v>
      </c>
      <c r="C5" s="147"/>
      <c r="D5" s="154"/>
      <c r="E5" s="154"/>
      <c r="F5" s="154"/>
      <c r="G5" s="244"/>
      <c r="H5" s="124"/>
      <c r="I5" s="175">
        <v>123.42</v>
      </c>
      <c r="J5" s="175">
        <v>107.82</v>
      </c>
      <c r="K5" s="179">
        <v>1</v>
      </c>
    </row>
    <row r="6" spans="1:21" ht="15.75" x14ac:dyDescent="0.25">
      <c r="A6" s="245"/>
      <c r="B6" s="146" t="s">
        <v>60</v>
      </c>
      <c r="C6" s="147"/>
      <c r="D6" s="154">
        <f t="shared" ref="D6:F6" si="0">SUM(D7:D8)</f>
        <v>22687145.684201702</v>
      </c>
      <c r="E6" s="154">
        <f t="shared" si="0"/>
        <v>210570962.62829968</v>
      </c>
      <c r="F6" s="154">
        <f t="shared" si="0"/>
        <v>203064431.75599992</v>
      </c>
      <c r="G6" s="244">
        <f>SUM(G7:G8)</f>
        <v>30193676.556501448</v>
      </c>
      <c r="H6" s="124"/>
    </row>
    <row r="7" spans="1:21" ht="15.75" x14ac:dyDescent="0.25">
      <c r="A7" s="245"/>
      <c r="B7" s="147" t="s">
        <v>61</v>
      </c>
      <c r="C7" s="147"/>
      <c r="D7" s="155">
        <v>16773136.006400287</v>
      </c>
      <c r="E7" s="155">
        <v>141522962.62829968</v>
      </c>
      <c r="F7" s="155">
        <v>133214347.75599994</v>
      </c>
      <c r="G7" s="246">
        <f t="shared" ref="G7:G8" si="1">D7+E7-F7</f>
        <v>25081750.878700033</v>
      </c>
      <c r="H7" s="124"/>
      <c r="I7" s="123">
        <f>I4*I5</f>
        <v>4235650.9800000004</v>
      </c>
      <c r="J7" s="123">
        <f t="shared" ref="J7:K7" si="2">J4*J5</f>
        <v>172512</v>
      </c>
      <c r="K7" s="123">
        <f t="shared" si="2"/>
        <v>702826</v>
      </c>
    </row>
    <row r="8" spans="1:21" ht="15.75" x14ac:dyDescent="0.25">
      <c r="A8" s="245"/>
      <c r="B8" s="147" t="s">
        <v>62</v>
      </c>
      <c r="C8" s="147"/>
      <c r="D8" s="155">
        <v>5914009.6778014153</v>
      </c>
      <c r="E8" s="156">
        <v>69048000</v>
      </c>
      <c r="F8" s="156">
        <v>69850084</v>
      </c>
      <c r="G8" s="246">
        <f t="shared" si="1"/>
        <v>5111925.6778014153</v>
      </c>
      <c r="H8" s="180">
        <f>I8</f>
        <v>5110988.9800000004</v>
      </c>
      <c r="I8" s="123">
        <f>SUM(I7:K7)</f>
        <v>5110988.9800000004</v>
      </c>
    </row>
    <row r="9" spans="1:21" ht="15.75" x14ac:dyDescent="0.25">
      <c r="A9" s="245"/>
      <c r="B9" s="148" t="s">
        <v>63</v>
      </c>
      <c r="C9" s="147"/>
      <c r="D9" s="157">
        <f t="shared" ref="D9:F9" si="3">SUM(D10:D13)</f>
        <v>358772834.96041775</v>
      </c>
      <c r="E9" s="157">
        <f t="shared" si="3"/>
        <v>354003211.79999995</v>
      </c>
      <c r="F9" s="157">
        <f t="shared" si="3"/>
        <v>420902172.97935861</v>
      </c>
      <c r="G9" s="247">
        <f>SUM(G10:G13)</f>
        <v>291873873.78105909</v>
      </c>
      <c r="H9" s="124"/>
    </row>
    <row r="10" spans="1:21" ht="15.75" x14ac:dyDescent="0.25">
      <c r="A10" s="245"/>
      <c r="B10" s="147" t="s">
        <v>64</v>
      </c>
      <c r="C10" s="147"/>
      <c r="D10" s="26">
        <v>337726462.29999995</v>
      </c>
      <c r="E10" s="155">
        <v>341510919.79999995</v>
      </c>
      <c r="F10" s="155">
        <v>412056607.32999998</v>
      </c>
      <c r="G10" s="246">
        <f t="shared" ref="G10:G12" si="4">D10+E10-F10</f>
        <v>267180774.76999992</v>
      </c>
      <c r="H10" s="124"/>
    </row>
    <row r="11" spans="1:21" ht="15.75" x14ac:dyDescent="0.25">
      <c r="A11" s="245"/>
      <c r="B11" s="147" t="s">
        <v>65</v>
      </c>
      <c r="C11" s="147"/>
      <c r="D11" s="26">
        <v>21046372.660417799</v>
      </c>
      <c r="E11" s="155"/>
      <c r="F11" s="155">
        <v>4951539.4800000004</v>
      </c>
      <c r="G11" s="246">
        <f t="shared" si="4"/>
        <v>16094833.180417798</v>
      </c>
      <c r="H11" s="124"/>
      <c r="I11" s="137">
        <v>25264934.120338585</v>
      </c>
      <c r="J11" s="137">
        <v>22638737.520338587</v>
      </c>
      <c r="K11" s="137">
        <v>249308.4</v>
      </c>
      <c r="L11" s="137">
        <v>2376888.2000000002</v>
      </c>
      <c r="M11" s="137">
        <v>17946442.958731655</v>
      </c>
      <c r="N11" s="137">
        <v>241948.08</v>
      </c>
      <c r="O11" s="137">
        <v>1656620.6</v>
      </c>
      <c r="P11" s="137">
        <v>0</v>
      </c>
      <c r="Q11" s="137">
        <v>4195539.4800000004</v>
      </c>
      <c r="R11" s="137">
        <v>0</v>
      </c>
      <c r="S11" s="137">
        <v>756000</v>
      </c>
      <c r="T11" s="137"/>
      <c r="U11" s="137"/>
    </row>
    <row r="12" spans="1:21" ht="15.75" x14ac:dyDescent="0.25">
      <c r="A12" s="245" t="s">
        <v>339</v>
      </c>
      <c r="B12" s="147" t="s">
        <v>66</v>
      </c>
      <c r="C12" s="147"/>
      <c r="D12" s="26">
        <v>0</v>
      </c>
      <c r="E12" s="155">
        <v>12492292</v>
      </c>
      <c r="F12" s="155">
        <v>3894026.1693586381</v>
      </c>
      <c r="G12" s="246">
        <f t="shared" si="4"/>
        <v>8598265.8306413628</v>
      </c>
      <c r="H12" s="124"/>
      <c r="I12" s="137">
        <f>G8-H8</f>
        <v>936.69780141487718</v>
      </c>
      <c r="J12" s="137"/>
      <c r="K12" s="137"/>
      <c r="L12" s="137"/>
      <c r="M12" s="137">
        <v>19845011.638731655</v>
      </c>
      <c r="N12" s="137"/>
      <c r="O12" s="137"/>
      <c r="P12" s="137"/>
      <c r="Q12" s="137">
        <v>4951539.4800000004</v>
      </c>
      <c r="R12" s="137"/>
      <c r="S12" s="137"/>
      <c r="T12" s="137"/>
      <c r="U12" s="137"/>
    </row>
    <row r="13" spans="1:21" ht="15.75" x14ac:dyDescent="0.25">
      <c r="A13" s="245"/>
      <c r="B13" s="147" t="s">
        <v>67</v>
      </c>
      <c r="C13" s="147"/>
      <c r="D13" s="155">
        <v>0</v>
      </c>
      <c r="E13" s="155"/>
      <c r="F13" s="155"/>
      <c r="G13" s="246">
        <v>0</v>
      </c>
      <c r="H13" s="124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</row>
    <row r="14" spans="1:21" ht="15.75" x14ac:dyDescent="0.25">
      <c r="A14" s="245"/>
      <c r="B14" s="146" t="s">
        <v>68</v>
      </c>
      <c r="C14" s="147"/>
      <c r="D14" s="157">
        <f t="shared" ref="D14:F14" si="5">SUM(D15:D20)</f>
        <v>77799280.519199938</v>
      </c>
      <c r="E14" s="157">
        <f t="shared" si="5"/>
        <v>125434989.3</v>
      </c>
      <c r="F14" s="157">
        <f t="shared" si="5"/>
        <v>122653769.3</v>
      </c>
      <c r="G14" s="247">
        <f>SUM(G15:G20)</f>
        <v>80580500.519199938</v>
      </c>
      <c r="H14" s="124"/>
    </row>
    <row r="15" spans="1:21" ht="15.75" x14ac:dyDescent="0.25">
      <c r="A15" s="245"/>
      <c r="B15" s="147" t="s">
        <v>69</v>
      </c>
      <c r="C15" s="147"/>
      <c r="D15" s="26">
        <v>1146126.4999999404</v>
      </c>
      <c r="E15" s="155">
        <v>124232337.8</v>
      </c>
      <c r="F15" s="155">
        <v>122167184.3</v>
      </c>
      <c r="G15" s="246">
        <f t="shared" ref="G15:G20" si="6">D15+E15-F15</f>
        <v>3211279.9999999404</v>
      </c>
      <c r="H15" s="124"/>
    </row>
    <row r="16" spans="1:21" ht="15.75" x14ac:dyDescent="0.25">
      <c r="A16" s="245"/>
      <c r="B16" s="147" t="s">
        <v>71</v>
      </c>
      <c r="C16" s="147"/>
      <c r="D16" s="26">
        <v>0</v>
      </c>
      <c r="E16" s="156"/>
      <c r="F16" s="155"/>
      <c r="G16" s="246">
        <f t="shared" si="6"/>
        <v>0</v>
      </c>
      <c r="H16" s="124"/>
    </row>
    <row r="17" spans="1:27" ht="15.75" x14ac:dyDescent="0.25">
      <c r="A17" s="245"/>
      <c r="B17" s="147" t="s">
        <v>70</v>
      </c>
      <c r="C17" s="147"/>
      <c r="D17" s="155">
        <v>0</v>
      </c>
      <c r="E17" s="248"/>
      <c r="F17" s="155"/>
      <c r="G17" s="246">
        <f t="shared" si="6"/>
        <v>0</v>
      </c>
      <c r="H17" s="124"/>
    </row>
    <row r="18" spans="1:27" ht="15.75" customHeight="1" x14ac:dyDescent="0.25">
      <c r="A18" s="245"/>
      <c r="B18" s="147" t="s">
        <v>72</v>
      </c>
      <c r="C18" s="147"/>
      <c r="D18" s="155">
        <v>76166568.999200001</v>
      </c>
      <c r="E18" s="155">
        <v>600000</v>
      </c>
      <c r="F18" s="155"/>
      <c r="G18" s="246">
        <f t="shared" si="6"/>
        <v>76766568.999200001</v>
      </c>
      <c r="H18" s="145">
        <f>G18-24300000</f>
        <v>52466568.999200001</v>
      </c>
    </row>
    <row r="19" spans="1:27" ht="15.75" customHeight="1" x14ac:dyDescent="0.25">
      <c r="A19" s="245"/>
      <c r="B19" s="147" t="s">
        <v>246</v>
      </c>
      <c r="C19" s="147"/>
      <c r="D19" s="155">
        <v>316585</v>
      </c>
      <c r="E19" s="155">
        <v>285106.5</v>
      </c>
      <c r="F19" s="155">
        <v>316585</v>
      </c>
      <c r="G19" s="246">
        <f t="shared" si="6"/>
        <v>285106.5</v>
      </c>
      <c r="H19" s="124"/>
    </row>
    <row r="20" spans="1:27" ht="15.75" customHeight="1" x14ac:dyDescent="0.25">
      <c r="A20" s="245"/>
      <c r="B20" s="147" t="s">
        <v>245</v>
      </c>
      <c r="C20" s="147"/>
      <c r="D20" s="155">
        <v>170000.02000000002</v>
      </c>
      <c r="E20" s="156">
        <v>317545</v>
      </c>
      <c r="F20" s="155">
        <v>170000</v>
      </c>
      <c r="G20" s="246">
        <f t="shared" si="6"/>
        <v>317545.02</v>
      </c>
      <c r="H20" s="124"/>
    </row>
    <row r="21" spans="1:27" ht="15.75" customHeight="1" x14ac:dyDescent="0.25">
      <c r="A21" s="226" t="s">
        <v>73</v>
      </c>
      <c r="B21" s="134" t="s">
        <v>74</v>
      </c>
      <c r="C21" s="158">
        <f t="shared" ref="C21:F21" si="7">C6+C9+C14</f>
        <v>0</v>
      </c>
      <c r="D21" s="158">
        <f t="shared" si="7"/>
        <v>459259261.16381943</v>
      </c>
      <c r="E21" s="158">
        <f t="shared" si="7"/>
        <v>690009163.72829962</v>
      </c>
      <c r="F21" s="158">
        <f t="shared" si="7"/>
        <v>746620374.03535843</v>
      </c>
      <c r="G21" s="249">
        <f>G6+G9+G14</f>
        <v>402648050.8567605</v>
      </c>
      <c r="H21" s="124"/>
    </row>
    <row r="22" spans="1:27" ht="15" customHeight="1" x14ac:dyDescent="0.25">
      <c r="A22" s="226"/>
      <c r="B22" s="63" t="s">
        <v>75</v>
      </c>
      <c r="C22" s="61"/>
      <c r="D22" s="152">
        <v>0</v>
      </c>
      <c r="E22" s="26"/>
      <c r="F22" s="152"/>
      <c r="G22" s="246">
        <f t="shared" ref="G22:G32" si="8">D22+E22-F22</f>
        <v>0</v>
      </c>
      <c r="H22" s="124"/>
    </row>
    <row r="23" spans="1:27" ht="15.75" x14ac:dyDescent="0.25">
      <c r="A23" s="226"/>
      <c r="B23" s="97" t="s">
        <v>76</v>
      </c>
      <c r="C23" s="61"/>
      <c r="D23" s="26">
        <v>85799800</v>
      </c>
      <c r="E23" s="155"/>
      <c r="F23" s="155"/>
      <c r="G23" s="246">
        <f t="shared" si="8"/>
        <v>85799800</v>
      </c>
      <c r="H23" s="124"/>
      <c r="AA23" s="137"/>
    </row>
    <row r="24" spans="1:27" ht="15.75" x14ac:dyDescent="0.25">
      <c r="A24" s="226"/>
      <c r="B24" s="97" t="s">
        <v>77</v>
      </c>
      <c r="C24" s="61"/>
      <c r="D24" s="155">
        <v>136458077.56630898</v>
      </c>
      <c r="E24" s="155"/>
      <c r="F24" s="155"/>
      <c r="G24" s="246">
        <f t="shared" si="8"/>
        <v>136458077.56630898</v>
      </c>
      <c r="H24" s="124"/>
    </row>
    <row r="25" spans="1:27" ht="15.75" x14ac:dyDescent="0.25">
      <c r="A25" s="226"/>
      <c r="B25" s="97" t="s">
        <v>247</v>
      </c>
      <c r="C25" s="61"/>
      <c r="D25" s="155">
        <v>26057660</v>
      </c>
      <c r="E25" s="155"/>
      <c r="F25" s="155"/>
      <c r="G25" s="246">
        <f t="shared" si="8"/>
        <v>26057660</v>
      </c>
      <c r="H25" s="124"/>
    </row>
    <row r="26" spans="1:27" ht="31.5" x14ac:dyDescent="0.25">
      <c r="A26" s="226"/>
      <c r="B26" s="151" t="s">
        <v>78</v>
      </c>
      <c r="C26" s="61"/>
      <c r="D26" s="159">
        <v>-3293348.66</v>
      </c>
      <c r="E26" s="159">
        <v>-1138215.5270000002</v>
      </c>
      <c r="F26" s="159"/>
      <c r="G26" s="246">
        <f t="shared" si="8"/>
        <v>-4431564.1870000008</v>
      </c>
      <c r="H26" s="124"/>
    </row>
    <row r="27" spans="1:27" ht="15.75" x14ac:dyDescent="0.25">
      <c r="A27" s="226"/>
      <c r="B27" s="97" t="s">
        <v>79</v>
      </c>
      <c r="C27" s="61"/>
      <c r="D27" s="155">
        <v>0</v>
      </c>
      <c r="E27" s="155"/>
      <c r="F27" s="155"/>
      <c r="G27" s="246">
        <f t="shared" si="8"/>
        <v>0</v>
      </c>
      <c r="H27" s="124"/>
    </row>
    <row r="28" spans="1:27" ht="15.75" x14ac:dyDescent="0.25">
      <c r="A28" s="226"/>
      <c r="B28" s="97" t="s">
        <v>80</v>
      </c>
      <c r="C28" s="61"/>
      <c r="D28" s="26">
        <v>59470455.086999997</v>
      </c>
      <c r="E28" s="155">
        <v>8028304.0000000009</v>
      </c>
      <c r="F28" s="155"/>
      <c r="G28" s="246">
        <f t="shared" si="8"/>
        <v>67498759.086999997</v>
      </c>
      <c r="H28" s="124"/>
    </row>
    <row r="29" spans="1:27" ht="15.75" x14ac:dyDescent="0.25">
      <c r="A29" s="226"/>
      <c r="B29" s="97" t="s">
        <v>81</v>
      </c>
      <c r="C29" s="61"/>
      <c r="D29" s="26">
        <v>-26151575.977690671</v>
      </c>
      <c r="E29" s="155">
        <v>-3562278.7696090648</v>
      </c>
      <c r="F29" s="155"/>
      <c r="G29" s="246">
        <f t="shared" si="8"/>
        <v>-29713854.747299735</v>
      </c>
      <c r="H29" s="124"/>
    </row>
    <row r="30" spans="1:27" ht="15.75" x14ac:dyDescent="0.25">
      <c r="A30" s="226"/>
      <c r="B30" s="97" t="s">
        <v>82</v>
      </c>
      <c r="C30" s="61"/>
      <c r="D30" s="155">
        <v>0</v>
      </c>
      <c r="E30" s="155"/>
      <c r="F30" s="155"/>
      <c r="G30" s="246">
        <f t="shared" si="8"/>
        <v>0</v>
      </c>
      <c r="H30" s="124"/>
    </row>
    <row r="31" spans="1:27" ht="15.75" x14ac:dyDescent="0.25">
      <c r="A31" s="226"/>
      <c r="B31" s="97" t="s">
        <v>83</v>
      </c>
      <c r="C31" s="61"/>
      <c r="D31" s="155">
        <v>0</v>
      </c>
      <c r="E31" s="155"/>
      <c r="F31" s="155"/>
      <c r="G31" s="246">
        <f t="shared" si="8"/>
        <v>0</v>
      </c>
      <c r="H31" s="124"/>
    </row>
    <row r="32" spans="1:27" ht="15.75" x14ac:dyDescent="0.25">
      <c r="A32" s="226"/>
      <c r="B32" s="97" t="s">
        <v>84</v>
      </c>
      <c r="C32" s="61"/>
      <c r="D32" s="155">
        <v>0</v>
      </c>
      <c r="E32" s="155"/>
      <c r="F32" s="155"/>
      <c r="G32" s="246">
        <f t="shared" si="8"/>
        <v>0</v>
      </c>
      <c r="H32" s="124"/>
    </row>
    <row r="33" spans="1:11" ht="28.5" x14ac:dyDescent="0.25">
      <c r="A33" s="226" t="s">
        <v>85</v>
      </c>
      <c r="B33" s="135" t="s">
        <v>86</v>
      </c>
      <c r="C33" s="127"/>
      <c r="D33" s="160">
        <f t="shared" ref="D33:G33" si="9">SUM(D23:D32)</f>
        <v>278341068.01561826</v>
      </c>
      <c r="E33" s="160">
        <f t="shared" si="9"/>
        <v>3327809.7033909364</v>
      </c>
      <c r="F33" s="160">
        <f t="shared" si="9"/>
        <v>0</v>
      </c>
      <c r="G33" s="251">
        <f t="shared" si="9"/>
        <v>281668877.71900922</v>
      </c>
      <c r="H33" s="124"/>
    </row>
    <row r="34" spans="1:11" ht="15" thickBot="1" x14ac:dyDescent="0.3">
      <c r="A34" s="233"/>
      <c r="B34" s="252" t="s">
        <v>87</v>
      </c>
      <c r="C34" s="253"/>
      <c r="D34" s="254">
        <f t="shared" ref="D34:F34" si="10">D21+D33</f>
        <v>737600329.17943764</v>
      </c>
      <c r="E34" s="254">
        <f t="shared" si="10"/>
        <v>693336973.43169057</v>
      </c>
      <c r="F34" s="254">
        <f t="shared" si="10"/>
        <v>746620374.03535843</v>
      </c>
      <c r="G34" s="255">
        <f>G21+G33</f>
        <v>684316928.57576966</v>
      </c>
      <c r="H34" s="124"/>
    </row>
    <row r="36" spans="1:11" x14ac:dyDescent="0.25">
      <c r="B36" s="178"/>
      <c r="F36" s="463"/>
      <c r="G36" s="463"/>
      <c r="H36" s="124"/>
    </row>
    <row r="37" spans="1:11" ht="15" thickBot="1" x14ac:dyDescent="0.3">
      <c r="H37" s="124"/>
    </row>
    <row r="38" spans="1:11" ht="28.5" customHeight="1" x14ac:dyDescent="0.25">
      <c r="A38" s="219" t="s">
        <v>56</v>
      </c>
      <c r="B38" s="220" t="s">
        <v>89</v>
      </c>
      <c r="C38" s="221" t="s">
        <v>58</v>
      </c>
      <c r="D38" s="222" t="s">
        <v>133</v>
      </c>
      <c r="E38" s="222" t="s">
        <v>280</v>
      </c>
      <c r="F38" s="222" t="s">
        <v>281</v>
      </c>
      <c r="G38" s="223" t="s">
        <v>282</v>
      </c>
    </row>
    <row r="39" spans="1:11" x14ac:dyDescent="0.25">
      <c r="A39" s="224"/>
      <c r="B39" s="132" t="s">
        <v>90</v>
      </c>
      <c r="C39" s="127"/>
      <c r="D39" s="128"/>
      <c r="E39" s="128"/>
      <c r="F39" s="128"/>
      <c r="G39" s="225"/>
      <c r="H39" s="124"/>
    </row>
    <row r="40" spans="1:11" x14ac:dyDescent="0.25">
      <c r="A40" s="226"/>
      <c r="B40" s="129" t="s">
        <v>91</v>
      </c>
      <c r="C40" s="127"/>
      <c r="D40" s="130"/>
      <c r="E40" s="130"/>
      <c r="F40" s="130"/>
      <c r="G40" s="227"/>
      <c r="H40" s="124"/>
    </row>
    <row r="41" spans="1:11" x14ac:dyDescent="0.25">
      <c r="A41" s="226"/>
      <c r="B41" s="129" t="s">
        <v>92</v>
      </c>
      <c r="C41" s="127"/>
      <c r="D41" s="128">
        <f t="shared" ref="D41:F41" si="11">SUM(D42:D44)</f>
        <v>32937125.890000045</v>
      </c>
      <c r="E41" s="128">
        <f t="shared" si="11"/>
        <v>462432966.91999996</v>
      </c>
      <c r="F41" s="128">
        <f t="shared" si="11"/>
        <v>462495841.02999991</v>
      </c>
      <c r="G41" s="225">
        <f>SUM(G42:G44)</f>
        <v>33000000</v>
      </c>
      <c r="H41" s="124"/>
      <c r="J41" s="137"/>
      <c r="K41" s="137"/>
    </row>
    <row r="42" spans="1:11" x14ac:dyDescent="0.25">
      <c r="A42" s="226"/>
      <c r="B42" s="149" t="s">
        <v>273</v>
      </c>
      <c r="C42" s="127"/>
      <c r="D42" s="136">
        <v>32937125.890000045</v>
      </c>
      <c r="E42" s="131">
        <v>462432966.91999996</v>
      </c>
      <c r="F42" s="131">
        <v>462495841.02999991</v>
      </c>
      <c r="G42" s="228">
        <f t="shared" ref="G42:G44" si="12">D42-E42+F42</f>
        <v>33000000</v>
      </c>
      <c r="H42" s="124"/>
    </row>
    <row r="43" spans="1:11" x14ac:dyDescent="0.25">
      <c r="A43" s="226"/>
      <c r="B43" s="149" t="s">
        <v>93</v>
      </c>
      <c r="C43" s="127"/>
      <c r="D43" s="130">
        <v>0</v>
      </c>
      <c r="E43" s="131"/>
      <c r="F43" s="131"/>
      <c r="G43" s="228">
        <f t="shared" si="12"/>
        <v>0</v>
      </c>
      <c r="H43" s="124"/>
      <c r="J43" s="177">
        <f>G42-33000000</f>
        <v>0</v>
      </c>
    </row>
    <row r="44" spans="1:11" x14ac:dyDescent="0.25">
      <c r="A44" s="226"/>
      <c r="B44" s="149" t="s">
        <v>94</v>
      </c>
      <c r="C44" s="127"/>
      <c r="D44" s="130">
        <v>0</v>
      </c>
      <c r="E44" s="131"/>
      <c r="F44" s="131"/>
      <c r="G44" s="228">
        <f t="shared" si="12"/>
        <v>0</v>
      </c>
      <c r="H44" s="124"/>
    </row>
    <row r="45" spans="1:11" x14ac:dyDescent="0.25">
      <c r="A45" s="226"/>
      <c r="B45" s="135" t="s">
        <v>95</v>
      </c>
      <c r="C45" s="127"/>
      <c r="D45" s="128">
        <f t="shared" ref="D45:F45" si="13">SUM(D46:D55)</f>
        <v>115514054.97565573</v>
      </c>
      <c r="E45" s="128">
        <f t="shared" si="13"/>
        <v>323407991.11434913</v>
      </c>
      <c r="F45" s="128">
        <f t="shared" si="13"/>
        <v>295615538.30405331</v>
      </c>
      <c r="G45" s="225">
        <f>SUM(G46:G55)</f>
        <v>87721602.165359944</v>
      </c>
      <c r="H45" s="124"/>
    </row>
    <row r="46" spans="1:11" x14ac:dyDescent="0.25">
      <c r="A46" s="226"/>
      <c r="B46" s="149" t="s">
        <v>96</v>
      </c>
      <c r="C46" s="127"/>
      <c r="D46" s="136">
        <v>98602062.365359962</v>
      </c>
      <c r="E46" s="130">
        <v>243590939.5</v>
      </c>
      <c r="F46" s="130">
        <v>228166096.80000001</v>
      </c>
      <c r="G46" s="228">
        <f>D46-E46+F46</f>
        <v>83177219.665359974</v>
      </c>
      <c r="H46" s="124"/>
    </row>
    <row r="47" spans="1:11" x14ac:dyDescent="0.25">
      <c r="A47" s="226"/>
      <c r="B47" s="149" t="s">
        <v>97</v>
      </c>
      <c r="C47" s="127"/>
      <c r="D47" s="136">
        <v>2401201.9999999814</v>
      </c>
      <c r="E47" s="130">
        <v>25036097.499999981</v>
      </c>
      <c r="F47" s="130">
        <v>24081768</v>
      </c>
      <c r="G47" s="228">
        <f t="shared" ref="G47:G52" si="14">D47-E47+F47</f>
        <v>1446872.5</v>
      </c>
      <c r="H47" s="124"/>
    </row>
    <row r="48" spans="1:11" x14ac:dyDescent="0.25">
      <c r="A48" s="226"/>
      <c r="B48" s="149" t="s">
        <v>98</v>
      </c>
      <c r="C48" s="127"/>
      <c r="D48" s="136">
        <v>546816</v>
      </c>
      <c r="E48" s="130">
        <v>6621988</v>
      </c>
      <c r="F48" s="130">
        <v>6718825</v>
      </c>
      <c r="G48" s="228">
        <f t="shared" si="14"/>
        <v>643653</v>
      </c>
      <c r="H48" s="124"/>
    </row>
    <row r="49" spans="1:8" x14ac:dyDescent="0.25">
      <c r="A49" s="226"/>
      <c r="B49" s="149" t="s">
        <v>99</v>
      </c>
      <c r="C49" s="127"/>
      <c r="D49" s="138">
        <v>26650</v>
      </c>
      <c r="E49" s="130">
        <v>368550</v>
      </c>
      <c r="F49" s="130">
        <v>373100</v>
      </c>
      <c r="G49" s="228">
        <f t="shared" si="14"/>
        <v>31200</v>
      </c>
      <c r="H49" s="124"/>
    </row>
    <row r="50" spans="1:8" x14ac:dyDescent="0.25">
      <c r="A50" s="226"/>
      <c r="B50" s="149" t="s">
        <v>100</v>
      </c>
      <c r="C50" s="127"/>
      <c r="D50" s="130">
        <v>1619197.7543491255</v>
      </c>
      <c r="E50" s="130">
        <v>1619197.7543491255</v>
      </c>
      <c r="F50" s="130"/>
      <c r="G50" s="228">
        <f t="shared" si="14"/>
        <v>0</v>
      </c>
      <c r="H50" s="124"/>
    </row>
    <row r="51" spans="1:8" x14ac:dyDescent="0.25">
      <c r="A51" s="226"/>
      <c r="B51" s="149" t="s">
        <v>101</v>
      </c>
      <c r="C51" s="127"/>
      <c r="D51" s="138">
        <v>12318126.85594666</v>
      </c>
      <c r="E51" s="130">
        <v>46171218.359999999</v>
      </c>
      <c r="F51" s="130">
        <v>36275748.504053302</v>
      </c>
      <c r="G51" s="228">
        <f t="shared" si="14"/>
        <v>2422656.9999999627</v>
      </c>
      <c r="H51" s="124"/>
    </row>
    <row r="52" spans="1:8" x14ac:dyDescent="0.25">
      <c r="A52" s="226"/>
      <c r="B52" s="149" t="s">
        <v>102</v>
      </c>
      <c r="C52" s="127"/>
      <c r="D52" s="130">
        <v>0</v>
      </c>
      <c r="E52" s="130"/>
      <c r="F52" s="130"/>
      <c r="G52" s="228">
        <f t="shared" si="14"/>
        <v>0</v>
      </c>
      <c r="H52" s="124"/>
    </row>
    <row r="53" spans="1:8" x14ac:dyDescent="0.25">
      <c r="A53" s="226"/>
      <c r="B53" s="149" t="s">
        <v>103</v>
      </c>
      <c r="C53" s="127"/>
      <c r="D53" s="130">
        <v>0</v>
      </c>
      <c r="E53" s="130"/>
      <c r="F53" s="130"/>
      <c r="G53" s="228">
        <f t="shared" ref="G53:G56" si="15">D53-E53+F53</f>
        <v>0</v>
      </c>
      <c r="H53" s="124"/>
    </row>
    <row r="54" spans="1:8" x14ac:dyDescent="0.25">
      <c r="A54" s="226"/>
      <c r="B54" s="149" t="s">
        <v>104</v>
      </c>
      <c r="C54" s="127"/>
      <c r="D54" s="130">
        <v>0</v>
      </c>
      <c r="E54" s="130"/>
      <c r="F54" s="130"/>
      <c r="G54" s="228">
        <f t="shared" si="15"/>
        <v>0</v>
      </c>
      <c r="H54" s="124"/>
    </row>
    <row r="55" spans="1:8" x14ac:dyDescent="0.25">
      <c r="A55" s="226"/>
      <c r="B55" s="149" t="s">
        <v>105</v>
      </c>
      <c r="C55" s="127"/>
      <c r="D55" s="136">
        <v>0</v>
      </c>
      <c r="E55" s="130"/>
      <c r="F55" s="130"/>
      <c r="G55" s="228">
        <f t="shared" si="15"/>
        <v>0</v>
      </c>
      <c r="H55" s="124"/>
    </row>
    <row r="56" spans="1:8" ht="28.5" x14ac:dyDescent="0.25">
      <c r="A56" s="226"/>
      <c r="B56" s="135" t="s">
        <v>106</v>
      </c>
      <c r="C56" s="139"/>
      <c r="D56" s="140">
        <v>0</v>
      </c>
      <c r="E56" s="140"/>
      <c r="F56" s="140"/>
      <c r="G56" s="228">
        <f t="shared" si="15"/>
        <v>0</v>
      </c>
      <c r="H56" s="124"/>
    </row>
    <row r="57" spans="1:8" x14ac:dyDescent="0.25">
      <c r="A57" s="226"/>
      <c r="B57" s="129" t="s">
        <v>107</v>
      </c>
      <c r="C57" s="139"/>
      <c r="D57" s="140"/>
      <c r="E57" s="140"/>
      <c r="F57" s="140"/>
      <c r="G57" s="229"/>
      <c r="H57" s="124"/>
    </row>
    <row r="58" spans="1:8" ht="28.5" x14ac:dyDescent="0.25">
      <c r="A58" s="224" t="s">
        <v>73</v>
      </c>
      <c r="B58" s="135" t="s">
        <v>108</v>
      </c>
      <c r="C58" s="139"/>
      <c r="D58" s="133">
        <f t="shared" ref="D58:F58" si="16">D40+D41+D45+D56+D57</f>
        <v>148451180.86565578</v>
      </c>
      <c r="E58" s="133">
        <f t="shared" si="16"/>
        <v>785840958.03434908</v>
      </c>
      <c r="F58" s="133">
        <f t="shared" si="16"/>
        <v>758111379.33405328</v>
      </c>
      <c r="G58" s="230">
        <f>G40+G41+G45+G56+G57</f>
        <v>120721602.16535994</v>
      </c>
      <c r="H58" s="124"/>
    </row>
    <row r="59" spans="1:8" x14ac:dyDescent="0.25">
      <c r="A59" s="224"/>
      <c r="B59" s="132" t="s">
        <v>109</v>
      </c>
      <c r="C59" s="139"/>
      <c r="D59" s="140"/>
      <c r="E59" s="140"/>
      <c r="F59" s="140"/>
      <c r="G59" s="229"/>
      <c r="H59" s="124"/>
    </row>
    <row r="60" spans="1:8" x14ac:dyDescent="0.25">
      <c r="A60" s="226"/>
      <c r="B60" s="129" t="s">
        <v>110</v>
      </c>
      <c r="C60" s="139"/>
      <c r="D60" s="128">
        <v>0</v>
      </c>
      <c r="E60" s="128">
        <v>0</v>
      </c>
      <c r="F60" s="128">
        <v>0</v>
      </c>
      <c r="G60" s="225">
        <v>0</v>
      </c>
      <c r="H60" s="124"/>
    </row>
    <row r="61" spans="1:8" ht="28.5" x14ac:dyDescent="0.25">
      <c r="A61" s="226"/>
      <c r="B61" s="150" t="s">
        <v>111</v>
      </c>
      <c r="C61" s="139"/>
      <c r="D61" s="130">
        <v>0</v>
      </c>
      <c r="E61" s="130"/>
      <c r="F61" s="130"/>
      <c r="G61" s="228">
        <f t="shared" ref="G61:G62" si="17">D61-E61+F61</f>
        <v>0</v>
      </c>
      <c r="H61" s="124"/>
    </row>
    <row r="62" spans="1:8" x14ac:dyDescent="0.25">
      <c r="A62" s="226"/>
      <c r="B62" s="149" t="s">
        <v>112</v>
      </c>
      <c r="C62" s="139"/>
      <c r="D62" s="130">
        <v>0</v>
      </c>
      <c r="E62" s="130"/>
      <c r="F62" s="130"/>
      <c r="G62" s="228">
        <f t="shared" si="17"/>
        <v>0</v>
      </c>
      <c r="H62" s="124"/>
    </row>
    <row r="63" spans="1:8" x14ac:dyDescent="0.25">
      <c r="A63" s="226"/>
      <c r="B63" s="127" t="s">
        <v>271</v>
      </c>
      <c r="C63" s="139"/>
      <c r="D63" s="141">
        <f t="shared" ref="D63:F63" si="18">SUM(D64:D66)</f>
        <v>82835259.569999993</v>
      </c>
      <c r="E63" s="141">
        <f t="shared" si="18"/>
        <v>47119970.23865059</v>
      </c>
      <c r="F63" s="141">
        <f t="shared" si="18"/>
        <v>4500000</v>
      </c>
      <c r="G63" s="231">
        <f>SUM(G64:G66)</f>
        <v>40215289.331349403</v>
      </c>
      <c r="H63" s="124"/>
    </row>
    <row r="64" spans="1:8" x14ac:dyDescent="0.25">
      <c r="A64" s="226"/>
      <c r="B64" s="127" t="s">
        <v>113</v>
      </c>
      <c r="C64" s="139"/>
      <c r="D64" s="136">
        <v>38448333.369999997</v>
      </c>
      <c r="E64" s="130">
        <v>9448333.2499999963</v>
      </c>
      <c r="F64" s="130"/>
      <c r="G64" s="228">
        <f t="shared" ref="G64:G68" si="19">D64-E64+F64</f>
        <v>29000000.120000001</v>
      </c>
      <c r="H64" s="124"/>
    </row>
    <row r="65" spans="1:9" x14ac:dyDescent="0.25">
      <c r="A65" s="226"/>
      <c r="B65" s="127" t="s">
        <v>114</v>
      </c>
      <c r="C65" s="139"/>
      <c r="D65" s="136">
        <v>44386926.200000003</v>
      </c>
      <c r="E65" s="130">
        <v>37671636.988650598</v>
      </c>
      <c r="F65" s="130">
        <v>4500000</v>
      </c>
      <c r="G65" s="228">
        <f>D65-E65+F65</f>
        <v>11215289.211349405</v>
      </c>
      <c r="H65" s="124"/>
      <c r="I65" s="177"/>
    </row>
    <row r="66" spans="1:9" x14ac:dyDescent="0.25">
      <c r="A66" s="226"/>
      <c r="B66" s="139" t="s">
        <v>115</v>
      </c>
      <c r="C66" s="139"/>
      <c r="D66" s="130">
        <v>0</v>
      </c>
      <c r="E66" s="130"/>
      <c r="F66" s="130"/>
      <c r="G66" s="228">
        <f t="shared" si="19"/>
        <v>0</v>
      </c>
      <c r="H66" s="124"/>
    </row>
    <row r="67" spans="1:9" ht="28.5" x14ac:dyDescent="0.25">
      <c r="A67" s="226"/>
      <c r="B67" s="135" t="s">
        <v>116</v>
      </c>
      <c r="C67" s="139"/>
      <c r="D67" s="140">
        <v>0</v>
      </c>
      <c r="E67" s="130"/>
      <c r="F67" s="130"/>
      <c r="G67" s="228">
        <f t="shared" si="19"/>
        <v>0</v>
      </c>
      <c r="H67" s="124"/>
    </row>
    <row r="68" spans="1:9" x14ac:dyDescent="0.25">
      <c r="A68" s="226"/>
      <c r="B68" s="129" t="s">
        <v>117</v>
      </c>
      <c r="C68" s="139"/>
      <c r="D68" s="140">
        <v>0</v>
      </c>
      <c r="E68" s="140"/>
      <c r="F68" s="140"/>
      <c r="G68" s="228">
        <f t="shared" si="19"/>
        <v>0</v>
      </c>
      <c r="H68" s="124"/>
    </row>
    <row r="69" spans="1:9" ht="28.5" x14ac:dyDescent="0.25">
      <c r="A69" s="224" t="s">
        <v>85</v>
      </c>
      <c r="B69" s="134" t="s">
        <v>118</v>
      </c>
      <c r="C69" s="142">
        <f t="shared" ref="C69:F69" si="20">C63+C60</f>
        <v>0</v>
      </c>
      <c r="D69" s="143">
        <f t="shared" si="20"/>
        <v>82835259.569999993</v>
      </c>
      <c r="E69" s="143">
        <f t="shared" si="20"/>
        <v>47119970.23865059</v>
      </c>
      <c r="F69" s="143">
        <f t="shared" si="20"/>
        <v>4500000</v>
      </c>
      <c r="G69" s="232">
        <f>G63+G60</f>
        <v>40215289.331349403</v>
      </c>
      <c r="H69" s="124"/>
    </row>
    <row r="70" spans="1:9" x14ac:dyDescent="0.25">
      <c r="A70" s="224" t="s">
        <v>119</v>
      </c>
      <c r="B70" s="132" t="s">
        <v>120</v>
      </c>
      <c r="C70" s="139"/>
      <c r="D70" s="143">
        <f t="shared" ref="D70:F70" si="21">D58+D69</f>
        <v>231286440.43565577</v>
      </c>
      <c r="E70" s="143">
        <f t="shared" si="21"/>
        <v>832960928.27299964</v>
      </c>
      <c r="F70" s="143">
        <f t="shared" si="21"/>
        <v>762611379.33405328</v>
      </c>
      <c r="G70" s="232">
        <f>G58+G69</f>
        <v>160936891.49670935</v>
      </c>
      <c r="H70" s="124"/>
    </row>
    <row r="71" spans="1:9" x14ac:dyDescent="0.25">
      <c r="A71" s="226"/>
      <c r="B71" s="129" t="s">
        <v>121</v>
      </c>
      <c r="C71" s="139"/>
      <c r="D71" s="143">
        <f t="shared" ref="D71:F71" si="22">SUM(D72:D74)</f>
        <v>237146000</v>
      </c>
      <c r="E71" s="143">
        <f t="shared" si="22"/>
        <v>0</v>
      </c>
      <c r="F71" s="143">
        <f t="shared" si="22"/>
        <v>0</v>
      </c>
      <c r="G71" s="232">
        <f>SUM(G72:G74)</f>
        <v>237146000</v>
      </c>
      <c r="H71" s="125"/>
    </row>
    <row r="72" spans="1:9" x14ac:dyDescent="0.25">
      <c r="A72" s="226"/>
      <c r="B72" s="127" t="s">
        <v>122</v>
      </c>
      <c r="C72" s="139"/>
      <c r="D72" s="136">
        <v>237146000</v>
      </c>
      <c r="E72" s="136"/>
      <c r="F72" s="136"/>
      <c r="G72" s="228">
        <f t="shared" ref="G72:G74" si="23">D72-E72+F72</f>
        <v>237146000</v>
      </c>
      <c r="H72" s="125"/>
    </row>
    <row r="73" spans="1:9" x14ac:dyDescent="0.25">
      <c r="A73" s="226"/>
      <c r="B73" s="127" t="s">
        <v>123</v>
      </c>
      <c r="C73" s="139"/>
      <c r="D73" s="140">
        <v>0</v>
      </c>
      <c r="E73" s="140"/>
      <c r="F73" s="140"/>
      <c r="G73" s="228">
        <f t="shared" si="23"/>
        <v>0</v>
      </c>
      <c r="H73" s="125"/>
    </row>
    <row r="74" spans="1:9" x14ac:dyDescent="0.25">
      <c r="A74" s="226"/>
      <c r="B74" s="127" t="s">
        <v>124</v>
      </c>
      <c r="C74" s="139"/>
      <c r="D74" s="140">
        <v>0</v>
      </c>
      <c r="E74" s="140"/>
      <c r="F74" s="140"/>
      <c r="G74" s="228">
        <f t="shared" si="23"/>
        <v>0</v>
      </c>
      <c r="H74" s="125"/>
    </row>
    <row r="75" spans="1:9" ht="28.5" x14ac:dyDescent="0.25">
      <c r="A75" s="226"/>
      <c r="B75" s="135" t="s">
        <v>269</v>
      </c>
      <c r="C75" s="142">
        <f>SUM(C76:C80)</f>
        <v>0</v>
      </c>
      <c r="D75" s="143">
        <f>SUM(D76:D80)</f>
        <v>269167888.45138794</v>
      </c>
      <c r="E75" s="143">
        <f t="shared" ref="E75:G75" si="24">SUM(E76:E80)</f>
        <v>78965014.225936875</v>
      </c>
      <c r="F75" s="143">
        <f t="shared" si="24"/>
        <v>96031162.518969163</v>
      </c>
      <c r="G75" s="232">
        <f t="shared" si="24"/>
        <v>286234036.74442023</v>
      </c>
      <c r="H75" s="125"/>
    </row>
    <row r="76" spans="1:9" x14ac:dyDescent="0.25">
      <c r="A76" s="226"/>
      <c r="B76" s="127" t="s">
        <v>125</v>
      </c>
      <c r="C76" s="139"/>
      <c r="D76" s="140">
        <v>0</v>
      </c>
      <c r="E76" s="130"/>
      <c r="F76" s="130"/>
      <c r="G76" s="228">
        <f t="shared" ref="G76:G78" si="25">D76-E76+F76</f>
        <v>0</v>
      </c>
      <c r="H76" s="125"/>
    </row>
    <row r="77" spans="1:9" x14ac:dyDescent="0.25">
      <c r="A77" s="226"/>
      <c r="B77" s="127" t="s">
        <v>126</v>
      </c>
      <c r="C77" s="139"/>
      <c r="D77" s="130">
        <v>18806332.876272555</v>
      </c>
      <c r="E77" s="130"/>
      <c r="F77" s="144">
        <v>3698250.7112968438</v>
      </c>
      <c r="G77" s="228">
        <f t="shared" si="25"/>
        <v>22504583.587569401</v>
      </c>
      <c r="H77" s="125"/>
    </row>
    <row r="78" spans="1:9" x14ac:dyDescent="0.25">
      <c r="A78" s="226"/>
      <c r="B78" s="127" t="s">
        <v>127</v>
      </c>
      <c r="C78" s="139"/>
      <c r="D78" s="140">
        <v>0</v>
      </c>
      <c r="E78" s="130"/>
      <c r="F78" s="130"/>
      <c r="G78" s="228">
        <f t="shared" si="25"/>
        <v>0</v>
      </c>
      <c r="H78" s="125"/>
    </row>
    <row r="79" spans="1:9" x14ac:dyDescent="0.25">
      <c r="A79" s="226"/>
      <c r="B79" s="127" t="s">
        <v>128</v>
      </c>
      <c r="C79" s="139"/>
      <c r="D79" s="130">
        <v>176396541.34917849</v>
      </c>
      <c r="E79" s="130">
        <v>5000000</v>
      </c>
      <c r="F79" s="144">
        <v>70266763.514640033</v>
      </c>
      <c r="G79" s="228">
        <f>D79-E79+F79</f>
        <v>241663304.86381853</v>
      </c>
      <c r="H79" s="125"/>
      <c r="I79" s="123"/>
    </row>
    <row r="80" spans="1:9" x14ac:dyDescent="0.25">
      <c r="A80" s="226"/>
      <c r="B80" s="129" t="s">
        <v>129</v>
      </c>
      <c r="C80" s="139"/>
      <c r="D80" s="130">
        <v>73965014.225936875</v>
      </c>
      <c r="E80" s="130">
        <v>73965014.225936875</v>
      </c>
      <c r="F80" s="130">
        <v>22066148.293032285</v>
      </c>
      <c r="G80" s="228">
        <f>D80-E80+F80</f>
        <v>22066148.293032285</v>
      </c>
      <c r="H80" s="125"/>
    </row>
    <row r="81" spans="1:24" x14ac:dyDescent="0.25">
      <c r="A81" s="226" t="s">
        <v>130</v>
      </c>
      <c r="B81" s="134" t="s">
        <v>270</v>
      </c>
      <c r="C81" s="139"/>
      <c r="D81" s="128">
        <f>D71+D75</f>
        <v>506313888.45138794</v>
      </c>
      <c r="E81" s="128">
        <f>E71+E75</f>
        <v>78965014.225936875</v>
      </c>
      <c r="F81" s="128">
        <f>F71+F75</f>
        <v>96031162.518969163</v>
      </c>
      <c r="G81" s="225">
        <f>G71+G75</f>
        <v>523380036.74442023</v>
      </c>
      <c r="H81" s="125"/>
    </row>
    <row r="82" spans="1:24" ht="29.25" thickBot="1" x14ac:dyDescent="0.3">
      <c r="A82" s="233" t="s">
        <v>131</v>
      </c>
      <c r="B82" s="234" t="s">
        <v>132</v>
      </c>
      <c r="C82" s="235"/>
      <c r="D82" s="236">
        <f>D70+D81</f>
        <v>737600328.88704371</v>
      </c>
      <c r="E82" s="236">
        <f>E70+E81</f>
        <v>911925942.49893653</v>
      </c>
      <c r="F82" s="236">
        <f>F70+F81</f>
        <v>858642541.85302246</v>
      </c>
      <c r="G82" s="237">
        <f>G70+G81</f>
        <v>684316928.24112964</v>
      </c>
      <c r="H82" s="124"/>
    </row>
    <row r="83" spans="1:24" x14ac:dyDescent="0.25">
      <c r="H83" s="124"/>
    </row>
    <row r="84" spans="1:24" x14ac:dyDescent="0.25">
      <c r="E84" s="145"/>
      <c r="F84" s="463" t="s">
        <v>88</v>
      </c>
      <c r="G84" s="463"/>
      <c r="H84" s="145"/>
      <c r="X84" s="177"/>
    </row>
    <row r="85" spans="1:24" x14ac:dyDescent="0.25">
      <c r="F85" s="463" t="s">
        <v>18</v>
      </c>
      <c r="G85" s="463"/>
      <c r="H85" s="124"/>
    </row>
    <row r="86" spans="1:24" x14ac:dyDescent="0.25">
      <c r="H86" s="124"/>
    </row>
    <row r="87" spans="1:24" x14ac:dyDescent="0.25">
      <c r="H87" s="124"/>
    </row>
    <row r="88" spans="1:24" x14ac:dyDescent="0.25">
      <c r="H88" s="124"/>
    </row>
    <row r="89" spans="1:24" x14ac:dyDescent="0.25">
      <c r="H89" s="124"/>
    </row>
    <row r="90" spans="1:24" x14ac:dyDescent="0.25">
      <c r="H90" s="124"/>
    </row>
    <row r="91" spans="1:24" x14ac:dyDescent="0.25">
      <c r="H91" s="124"/>
    </row>
    <row r="92" spans="1:24" x14ac:dyDescent="0.25">
      <c r="H92" s="124"/>
    </row>
    <row r="93" spans="1:24" x14ac:dyDescent="0.25">
      <c r="H93" s="124"/>
    </row>
    <row r="94" spans="1:24" x14ac:dyDescent="0.25">
      <c r="A94" s="218"/>
      <c r="H94" s="124"/>
    </row>
    <row r="95" spans="1:24" x14ac:dyDescent="0.25">
      <c r="D95" s="122"/>
      <c r="E95" s="122"/>
      <c r="F95" s="122"/>
      <c r="G95" s="122"/>
      <c r="H95" s="124"/>
    </row>
  </sheetData>
  <mergeCells count="4">
    <mergeCell ref="F84:G84"/>
    <mergeCell ref="F85:G85"/>
    <mergeCell ref="A2:G2"/>
    <mergeCell ref="F36:G36"/>
  </mergeCells>
  <printOptions horizontalCentered="1"/>
  <pageMargins left="0.3" right="0.3" top="0.4" bottom="0.4" header="0.3" footer="0.3"/>
  <pageSetup scale="90" orientation="portrait" r:id="rId1"/>
  <rowBreaks count="1" manualBreakCount="1">
    <brk id="35" max="6" man="1"/>
  </rowBreaks>
  <ignoredErrors>
    <ignoredError sqref="G9 G21 G45 G63 G14 G75" formula="1"/>
    <ignoredError sqref="D45 D3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03"/>
  <sheetViews>
    <sheetView view="pageBreakPreview" zoomScaleNormal="100" zoomScaleSheetLayoutView="100" workbookViewId="0">
      <selection activeCell="C19" sqref="C19"/>
    </sheetView>
  </sheetViews>
  <sheetFormatPr defaultRowHeight="15.75" x14ac:dyDescent="0.25"/>
  <cols>
    <col min="1" max="1" width="58.85546875" style="176" customWidth="1"/>
    <col min="2" max="2" width="13.85546875" style="196" customWidth="1"/>
    <col min="3" max="3" width="17.140625" style="196" customWidth="1"/>
    <col min="4" max="4" width="3.140625" style="196" customWidth="1"/>
    <col min="5" max="5" width="7.85546875" style="176" hidden="1" customWidth="1"/>
    <col min="6" max="6" width="8.140625" style="176" hidden="1" customWidth="1"/>
    <col min="7" max="7" width="7.140625" style="176" hidden="1" customWidth="1"/>
    <col min="8" max="8" width="0" style="176" hidden="1" customWidth="1"/>
    <col min="9" max="9" width="10.28515625" style="176" bestFit="1" customWidth="1"/>
    <col min="10" max="10" width="12.85546875" style="176" bestFit="1" customWidth="1"/>
    <col min="11" max="11" width="10.28515625" style="176" bestFit="1" customWidth="1"/>
    <col min="12" max="12" width="9.85546875" style="176" bestFit="1" customWidth="1"/>
    <col min="13" max="16384" width="9.140625" style="176"/>
  </cols>
  <sheetData>
    <row r="1" spans="1:11" x14ac:dyDescent="0.25">
      <c r="A1" s="464" t="s">
        <v>381</v>
      </c>
      <c r="B1" s="464"/>
      <c r="C1" s="464"/>
      <c r="D1" s="194"/>
    </row>
    <row r="2" spans="1:11" x14ac:dyDescent="0.25">
      <c r="A2" s="190"/>
      <c r="B2" s="195"/>
      <c r="D2" s="194"/>
    </row>
    <row r="3" spans="1:11" x14ac:dyDescent="0.25">
      <c r="A3" s="187" t="s">
        <v>205</v>
      </c>
      <c r="B3" s="171">
        <v>2018</v>
      </c>
      <c r="C3" s="171">
        <v>2017</v>
      </c>
      <c r="D3" s="194"/>
      <c r="E3" s="171">
        <v>2018</v>
      </c>
      <c r="F3" s="171">
        <v>2017</v>
      </c>
      <c r="G3" s="1" t="s">
        <v>383</v>
      </c>
    </row>
    <row r="4" spans="1:11" x14ac:dyDescent="0.25">
      <c r="A4" s="166" t="s">
        <v>374</v>
      </c>
      <c r="B4" s="196">
        <v>281834449</v>
      </c>
      <c r="C4" s="196">
        <v>437602005</v>
      </c>
      <c r="D4" s="194"/>
      <c r="E4" s="1"/>
      <c r="F4" s="1"/>
      <c r="G4" s="1"/>
      <c r="I4" s="197">
        <f>B4</f>
        <v>281834449</v>
      </c>
      <c r="K4" s="197">
        <f>C4</f>
        <v>437602005</v>
      </c>
    </row>
    <row r="5" spans="1:11" x14ac:dyDescent="0.25">
      <c r="A5" s="166" t="s">
        <v>375</v>
      </c>
      <c r="B5" s="3"/>
      <c r="C5" s="3"/>
      <c r="D5" s="194"/>
      <c r="E5" s="1"/>
      <c r="F5" s="1"/>
      <c r="G5" s="1"/>
    </row>
    <row r="6" spans="1:11" x14ac:dyDescent="0.25">
      <c r="A6" s="166" t="s">
        <v>376</v>
      </c>
      <c r="B6" s="3">
        <v>3309581</v>
      </c>
      <c r="C6" s="3">
        <v>3384000</v>
      </c>
      <c r="D6" s="194"/>
      <c r="E6" s="1"/>
      <c r="F6" s="1"/>
      <c r="G6" s="1"/>
      <c r="I6" s="197">
        <f>B6</f>
        <v>3309581</v>
      </c>
      <c r="K6" s="197">
        <f>C6</f>
        <v>3384000</v>
      </c>
    </row>
    <row r="7" spans="1:11" x14ac:dyDescent="0.25">
      <c r="A7" s="187" t="s">
        <v>373</v>
      </c>
      <c r="B7" s="17">
        <f>SUM(B4:B6)</f>
        <v>285144030</v>
      </c>
      <c r="C7" s="17">
        <f>SUM(C4:C6)</f>
        <v>440986005</v>
      </c>
      <c r="D7" s="194"/>
      <c r="E7" s="1"/>
      <c r="F7" s="1"/>
      <c r="G7" s="1"/>
    </row>
    <row r="8" spans="1:11" ht="31.5" x14ac:dyDescent="0.25">
      <c r="A8" s="188" t="s">
        <v>382</v>
      </c>
      <c r="B8" s="197">
        <v>217871004.30000001</v>
      </c>
      <c r="C8" s="197">
        <v>317235740.17666662</v>
      </c>
      <c r="D8" s="194"/>
      <c r="E8" s="198">
        <f>B8/$B$7</f>
        <v>0.76407352557933617</v>
      </c>
      <c r="F8" s="198">
        <f>C8/$C$7</f>
        <v>0.71937824915025728</v>
      </c>
      <c r="G8" s="199">
        <f>E8-F8</f>
        <v>4.469527642907889E-2</v>
      </c>
    </row>
    <row r="9" spans="1:11" x14ac:dyDescent="0.25">
      <c r="A9" s="200" t="s">
        <v>207</v>
      </c>
      <c r="B9" s="186">
        <f>B7-B8</f>
        <v>67273025.699999988</v>
      </c>
      <c r="C9" s="186">
        <f>C7-C8</f>
        <v>123750264.82333338</v>
      </c>
      <c r="D9" s="194"/>
      <c r="E9" s="201">
        <f t="shared" ref="E9:E19" si="0">B9/$B$7</f>
        <v>0.23592647442066378</v>
      </c>
      <c r="F9" s="201">
        <f t="shared" ref="F9:F19" si="1">C9/$C$7</f>
        <v>0.28062175084974267</v>
      </c>
      <c r="G9" s="202">
        <f>E9-F9</f>
        <v>-4.469527642907889E-2</v>
      </c>
    </row>
    <row r="10" spans="1:11" x14ac:dyDescent="0.25">
      <c r="A10" s="176" t="s">
        <v>370</v>
      </c>
      <c r="B10" s="3">
        <v>28103423.074999999</v>
      </c>
      <c r="C10" s="3">
        <v>26684190.210000001</v>
      </c>
      <c r="D10" s="194"/>
      <c r="E10" s="198">
        <f t="shared" si="0"/>
        <v>9.8558693566195302E-2</v>
      </c>
      <c r="F10" s="198">
        <f t="shared" si="1"/>
        <v>6.0510288098598507E-2</v>
      </c>
      <c r="G10" s="199">
        <f t="shared" ref="G10:G19" si="2">E10-F10</f>
        <v>3.8048405467596795E-2</v>
      </c>
      <c r="I10" s="197">
        <f>B10</f>
        <v>28103423.074999999</v>
      </c>
      <c r="K10" s="197">
        <f>C10</f>
        <v>26684190.210000001</v>
      </c>
    </row>
    <row r="11" spans="1:11" x14ac:dyDescent="0.25">
      <c r="A11" s="166" t="s">
        <v>369</v>
      </c>
      <c r="B11" s="3">
        <v>4700494.2966090646</v>
      </c>
      <c r="C11" s="3">
        <v>4624735.2922134986</v>
      </c>
      <c r="D11" s="194"/>
      <c r="E11" s="198">
        <f t="shared" si="0"/>
        <v>1.6484631631982841E-2</v>
      </c>
      <c r="F11" s="198">
        <f t="shared" si="1"/>
        <v>1.0487260910271967E-2</v>
      </c>
      <c r="G11" s="199">
        <f t="shared" si="2"/>
        <v>5.9973707217108735E-3</v>
      </c>
    </row>
    <row r="12" spans="1:11" x14ac:dyDescent="0.25">
      <c r="A12" s="34" t="s">
        <v>367</v>
      </c>
      <c r="B12" s="3">
        <v>4575983</v>
      </c>
      <c r="C12" s="3">
        <v>2837588.6500000004</v>
      </c>
      <c r="D12" s="194"/>
      <c r="E12" s="198">
        <f t="shared" si="0"/>
        <v>1.6047970564209254E-2</v>
      </c>
      <c r="F12" s="198">
        <f t="shared" si="1"/>
        <v>6.4346455847277976E-3</v>
      </c>
      <c r="G12" s="199">
        <f t="shared" si="2"/>
        <v>9.6133249794814572E-3</v>
      </c>
      <c r="I12" s="197">
        <f>B8+B11</f>
        <v>222571498.59660909</v>
      </c>
      <c r="J12" s="197"/>
      <c r="K12" s="197">
        <f>C8+C11</f>
        <v>321860475.46888012</v>
      </c>
    </row>
    <row r="13" spans="1:11" x14ac:dyDescent="0.25">
      <c r="A13" s="34" t="s">
        <v>368</v>
      </c>
      <c r="B13" s="3">
        <v>2068275.7440000002</v>
      </c>
      <c r="C13" s="3">
        <v>1339629.2296929909</v>
      </c>
      <c r="D13" s="194"/>
      <c r="E13" s="198">
        <f t="shared" si="0"/>
        <v>7.2534422130458081E-3</v>
      </c>
      <c r="F13" s="198">
        <f t="shared" si="1"/>
        <v>3.0378044076319177E-3</v>
      </c>
      <c r="G13" s="199">
        <f t="shared" si="2"/>
        <v>4.2156378054138905E-3</v>
      </c>
    </row>
    <row r="14" spans="1:11" ht="31.5" x14ac:dyDescent="0.25">
      <c r="A14" s="203" t="s">
        <v>372</v>
      </c>
      <c r="B14" s="186">
        <f>SUM(B10:B13)</f>
        <v>39448176.115609065</v>
      </c>
      <c r="C14" s="186">
        <f>SUM(C10:C13)</f>
        <v>35486143.381906487</v>
      </c>
      <c r="D14" s="194"/>
      <c r="E14" s="201">
        <f t="shared" si="0"/>
        <v>0.1383447379754332</v>
      </c>
      <c r="F14" s="201">
        <f t="shared" si="1"/>
        <v>8.0469999001230183E-2</v>
      </c>
      <c r="G14" s="202">
        <f t="shared" si="2"/>
        <v>5.7874738974203019E-2</v>
      </c>
    </row>
    <row r="15" spans="1:11" x14ac:dyDescent="0.25">
      <c r="A15" s="204" t="s">
        <v>377</v>
      </c>
      <c r="B15" s="186">
        <f>B9-B14</f>
        <v>27824849.584390923</v>
      </c>
      <c r="C15" s="186">
        <f>C9-C14</f>
        <v>88264121.441426903</v>
      </c>
      <c r="D15" s="194"/>
      <c r="E15" s="201">
        <f t="shared" si="0"/>
        <v>9.7581736445230591E-2</v>
      </c>
      <c r="F15" s="201">
        <f t="shared" si="1"/>
        <v>0.20015175184851253</v>
      </c>
      <c r="G15" s="202">
        <f t="shared" si="2"/>
        <v>-0.10257001540328194</v>
      </c>
    </row>
    <row r="16" spans="1:11" x14ac:dyDescent="0.25">
      <c r="A16" s="176" t="s">
        <v>371</v>
      </c>
      <c r="B16" s="197">
        <v>1864675.122</v>
      </c>
      <c r="C16" s="197">
        <v>1246457.6462070199</v>
      </c>
      <c r="D16" s="194"/>
      <c r="E16" s="198">
        <f t="shared" si="0"/>
        <v>6.5394149125268374E-3</v>
      </c>
      <c r="F16" s="198">
        <f t="shared" si="1"/>
        <v>2.8265242707804748E-3</v>
      </c>
      <c r="G16" s="199">
        <f t="shared" si="2"/>
        <v>3.7128906417463626E-3</v>
      </c>
      <c r="I16" s="197">
        <f>B12+B13+B16</f>
        <v>8508933.8660000004</v>
      </c>
      <c r="K16" s="197">
        <f>C12+C13+C16</f>
        <v>5423675.525900011</v>
      </c>
    </row>
    <row r="17" spans="1:12" x14ac:dyDescent="0.25">
      <c r="A17" s="187" t="s">
        <v>378</v>
      </c>
      <c r="B17" s="17">
        <f>B15-B52-B53</f>
        <v>25960174.462390922</v>
      </c>
      <c r="C17" s="17">
        <f>C15-C52-C53</f>
        <v>87017663.795219883</v>
      </c>
      <c r="D17" s="194"/>
      <c r="E17" s="201">
        <f t="shared" si="0"/>
        <v>9.1042321532703738E-2</v>
      </c>
      <c r="F17" s="201">
        <f t="shared" si="1"/>
        <v>0.19732522757773205</v>
      </c>
      <c r="G17" s="202">
        <f t="shared" si="2"/>
        <v>-0.10628290604502831</v>
      </c>
    </row>
    <row r="18" spans="1:12" x14ac:dyDescent="0.25">
      <c r="A18" s="187" t="s">
        <v>379</v>
      </c>
      <c r="B18" s="17">
        <f>B17*0.15</f>
        <v>3894026.1693586381</v>
      </c>
      <c r="C18" s="17">
        <f>C17*0.15</f>
        <v>13052649.569282982</v>
      </c>
      <c r="D18" s="194"/>
      <c r="E18" s="198">
        <f t="shared" si="0"/>
        <v>1.365634822990556E-2</v>
      </c>
      <c r="F18" s="198">
        <f t="shared" si="1"/>
        <v>2.9598784136659808E-2</v>
      </c>
      <c r="G18" s="199">
        <f t="shared" si="2"/>
        <v>-1.5942435906754246E-2</v>
      </c>
    </row>
    <row r="19" spans="1:12" x14ac:dyDescent="0.25">
      <c r="A19" s="187" t="s">
        <v>380</v>
      </c>
      <c r="B19" s="17">
        <f>B17-B18</f>
        <v>22066148.293032285</v>
      </c>
      <c r="C19" s="17">
        <f>C17-C18</f>
        <v>73965014.225936905</v>
      </c>
      <c r="D19" s="194"/>
      <c r="E19" s="198">
        <f t="shared" si="0"/>
        <v>7.7385973302798186E-2</v>
      </c>
      <c r="F19" s="198">
        <f t="shared" si="1"/>
        <v>0.16772644344107224</v>
      </c>
      <c r="G19" s="199">
        <f t="shared" si="2"/>
        <v>-9.0340470138274051E-2</v>
      </c>
    </row>
    <row r="20" spans="1:12" x14ac:dyDescent="0.25">
      <c r="B20" s="176"/>
      <c r="C20" s="176"/>
      <c r="D20" s="194"/>
      <c r="E20" s="1"/>
      <c r="F20" s="1"/>
      <c r="G20" s="1"/>
    </row>
    <row r="21" spans="1:12" x14ac:dyDescent="0.25">
      <c r="B21" s="176"/>
      <c r="C21" s="176"/>
      <c r="D21" s="194"/>
      <c r="E21" s="1"/>
      <c r="F21" s="1"/>
      <c r="G21" s="1"/>
    </row>
    <row r="22" spans="1:12" x14ac:dyDescent="0.25">
      <c r="A22" s="165" t="s">
        <v>205</v>
      </c>
      <c r="B22" s="171">
        <v>2018</v>
      </c>
      <c r="C22" s="171">
        <v>2017</v>
      </c>
      <c r="D22" s="194"/>
      <c r="E22" s="1"/>
      <c r="F22" s="1"/>
      <c r="G22" s="1"/>
    </row>
    <row r="23" spans="1:12" ht="31.5" x14ac:dyDescent="0.25">
      <c r="A23" s="187" t="s">
        <v>382</v>
      </c>
      <c r="B23" s="171">
        <f>SUM(B24:B25)</f>
        <v>217871004.30000001</v>
      </c>
      <c r="C23" s="171">
        <f>SUM(C24:C25)</f>
        <v>317235740.17666662</v>
      </c>
      <c r="D23" s="194"/>
      <c r="E23" s="201">
        <f t="shared" ref="E23:E53" si="3">B23/$B$7</f>
        <v>0.76407352557933617</v>
      </c>
      <c r="F23" s="201">
        <f>C23/$C$7</f>
        <v>0.71937824915025728</v>
      </c>
      <c r="G23" s="202">
        <f>E23-F23</f>
        <v>4.469527642907889E-2</v>
      </c>
    </row>
    <row r="24" spans="1:12" x14ac:dyDescent="0.25">
      <c r="A24" s="166" t="s">
        <v>206</v>
      </c>
      <c r="B24" s="3">
        <v>122167184.3</v>
      </c>
      <c r="C24" s="3">
        <v>232256585.17666665</v>
      </c>
      <c r="D24" s="194"/>
      <c r="E24" s="198">
        <f t="shared" si="3"/>
        <v>0.42844026683637737</v>
      </c>
      <c r="F24" s="198">
        <f>C24/$C$7</f>
        <v>0.52667563719321808</v>
      </c>
      <c r="G24" s="199">
        <f>E24-F24</f>
        <v>-9.8235370356840712E-2</v>
      </c>
    </row>
    <row r="25" spans="1:12" ht="31.5" x14ac:dyDescent="0.25">
      <c r="A25" s="166" t="s">
        <v>345</v>
      </c>
      <c r="B25" s="3">
        <v>95703820</v>
      </c>
      <c r="C25" s="3">
        <v>84979155</v>
      </c>
      <c r="D25" s="194"/>
      <c r="E25" s="198">
        <f t="shared" si="3"/>
        <v>0.3356332587429588</v>
      </c>
      <c r="F25" s="198">
        <f>C25/$C$7</f>
        <v>0.1927026119570393</v>
      </c>
      <c r="G25" s="199">
        <f>E25-F25</f>
        <v>0.14293064678591949</v>
      </c>
    </row>
    <row r="26" spans="1:12" x14ac:dyDescent="0.25">
      <c r="A26" s="6" t="s">
        <v>370</v>
      </c>
      <c r="B26" s="17">
        <f>SUM(B27:B28)</f>
        <v>28103423.074999999</v>
      </c>
      <c r="C26" s="17">
        <f>SUM(C27:C28)</f>
        <v>26684190.210000001</v>
      </c>
      <c r="D26" s="194"/>
      <c r="E26" s="201">
        <f t="shared" si="3"/>
        <v>9.8558693566195302E-2</v>
      </c>
      <c r="F26" s="201">
        <f t="shared" ref="F26:F53" si="4">C26/$C$7</f>
        <v>6.0510288098598507E-2</v>
      </c>
      <c r="G26" s="202">
        <f t="shared" ref="G26:G53" si="5">E26-F26</f>
        <v>3.8048405467596795E-2</v>
      </c>
    </row>
    <row r="27" spans="1:12" x14ac:dyDescent="0.25">
      <c r="A27" s="166" t="s">
        <v>208</v>
      </c>
      <c r="B27" s="3">
        <v>24081768</v>
      </c>
      <c r="C27" s="3">
        <v>22865630</v>
      </c>
      <c r="D27" s="194"/>
      <c r="E27" s="198">
        <f t="shared" si="3"/>
        <v>8.445475081487766E-2</v>
      </c>
      <c r="F27" s="198">
        <f t="shared" si="4"/>
        <v>5.1851146614051845E-2</v>
      </c>
      <c r="G27" s="199">
        <f t="shared" si="5"/>
        <v>3.2603604200825816E-2</v>
      </c>
      <c r="J27" s="197">
        <f>B27</f>
        <v>24081768</v>
      </c>
      <c r="L27" s="197">
        <f>C27</f>
        <v>22865630</v>
      </c>
    </row>
    <row r="28" spans="1:12" x14ac:dyDescent="0.25">
      <c r="A28" s="166" t="s">
        <v>209</v>
      </c>
      <c r="B28" s="3">
        <v>4021655.0750000002</v>
      </c>
      <c r="C28" s="3">
        <v>3818560.2099999995</v>
      </c>
      <c r="D28" s="194"/>
      <c r="E28" s="198">
        <f t="shared" si="3"/>
        <v>1.4103942751317641E-2</v>
      </c>
      <c r="F28" s="198">
        <f t="shared" si="4"/>
        <v>8.6591414845466567E-3</v>
      </c>
      <c r="G28" s="199">
        <f t="shared" si="5"/>
        <v>5.4448012667709846E-3</v>
      </c>
      <c r="J28" s="197">
        <f>B28</f>
        <v>4021655.0750000002</v>
      </c>
      <c r="L28" s="197">
        <f>C28</f>
        <v>3818560.2099999995</v>
      </c>
    </row>
    <row r="29" spans="1:12" x14ac:dyDescent="0.25">
      <c r="A29" s="205" t="s">
        <v>369</v>
      </c>
      <c r="B29" s="17">
        <f>SUM(B30:B31)</f>
        <v>4700494.2966090646</v>
      </c>
      <c r="C29" s="17">
        <f>SUM(C30:C31)</f>
        <v>4624735.2922134986</v>
      </c>
      <c r="D29" s="194"/>
      <c r="E29" s="201">
        <f t="shared" si="3"/>
        <v>1.6484631631982841E-2</v>
      </c>
      <c r="F29" s="201">
        <f t="shared" si="4"/>
        <v>1.0487260910271967E-2</v>
      </c>
      <c r="G29" s="202">
        <f t="shared" si="5"/>
        <v>5.9973707217108735E-3</v>
      </c>
    </row>
    <row r="30" spans="1:12" x14ac:dyDescent="0.25">
      <c r="A30" s="166" t="s">
        <v>210</v>
      </c>
      <c r="B30" s="3">
        <v>1138215.5270000002</v>
      </c>
      <c r="C30" s="3">
        <v>1198121.6600000001</v>
      </c>
      <c r="D30" s="194"/>
      <c r="E30" s="198">
        <f t="shared" si="3"/>
        <v>3.9917214012862206E-3</v>
      </c>
      <c r="F30" s="198">
        <f t="shared" si="4"/>
        <v>2.7169153814756552E-3</v>
      </c>
      <c r="G30" s="199">
        <f t="shared" si="5"/>
        <v>1.2748060198105654E-3</v>
      </c>
    </row>
    <row r="31" spans="1:12" x14ac:dyDescent="0.25">
      <c r="A31" s="166" t="s">
        <v>211</v>
      </c>
      <c r="B31" s="3">
        <v>3562278.7696090648</v>
      </c>
      <c r="C31" s="3">
        <v>3426613.6322134985</v>
      </c>
      <c r="D31" s="194"/>
      <c r="E31" s="198">
        <f t="shared" si="3"/>
        <v>1.2492910230696623E-2</v>
      </c>
      <c r="F31" s="198">
        <f t="shared" si="4"/>
        <v>7.7703455287963128E-3</v>
      </c>
      <c r="G31" s="199">
        <f t="shared" si="5"/>
        <v>4.7225647019003099E-3</v>
      </c>
    </row>
    <row r="32" spans="1:12" x14ac:dyDescent="0.25">
      <c r="A32" s="206" t="s">
        <v>367</v>
      </c>
      <c r="B32" s="17">
        <f>SUM(B33:B47)</f>
        <v>4575983</v>
      </c>
      <c r="C32" s="17">
        <f>SUM(C33:C47)</f>
        <v>2837588.6500000004</v>
      </c>
      <c r="D32" s="194"/>
      <c r="E32" s="201">
        <f t="shared" si="3"/>
        <v>1.6047970564209254E-2</v>
      </c>
      <c r="F32" s="201">
        <f t="shared" si="4"/>
        <v>6.4346455847277976E-3</v>
      </c>
      <c r="G32" s="202">
        <f t="shared" si="5"/>
        <v>9.6133249794814572E-3</v>
      </c>
    </row>
    <row r="33" spans="1:7" x14ac:dyDescent="0.25">
      <c r="A33" s="19" t="s">
        <v>323</v>
      </c>
      <c r="B33" s="207">
        <v>433520</v>
      </c>
      <c r="C33" s="3"/>
      <c r="D33" s="194"/>
      <c r="E33" s="198">
        <f t="shared" si="3"/>
        <v>1.5203544678806706E-3</v>
      </c>
      <c r="F33" s="198">
        <f t="shared" si="4"/>
        <v>0</v>
      </c>
      <c r="G33" s="199">
        <f t="shared" si="5"/>
        <v>1.5203544678806706E-3</v>
      </c>
    </row>
    <row r="34" spans="1:7" x14ac:dyDescent="0.25">
      <c r="A34" s="28" t="s">
        <v>313</v>
      </c>
      <c r="B34" s="207">
        <v>300000</v>
      </c>
      <c r="C34" s="3">
        <v>120000</v>
      </c>
      <c r="D34" s="194"/>
      <c r="E34" s="198">
        <f t="shared" si="3"/>
        <v>1.0520998808917724E-3</v>
      </c>
      <c r="F34" s="198">
        <f t="shared" si="4"/>
        <v>2.72117479102313E-4</v>
      </c>
      <c r="G34" s="199">
        <f t="shared" si="5"/>
        <v>7.7998240178945937E-4</v>
      </c>
    </row>
    <row r="35" spans="1:7" x14ac:dyDescent="0.25">
      <c r="A35" s="28" t="s">
        <v>328</v>
      </c>
      <c r="B35" s="207">
        <v>328755</v>
      </c>
      <c r="C35" s="3"/>
      <c r="D35" s="194"/>
      <c r="E35" s="198">
        <f t="shared" si="3"/>
        <v>1.152943654475249E-3</v>
      </c>
      <c r="F35" s="198">
        <f t="shared" si="4"/>
        <v>0</v>
      </c>
      <c r="G35" s="199">
        <f t="shared" si="5"/>
        <v>1.152943654475249E-3</v>
      </c>
    </row>
    <row r="36" spans="1:7" x14ac:dyDescent="0.25">
      <c r="A36" s="28" t="s">
        <v>316</v>
      </c>
      <c r="B36" s="207">
        <v>9165</v>
      </c>
      <c r="C36" s="3"/>
      <c r="D36" s="194"/>
      <c r="E36" s="198">
        <f t="shared" si="3"/>
        <v>3.2141651361243652E-5</v>
      </c>
      <c r="F36" s="198">
        <f t="shared" si="4"/>
        <v>0</v>
      </c>
      <c r="G36" s="199">
        <f t="shared" si="5"/>
        <v>3.2141651361243652E-5</v>
      </c>
    </row>
    <row r="37" spans="1:7" x14ac:dyDescent="0.25">
      <c r="A37" s="28" t="s">
        <v>324</v>
      </c>
      <c r="B37" s="207">
        <v>27470</v>
      </c>
      <c r="C37" s="3"/>
      <c r="D37" s="194"/>
      <c r="E37" s="198">
        <f t="shared" si="3"/>
        <v>9.6337279093656629E-5</v>
      </c>
      <c r="F37" s="198">
        <f t="shared" si="4"/>
        <v>0</v>
      </c>
      <c r="G37" s="199">
        <f t="shared" si="5"/>
        <v>9.6337279093656629E-5</v>
      </c>
    </row>
    <row r="38" spans="1:7" x14ac:dyDescent="0.25">
      <c r="A38" s="28" t="s">
        <v>314</v>
      </c>
      <c r="B38" s="207">
        <v>300000</v>
      </c>
      <c r="C38" s="3"/>
      <c r="D38" s="194"/>
      <c r="E38" s="198">
        <f t="shared" si="3"/>
        <v>1.0520998808917724E-3</v>
      </c>
      <c r="F38" s="198">
        <f t="shared" si="4"/>
        <v>0</v>
      </c>
      <c r="G38" s="199">
        <f t="shared" si="5"/>
        <v>1.0520998808917724E-3</v>
      </c>
    </row>
    <row r="39" spans="1:7" x14ac:dyDescent="0.25">
      <c r="A39" s="28" t="s">
        <v>320</v>
      </c>
      <c r="B39" s="207">
        <v>582580</v>
      </c>
      <c r="C39" s="3">
        <v>935220</v>
      </c>
      <c r="D39" s="194"/>
      <c r="E39" s="198">
        <f t="shared" si="3"/>
        <v>2.0431078286997626E-3</v>
      </c>
      <c r="F39" s="198">
        <f t="shared" si="4"/>
        <v>2.1207475733838765E-3</v>
      </c>
      <c r="G39" s="199">
        <f t="shared" si="5"/>
        <v>-7.7639744684113859E-5</v>
      </c>
    </row>
    <row r="40" spans="1:7" x14ac:dyDescent="0.25">
      <c r="A40" s="28" t="s">
        <v>329</v>
      </c>
      <c r="B40" s="207">
        <v>863140</v>
      </c>
      <c r="C40" s="3">
        <v>430528.35</v>
      </c>
      <c r="D40" s="194"/>
      <c r="E40" s="198">
        <f t="shared" si="3"/>
        <v>3.0270316373097483E-3</v>
      </c>
      <c r="F40" s="198">
        <f t="shared" si="4"/>
        <v>9.7628574403398581E-4</v>
      </c>
      <c r="G40" s="199">
        <f t="shared" si="5"/>
        <v>2.0507458932757625E-3</v>
      </c>
    </row>
    <row r="41" spans="1:7" x14ac:dyDescent="0.25">
      <c r="A41" s="28" t="s">
        <v>318</v>
      </c>
      <c r="B41" s="207">
        <v>770000</v>
      </c>
      <c r="C41" s="3"/>
      <c r="D41" s="194"/>
      <c r="E41" s="198">
        <f t="shared" si="3"/>
        <v>2.7003896942888825E-3</v>
      </c>
      <c r="F41" s="198">
        <f t="shared" si="4"/>
        <v>0</v>
      </c>
      <c r="G41" s="199">
        <f t="shared" si="5"/>
        <v>2.7003896942888825E-3</v>
      </c>
    </row>
    <row r="42" spans="1:7" x14ac:dyDescent="0.25">
      <c r="A42" s="28" t="s">
        <v>326</v>
      </c>
      <c r="B42" s="207">
        <v>168335</v>
      </c>
      <c r="C42" s="3"/>
      <c r="D42" s="194"/>
      <c r="E42" s="198">
        <f t="shared" si="3"/>
        <v>5.9035077816638843E-4</v>
      </c>
      <c r="F42" s="198">
        <f t="shared" si="4"/>
        <v>0</v>
      </c>
      <c r="G42" s="199">
        <f t="shared" si="5"/>
        <v>5.9035077816638843E-4</v>
      </c>
    </row>
    <row r="43" spans="1:7" x14ac:dyDescent="0.25">
      <c r="A43" s="28" t="s">
        <v>330</v>
      </c>
      <c r="B43" s="207">
        <v>45770</v>
      </c>
      <c r="C43" s="3"/>
      <c r="D43" s="194"/>
      <c r="E43" s="198">
        <f t="shared" si="3"/>
        <v>1.6051537182805475E-4</v>
      </c>
      <c r="F43" s="198">
        <f t="shared" si="4"/>
        <v>0</v>
      </c>
      <c r="G43" s="199">
        <f t="shared" si="5"/>
        <v>1.6051537182805475E-4</v>
      </c>
    </row>
    <row r="44" spans="1:7" x14ac:dyDescent="0.25">
      <c r="A44" s="28" t="s">
        <v>288</v>
      </c>
      <c r="B44" s="207">
        <v>664187</v>
      </c>
      <c r="C44" s="3"/>
      <c r="D44" s="194"/>
      <c r="E44" s="198">
        <f t="shared" si="3"/>
        <v>2.3293035452995456E-3</v>
      </c>
      <c r="F44" s="198">
        <f t="shared" si="4"/>
        <v>0</v>
      </c>
      <c r="G44" s="199">
        <f t="shared" si="5"/>
        <v>2.3293035452995456E-3</v>
      </c>
    </row>
    <row r="45" spans="1:7" x14ac:dyDescent="0.25">
      <c r="A45" s="28" t="s">
        <v>315</v>
      </c>
      <c r="B45" s="207">
        <v>76171</v>
      </c>
      <c r="C45" s="3"/>
      <c r="D45" s="194"/>
      <c r="E45" s="198">
        <f t="shared" si="3"/>
        <v>2.67131666758024E-4</v>
      </c>
      <c r="F45" s="198">
        <f t="shared" si="4"/>
        <v>0</v>
      </c>
      <c r="G45" s="199">
        <f t="shared" si="5"/>
        <v>2.67131666758024E-4</v>
      </c>
    </row>
    <row r="46" spans="1:7" x14ac:dyDescent="0.25">
      <c r="A46" s="28" t="s">
        <v>319</v>
      </c>
      <c r="B46" s="207">
        <v>6890</v>
      </c>
      <c r="C46" s="3"/>
      <c r="D46" s="194"/>
      <c r="E46" s="198">
        <f t="shared" si="3"/>
        <v>2.416322726448104E-5</v>
      </c>
      <c r="F46" s="198">
        <f t="shared" si="4"/>
        <v>0</v>
      </c>
      <c r="G46" s="199">
        <f t="shared" si="5"/>
        <v>2.416322726448104E-5</v>
      </c>
    </row>
    <row r="47" spans="1:7" ht="31.5" x14ac:dyDescent="0.25">
      <c r="A47" s="166" t="s">
        <v>214</v>
      </c>
      <c r="B47" s="3"/>
      <c r="C47" s="3">
        <v>1351840.3</v>
      </c>
      <c r="D47" s="194"/>
      <c r="E47" s="198">
        <f t="shared" si="3"/>
        <v>0</v>
      </c>
      <c r="F47" s="198">
        <f t="shared" si="4"/>
        <v>3.0654947882076213E-3</v>
      </c>
      <c r="G47" s="199">
        <f t="shared" si="5"/>
        <v>-3.0654947882076213E-3</v>
      </c>
    </row>
    <row r="48" spans="1:7" x14ac:dyDescent="0.25">
      <c r="A48" s="206" t="s">
        <v>368</v>
      </c>
      <c r="B48" s="17">
        <f>SUM(B49:B50)</f>
        <v>2068275.7440000002</v>
      </c>
      <c r="C48" s="17">
        <f>SUM(C49:C50)</f>
        <v>1339629.2296929909</v>
      </c>
      <c r="D48" s="194"/>
      <c r="E48" s="201">
        <f t="shared" si="3"/>
        <v>7.2534422130458081E-3</v>
      </c>
      <c r="F48" s="201">
        <f t="shared" si="4"/>
        <v>3.0378044076319177E-3</v>
      </c>
      <c r="G48" s="202">
        <f t="shared" si="5"/>
        <v>4.2156378054138905E-3</v>
      </c>
    </row>
    <row r="49" spans="1:7" x14ac:dyDescent="0.25">
      <c r="A49" s="166" t="s">
        <v>212</v>
      </c>
      <c r="B49" s="3">
        <v>1321183.7440000002</v>
      </c>
      <c r="C49" s="3">
        <v>724348.22969299078</v>
      </c>
      <c r="D49" s="194"/>
      <c r="E49" s="198">
        <f t="shared" si="3"/>
        <v>4.6333908656618211E-3</v>
      </c>
      <c r="F49" s="198">
        <f t="shared" si="4"/>
        <v>1.642565118802332E-3</v>
      </c>
      <c r="G49" s="199">
        <f t="shared" si="5"/>
        <v>2.9908257468594891E-3</v>
      </c>
    </row>
    <row r="50" spans="1:7" x14ac:dyDescent="0.25">
      <c r="A50" s="166" t="s">
        <v>134</v>
      </c>
      <c r="B50" s="3">
        <v>747092</v>
      </c>
      <c r="C50" s="3">
        <v>615281</v>
      </c>
      <c r="D50" s="194"/>
      <c r="E50" s="198">
        <f t="shared" si="3"/>
        <v>2.620051347383987E-3</v>
      </c>
      <c r="F50" s="198">
        <f t="shared" si="4"/>
        <v>1.3952392888295854E-3</v>
      </c>
      <c r="G50" s="199">
        <f t="shared" si="5"/>
        <v>1.2248120585544016E-3</v>
      </c>
    </row>
    <row r="51" spans="1:7" x14ac:dyDescent="0.25">
      <c r="A51" s="6" t="s">
        <v>371</v>
      </c>
      <c r="B51" s="17">
        <f>SUM(B52:B53)</f>
        <v>1864675.122</v>
      </c>
      <c r="C51" s="17">
        <f>SUM(C52:C53)</f>
        <v>1246457.6462070211</v>
      </c>
      <c r="D51" s="194"/>
      <c r="E51" s="201">
        <f t="shared" si="3"/>
        <v>6.5394149125268374E-3</v>
      </c>
      <c r="F51" s="201">
        <f t="shared" si="4"/>
        <v>2.8265242707804779E-3</v>
      </c>
      <c r="G51" s="202">
        <f t="shared" si="5"/>
        <v>3.7128906417463596E-3</v>
      </c>
    </row>
    <row r="52" spans="1:7" x14ac:dyDescent="0.25">
      <c r="A52" s="166" t="s">
        <v>213</v>
      </c>
      <c r="B52" s="3">
        <v>1864675.122</v>
      </c>
      <c r="C52" s="3">
        <v>1177250.5294999997</v>
      </c>
      <c r="D52" s="194"/>
      <c r="E52" s="198">
        <f t="shared" si="3"/>
        <v>6.5394149125268374E-3</v>
      </c>
      <c r="F52" s="198">
        <f t="shared" si="4"/>
        <v>2.6695870529950256E-3</v>
      </c>
      <c r="G52" s="199">
        <f t="shared" si="5"/>
        <v>3.8698278595318118E-3</v>
      </c>
    </row>
    <row r="53" spans="1:7" x14ac:dyDescent="0.25">
      <c r="A53" s="166" t="s">
        <v>248</v>
      </c>
      <c r="B53" s="3"/>
      <c r="C53" s="3">
        <v>69207.116707021371</v>
      </c>
      <c r="D53" s="194"/>
      <c r="E53" s="198">
        <f t="shared" si="3"/>
        <v>0</v>
      </c>
      <c r="F53" s="198">
        <f t="shared" si="4"/>
        <v>1.5693721778545187E-4</v>
      </c>
      <c r="G53" s="199">
        <f t="shared" si="5"/>
        <v>-1.5693721778545187E-4</v>
      </c>
    </row>
    <row r="54" spans="1:7" x14ac:dyDescent="0.25">
      <c r="D54" s="194"/>
    </row>
    <row r="55" spans="1:7" x14ac:dyDescent="0.25">
      <c r="D55" s="194"/>
    </row>
    <row r="56" spans="1:7" ht="30" customHeight="1" x14ac:dyDescent="0.25">
      <c r="A56" s="208" t="s">
        <v>420</v>
      </c>
      <c r="B56" s="209" t="s">
        <v>419</v>
      </c>
      <c r="D56" s="194"/>
    </row>
    <row r="57" spans="1:7" ht="30" x14ac:dyDescent="0.25">
      <c r="A57" s="447" t="s">
        <v>421</v>
      </c>
      <c r="B57" s="3">
        <v>100005325</v>
      </c>
      <c r="D57" s="194"/>
    </row>
    <row r="58" spans="1:7" x14ac:dyDescent="0.25">
      <c r="A58" s="210" t="s">
        <v>385</v>
      </c>
      <c r="B58" s="3">
        <v>58657065</v>
      </c>
      <c r="D58" s="194"/>
    </row>
    <row r="59" spans="1:7" x14ac:dyDescent="0.25">
      <c r="A59" s="174" t="s">
        <v>391</v>
      </c>
      <c r="B59" s="3">
        <v>26006165</v>
      </c>
      <c r="D59" s="194"/>
    </row>
    <row r="60" spans="1:7" x14ac:dyDescent="0.25">
      <c r="A60" s="210" t="s">
        <v>387</v>
      </c>
      <c r="B60" s="3">
        <v>17454120</v>
      </c>
      <c r="D60" s="194"/>
    </row>
    <row r="61" spans="1:7" x14ac:dyDescent="0.25">
      <c r="A61" s="210" t="s">
        <v>386</v>
      </c>
      <c r="B61" s="3">
        <v>17333233.999999996</v>
      </c>
      <c r="D61" s="194"/>
    </row>
    <row r="62" spans="1:7" x14ac:dyDescent="0.25">
      <c r="A62" s="210" t="s">
        <v>389</v>
      </c>
      <c r="B62" s="3">
        <v>9554500</v>
      </c>
      <c r="D62" s="194"/>
    </row>
    <row r="63" spans="1:7" x14ac:dyDescent="0.25">
      <c r="A63" s="210" t="s">
        <v>390</v>
      </c>
      <c r="B63" s="3">
        <v>14672770</v>
      </c>
      <c r="D63" s="194"/>
    </row>
    <row r="64" spans="1:7" x14ac:dyDescent="0.25">
      <c r="A64" s="210" t="s">
        <v>388</v>
      </c>
      <c r="B64" s="3">
        <v>5438055</v>
      </c>
      <c r="D64" s="194"/>
    </row>
    <row r="65" spans="1:4" x14ac:dyDescent="0.25">
      <c r="A65" s="210" t="s">
        <v>396</v>
      </c>
      <c r="B65" s="3">
        <v>4616590</v>
      </c>
      <c r="D65" s="194"/>
    </row>
    <row r="66" spans="1:4" ht="45" x14ac:dyDescent="0.25">
      <c r="A66" s="447" t="s">
        <v>392</v>
      </c>
      <c r="B66" s="3">
        <v>3769680</v>
      </c>
      <c r="D66" s="194"/>
    </row>
    <row r="67" spans="1:4" x14ac:dyDescent="0.25">
      <c r="A67" s="210" t="s">
        <v>395</v>
      </c>
      <c r="B67" s="3">
        <v>3729320</v>
      </c>
      <c r="D67" s="194"/>
    </row>
    <row r="68" spans="1:4" x14ac:dyDescent="0.25">
      <c r="A68" s="210" t="s">
        <v>393</v>
      </c>
      <c r="B68" s="3">
        <v>3564640</v>
      </c>
      <c r="D68" s="194"/>
    </row>
    <row r="69" spans="1:4" x14ac:dyDescent="0.25">
      <c r="A69" s="210" t="s">
        <v>397</v>
      </c>
      <c r="B69" s="3">
        <v>3506350</v>
      </c>
      <c r="D69" s="194"/>
    </row>
    <row r="70" spans="1:4" x14ac:dyDescent="0.25">
      <c r="A70" s="210" t="s">
        <v>400</v>
      </c>
      <c r="B70" s="3">
        <v>3416605</v>
      </c>
      <c r="D70" s="194"/>
    </row>
    <row r="71" spans="1:4" x14ac:dyDescent="0.25">
      <c r="A71" s="210" t="s">
        <v>394</v>
      </c>
      <c r="B71" s="3">
        <v>2875215</v>
      </c>
      <c r="D71" s="194"/>
    </row>
    <row r="72" spans="1:4" x14ac:dyDescent="0.25">
      <c r="A72" s="210" t="s">
        <v>398</v>
      </c>
      <c r="B72" s="3">
        <v>1810415</v>
      </c>
      <c r="D72" s="194"/>
    </row>
    <row r="73" spans="1:4" x14ac:dyDescent="0.25">
      <c r="A73" s="210" t="s">
        <v>399</v>
      </c>
      <c r="B73" s="3">
        <v>1610795</v>
      </c>
      <c r="D73" s="194"/>
    </row>
    <row r="74" spans="1:4" ht="30" x14ac:dyDescent="0.25">
      <c r="A74" s="447" t="s">
        <v>407</v>
      </c>
      <c r="B74" s="3">
        <v>790000</v>
      </c>
      <c r="D74" s="194"/>
    </row>
    <row r="75" spans="1:4" x14ac:dyDescent="0.25">
      <c r="A75" s="210" t="s">
        <v>401</v>
      </c>
      <c r="B75" s="3">
        <v>782380</v>
      </c>
      <c r="D75" s="194"/>
    </row>
    <row r="76" spans="1:4" x14ac:dyDescent="0.25">
      <c r="A76" s="210" t="s">
        <v>402</v>
      </c>
      <c r="B76" s="3">
        <v>666670</v>
      </c>
      <c r="D76" s="194"/>
    </row>
    <row r="77" spans="1:4" x14ac:dyDescent="0.25">
      <c r="A77" s="210" t="s">
        <v>406</v>
      </c>
      <c r="B77" s="3">
        <v>586150</v>
      </c>
      <c r="D77" s="194"/>
    </row>
    <row r="78" spans="1:4" x14ac:dyDescent="0.25">
      <c r="A78" s="210" t="s">
        <v>405</v>
      </c>
      <c r="B78" s="3">
        <v>583335</v>
      </c>
      <c r="D78" s="194"/>
    </row>
    <row r="79" spans="1:4" x14ac:dyDescent="0.25">
      <c r="A79" s="210" t="s">
        <v>408</v>
      </c>
      <c r="B79" s="3">
        <v>145000</v>
      </c>
      <c r="D79" s="194"/>
    </row>
    <row r="80" spans="1:4" x14ac:dyDescent="0.25">
      <c r="A80" s="210" t="s">
        <v>404</v>
      </c>
      <c r="B80" s="3">
        <v>99950</v>
      </c>
      <c r="D80" s="194"/>
    </row>
    <row r="81" spans="1:4" x14ac:dyDescent="0.25">
      <c r="A81" s="210" t="s">
        <v>409</v>
      </c>
      <c r="B81" s="3">
        <v>60000</v>
      </c>
      <c r="D81" s="194"/>
    </row>
    <row r="82" spans="1:4" x14ac:dyDescent="0.25">
      <c r="A82" s="210" t="s">
        <v>410</v>
      </c>
      <c r="B82" s="3">
        <v>50120</v>
      </c>
      <c r="D82" s="194"/>
    </row>
    <row r="83" spans="1:4" x14ac:dyDescent="0.25">
      <c r="A83" s="210" t="s">
        <v>403</v>
      </c>
      <c r="B83" s="3">
        <v>50000</v>
      </c>
      <c r="D83" s="194"/>
    </row>
    <row r="84" spans="1:4" x14ac:dyDescent="0.25">
      <c r="A84" s="211" t="s">
        <v>351</v>
      </c>
      <c r="B84" s="17">
        <f>SUM(B57:B83)</f>
        <v>281834449</v>
      </c>
      <c r="D84" s="194"/>
    </row>
    <row r="85" spans="1:4" x14ac:dyDescent="0.25">
      <c r="A85" s="210" t="s">
        <v>418</v>
      </c>
      <c r="B85" s="3">
        <v>3309581</v>
      </c>
      <c r="D85" s="194"/>
    </row>
    <row r="86" spans="1:4" x14ac:dyDescent="0.25">
      <c r="A86" s="211" t="s">
        <v>352</v>
      </c>
      <c r="B86" s="17">
        <f>SUM(B85)</f>
        <v>3309581</v>
      </c>
      <c r="D86" s="194"/>
    </row>
    <row r="87" spans="1:4" x14ac:dyDescent="0.25">
      <c r="A87" s="6" t="s">
        <v>353</v>
      </c>
      <c r="B87" s="17">
        <f>B84+B86</f>
        <v>285144030</v>
      </c>
      <c r="C87" s="196">
        <f>B87-B7</f>
        <v>0</v>
      </c>
      <c r="D87" s="194"/>
    </row>
    <row r="88" spans="1:4" x14ac:dyDescent="0.25">
      <c r="D88" s="194"/>
    </row>
    <row r="89" spans="1:4" x14ac:dyDescent="0.25">
      <c r="D89" s="194"/>
    </row>
    <row r="90" spans="1:4" x14ac:dyDescent="0.25">
      <c r="D90" s="194"/>
    </row>
    <row r="91" spans="1:4" x14ac:dyDescent="0.25">
      <c r="D91" s="194"/>
    </row>
    <row r="92" spans="1:4" x14ac:dyDescent="0.25">
      <c r="D92" s="194"/>
    </row>
    <row r="93" spans="1:4" x14ac:dyDescent="0.25">
      <c r="D93" s="194"/>
    </row>
    <row r="94" spans="1:4" x14ac:dyDescent="0.25">
      <c r="D94" s="194"/>
    </row>
    <row r="95" spans="1:4" x14ac:dyDescent="0.25">
      <c r="D95" s="194"/>
    </row>
    <row r="96" spans="1:4" x14ac:dyDescent="0.25">
      <c r="D96" s="194"/>
    </row>
    <row r="97" spans="4:4" x14ac:dyDescent="0.25">
      <c r="D97" s="194"/>
    </row>
    <row r="98" spans="4:4" x14ac:dyDescent="0.25">
      <c r="D98" s="194"/>
    </row>
    <row r="99" spans="4:4" x14ac:dyDescent="0.25">
      <c r="D99" s="194"/>
    </row>
    <row r="100" spans="4:4" x14ac:dyDescent="0.25">
      <c r="D100" s="194"/>
    </row>
    <row r="101" spans="4:4" x14ac:dyDescent="0.25">
      <c r="D101" s="194"/>
    </row>
    <row r="102" spans="4:4" x14ac:dyDescent="0.25">
      <c r="D102" s="194"/>
    </row>
    <row r="103" spans="4:4" x14ac:dyDescent="0.25">
      <c r="D103" s="194"/>
    </row>
  </sheetData>
  <mergeCells count="1">
    <mergeCell ref="A1:C1"/>
  </mergeCells>
  <printOptions horizontalCentered="1"/>
  <pageMargins left="0.7" right="0.7" top="0.4" bottom="0.3" header="0.3" footer="0.3"/>
  <pageSetup orientation="portrait" r:id="rId1"/>
  <rowBreaks count="2" manualBreakCount="2">
    <brk id="20" max="2" man="1"/>
    <brk id="5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31"/>
  <sheetViews>
    <sheetView view="pageBreakPreview" zoomScaleNormal="100" zoomScaleSheetLayoutView="100" workbookViewId="0">
      <selection activeCell="H11" sqref="H11"/>
    </sheetView>
  </sheetViews>
  <sheetFormatPr defaultRowHeight="12.75" x14ac:dyDescent="0.2"/>
  <cols>
    <col min="1" max="1" width="0.5703125" style="268" customWidth="1"/>
    <col min="2" max="2" width="1.42578125" style="268" customWidth="1"/>
    <col min="3" max="3" width="5" style="325" customWidth="1"/>
    <col min="4" max="5" width="3.42578125" style="268" customWidth="1"/>
    <col min="6" max="6" width="37.140625" style="268" customWidth="1"/>
    <col min="7" max="7" width="15.140625" style="268" customWidth="1"/>
    <col min="8" max="8" width="13.85546875" style="268" customWidth="1"/>
    <col min="9" max="9" width="13.42578125" style="268" customWidth="1"/>
    <col min="10" max="10" width="15.28515625" style="268" customWidth="1"/>
    <col min="11" max="11" width="11" style="268" customWidth="1"/>
    <col min="12" max="12" width="12.7109375" style="326" customWidth="1"/>
    <col min="13" max="13" width="2.7109375" style="326" customWidth="1"/>
    <col min="14" max="14" width="3" style="268" customWidth="1"/>
    <col min="15" max="15" width="9.140625" style="273"/>
    <col min="16" max="16" width="11.140625" style="273" bestFit="1" customWidth="1"/>
    <col min="17" max="16384" width="9.140625" style="273"/>
  </cols>
  <sheetData>
    <row r="1" spans="1:16" x14ac:dyDescent="0.2">
      <c r="B1" s="269"/>
      <c r="C1" s="270"/>
      <c r="D1" s="270"/>
      <c r="E1" s="270"/>
      <c r="F1" s="270"/>
      <c r="G1" s="270"/>
      <c r="H1" s="270"/>
      <c r="I1" s="270"/>
      <c r="J1" s="270"/>
      <c r="K1" s="270"/>
      <c r="L1" s="271"/>
      <c r="M1" s="271"/>
      <c r="N1" s="272"/>
    </row>
    <row r="2" spans="1:16" x14ac:dyDescent="0.2">
      <c r="B2" s="274"/>
      <c r="C2" s="281" t="s">
        <v>85</v>
      </c>
      <c r="D2" s="282" t="s">
        <v>423</v>
      </c>
      <c r="E2" s="283"/>
      <c r="F2" s="282"/>
      <c r="G2" s="276"/>
      <c r="H2" s="276"/>
      <c r="I2" s="284"/>
      <c r="J2" s="276"/>
      <c r="K2" s="284"/>
      <c r="L2" s="285"/>
      <c r="M2" s="276"/>
      <c r="N2" s="280"/>
    </row>
    <row r="3" spans="1:16" x14ac:dyDescent="0.2">
      <c r="B3" s="274"/>
      <c r="C3" s="286">
        <v>8</v>
      </c>
      <c r="D3" s="287" t="s">
        <v>424</v>
      </c>
      <c r="E3" s="283"/>
      <c r="F3" s="283"/>
      <c r="G3" s="288"/>
      <c r="H3" s="276"/>
      <c r="I3" s="276"/>
      <c r="J3" s="276"/>
      <c r="K3" s="276"/>
      <c r="L3" s="276"/>
      <c r="M3" s="276"/>
      <c r="N3" s="280"/>
    </row>
    <row r="4" spans="1:16" x14ac:dyDescent="0.2">
      <c r="B4" s="274"/>
      <c r="C4" s="289"/>
      <c r="D4" s="276"/>
      <c r="E4" s="290"/>
      <c r="F4" s="291"/>
      <c r="G4" s="276"/>
      <c r="H4" s="276"/>
      <c r="I4" s="276"/>
      <c r="J4" s="276"/>
      <c r="K4" s="284"/>
      <c r="L4" s="285"/>
      <c r="M4" s="276"/>
      <c r="N4" s="280"/>
    </row>
    <row r="5" spans="1:16" s="297" customFormat="1" x14ac:dyDescent="0.25">
      <c r="A5" s="292"/>
      <c r="B5" s="293"/>
      <c r="C5" s="294"/>
      <c r="D5" s="465" t="s">
        <v>0</v>
      </c>
      <c r="E5" s="467" t="s">
        <v>425</v>
      </c>
      <c r="F5" s="468"/>
      <c r="G5" s="471" t="s">
        <v>426</v>
      </c>
      <c r="H5" s="472"/>
      <c r="I5" s="472"/>
      <c r="J5" s="473"/>
      <c r="K5" s="465" t="s">
        <v>427</v>
      </c>
      <c r="L5" s="465" t="s">
        <v>428</v>
      </c>
      <c r="M5" s="295"/>
      <c r="N5" s="296"/>
    </row>
    <row r="6" spans="1:16" s="297" customFormat="1" ht="25.5" x14ac:dyDescent="0.25">
      <c r="A6" s="292"/>
      <c r="B6" s="293"/>
      <c r="C6" s="294"/>
      <c r="D6" s="466"/>
      <c r="E6" s="469"/>
      <c r="F6" s="470"/>
      <c r="G6" s="298" t="s">
        <v>429</v>
      </c>
      <c r="H6" s="298" t="s">
        <v>430</v>
      </c>
      <c r="I6" s="298" t="s">
        <v>431</v>
      </c>
      <c r="J6" s="298" t="s">
        <v>432</v>
      </c>
      <c r="K6" s="466"/>
      <c r="L6" s="466"/>
      <c r="M6" s="295"/>
      <c r="N6" s="296"/>
    </row>
    <row r="7" spans="1:16" x14ac:dyDescent="0.2">
      <c r="B7" s="274"/>
      <c r="C7" s="275"/>
      <c r="D7" s="299">
        <v>1</v>
      </c>
      <c r="E7" s="331" t="str">
        <f>'AQT18'!B8</f>
        <v>Toka</v>
      </c>
      <c r="F7" s="300"/>
      <c r="G7" s="301">
        <f>'AQT18'!W8</f>
        <v>85799800</v>
      </c>
      <c r="H7" s="301"/>
      <c r="I7" s="301"/>
      <c r="J7" s="301">
        <f>G7+H7-I7</f>
        <v>85799800</v>
      </c>
      <c r="K7" s="301"/>
      <c r="L7" s="301">
        <f>J7-K7</f>
        <v>85799800</v>
      </c>
      <c r="M7" s="276"/>
      <c r="N7" s="280"/>
    </row>
    <row r="8" spans="1:16" x14ac:dyDescent="0.2">
      <c r="B8" s="274"/>
      <c r="C8" s="275"/>
      <c r="D8" s="299">
        <v>2</v>
      </c>
      <c r="E8" s="331" t="str">
        <f>'AQT18'!B9</f>
        <v>Ndertime gjithesej ne proces dhe perdorim b=(3+4):</v>
      </c>
      <c r="F8" s="300"/>
      <c r="G8" s="301">
        <f>SUM(G9:G10)</f>
        <v>162515737.56630901</v>
      </c>
      <c r="H8" s="301"/>
      <c r="I8" s="301"/>
      <c r="J8" s="301">
        <f>SUM(J9:J10)</f>
        <v>162515737.56630901</v>
      </c>
      <c r="K8" s="301">
        <f>SUM(K9:K10)</f>
        <v>4431563.9870000007</v>
      </c>
      <c r="L8" s="301">
        <f>SUM(L9:L10)</f>
        <v>158084173.57930902</v>
      </c>
      <c r="M8" s="276"/>
      <c r="N8" s="280"/>
    </row>
    <row r="9" spans="1:16" ht="33.75" customHeight="1" x14ac:dyDescent="0.2">
      <c r="B9" s="274"/>
      <c r="C9" s="275"/>
      <c r="D9" s="299">
        <v>3</v>
      </c>
      <c r="E9" s="475" t="s">
        <v>449</v>
      </c>
      <c r="F9" s="476"/>
      <c r="G9" s="302">
        <v>136458077.56630901</v>
      </c>
      <c r="H9" s="301"/>
      <c r="I9" s="301"/>
      <c r="J9" s="302">
        <f t="shared" ref="J9:J10" si="0">SUM(G9:I9)</f>
        <v>136458077.56630901</v>
      </c>
      <c r="K9" s="301">
        <v>0</v>
      </c>
      <c r="L9" s="302">
        <f t="shared" ref="L9:L13" si="1">J9-K9</f>
        <v>136458077.56630901</v>
      </c>
      <c r="M9" s="276"/>
      <c r="N9" s="280"/>
    </row>
    <row r="10" spans="1:16" ht="33.75" customHeight="1" x14ac:dyDescent="0.2">
      <c r="B10" s="274"/>
      <c r="C10" s="275"/>
      <c r="D10" s="299">
        <v>4</v>
      </c>
      <c r="E10" s="475" t="s">
        <v>450</v>
      </c>
      <c r="F10" s="476"/>
      <c r="G10" s="302">
        <v>26057660</v>
      </c>
      <c r="H10" s="301"/>
      <c r="I10" s="301"/>
      <c r="J10" s="302">
        <f t="shared" si="0"/>
        <v>26057660</v>
      </c>
      <c r="K10" s="302">
        <f>L24</f>
        <v>4431563.9870000007</v>
      </c>
      <c r="L10" s="302">
        <f t="shared" si="1"/>
        <v>21626096.013</v>
      </c>
      <c r="M10" s="276"/>
      <c r="N10" s="280"/>
    </row>
    <row r="11" spans="1:16" x14ac:dyDescent="0.2">
      <c r="B11" s="274"/>
      <c r="C11" s="275"/>
      <c r="D11" s="299">
        <v>4</v>
      </c>
      <c r="E11" s="299" t="s">
        <v>435</v>
      </c>
      <c r="F11" s="300"/>
      <c r="G11" s="301">
        <f>SUM(G12:G12)</f>
        <v>57738803.027137145</v>
      </c>
      <c r="H11" s="301">
        <f>SUM(H12:H13)</f>
        <v>7780664</v>
      </c>
      <c r="I11" s="301">
        <f>SUM(I12:I12)</f>
        <v>0</v>
      </c>
      <c r="J11" s="301">
        <f>SUM(J12:J13)</f>
        <v>65519467.027137145</v>
      </c>
      <c r="K11" s="301">
        <f>SUM(K12:K13)</f>
        <v>28700930.058865305</v>
      </c>
      <c r="L11" s="301">
        <f>SUM(L12:L13)</f>
        <v>36818536.968271837</v>
      </c>
      <c r="M11" s="276"/>
      <c r="N11" s="280"/>
      <c r="P11" s="303"/>
    </row>
    <row r="12" spans="1:16" x14ac:dyDescent="0.2">
      <c r="B12" s="274"/>
      <c r="C12" s="275"/>
      <c r="D12" s="299"/>
      <c r="E12" s="299" t="s">
        <v>436</v>
      </c>
      <c r="F12" s="300"/>
      <c r="G12" s="302">
        <v>57738803.027137145</v>
      </c>
      <c r="H12" s="302">
        <f>SUM('AQT18'!X47:X55)</f>
        <v>3381960</v>
      </c>
      <c r="I12" s="302"/>
      <c r="J12" s="302">
        <f>SUM(G12:I12)</f>
        <v>61120763.027137145</v>
      </c>
      <c r="K12" s="302">
        <f>L26</f>
        <v>28700930.058865305</v>
      </c>
      <c r="L12" s="302">
        <f t="shared" si="1"/>
        <v>32419832.96827184</v>
      </c>
      <c r="M12" s="276"/>
      <c r="N12" s="280"/>
      <c r="P12" s="303"/>
    </row>
    <row r="13" spans="1:16" x14ac:dyDescent="0.2">
      <c r="B13" s="274"/>
      <c r="C13" s="275"/>
      <c r="D13" s="299"/>
      <c r="E13" s="299" t="s">
        <v>453</v>
      </c>
      <c r="F13" s="300"/>
      <c r="G13" s="302"/>
      <c r="H13" s="302">
        <f>'AQT18'!W39</f>
        <v>4398704</v>
      </c>
      <c r="I13" s="302"/>
      <c r="J13" s="302">
        <f>SUM(G13:I13)</f>
        <v>4398704</v>
      </c>
      <c r="K13" s="302"/>
      <c r="L13" s="302">
        <f t="shared" si="1"/>
        <v>4398704</v>
      </c>
      <c r="M13" s="276"/>
      <c r="N13" s="280"/>
      <c r="P13" s="303"/>
    </row>
    <row r="14" spans="1:16" x14ac:dyDescent="0.2">
      <c r="B14" s="274"/>
      <c r="C14" s="275"/>
      <c r="D14" s="299">
        <v>4</v>
      </c>
      <c r="E14" s="299" t="s">
        <v>437</v>
      </c>
      <c r="F14" s="300"/>
      <c r="G14" s="301">
        <f t="shared" ref="G14:L14" si="2">SUM(G15:G16)</f>
        <v>1731652.0468505127</v>
      </c>
      <c r="H14" s="301">
        <f t="shared" si="2"/>
        <v>247640</v>
      </c>
      <c r="I14" s="301">
        <f t="shared" si="2"/>
        <v>0</v>
      </c>
      <c r="J14" s="301">
        <f t="shared" si="2"/>
        <v>1979292.0468505127</v>
      </c>
      <c r="K14" s="301">
        <f t="shared" si="2"/>
        <v>1012924.4334858056</v>
      </c>
      <c r="L14" s="301">
        <f t="shared" si="2"/>
        <v>966367.61336470721</v>
      </c>
      <c r="M14" s="276"/>
      <c r="N14" s="280"/>
    </row>
    <row r="15" spans="1:16" x14ac:dyDescent="0.2">
      <c r="B15" s="274"/>
      <c r="C15" s="275"/>
      <c r="D15" s="299"/>
      <c r="E15" s="299" t="s">
        <v>452</v>
      </c>
      <c r="F15" s="300"/>
      <c r="G15" s="302">
        <v>764337.25020028616</v>
      </c>
      <c r="H15" s="302">
        <v>161585</v>
      </c>
      <c r="I15" s="302"/>
      <c r="J15" s="302">
        <f t="shared" ref="J15:J16" si="3">SUM(G15:I15)</f>
        <v>925922.25020028616</v>
      </c>
      <c r="K15" s="302">
        <f>L28</f>
        <v>580380.40164091229</v>
      </c>
      <c r="L15" s="302">
        <f>J15-K15</f>
        <v>345541.84855937387</v>
      </c>
      <c r="M15" s="276"/>
      <c r="N15" s="280"/>
    </row>
    <row r="16" spans="1:16" x14ac:dyDescent="0.2">
      <c r="B16" s="274"/>
      <c r="C16" s="275"/>
      <c r="D16" s="299"/>
      <c r="E16" s="304" t="s">
        <v>451</v>
      </c>
      <c r="F16" s="300"/>
      <c r="G16" s="302">
        <v>967314.79665022669</v>
      </c>
      <c r="H16" s="302">
        <v>86055</v>
      </c>
      <c r="I16" s="302"/>
      <c r="J16" s="302">
        <f t="shared" si="3"/>
        <v>1053369.7966502267</v>
      </c>
      <c r="K16" s="302">
        <f>L29</f>
        <v>432544.03184489335</v>
      </c>
      <c r="L16" s="302">
        <f>J16-K16</f>
        <v>620825.76480533334</v>
      </c>
      <c r="M16" s="276"/>
      <c r="N16" s="280"/>
    </row>
    <row r="17" spans="1:16" x14ac:dyDescent="0.2">
      <c r="A17" s="273"/>
      <c r="B17" s="305"/>
      <c r="C17" s="306"/>
      <c r="D17" s="299"/>
      <c r="E17" s="307" t="s">
        <v>438</v>
      </c>
      <c r="F17" s="300"/>
      <c r="G17" s="301">
        <f t="shared" ref="G17:L17" si="4">G7+G8+G11+G14</f>
        <v>307785992.64029664</v>
      </c>
      <c r="H17" s="301">
        <f t="shared" si="4"/>
        <v>8028304</v>
      </c>
      <c r="I17" s="301">
        <f t="shared" si="4"/>
        <v>0</v>
      </c>
      <c r="J17" s="301">
        <f t="shared" si="4"/>
        <v>315814296.64029664</v>
      </c>
      <c r="K17" s="301">
        <f t="shared" si="4"/>
        <v>34145418.479351111</v>
      </c>
      <c r="L17" s="301">
        <f t="shared" si="4"/>
        <v>281668878.16094553</v>
      </c>
      <c r="M17" s="288"/>
      <c r="N17" s="308"/>
      <c r="P17" s="303"/>
    </row>
    <row r="18" spans="1:16" x14ac:dyDescent="0.2">
      <c r="A18" s="273"/>
      <c r="B18" s="274"/>
      <c r="C18" s="275"/>
      <c r="D18" s="276"/>
      <c r="E18" s="290"/>
      <c r="F18" s="310"/>
      <c r="G18" s="276"/>
      <c r="H18" s="276"/>
      <c r="I18" s="276"/>
      <c r="J18" s="276"/>
      <c r="K18" s="284"/>
      <c r="L18" s="310"/>
      <c r="M18" s="276"/>
      <c r="N18" s="280"/>
    </row>
    <row r="19" spans="1:16" x14ac:dyDescent="0.2">
      <c r="A19" s="273"/>
      <c r="B19" s="274"/>
      <c r="C19" s="311">
        <v>2.2000000000000002</v>
      </c>
      <c r="D19" s="312" t="s">
        <v>439</v>
      </c>
      <c r="E19" s="313"/>
      <c r="F19" s="283"/>
      <c r="G19" s="288"/>
      <c r="H19" s="276"/>
      <c r="I19" s="276"/>
      <c r="J19" s="276"/>
      <c r="K19" s="276"/>
      <c r="L19" s="285"/>
      <c r="M19" s="276"/>
      <c r="N19" s="280"/>
    </row>
    <row r="20" spans="1:16" x14ac:dyDescent="0.2">
      <c r="A20" s="273"/>
      <c r="B20" s="274"/>
      <c r="C20" s="275"/>
      <c r="D20" s="311"/>
      <c r="E20" s="290"/>
      <c r="F20" s="313"/>
      <c r="G20" s="288"/>
      <c r="H20" s="276"/>
      <c r="I20" s="276"/>
      <c r="J20" s="276"/>
      <c r="K20" s="276"/>
      <c r="L20" s="285"/>
      <c r="M20" s="276"/>
      <c r="N20" s="280"/>
    </row>
    <row r="21" spans="1:16" x14ac:dyDescent="0.2">
      <c r="A21" s="273"/>
      <c r="B21" s="274"/>
      <c r="C21" s="275"/>
      <c r="D21" s="477" t="s">
        <v>440</v>
      </c>
      <c r="E21" s="479" t="s">
        <v>425</v>
      </c>
      <c r="F21" s="480"/>
      <c r="G21" s="483" t="s">
        <v>441</v>
      </c>
      <c r="H21" s="485" t="s">
        <v>442</v>
      </c>
      <c r="I21" s="486"/>
      <c r="J21" s="485" t="s">
        <v>443</v>
      </c>
      <c r="K21" s="486"/>
      <c r="L21" s="474" t="s">
        <v>444</v>
      </c>
      <c r="M21" s="314"/>
      <c r="N21" s="280"/>
    </row>
    <row r="22" spans="1:16" ht="25.5" x14ac:dyDescent="0.2">
      <c r="A22" s="273"/>
      <c r="B22" s="274"/>
      <c r="C22" s="275"/>
      <c r="D22" s="478"/>
      <c r="E22" s="481"/>
      <c r="F22" s="482"/>
      <c r="G22" s="484"/>
      <c r="H22" s="315" t="s">
        <v>445</v>
      </c>
      <c r="I22" s="316" t="s">
        <v>446</v>
      </c>
      <c r="J22" s="315" t="s">
        <v>447</v>
      </c>
      <c r="K22" s="315" t="s">
        <v>446</v>
      </c>
      <c r="L22" s="474"/>
      <c r="M22" s="314"/>
      <c r="N22" s="280"/>
    </row>
    <row r="23" spans="1:16" x14ac:dyDescent="0.2">
      <c r="A23" s="273"/>
      <c r="B23" s="274"/>
      <c r="C23" s="275"/>
      <c r="D23" s="299"/>
      <c r="E23" s="331" t="s">
        <v>434</v>
      </c>
      <c r="F23" s="299"/>
      <c r="G23" s="301">
        <f>SUM(G24)</f>
        <v>3293348.4600000004</v>
      </c>
      <c r="H23" s="301">
        <f>SUM(H24)</f>
        <v>1138215.5270000002</v>
      </c>
      <c r="I23" s="317"/>
      <c r="J23" s="301"/>
      <c r="K23" s="301"/>
      <c r="L23" s="301">
        <f>SUM(L24)</f>
        <v>4431563.9870000007</v>
      </c>
      <c r="M23" s="314"/>
      <c r="N23" s="280"/>
    </row>
    <row r="24" spans="1:16" x14ac:dyDescent="0.2">
      <c r="A24" s="273"/>
      <c r="B24" s="274"/>
      <c r="C24" s="275"/>
      <c r="D24" s="299"/>
      <c r="E24" s="331" t="str">
        <f>E10</f>
        <v>-Ne shfrytezim</v>
      </c>
      <c r="F24" s="299"/>
      <c r="G24" s="302">
        <v>3293348.4600000004</v>
      </c>
      <c r="H24" s="302">
        <v>1138215.5270000002</v>
      </c>
      <c r="I24" s="317"/>
      <c r="J24" s="301"/>
      <c r="K24" s="301"/>
      <c r="L24" s="302">
        <f>G24+H24+I24-J24-K24</f>
        <v>4431563.9870000007</v>
      </c>
      <c r="M24" s="314"/>
      <c r="N24" s="280"/>
    </row>
    <row r="25" spans="1:16" ht="12.75" customHeight="1" x14ac:dyDescent="0.2">
      <c r="A25" s="273"/>
      <c r="B25" s="274"/>
      <c r="C25" s="275"/>
      <c r="D25" s="299">
        <v>2</v>
      </c>
      <c r="E25" s="299" t="str">
        <f>E11</f>
        <v>Makineri e pajisje:</v>
      </c>
      <c r="F25" s="299"/>
      <c r="G25" s="301">
        <f t="shared" ref="G25:L25" si="5">SUM(G26:G26)</f>
        <v>25411039.179378964</v>
      </c>
      <c r="H25" s="301">
        <f t="shared" si="5"/>
        <v>3289890.8794863401</v>
      </c>
      <c r="I25" s="301">
        <f t="shared" si="5"/>
        <v>0</v>
      </c>
      <c r="J25" s="301">
        <f t="shared" si="5"/>
        <v>0</v>
      </c>
      <c r="K25" s="301">
        <f t="shared" si="5"/>
        <v>0</v>
      </c>
      <c r="L25" s="301">
        <f t="shared" si="5"/>
        <v>28700930.058865305</v>
      </c>
      <c r="M25" s="314"/>
      <c r="N25" s="280"/>
    </row>
    <row r="26" spans="1:16" ht="12.75" customHeight="1" x14ac:dyDescent="0.2">
      <c r="A26" s="273"/>
      <c r="B26" s="274"/>
      <c r="C26" s="275"/>
      <c r="D26" s="299"/>
      <c r="E26" s="299" t="s">
        <v>436</v>
      </c>
      <c r="F26" s="299"/>
      <c r="G26" s="302">
        <v>25411039.179378964</v>
      </c>
      <c r="H26" s="318">
        <v>3289890.8794863401</v>
      </c>
      <c r="I26" s="318"/>
      <c r="J26" s="302"/>
      <c r="K26" s="302"/>
      <c r="L26" s="302">
        <f>G26+H26+I26-J26-K26</f>
        <v>28700930.058865305</v>
      </c>
      <c r="M26" s="314"/>
      <c r="N26" s="280"/>
    </row>
    <row r="27" spans="1:16" x14ac:dyDescent="0.2">
      <c r="A27" s="273"/>
      <c r="B27" s="274"/>
      <c r="C27" s="275"/>
      <c r="D27" s="299">
        <v>3</v>
      </c>
      <c r="E27" s="299" t="s">
        <v>437</v>
      </c>
      <c r="F27" s="299"/>
      <c r="G27" s="301">
        <f t="shared" ref="G27:L27" si="6">SUM(G28:G29)</f>
        <v>740536.54336308152</v>
      </c>
      <c r="H27" s="301">
        <f t="shared" si="6"/>
        <v>272387.89012272411</v>
      </c>
      <c r="I27" s="301">
        <f t="shared" si="6"/>
        <v>0</v>
      </c>
      <c r="J27" s="301">
        <f t="shared" si="6"/>
        <v>0</v>
      </c>
      <c r="K27" s="301">
        <f t="shared" si="6"/>
        <v>0</v>
      </c>
      <c r="L27" s="301">
        <f t="shared" si="6"/>
        <v>1012924.4334858056</v>
      </c>
      <c r="M27" s="314"/>
      <c r="N27" s="280"/>
    </row>
    <row r="28" spans="1:16" x14ac:dyDescent="0.2">
      <c r="A28" s="273"/>
      <c r="B28" s="274"/>
      <c r="C28" s="275"/>
      <c r="D28" s="299"/>
      <c r="E28" s="299" t="str">
        <f>E15</f>
        <v xml:space="preserve"> - Pajisje kompjuterike</v>
      </c>
      <c r="F28" s="299"/>
      <c r="G28" s="302">
        <v>465904.14697952149</v>
      </c>
      <c r="H28" s="318">
        <v>114476.25466139082</v>
      </c>
      <c r="I28" s="318"/>
      <c r="J28" s="302"/>
      <c r="K28" s="302"/>
      <c r="L28" s="302">
        <f>G28+H28+I28-J28-K28</f>
        <v>580380.40164091229</v>
      </c>
      <c r="M28" s="314"/>
      <c r="N28" s="280"/>
    </row>
    <row r="29" spans="1:16" x14ac:dyDescent="0.2">
      <c r="A29" s="273"/>
      <c r="B29" s="274"/>
      <c r="C29" s="275"/>
      <c r="D29" s="299"/>
      <c r="E29" s="299" t="str">
        <f>E16</f>
        <v xml:space="preserve"> - Të tjera paisje zyre</v>
      </c>
      <c r="F29" s="299"/>
      <c r="G29" s="302">
        <v>274632.39638356003</v>
      </c>
      <c r="H29" s="302">
        <v>157911.63546133332</v>
      </c>
      <c r="I29" s="318"/>
      <c r="J29" s="302"/>
      <c r="K29" s="302"/>
      <c r="L29" s="302">
        <f>G29+H29+I29-J29-K29</f>
        <v>432544.03184489335</v>
      </c>
      <c r="M29" s="314"/>
      <c r="N29" s="280"/>
    </row>
    <row r="30" spans="1:16" x14ac:dyDescent="0.2">
      <c r="A30" s="273"/>
      <c r="B30" s="274"/>
      <c r="C30" s="275"/>
      <c r="D30" s="319"/>
      <c r="E30" s="320"/>
      <c r="F30" s="321"/>
      <c r="G30" s="322"/>
      <c r="H30" s="318"/>
      <c r="I30" s="318"/>
      <c r="J30" s="302"/>
      <c r="K30" s="302"/>
      <c r="L30" s="302"/>
      <c r="M30" s="314"/>
      <c r="N30" s="280"/>
    </row>
    <row r="31" spans="1:16" x14ac:dyDescent="0.2">
      <c r="A31" s="273"/>
      <c r="B31" s="274"/>
      <c r="C31" s="275"/>
      <c r="D31" s="323"/>
      <c r="E31" s="324" t="s">
        <v>438</v>
      </c>
      <c r="F31" s="324"/>
      <c r="G31" s="301">
        <f>G23+G25+G27</f>
        <v>29444924.182742048</v>
      </c>
      <c r="H31" s="301">
        <f>H23+H25+H27</f>
        <v>4700494.2966090636</v>
      </c>
      <c r="I31" s="301">
        <f>I23+I25+I27</f>
        <v>0</v>
      </c>
      <c r="J31" s="301">
        <f t="shared" ref="J31:L31" si="7">J23+J25+J27</f>
        <v>0</v>
      </c>
      <c r="K31" s="301">
        <f t="shared" si="7"/>
        <v>0</v>
      </c>
      <c r="L31" s="301">
        <f t="shared" si="7"/>
        <v>34145418.479351111</v>
      </c>
      <c r="M31" s="314"/>
      <c r="N31" s="280"/>
    </row>
  </sheetData>
  <mergeCells count="13">
    <mergeCell ref="L21:L22"/>
    <mergeCell ref="E9:F9"/>
    <mergeCell ref="E10:F10"/>
    <mergeCell ref="D21:D22"/>
    <mergeCell ref="E21:F22"/>
    <mergeCell ref="G21:G22"/>
    <mergeCell ref="H21:I21"/>
    <mergeCell ref="J21:K21"/>
    <mergeCell ref="D5:D6"/>
    <mergeCell ref="E5:F6"/>
    <mergeCell ref="G5:J5"/>
    <mergeCell ref="K5:K6"/>
    <mergeCell ref="L5:L6"/>
  </mergeCells>
  <pageMargins left="0.7" right="0.7" top="0.75" bottom="0.75" header="0.3" footer="0.3"/>
  <pageSetup scale="90" orientation="landscape" horizontalDpi="1200" verticalDpi="1200" r:id="rId1"/>
  <ignoredErrors>
    <ignoredError sqref="H11:L17 L25:L2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Z210"/>
  <sheetViews>
    <sheetView view="pageBreakPreview" topLeftCell="A172" zoomScaleSheetLayoutView="100" workbookViewId="0">
      <selection activeCell="W64" sqref="W64"/>
    </sheetView>
  </sheetViews>
  <sheetFormatPr defaultRowHeight="15.75" x14ac:dyDescent="0.25"/>
  <cols>
    <col min="1" max="1" width="7.85546875" style="264" customWidth="1"/>
    <col min="2" max="2" width="28.7109375" style="16" customWidth="1"/>
    <col min="3" max="3" width="13.42578125" style="16" hidden="1" customWidth="1"/>
    <col min="4" max="4" width="12.85546875" style="16" hidden="1" customWidth="1"/>
    <col min="5" max="5" width="11.28515625" style="16" hidden="1" customWidth="1"/>
    <col min="6" max="7" width="14.42578125" style="16" hidden="1" customWidth="1"/>
    <col min="8" max="8" width="13.28515625" style="16" hidden="1" customWidth="1"/>
    <col min="9" max="9" width="12.42578125" style="16" hidden="1" customWidth="1"/>
    <col min="10" max="10" width="12.28515625" style="16" hidden="1" customWidth="1"/>
    <col min="11" max="11" width="13.140625" style="16" hidden="1" customWidth="1"/>
    <col min="12" max="12" width="12.5703125" style="16" hidden="1" customWidth="1"/>
    <col min="13" max="13" width="12.7109375" style="16" hidden="1" customWidth="1"/>
    <col min="14" max="14" width="11.85546875" style="16" hidden="1" customWidth="1"/>
    <col min="15" max="15" width="13.42578125" style="16" hidden="1" customWidth="1"/>
    <col min="16" max="16" width="11.140625" style="66" hidden="1" customWidth="1"/>
    <col min="17" max="17" width="12.42578125" style="16" hidden="1" customWidth="1"/>
    <col min="18" max="18" width="14.7109375" style="16" hidden="1" customWidth="1"/>
    <col min="19" max="19" width="11.5703125" style="16" hidden="1" customWidth="1"/>
    <col min="20" max="20" width="15.28515625" style="16" hidden="1" customWidth="1"/>
    <col min="21" max="21" width="6.5703125" style="16" customWidth="1"/>
    <col min="22" max="22" width="4.7109375" style="16" customWidth="1"/>
    <col min="23" max="23" width="12" style="16" customWidth="1"/>
    <col min="24" max="24" width="11.42578125" style="16" customWidth="1"/>
    <col min="25" max="25" width="12" style="16" customWidth="1"/>
    <col min="26" max="26" width="13.7109375" style="66" customWidth="1"/>
    <col min="27" max="229" width="9.140625" style="16"/>
    <col min="230" max="230" width="5" style="16" customWidth="1"/>
    <col min="231" max="231" width="28.7109375" style="16" customWidth="1"/>
    <col min="232" max="240" width="0" style="16" hidden="1" customWidth="1"/>
    <col min="241" max="241" width="12.5703125" style="16" customWidth="1"/>
    <col min="242" max="242" width="11" style="16" customWidth="1"/>
    <col min="243" max="243" width="11.85546875" style="16" customWidth="1"/>
    <col min="244" max="244" width="13.42578125" style="16" customWidth="1"/>
    <col min="245" max="245" width="9.140625" style="16"/>
    <col min="246" max="246" width="12.42578125" style="16" bestFit="1" customWidth="1"/>
    <col min="247" max="247" width="14.7109375" style="16" customWidth="1"/>
    <col min="248" max="248" width="12" style="16" bestFit="1" customWidth="1"/>
    <col min="249" max="249" width="14.42578125" style="16" customWidth="1"/>
    <col min="250" max="250" width="15.140625" style="16" customWidth="1"/>
    <col min="251" max="251" width="16.5703125" style="16" customWidth="1"/>
    <col min="252" max="485" width="9.140625" style="16"/>
    <col min="486" max="486" width="5" style="16" customWidth="1"/>
    <col min="487" max="487" width="28.7109375" style="16" customWidth="1"/>
    <col min="488" max="496" width="0" style="16" hidden="1" customWidth="1"/>
    <col min="497" max="497" width="12.5703125" style="16" customWidth="1"/>
    <col min="498" max="498" width="11" style="16" customWidth="1"/>
    <col min="499" max="499" width="11.85546875" style="16" customWidth="1"/>
    <col min="500" max="500" width="13.42578125" style="16" customWidth="1"/>
    <col min="501" max="501" width="9.140625" style="16"/>
    <col min="502" max="502" width="12.42578125" style="16" bestFit="1" customWidth="1"/>
    <col min="503" max="503" width="14.7109375" style="16" customWidth="1"/>
    <col min="504" max="504" width="12" style="16" bestFit="1" customWidth="1"/>
    <col min="505" max="505" width="14.42578125" style="16" customWidth="1"/>
    <col min="506" max="506" width="15.140625" style="16" customWidth="1"/>
    <col min="507" max="507" width="16.5703125" style="16" customWidth="1"/>
    <col min="508" max="741" width="9.140625" style="16"/>
    <col min="742" max="742" width="5" style="16" customWidth="1"/>
    <col min="743" max="743" width="28.7109375" style="16" customWidth="1"/>
    <col min="744" max="752" width="0" style="16" hidden="1" customWidth="1"/>
    <col min="753" max="753" width="12.5703125" style="16" customWidth="1"/>
    <col min="754" max="754" width="11" style="16" customWidth="1"/>
    <col min="755" max="755" width="11.85546875" style="16" customWidth="1"/>
    <col min="756" max="756" width="13.42578125" style="16" customWidth="1"/>
    <col min="757" max="757" width="9.140625" style="16"/>
    <col min="758" max="758" width="12.42578125" style="16" bestFit="1" customWidth="1"/>
    <col min="759" max="759" width="14.7109375" style="16" customWidth="1"/>
    <col min="760" max="760" width="12" style="16" bestFit="1" customWidth="1"/>
    <col min="761" max="761" width="14.42578125" style="16" customWidth="1"/>
    <col min="762" max="762" width="15.140625" style="16" customWidth="1"/>
    <col min="763" max="763" width="16.5703125" style="16" customWidth="1"/>
    <col min="764" max="997" width="9.140625" style="16"/>
    <col min="998" max="998" width="5" style="16" customWidth="1"/>
    <col min="999" max="999" width="28.7109375" style="16" customWidth="1"/>
    <col min="1000" max="1008" width="0" style="16" hidden="1" customWidth="1"/>
    <col min="1009" max="1009" width="12.5703125" style="16" customWidth="1"/>
    <col min="1010" max="1010" width="11" style="16" customWidth="1"/>
    <col min="1011" max="1011" width="11.85546875" style="16" customWidth="1"/>
    <col min="1012" max="1012" width="13.42578125" style="16" customWidth="1"/>
    <col min="1013" max="1013" width="9.140625" style="16"/>
    <col min="1014" max="1014" width="12.42578125" style="16" bestFit="1" customWidth="1"/>
    <col min="1015" max="1015" width="14.7109375" style="16" customWidth="1"/>
    <col min="1016" max="1016" width="12" style="16" bestFit="1" customWidth="1"/>
    <col min="1017" max="1017" width="14.42578125" style="16" customWidth="1"/>
    <col min="1018" max="1018" width="15.140625" style="16" customWidth="1"/>
    <col min="1019" max="1019" width="16.5703125" style="16" customWidth="1"/>
    <col min="1020" max="1253" width="9.140625" style="16"/>
    <col min="1254" max="1254" width="5" style="16" customWidth="1"/>
    <col min="1255" max="1255" width="28.7109375" style="16" customWidth="1"/>
    <col min="1256" max="1264" width="0" style="16" hidden="1" customWidth="1"/>
    <col min="1265" max="1265" width="12.5703125" style="16" customWidth="1"/>
    <col min="1266" max="1266" width="11" style="16" customWidth="1"/>
    <col min="1267" max="1267" width="11.85546875" style="16" customWidth="1"/>
    <col min="1268" max="1268" width="13.42578125" style="16" customWidth="1"/>
    <col min="1269" max="1269" width="9.140625" style="16"/>
    <col min="1270" max="1270" width="12.42578125" style="16" bestFit="1" customWidth="1"/>
    <col min="1271" max="1271" width="14.7109375" style="16" customWidth="1"/>
    <col min="1272" max="1272" width="12" style="16" bestFit="1" customWidth="1"/>
    <col min="1273" max="1273" width="14.42578125" style="16" customWidth="1"/>
    <col min="1274" max="1274" width="15.140625" style="16" customWidth="1"/>
    <col min="1275" max="1275" width="16.5703125" style="16" customWidth="1"/>
    <col min="1276" max="1509" width="9.140625" style="16"/>
    <col min="1510" max="1510" width="5" style="16" customWidth="1"/>
    <col min="1511" max="1511" width="28.7109375" style="16" customWidth="1"/>
    <col min="1512" max="1520" width="0" style="16" hidden="1" customWidth="1"/>
    <col min="1521" max="1521" width="12.5703125" style="16" customWidth="1"/>
    <col min="1522" max="1522" width="11" style="16" customWidth="1"/>
    <col min="1523" max="1523" width="11.85546875" style="16" customWidth="1"/>
    <col min="1524" max="1524" width="13.42578125" style="16" customWidth="1"/>
    <col min="1525" max="1525" width="9.140625" style="16"/>
    <col min="1526" max="1526" width="12.42578125" style="16" bestFit="1" customWidth="1"/>
    <col min="1527" max="1527" width="14.7109375" style="16" customWidth="1"/>
    <col min="1528" max="1528" width="12" style="16" bestFit="1" customWidth="1"/>
    <col min="1529" max="1529" width="14.42578125" style="16" customWidth="1"/>
    <col min="1530" max="1530" width="15.140625" style="16" customWidth="1"/>
    <col min="1531" max="1531" width="16.5703125" style="16" customWidth="1"/>
    <col min="1532" max="1765" width="9.140625" style="16"/>
    <col min="1766" max="1766" width="5" style="16" customWidth="1"/>
    <col min="1767" max="1767" width="28.7109375" style="16" customWidth="1"/>
    <col min="1768" max="1776" width="0" style="16" hidden="1" customWidth="1"/>
    <col min="1777" max="1777" width="12.5703125" style="16" customWidth="1"/>
    <col min="1778" max="1778" width="11" style="16" customWidth="1"/>
    <col min="1779" max="1779" width="11.85546875" style="16" customWidth="1"/>
    <col min="1780" max="1780" width="13.42578125" style="16" customWidth="1"/>
    <col min="1781" max="1781" width="9.140625" style="16"/>
    <col min="1782" max="1782" width="12.42578125" style="16" bestFit="1" customWidth="1"/>
    <col min="1783" max="1783" width="14.7109375" style="16" customWidth="1"/>
    <col min="1784" max="1784" width="12" style="16" bestFit="1" customWidth="1"/>
    <col min="1785" max="1785" width="14.42578125" style="16" customWidth="1"/>
    <col min="1786" max="1786" width="15.140625" style="16" customWidth="1"/>
    <col min="1787" max="1787" width="16.5703125" style="16" customWidth="1"/>
    <col min="1788" max="2021" width="9.140625" style="16"/>
    <col min="2022" max="2022" width="5" style="16" customWidth="1"/>
    <col min="2023" max="2023" width="28.7109375" style="16" customWidth="1"/>
    <col min="2024" max="2032" width="0" style="16" hidden="1" customWidth="1"/>
    <col min="2033" max="2033" width="12.5703125" style="16" customWidth="1"/>
    <col min="2034" max="2034" width="11" style="16" customWidth="1"/>
    <col min="2035" max="2035" width="11.85546875" style="16" customWidth="1"/>
    <col min="2036" max="2036" width="13.42578125" style="16" customWidth="1"/>
    <col min="2037" max="2037" width="9.140625" style="16"/>
    <col min="2038" max="2038" width="12.42578125" style="16" bestFit="1" customWidth="1"/>
    <col min="2039" max="2039" width="14.7109375" style="16" customWidth="1"/>
    <col min="2040" max="2040" width="12" style="16" bestFit="1" customWidth="1"/>
    <col min="2041" max="2041" width="14.42578125" style="16" customWidth="1"/>
    <col min="2042" max="2042" width="15.140625" style="16" customWidth="1"/>
    <col min="2043" max="2043" width="16.5703125" style="16" customWidth="1"/>
    <col min="2044" max="2277" width="9.140625" style="16"/>
    <col min="2278" max="2278" width="5" style="16" customWidth="1"/>
    <col min="2279" max="2279" width="28.7109375" style="16" customWidth="1"/>
    <col min="2280" max="2288" width="0" style="16" hidden="1" customWidth="1"/>
    <col min="2289" max="2289" width="12.5703125" style="16" customWidth="1"/>
    <col min="2290" max="2290" width="11" style="16" customWidth="1"/>
    <col min="2291" max="2291" width="11.85546875" style="16" customWidth="1"/>
    <col min="2292" max="2292" width="13.42578125" style="16" customWidth="1"/>
    <col min="2293" max="2293" width="9.140625" style="16"/>
    <col min="2294" max="2294" width="12.42578125" style="16" bestFit="1" customWidth="1"/>
    <col min="2295" max="2295" width="14.7109375" style="16" customWidth="1"/>
    <col min="2296" max="2296" width="12" style="16" bestFit="1" customWidth="1"/>
    <col min="2297" max="2297" width="14.42578125" style="16" customWidth="1"/>
    <col min="2298" max="2298" width="15.140625" style="16" customWidth="1"/>
    <col min="2299" max="2299" width="16.5703125" style="16" customWidth="1"/>
    <col min="2300" max="2533" width="9.140625" style="16"/>
    <col min="2534" max="2534" width="5" style="16" customWidth="1"/>
    <col min="2535" max="2535" width="28.7109375" style="16" customWidth="1"/>
    <col min="2536" max="2544" width="0" style="16" hidden="1" customWidth="1"/>
    <col min="2545" max="2545" width="12.5703125" style="16" customWidth="1"/>
    <col min="2546" max="2546" width="11" style="16" customWidth="1"/>
    <col min="2547" max="2547" width="11.85546875" style="16" customWidth="1"/>
    <col min="2548" max="2548" width="13.42578125" style="16" customWidth="1"/>
    <col min="2549" max="2549" width="9.140625" style="16"/>
    <col min="2550" max="2550" width="12.42578125" style="16" bestFit="1" customWidth="1"/>
    <col min="2551" max="2551" width="14.7109375" style="16" customWidth="1"/>
    <col min="2552" max="2552" width="12" style="16" bestFit="1" customWidth="1"/>
    <col min="2553" max="2553" width="14.42578125" style="16" customWidth="1"/>
    <col min="2554" max="2554" width="15.140625" style="16" customWidth="1"/>
    <col min="2555" max="2555" width="16.5703125" style="16" customWidth="1"/>
    <col min="2556" max="2789" width="9.140625" style="16"/>
    <col min="2790" max="2790" width="5" style="16" customWidth="1"/>
    <col min="2791" max="2791" width="28.7109375" style="16" customWidth="1"/>
    <col min="2792" max="2800" width="0" style="16" hidden="1" customWidth="1"/>
    <col min="2801" max="2801" width="12.5703125" style="16" customWidth="1"/>
    <col min="2802" max="2802" width="11" style="16" customWidth="1"/>
    <col min="2803" max="2803" width="11.85546875" style="16" customWidth="1"/>
    <col min="2804" max="2804" width="13.42578125" style="16" customWidth="1"/>
    <col min="2805" max="2805" width="9.140625" style="16"/>
    <col min="2806" max="2806" width="12.42578125" style="16" bestFit="1" customWidth="1"/>
    <col min="2807" max="2807" width="14.7109375" style="16" customWidth="1"/>
    <col min="2808" max="2808" width="12" style="16" bestFit="1" customWidth="1"/>
    <col min="2809" max="2809" width="14.42578125" style="16" customWidth="1"/>
    <col min="2810" max="2810" width="15.140625" style="16" customWidth="1"/>
    <col min="2811" max="2811" width="16.5703125" style="16" customWidth="1"/>
    <col min="2812" max="3045" width="9.140625" style="16"/>
    <col min="3046" max="3046" width="5" style="16" customWidth="1"/>
    <col min="3047" max="3047" width="28.7109375" style="16" customWidth="1"/>
    <col min="3048" max="3056" width="0" style="16" hidden="1" customWidth="1"/>
    <col min="3057" max="3057" width="12.5703125" style="16" customWidth="1"/>
    <col min="3058" max="3058" width="11" style="16" customWidth="1"/>
    <col min="3059" max="3059" width="11.85546875" style="16" customWidth="1"/>
    <col min="3060" max="3060" width="13.42578125" style="16" customWidth="1"/>
    <col min="3061" max="3061" width="9.140625" style="16"/>
    <col min="3062" max="3062" width="12.42578125" style="16" bestFit="1" customWidth="1"/>
    <col min="3063" max="3063" width="14.7109375" style="16" customWidth="1"/>
    <col min="3064" max="3064" width="12" style="16" bestFit="1" customWidth="1"/>
    <col min="3065" max="3065" width="14.42578125" style="16" customWidth="1"/>
    <col min="3066" max="3066" width="15.140625" style="16" customWidth="1"/>
    <col min="3067" max="3067" width="16.5703125" style="16" customWidth="1"/>
    <col min="3068" max="3301" width="9.140625" style="16"/>
    <col min="3302" max="3302" width="5" style="16" customWidth="1"/>
    <col min="3303" max="3303" width="28.7109375" style="16" customWidth="1"/>
    <col min="3304" max="3312" width="0" style="16" hidden="1" customWidth="1"/>
    <col min="3313" max="3313" width="12.5703125" style="16" customWidth="1"/>
    <col min="3314" max="3314" width="11" style="16" customWidth="1"/>
    <col min="3315" max="3315" width="11.85546875" style="16" customWidth="1"/>
    <col min="3316" max="3316" width="13.42578125" style="16" customWidth="1"/>
    <col min="3317" max="3317" width="9.140625" style="16"/>
    <col min="3318" max="3318" width="12.42578125" style="16" bestFit="1" customWidth="1"/>
    <col min="3319" max="3319" width="14.7109375" style="16" customWidth="1"/>
    <col min="3320" max="3320" width="12" style="16" bestFit="1" customWidth="1"/>
    <col min="3321" max="3321" width="14.42578125" style="16" customWidth="1"/>
    <col min="3322" max="3322" width="15.140625" style="16" customWidth="1"/>
    <col min="3323" max="3323" width="16.5703125" style="16" customWidth="1"/>
    <col min="3324" max="3557" width="9.140625" style="16"/>
    <col min="3558" max="3558" width="5" style="16" customWidth="1"/>
    <col min="3559" max="3559" width="28.7109375" style="16" customWidth="1"/>
    <col min="3560" max="3568" width="0" style="16" hidden="1" customWidth="1"/>
    <col min="3569" max="3569" width="12.5703125" style="16" customWidth="1"/>
    <col min="3570" max="3570" width="11" style="16" customWidth="1"/>
    <col min="3571" max="3571" width="11.85546875" style="16" customWidth="1"/>
    <col min="3572" max="3572" width="13.42578125" style="16" customWidth="1"/>
    <col min="3573" max="3573" width="9.140625" style="16"/>
    <col min="3574" max="3574" width="12.42578125" style="16" bestFit="1" customWidth="1"/>
    <col min="3575" max="3575" width="14.7109375" style="16" customWidth="1"/>
    <col min="3576" max="3576" width="12" style="16" bestFit="1" customWidth="1"/>
    <col min="3577" max="3577" width="14.42578125" style="16" customWidth="1"/>
    <col min="3578" max="3578" width="15.140625" style="16" customWidth="1"/>
    <col min="3579" max="3579" width="16.5703125" style="16" customWidth="1"/>
    <col min="3580" max="3813" width="9.140625" style="16"/>
    <col min="3814" max="3814" width="5" style="16" customWidth="1"/>
    <col min="3815" max="3815" width="28.7109375" style="16" customWidth="1"/>
    <col min="3816" max="3824" width="0" style="16" hidden="1" customWidth="1"/>
    <col min="3825" max="3825" width="12.5703125" style="16" customWidth="1"/>
    <col min="3826" max="3826" width="11" style="16" customWidth="1"/>
    <col min="3827" max="3827" width="11.85546875" style="16" customWidth="1"/>
    <col min="3828" max="3828" width="13.42578125" style="16" customWidth="1"/>
    <col min="3829" max="3829" width="9.140625" style="16"/>
    <col min="3830" max="3830" width="12.42578125" style="16" bestFit="1" customWidth="1"/>
    <col min="3831" max="3831" width="14.7109375" style="16" customWidth="1"/>
    <col min="3832" max="3832" width="12" style="16" bestFit="1" customWidth="1"/>
    <col min="3833" max="3833" width="14.42578125" style="16" customWidth="1"/>
    <col min="3834" max="3834" width="15.140625" style="16" customWidth="1"/>
    <col min="3835" max="3835" width="16.5703125" style="16" customWidth="1"/>
    <col min="3836" max="4069" width="9.140625" style="16"/>
    <col min="4070" max="4070" width="5" style="16" customWidth="1"/>
    <col min="4071" max="4071" width="28.7109375" style="16" customWidth="1"/>
    <col min="4072" max="4080" width="0" style="16" hidden="1" customWidth="1"/>
    <col min="4081" max="4081" width="12.5703125" style="16" customWidth="1"/>
    <col min="4082" max="4082" width="11" style="16" customWidth="1"/>
    <col min="4083" max="4083" width="11.85546875" style="16" customWidth="1"/>
    <col min="4084" max="4084" width="13.42578125" style="16" customWidth="1"/>
    <col min="4085" max="4085" width="9.140625" style="16"/>
    <col min="4086" max="4086" width="12.42578125" style="16" bestFit="1" customWidth="1"/>
    <col min="4087" max="4087" width="14.7109375" style="16" customWidth="1"/>
    <col min="4088" max="4088" width="12" style="16" bestFit="1" customWidth="1"/>
    <col min="4089" max="4089" width="14.42578125" style="16" customWidth="1"/>
    <col min="4090" max="4090" width="15.140625" style="16" customWidth="1"/>
    <col min="4091" max="4091" width="16.5703125" style="16" customWidth="1"/>
    <col min="4092" max="4325" width="9.140625" style="16"/>
    <col min="4326" max="4326" width="5" style="16" customWidth="1"/>
    <col min="4327" max="4327" width="28.7109375" style="16" customWidth="1"/>
    <col min="4328" max="4336" width="0" style="16" hidden="1" customWidth="1"/>
    <col min="4337" max="4337" width="12.5703125" style="16" customWidth="1"/>
    <col min="4338" max="4338" width="11" style="16" customWidth="1"/>
    <col min="4339" max="4339" width="11.85546875" style="16" customWidth="1"/>
    <col min="4340" max="4340" width="13.42578125" style="16" customWidth="1"/>
    <col min="4341" max="4341" width="9.140625" style="16"/>
    <col min="4342" max="4342" width="12.42578125" style="16" bestFit="1" customWidth="1"/>
    <col min="4343" max="4343" width="14.7109375" style="16" customWidth="1"/>
    <col min="4344" max="4344" width="12" style="16" bestFit="1" customWidth="1"/>
    <col min="4345" max="4345" width="14.42578125" style="16" customWidth="1"/>
    <col min="4346" max="4346" width="15.140625" style="16" customWidth="1"/>
    <col min="4347" max="4347" width="16.5703125" style="16" customWidth="1"/>
    <col min="4348" max="4581" width="9.140625" style="16"/>
    <col min="4582" max="4582" width="5" style="16" customWidth="1"/>
    <col min="4583" max="4583" width="28.7109375" style="16" customWidth="1"/>
    <col min="4584" max="4592" width="0" style="16" hidden="1" customWidth="1"/>
    <col min="4593" max="4593" width="12.5703125" style="16" customWidth="1"/>
    <col min="4594" max="4594" width="11" style="16" customWidth="1"/>
    <col min="4595" max="4595" width="11.85546875" style="16" customWidth="1"/>
    <col min="4596" max="4596" width="13.42578125" style="16" customWidth="1"/>
    <col min="4597" max="4597" width="9.140625" style="16"/>
    <col min="4598" max="4598" width="12.42578125" style="16" bestFit="1" customWidth="1"/>
    <col min="4599" max="4599" width="14.7109375" style="16" customWidth="1"/>
    <col min="4600" max="4600" width="12" style="16" bestFit="1" customWidth="1"/>
    <col min="4601" max="4601" width="14.42578125" style="16" customWidth="1"/>
    <col min="4602" max="4602" width="15.140625" style="16" customWidth="1"/>
    <col min="4603" max="4603" width="16.5703125" style="16" customWidth="1"/>
    <col min="4604" max="4837" width="9.140625" style="16"/>
    <col min="4838" max="4838" width="5" style="16" customWidth="1"/>
    <col min="4839" max="4839" width="28.7109375" style="16" customWidth="1"/>
    <col min="4840" max="4848" width="0" style="16" hidden="1" customWidth="1"/>
    <col min="4849" max="4849" width="12.5703125" style="16" customWidth="1"/>
    <col min="4850" max="4850" width="11" style="16" customWidth="1"/>
    <col min="4851" max="4851" width="11.85546875" style="16" customWidth="1"/>
    <col min="4852" max="4852" width="13.42578125" style="16" customWidth="1"/>
    <col min="4853" max="4853" width="9.140625" style="16"/>
    <col min="4854" max="4854" width="12.42578125" style="16" bestFit="1" customWidth="1"/>
    <col min="4855" max="4855" width="14.7109375" style="16" customWidth="1"/>
    <col min="4856" max="4856" width="12" style="16" bestFit="1" customWidth="1"/>
    <col min="4857" max="4857" width="14.42578125" style="16" customWidth="1"/>
    <col min="4858" max="4858" width="15.140625" style="16" customWidth="1"/>
    <col min="4859" max="4859" width="16.5703125" style="16" customWidth="1"/>
    <col min="4860" max="5093" width="9.140625" style="16"/>
    <col min="5094" max="5094" width="5" style="16" customWidth="1"/>
    <col min="5095" max="5095" width="28.7109375" style="16" customWidth="1"/>
    <col min="5096" max="5104" width="0" style="16" hidden="1" customWidth="1"/>
    <col min="5105" max="5105" width="12.5703125" style="16" customWidth="1"/>
    <col min="5106" max="5106" width="11" style="16" customWidth="1"/>
    <col min="5107" max="5107" width="11.85546875" style="16" customWidth="1"/>
    <col min="5108" max="5108" width="13.42578125" style="16" customWidth="1"/>
    <col min="5109" max="5109" width="9.140625" style="16"/>
    <col min="5110" max="5110" width="12.42578125" style="16" bestFit="1" customWidth="1"/>
    <col min="5111" max="5111" width="14.7109375" style="16" customWidth="1"/>
    <col min="5112" max="5112" width="12" style="16" bestFit="1" customWidth="1"/>
    <col min="5113" max="5113" width="14.42578125" style="16" customWidth="1"/>
    <col min="5114" max="5114" width="15.140625" style="16" customWidth="1"/>
    <col min="5115" max="5115" width="16.5703125" style="16" customWidth="1"/>
    <col min="5116" max="5349" width="9.140625" style="16"/>
    <col min="5350" max="5350" width="5" style="16" customWidth="1"/>
    <col min="5351" max="5351" width="28.7109375" style="16" customWidth="1"/>
    <col min="5352" max="5360" width="0" style="16" hidden="1" customWidth="1"/>
    <col min="5361" max="5361" width="12.5703125" style="16" customWidth="1"/>
    <col min="5362" max="5362" width="11" style="16" customWidth="1"/>
    <col min="5363" max="5363" width="11.85546875" style="16" customWidth="1"/>
    <col min="5364" max="5364" width="13.42578125" style="16" customWidth="1"/>
    <col min="5365" max="5365" width="9.140625" style="16"/>
    <col min="5366" max="5366" width="12.42578125" style="16" bestFit="1" customWidth="1"/>
    <col min="5367" max="5367" width="14.7109375" style="16" customWidth="1"/>
    <col min="5368" max="5368" width="12" style="16" bestFit="1" customWidth="1"/>
    <col min="5369" max="5369" width="14.42578125" style="16" customWidth="1"/>
    <col min="5370" max="5370" width="15.140625" style="16" customWidth="1"/>
    <col min="5371" max="5371" width="16.5703125" style="16" customWidth="1"/>
    <col min="5372" max="5605" width="9.140625" style="16"/>
    <col min="5606" max="5606" width="5" style="16" customWidth="1"/>
    <col min="5607" max="5607" width="28.7109375" style="16" customWidth="1"/>
    <col min="5608" max="5616" width="0" style="16" hidden="1" customWidth="1"/>
    <col min="5617" max="5617" width="12.5703125" style="16" customWidth="1"/>
    <col min="5618" max="5618" width="11" style="16" customWidth="1"/>
    <col min="5619" max="5619" width="11.85546875" style="16" customWidth="1"/>
    <col min="5620" max="5620" width="13.42578125" style="16" customWidth="1"/>
    <col min="5621" max="5621" width="9.140625" style="16"/>
    <col min="5622" max="5622" width="12.42578125" style="16" bestFit="1" customWidth="1"/>
    <col min="5623" max="5623" width="14.7109375" style="16" customWidth="1"/>
    <col min="5624" max="5624" width="12" style="16" bestFit="1" customWidth="1"/>
    <col min="5625" max="5625" width="14.42578125" style="16" customWidth="1"/>
    <col min="5626" max="5626" width="15.140625" style="16" customWidth="1"/>
    <col min="5627" max="5627" width="16.5703125" style="16" customWidth="1"/>
    <col min="5628" max="5861" width="9.140625" style="16"/>
    <col min="5862" max="5862" width="5" style="16" customWidth="1"/>
    <col min="5863" max="5863" width="28.7109375" style="16" customWidth="1"/>
    <col min="5864" max="5872" width="0" style="16" hidden="1" customWidth="1"/>
    <col min="5873" max="5873" width="12.5703125" style="16" customWidth="1"/>
    <col min="5874" max="5874" width="11" style="16" customWidth="1"/>
    <col min="5875" max="5875" width="11.85546875" style="16" customWidth="1"/>
    <col min="5876" max="5876" width="13.42578125" style="16" customWidth="1"/>
    <col min="5877" max="5877" width="9.140625" style="16"/>
    <col min="5878" max="5878" width="12.42578125" style="16" bestFit="1" customWidth="1"/>
    <col min="5879" max="5879" width="14.7109375" style="16" customWidth="1"/>
    <col min="5880" max="5880" width="12" style="16" bestFit="1" customWidth="1"/>
    <col min="5881" max="5881" width="14.42578125" style="16" customWidth="1"/>
    <col min="5882" max="5882" width="15.140625" style="16" customWidth="1"/>
    <col min="5883" max="5883" width="16.5703125" style="16" customWidth="1"/>
    <col min="5884" max="6117" width="9.140625" style="16"/>
    <col min="6118" max="6118" width="5" style="16" customWidth="1"/>
    <col min="6119" max="6119" width="28.7109375" style="16" customWidth="1"/>
    <col min="6120" max="6128" width="0" style="16" hidden="1" customWidth="1"/>
    <col min="6129" max="6129" width="12.5703125" style="16" customWidth="1"/>
    <col min="6130" max="6130" width="11" style="16" customWidth="1"/>
    <col min="6131" max="6131" width="11.85546875" style="16" customWidth="1"/>
    <col min="6132" max="6132" width="13.42578125" style="16" customWidth="1"/>
    <col min="6133" max="6133" width="9.140625" style="16"/>
    <col min="6134" max="6134" width="12.42578125" style="16" bestFit="1" customWidth="1"/>
    <col min="6135" max="6135" width="14.7109375" style="16" customWidth="1"/>
    <col min="6136" max="6136" width="12" style="16" bestFit="1" customWidth="1"/>
    <col min="6137" max="6137" width="14.42578125" style="16" customWidth="1"/>
    <col min="6138" max="6138" width="15.140625" style="16" customWidth="1"/>
    <col min="6139" max="6139" width="16.5703125" style="16" customWidth="1"/>
    <col min="6140" max="6373" width="9.140625" style="16"/>
    <col min="6374" max="6374" width="5" style="16" customWidth="1"/>
    <col min="6375" max="6375" width="28.7109375" style="16" customWidth="1"/>
    <col min="6376" max="6384" width="0" style="16" hidden="1" customWidth="1"/>
    <col min="6385" max="6385" width="12.5703125" style="16" customWidth="1"/>
    <col min="6386" max="6386" width="11" style="16" customWidth="1"/>
    <col min="6387" max="6387" width="11.85546875" style="16" customWidth="1"/>
    <col min="6388" max="6388" width="13.42578125" style="16" customWidth="1"/>
    <col min="6389" max="6389" width="9.140625" style="16"/>
    <col min="6390" max="6390" width="12.42578125" style="16" bestFit="1" customWidth="1"/>
    <col min="6391" max="6391" width="14.7109375" style="16" customWidth="1"/>
    <col min="6392" max="6392" width="12" style="16" bestFit="1" customWidth="1"/>
    <col min="6393" max="6393" width="14.42578125" style="16" customWidth="1"/>
    <col min="6394" max="6394" width="15.140625" style="16" customWidth="1"/>
    <col min="6395" max="6395" width="16.5703125" style="16" customWidth="1"/>
    <col min="6396" max="6629" width="9.140625" style="16"/>
    <col min="6630" max="6630" width="5" style="16" customWidth="1"/>
    <col min="6631" max="6631" width="28.7109375" style="16" customWidth="1"/>
    <col min="6632" max="6640" width="0" style="16" hidden="1" customWidth="1"/>
    <col min="6641" max="6641" width="12.5703125" style="16" customWidth="1"/>
    <col min="6642" max="6642" width="11" style="16" customWidth="1"/>
    <col min="6643" max="6643" width="11.85546875" style="16" customWidth="1"/>
    <col min="6644" max="6644" width="13.42578125" style="16" customWidth="1"/>
    <col min="6645" max="6645" width="9.140625" style="16"/>
    <col min="6646" max="6646" width="12.42578125" style="16" bestFit="1" customWidth="1"/>
    <col min="6647" max="6647" width="14.7109375" style="16" customWidth="1"/>
    <col min="6648" max="6648" width="12" style="16" bestFit="1" customWidth="1"/>
    <col min="6649" max="6649" width="14.42578125" style="16" customWidth="1"/>
    <col min="6650" max="6650" width="15.140625" style="16" customWidth="1"/>
    <col min="6651" max="6651" width="16.5703125" style="16" customWidth="1"/>
    <col min="6652" max="6885" width="9.140625" style="16"/>
    <col min="6886" max="6886" width="5" style="16" customWidth="1"/>
    <col min="6887" max="6887" width="28.7109375" style="16" customWidth="1"/>
    <col min="6888" max="6896" width="0" style="16" hidden="1" customWidth="1"/>
    <col min="6897" max="6897" width="12.5703125" style="16" customWidth="1"/>
    <col min="6898" max="6898" width="11" style="16" customWidth="1"/>
    <col min="6899" max="6899" width="11.85546875" style="16" customWidth="1"/>
    <col min="6900" max="6900" width="13.42578125" style="16" customWidth="1"/>
    <col min="6901" max="6901" width="9.140625" style="16"/>
    <col min="6902" max="6902" width="12.42578125" style="16" bestFit="1" customWidth="1"/>
    <col min="6903" max="6903" width="14.7109375" style="16" customWidth="1"/>
    <col min="6904" max="6904" width="12" style="16" bestFit="1" customWidth="1"/>
    <col min="6905" max="6905" width="14.42578125" style="16" customWidth="1"/>
    <col min="6906" max="6906" width="15.140625" style="16" customWidth="1"/>
    <col min="6907" max="6907" width="16.5703125" style="16" customWidth="1"/>
    <col min="6908" max="7141" width="9.140625" style="16"/>
    <col min="7142" max="7142" width="5" style="16" customWidth="1"/>
    <col min="7143" max="7143" width="28.7109375" style="16" customWidth="1"/>
    <col min="7144" max="7152" width="0" style="16" hidden="1" customWidth="1"/>
    <col min="7153" max="7153" width="12.5703125" style="16" customWidth="1"/>
    <col min="7154" max="7154" width="11" style="16" customWidth="1"/>
    <col min="7155" max="7155" width="11.85546875" style="16" customWidth="1"/>
    <col min="7156" max="7156" width="13.42578125" style="16" customWidth="1"/>
    <col min="7157" max="7157" width="9.140625" style="16"/>
    <col min="7158" max="7158" width="12.42578125" style="16" bestFit="1" customWidth="1"/>
    <col min="7159" max="7159" width="14.7109375" style="16" customWidth="1"/>
    <col min="7160" max="7160" width="12" style="16" bestFit="1" customWidth="1"/>
    <col min="7161" max="7161" width="14.42578125" style="16" customWidth="1"/>
    <col min="7162" max="7162" width="15.140625" style="16" customWidth="1"/>
    <col min="7163" max="7163" width="16.5703125" style="16" customWidth="1"/>
    <col min="7164" max="7397" width="9.140625" style="16"/>
    <col min="7398" max="7398" width="5" style="16" customWidth="1"/>
    <col min="7399" max="7399" width="28.7109375" style="16" customWidth="1"/>
    <col min="7400" max="7408" width="0" style="16" hidden="1" customWidth="1"/>
    <col min="7409" max="7409" width="12.5703125" style="16" customWidth="1"/>
    <col min="7410" max="7410" width="11" style="16" customWidth="1"/>
    <col min="7411" max="7411" width="11.85546875" style="16" customWidth="1"/>
    <col min="7412" max="7412" width="13.42578125" style="16" customWidth="1"/>
    <col min="7413" max="7413" width="9.140625" style="16"/>
    <col min="7414" max="7414" width="12.42578125" style="16" bestFit="1" customWidth="1"/>
    <col min="7415" max="7415" width="14.7109375" style="16" customWidth="1"/>
    <col min="7416" max="7416" width="12" style="16" bestFit="1" customWidth="1"/>
    <col min="7417" max="7417" width="14.42578125" style="16" customWidth="1"/>
    <col min="7418" max="7418" width="15.140625" style="16" customWidth="1"/>
    <col min="7419" max="7419" width="16.5703125" style="16" customWidth="1"/>
    <col min="7420" max="7653" width="9.140625" style="16"/>
    <col min="7654" max="7654" width="5" style="16" customWidth="1"/>
    <col min="7655" max="7655" width="28.7109375" style="16" customWidth="1"/>
    <col min="7656" max="7664" width="0" style="16" hidden="1" customWidth="1"/>
    <col min="7665" max="7665" width="12.5703125" style="16" customWidth="1"/>
    <col min="7666" max="7666" width="11" style="16" customWidth="1"/>
    <col min="7667" max="7667" width="11.85546875" style="16" customWidth="1"/>
    <col min="7668" max="7668" width="13.42578125" style="16" customWidth="1"/>
    <col min="7669" max="7669" width="9.140625" style="16"/>
    <col min="7670" max="7670" width="12.42578125" style="16" bestFit="1" customWidth="1"/>
    <col min="7671" max="7671" width="14.7109375" style="16" customWidth="1"/>
    <col min="7672" max="7672" width="12" style="16" bestFit="1" customWidth="1"/>
    <col min="7673" max="7673" width="14.42578125" style="16" customWidth="1"/>
    <col min="7674" max="7674" width="15.140625" style="16" customWidth="1"/>
    <col min="7675" max="7675" width="16.5703125" style="16" customWidth="1"/>
    <col min="7676" max="7909" width="9.140625" style="16"/>
    <col min="7910" max="7910" width="5" style="16" customWidth="1"/>
    <col min="7911" max="7911" width="28.7109375" style="16" customWidth="1"/>
    <col min="7912" max="7920" width="0" style="16" hidden="1" customWidth="1"/>
    <col min="7921" max="7921" width="12.5703125" style="16" customWidth="1"/>
    <col min="7922" max="7922" width="11" style="16" customWidth="1"/>
    <col min="7923" max="7923" width="11.85546875" style="16" customWidth="1"/>
    <col min="7924" max="7924" width="13.42578125" style="16" customWidth="1"/>
    <col min="7925" max="7925" width="9.140625" style="16"/>
    <col min="7926" max="7926" width="12.42578125" style="16" bestFit="1" customWidth="1"/>
    <col min="7927" max="7927" width="14.7109375" style="16" customWidth="1"/>
    <col min="7928" max="7928" width="12" style="16" bestFit="1" customWidth="1"/>
    <col min="7929" max="7929" width="14.42578125" style="16" customWidth="1"/>
    <col min="7930" max="7930" width="15.140625" style="16" customWidth="1"/>
    <col min="7931" max="7931" width="16.5703125" style="16" customWidth="1"/>
    <col min="7932" max="8165" width="9.140625" style="16"/>
    <col min="8166" max="8166" width="5" style="16" customWidth="1"/>
    <col min="8167" max="8167" width="28.7109375" style="16" customWidth="1"/>
    <col min="8168" max="8176" width="0" style="16" hidden="1" customWidth="1"/>
    <col min="8177" max="8177" width="12.5703125" style="16" customWidth="1"/>
    <col min="8178" max="8178" width="11" style="16" customWidth="1"/>
    <col min="8179" max="8179" width="11.85546875" style="16" customWidth="1"/>
    <col min="8180" max="8180" width="13.42578125" style="16" customWidth="1"/>
    <col min="8181" max="8181" width="9.140625" style="16"/>
    <col min="8182" max="8182" width="12.42578125" style="16" bestFit="1" customWidth="1"/>
    <col min="8183" max="8183" width="14.7109375" style="16" customWidth="1"/>
    <col min="8184" max="8184" width="12" style="16" bestFit="1" customWidth="1"/>
    <col min="8185" max="8185" width="14.42578125" style="16" customWidth="1"/>
    <col min="8186" max="8186" width="15.140625" style="16" customWidth="1"/>
    <col min="8187" max="8187" width="16.5703125" style="16" customWidth="1"/>
    <col min="8188" max="8421" width="9.140625" style="16"/>
    <col min="8422" max="8422" width="5" style="16" customWidth="1"/>
    <col min="8423" max="8423" width="28.7109375" style="16" customWidth="1"/>
    <col min="8424" max="8432" width="0" style="16" hidden="1" customWidth="1"/>
    <col min="8433" max="8433" width="12.5703125" style="16" customWidth="1"/>
    <col min="8434" max="8434" width="11" style="16" customWidth="1"/>
    <col min="8435" max="8435" width="11.85546875" style="16" customWidth="1"/>
    <col min="8436" max="8436" width="13.42578125" style="16" customWidth="1"/>
    <col min="8437" max="8437" width="9.140625" style="16"/>
    <col min="8438" max="8438" width="12.42578125" style="16" bestFit="1" customWidth="1"/>
    <col min="8439" max="8439" width="14.7109375" style="16" customWidth="1"/>
    <col min="8440" max="8440" width="12" style="16" bestFit="1" customWidth="1"/>
    <col min="8441" max="8441" width="14.42578125" style="16" customWidth="1"/>
    <col min="8442" max="8442" width="15.140625" style="16" customWidth="1"/>
    <col min="8443" max="8443" width="16.5703125" style="16" customWidth="1"/>
    <col min="8444" max="8677" width="9.140625" style="16"/>
    <col min="8678" max="8678" width="5" style="16" customWidth="1"/>
    <col min="8679" max="8679" width="28.7109375" style="16" customWidth="1"/>
    <col min="8680" max="8688" width="0" style="16" hidden="1" customWidth="1"/>
    <col min="8689" max="8689" width="12.5703125" style="16" customWidth="1"/>
    <col min="8690" max="8690" width="11" style="16" customWidth="1"/>
    <col min="8691" max="8691" width="11.85546875" style="16" customWidth="1"/>
    <col min="8692" max="8692" width="13.42578125" style="16" customWidth="1"/>
    <col min="8693" max="8693" width="9.140625" style="16"/>
    <col min="8694" max="8694" width="12.42578125" style="16" bestFit="1" customWidth="1"/>
    <col min="8695" max="8695" width="14.7109375" style="16" customWidth="1"/>
    <col min="8696" max="8696" width="12" style="16" bestFit="1" customWidth="1"/>
    <col min="8697" max="8697" width="14.42578125" style="16" customWidth="1"/>
    <col min="8698" max="8698" width="15.140625" style="16" customWidth="1"/>
    <col min="8699" max="8699" width="16.5703125" style="16" customWidth="1"/>
    <col min="8700" max="8933" width="9.140625" style="16"/>
    <col min="8934" max="8934" width="5" style="16" customWidth="1"/>
    <col min="8935" max="8935" width="28.7109375" style="16" customWidth="1"/>
    <col min="8936" max="8944" width="0" style="16" hidden="1" customWidth="1"/>
    <col min="8945" max="8945" width="12.5703125" style="16" customWidth="1"/>
    <col min="8946" max="8946" width="11" style="16" customWidth="1"/>
    <col min="8947" max="8947" width="11.85546875" style="16" customWidth="1"/>
    <col min="8948" max="8948" width="13.42578125" style="16" customWidth="1"/>
    <col min="8949" max="8949" width="9.140625" style="16"/>
    <col min="8950" max="8950" width="12.42578125" style="16" bestFit="1" customWidth="1"/>
    <col min="8951" max="8951" width="14.7109375" style="16" customWidth="1"/>
    <col min="8952" max="8952" width="12" style="16" bestFit="1" customWidth="1"/>
    <col min="8953" max="8953" width="14.42578125" style="16" customWidth="1"/>
    <col min="8954" max="8954" width="15.140625" style="16" customWidth="1"/>
    <col min="8955" max="8955" width="16.5703125" style="16" customWidth="1"/>
    <col min="8956" max="9189" width="9.140625" style="16"/>
    <col min="9190" max="9190" width="5" style="16" customWidth="1"/>
    <col min="9191" max="9191" width="28.7109375" style="16" customWidth="1"/>
    <col min="9192" max="9200" width="0" style="16" hidden="1" customWidth="1"/>
    <col min="9201" max="9201" width="12.5703125" style="16" customWidth="1"/>
    <col min="9202" max="9202" width="11" style="16" customWidth="1"/>
    <col min="9203" max="9203" width="11.85546875" style="16" customWidth="1"/>
    <col min="9204" max="9204" width="13.42578125" style="16" customWidth="1"/>
    <col min="9205" max="9205" width="9.140625" style="16"/>
    <col min="9206" max="9206" width="12.42578125" style="16" bestFit="1" customWidth="1"/>
    <col min="9207" max="9207" width="14.7109375" style="16" customWidth="1"/>
    <col min="9208" max="9208" width="12" style="16" bestFit="1" customWidth="1"/>
    <col min="9209" max="9209" width="14.42578125" style="16" customWidth="1"/>
    <col min="9210" max="9210" width="15.140625" style="16" customWidth="1"/>
    <col min="9211" max="9211" width="16.5703125" style="16" customWidth="1"/>
    <col min="9212" max="9445" width="9.140625" style="16"/>
    <col min="9446" max="9446" width="5" style="16" customWidth="1"/>
    <col min="9447" max="9447" width="28.7109375" style="16" customWidth="1"/>
    <col min="9448" max="9456" width="0" style="16" hidden="1" customWidth="1"/>
    <col min="9457" max="9457" width="12.5703125" style="16" customWidth="1"/>
    <col min="9458" max="9458" width="11" style="16" customWidth="1"/>
    <col min="9459" max="9459" width="11.85546875" style="16" customWidth="1"/>
    <col min="9460" max="9460" width="13.42578125" style="16" customWidth="1"/>
    <col min="9461" max="9461" width="9.140625" style="16"/>
    <col min="9462" max="9462" width="12.42578125" style="16" bestFit="1" customWidth="1"/>
    <col min="9463" max="9463" width="14.7109375" style="16" customWidth="1"/>
    <col min="9464" max="9464" width="12" style="16" bestFit="1" customWidth="1"/>
    <col min="9465" max="9465" width="14.42578125" style="16" customWidth="1"/>
    <col min="9466" max="9466" width="15.140625" style="16" customWidth="1"/>
    <col min="9467" max="9467" width="16.5703125" style="16" customWidth="1"/>
    <col min="9468" max="9701" width="9.140625" style="16"/>
    <col min="9702" max="9702" width="5" style="16" customWidth="1"/>
    <col min="9703" max="9703" width="28.7109375" style="16" customWidth="1"/>
    <col min="9704" max="9712" width="0" style="16" hidden="1" customWidth="1"/>
    <col min="9713" max="9713" width="12.5703125" style="16" customWidth="1"/>
    <col min="9714" max="9714" width="11" style="16" customWidth="1"/>
    <col min="9715" max="9715" width="11.85546875" style="16" customWidth="1"/>
    <col min="9716" max="9716" width="13.42578125" style="16" customWidth="1"/>
    <col min="9717" max="9717" width="9.140625" style="16"/>
    <col min="9718" max="9718" width="12.42578125" style="16" bestFit="1" customWidth="1"/>
    <col min="9719" max="9719" width="14.7109375" style="16" customWidth="1"/>
    <col min="9720" max="9720" width="12" style="16" bestFit="1" customWidth="1"/>
    <col min="9721" max="9721" width="14.42578125" style="16" customWidth="1"/>
    <col min="9722" max="9722" width="15.140625" style="16" customWidth="1"/>
    <col min="9723" max="9723" width="16.5703125" style="16" customWidth="1"/>
    <col min="9724" max="9957" width="9.140625" style="16"/>
    <col min="9958" max="9958" width="5" style="16" customWidth="1"/>
    <col min="9959" max="9959" width="28.7109375" style="16" customWidth="1"/>
    <col min="9960" max="9968" width="0" style="16" hidden="1" customWidth="1"/>
    <col min="9969" max="9969" width="12.5703125" style="16" customWidth="1"/>
    <col min="9970" max="9970" width="11" style="16" customWidth="1"/>
    <col min="9971" max="9971" width="11.85546875" style="16" customWidth="1"/>
    <col min="9972" max="9972" width="13.42578125" style="16" customWidth="1"/>
    <col min="9973" max="9973" width="9.140625" style="16"/>
    <col min="9974" max="9974" width="12.42578125" style="16" bestFit="1" customWidth="1"/>
    <col min="9975" max="9975" width="14.7109375" style="16" customWidth="1"/>
    <col min="9976" max="9976" width="12" style="16" bestFit="1" customWidth="1"/>
    <col min="9977" max="9977" width="14.42578125" style="16" customWidth="1"/>
    <col min="9978" max="9978" width="15.140625" style="16" customWidth="1"/>
    <col min="9979" max="9979" width="16.5703125" style="16" customWidth="1"/>
    <col min="9980" max="10213" width="9.140625" style="16"/>
    <col min="10214" max="10214" width="5" style="16" customWidth="1"/>
    <col min="10215" max="10215" width="28.7109375" style="16" customWidth="1"/>
    <col min="10216" max="10224" width="0" style="16" hidden="1" customWidth="1"/>
    <col min="10225" max="10225" width="12.5703125" style="16" customWidth="1"/>
    <col min="10226" max="10226" width="11" style="16" customWidth="1"/>
    <col min="10227" max="10227" width="11.85546875" style="16" customWidth="1"/>
    <col min="10228" max="10228" width="13.42578125" style="16" customWidth="1"/>
    <col min="10229" max="10229" width="9.140625" style="16"/>
    <col min="10230" max="10230" width="12.42578125" style="16" bestFit="1" customWidth="1"/>
    <col min="10231" max="10231" width="14.7109375" style="16" customWidth="1"/>
    <col min="10232" max="10232" width="12" style="16" bestFit="1" customWidth="1"/>
    <col min="10233" max="10233" width="14.42578125" style="16" customWidth="1"/>
    <col min="10234" max="10234" width="15.140625" style="16" customWidth="1"/>
    <col min="10235" max="10235" width="16.5703125" style="16" customWidth="1"/>
    <col min="10236" max="10469" width="9.140625" style="16"/>
    <col min="10470" max="10470" width="5" style="16" customWidth="1"/>
    <col min="10471" max="10471" width="28.7109375" style="16" customWidth="1"/>
    <col min="10472" max="10480" width="0" style="16" hidden="1" customWidth="1"/>
    <col min="10481" max="10481" width="12.5703125" style="16" customWidth="1"/>
    <col min="10482" max="10482" width="11" style="16" customWidth="1"/>
    <col min="10483" max="10483" width="11.85546875" style="16" customWidth="1"/>
    <col min="10484" max="10484" width="13.42578125" style="16" customWidth="1"/>
    <col min="10485" max="10485" width="9.140625" style="16"/>
    <col min="10486" max="10486" width="12.42578125" style="16" bestFit="1" customWidth="1"/>
    <col min="10487" max="10487" width="14.7109375" style="16" customWidth="1"/>
    <col min="10488" max="10488" width="12" style="16" bestFit="1" customWidth="1"/>
    <col min="10489" max="10489" width="14.42578125" style="16" customWidth="1"/>
    <col min="10490" max="10490" width="15.140625" style="16" customWidth="1"/>
    <col min="10491" max="10491" width="16.5703125" style="16" customWidth="1"/>
    <col min="10492" max="10725" width="9.140625" style="16"/>
    <col min="10726" max="10726" width="5" style="16" customWidth="1"/>
    <col min="10727" max="10727" width="28.7109375" style="16" customWidth="1"/>
    <col min="10728" max="10736" width="0" style="16" hidden="1" customWidth="1"/>
    <col min="10737" max="10737" width="12.5703125" style="16" customWidth="1"/>
    <col min="10738" max="10738" width="11" style="16" customWidth="1"/>
    <col min="10739" max="10739" width="11.85546875" style="16" customWidth="1"/>
    <col min="10740" max="10740" width="13.42578125" style="16" customWidth="1"/>
    <col min="10741" max="10741" width="9.140625" style="16"/>
    <col min="10742" max="10742" width="12.42578125" style="16" bestFit="1" customWidth="1"/>
    <col min="10743" max="10743" width="14.7109375" style="16" customWidth="1"/>
    <col min="10744" max="10744" width="12" style="16" bestFit="1" customWidth="1"/>
    <col min="10745" max="10745" width="14.42578125" style="16" customWidth="1"/>
    <col min="10746" max="10746" width="15.140625" style="16" customWidth="1"/>
    <col min="10747" max="10747" width="16.5703125" style="16" customWidth="1"/>
    <col min="10748" max="10981" width="9.140625" style="16"/>
    <col min="10982" max="10982" width="5" style="16" customWidth="1"/>
    <col min="10983" max="10983" width="28.7109375" style="16" customWidth="1"/>
    <col min="10984" max="10992" width="0" style="16" hidden="1" customWidth="1"/>
    <col min="10993" max="10993" width="12.5703125" style="16" customWidth="1"/>
    <col min="10994" max="10994" width="11" style="16" customWidth="1"/>
    <col min="10995" max="10995" width="11.85546875" style="16" customWidth="1"/>
    <col min="10996" max="10996" width="13.42578125" style="16" customWidth="1"/>
    <col min="10997" max="10997" width="9.140625" style="16"/>
    <col min="10998" max="10998" width="12.42578125" style="16" bestFit="1" customWidth="1"/>
    <col min="10999" max="10999" width="14.7109375" style="16" customWidth="1"/>
    <col min="11000" max="11000" width="12" style="16" bestFit="1" customWidth="1"/>
    <col min="11001" max="11001" width="14.42578125" style="16" customWidth="1"/>
    <col min="11002" max="11002" width="15.140625" style="16" customWidth="1"/>
    <col min="11003" max="11003" width="16.5703125" style="16" customWidth="1"/>
    <col min="11004" max="11237" width="9.140625" style="16"/>
    <col min="11238" max="11238" width="5" style="16" customWidth="1"/>
    <col min="11239" max="11239" width="28.7109375" style="16" customWidth="1"/>
    <col min="11240" max="11248" width="0" style="16" hidden="1" customWidth="1"/>
    <col min="11249" max="11249" width="12.5703125" style="16" customWidth="1"/>
    <col min="11250" max="11250" width="11" style="16" customWidth="1"/>
    <col min="11251" max="11251" width="11.85546875" style="16" customWidth="1"/>
    <col min="11252" max="11252" width="13.42578125" style="16" customWidth="1"/>
    <col min="11253" max="11253" width="9.140625" style="16"/>
    <col min="11254" max="11254" width="12.42578125" style="16" bestFit="1" customWidth="1"/>
    <col min="11255" max="11255" width="14.7109375" style="16" customWidth="1"/>
    <col min="11256" max="11256" width="12" style="16" bestFit="1" customWidth="1"/>
    <col min="11257" max="11257" width="14.42578125" style="16" customWidth="1"/>
    <col min="11258" max="11258" width="15.140625" style="16" customWidth="1"/>
    <col min="11259" max="11259" width="16.5703125" style="16" customWidth="1"/>
    <col min="11260" max="11493" width="9.140625" style="16"/>
    <col min="11494" max="11494" width="5" style="16" customWidth="1"/>
    <col min="11495" max="11495" width="28.7109375" style="16" customWidth="1"/>
    <col min="11496" max="11504" width="0" style="16" hidden="1" customWidth="1"/>
    <col min="11505" max="11505" width="12.5703125" style="16" customWidth="1"/>
    <col min="11506" max="11506" width="11" style="16" customWidth="1"/>
    <col min="11507" max="11507" width="11.85546875" style="16" customWidth="1"/>
    <col min="11508" max="11508" width="13.42578125" style="16" customWidth="1"/>
    <col min="11509" max="11509" width="9.140625" style="16"/>
    <col min="11510" max="11510" width="12.42578125" style="16" bestFit="1" customWidth="1"/>
    <col min="11511" max="11511" width="14.7109375" style="16" customWidth="1"/>
    <col min="11512" max="11512" width="12" style="16" bestFit="1" customWidth="1"/>
    <col min="11513" max="11513" width="14.42578125" style="16" customWidth="1"/>
    <col min="11514" max="11514" width="15.140625" style="16" customWidth="1"/>
    <col min="11515" max="11515" width="16.5703125" style="16" customWidth="1"/>
    <col min="11516" max="11749" width="9.140625" style="16"/>
    <col min="11750" max="11750" width="5" style="16" customWidth="1"/>
    <col min="11751" max="11751" width="28.7109375" style="16" customWidth="1"/>
    <col min="11752" max="11760" width="0" style="16" hidden="1" customWidth="1"/>
    <col min="11761" max="11761" width="12.5703125" style="16" customWidth="1"/>
    <col min="11762" max="11762" width="11" style="16" customWidth="1"/>
    <col min="11763" max="11763" width="11.85546875" style="16" customWidth="1"/>
    <col min="11764" max="11764" width="13.42578125" style="16" customWidth="1"/>
    <col min="11765" max="11765" width="9.140625" style="16"/>
    <col min="11766" max="11766" width="12.42578125" style="16" bestFit="1" customWidth="1"/>
    <col min="11767" max="11767" width="14.7109375" style="16" customWidth="1"/>
    <col min="11768" max="11768" width="12" style="16" bestFit="1" customWidth="1"/>
    <col min="11769" max="11769" width="14.42578125" style="16" customWidth="1"/>
    <col min="11770" max="11770" width="15.140625" style="16" customWidth="1"/>
    <col min="11771" max="11771" width="16.5703125" style="16" customWidth="1"/>
    <col min="11772" max="12005" width="9.140625" style="16"/>
    <col min="12006" max="12006" width="5" style="16" customWidth="1"/>
    <col min="12007" max="12007" width="28.7109375" style="16" customWidth="1"/>
    <col min="12008" max="12016" width="0" style="16" hidden="1" customWidth="1"/>
    <col min="12017" max="12017" width="12.5703125" style="16" customWidth="1"/>
    <col min="12018" max="12018" width="11" style="16" customWidth="1"/>
    <col min="12019" max="12019" width="11.85546875" style="16" customWidth="1"/>
    <col min="12020" max="12020" width="13.42578125" style="16" customWidth="1"/>
    <col min="12021" max="12021" width="9.140625" style="16"/>
    <col min="12022" max="12022" width="12.42578125" style="16" bestFit="1" customWidth="1"/>
    <col min="12023" max="12023" width="14.7109375" style="16" customWidth="1"/>
    <col min="12024" max="12024" width="12" style="16" bestFit="1" customWidth="1"/>
    <col min="12025" max="12025" width="14.42578125" style="16" customWidth="1"/>
    <col min="12026" max="12026" width="15.140625" style="16" customWidth="1"/>
    <col min="12027" max="12027" width="16.5703125" style="16" customWidth="1"/>
    <col min="12028" max="12261" width="9.140625" style="16"/>
    <col min="12262" max="12262" width="5" style="16" customWidth="1"/>
    <col min="12263" max="12263" width="28.7109375" style="16" customWidth="1"/>
    <col min="12264" max="12272" width="0" style="16" hidden="1" customWidth="1"/>
    <col min="12273" max="12273" width="12.5703125" style="16" customWidth="1"/>
    <col min="12274" max="12274" width="11" style="16" customWidth="1"/>
    <col min="12275" max="12275" width="11.85546875" style="16" customWidth="1"/>
    <col min="12276" max="12276" width="13.42578125" style="16" customWidth="1"/>
    <col min="12277" max="12277" width="9.140625" style="16"/>
    <col min="12278" max="12278" width="12.42578125" style="16" bestFit="1" customWidth="1"/>
    <col min="12279" max="12279" width="14.7109375" style="16" customWidth="1"/>
    <col min="12280" max="12280" width="12" style="16" bestFit="1" customWidth="1"/>
    <col min="12281" max="12281" width="14.42578125" style="16" customWidth="1"/>
    <col min="12282" max="12282" width="15.140625" style="16" customWidth="1"/>
    <col min="12283" max="12283" width="16.5703125" style="16" customWidth="1"/>
    <col min="12284" max="12517" width="9.140625" style="16"/>
    <col min="12518" max="12518" width="5" style="16" customWidth="1"/>
    <col min="12519" max="12519" width="28.7109375" style="16" customWidth="1"/>
    <col min="12520" max="12528" width="0" style="16" hidden="1" customWidth="1"/>
    <col min="12529" max="12529" width="12.5703125" style="16" customWidth="1"/>
    <col min="12530" max="12530" width="11" style="16" customWidth="1"/>
    <col min="12531" max="12531" width="11.85546875" style="16" customWidth="1"/>
    <col min="12532" max="12532" width="13.42578125" style="16" customWidth="1"/>
    <col min="12533" max="12533" width="9.140625" style="16"/>
    <col min="12534" max="12534" width="12.42578125" style="16" bestFit="1" customWidth="1"/>
    <col min="12535" max="12535" width="14.7109375" style="16" customWidth="1"/>
    <col min="12536" max="12536" width="12" style="16" bestFit="1" customWidth="1"/>
    <col min="12537" max="12537" width="14.42578125" style="16" customWidth="1"/>
    <col min="12538" max="12538" width="15.140625" style="16" customWidth="1"/>
    <col min="12539" max="12539" width="16.5703125" style="16" customWidth="1"/>
    <col min="12540" max="12773" width="9.140625" style="16"/>
    <col min="12774" max="12774" width="5" style="16" customWidth="1"/>
    <col min="12775" max="12775" width="28.7109375" style="16" customWidth="1"/>
    <col min="12776" max="12784" width="0" style="16" hidden="1" customWidth="1"/>
    <col min="12785" max="12785" width="12.5703125" style="16" customWidth="1"/>
    <col min="12786" max="12786" width="11" style="16" customWidth="1"/>
    <col min="12787" max="12787" width="11.85546875" style="16" customWidth="1"/>
    <col min="12788" max="12788" width="13.42578125" style="16" customWidth="1"/>
    <col min="12789" max="12789" width="9.140625" style="16"/>
    <col min="12790" max="12790" width="12.42578125" style="16" bestFit="1" customWidth="1"/>
    <col min="12791" max="12791" width="14.7109375" style="16" customWidth="1"/>
    <col min="12792" max="12792" width="12" style="16" bestFit="1" customWidth="1"/>
    <col min="12793" max="12793" width="14.42578125" style="16" customWidth="1"/>
    <col min="12794" max="12794" width="15.140625" style="16" customWidth="1"/>
    <col min="12795" max="12795" width="16.5703125" style="16" customWidth="1"/>
    <col min="12796" max="13029" width="9.140625" style="16"/>
    <col min="13030" max="13030" width="5" style="16" customWidth="1"/>
    <col min="13031" max="13031" width="28.7109375" style="16" customWidth="1"/>
    <col min="13032" max="13040" width="0" style="16" hidden="1" customWidth="1"/>
    <col min="13041" max="13041" width="12.5703125" style="16" customWidth="1"/>
    <col min="13042" max="13042" width="11" style="16" customWidth="1"/>
    <col min="13043" max="13043" width="11.85546875" style="16" customWidth="1"/>
    <col min="13044" max="13044" width="13.42578125" style="16" customWidth="1"/>
    <col min="13045" max="13045" width="9.140625" style="16"/>
    <col min="13046" max="13046" width="12.42578125" style="16" bestFit="1" customWidth="1"/>
    <col min="13047" max="13047" width="14.7109375" style="16" customWidth="1"/>
    <col min="13048" max="13048" width="12" style="16" bestFit="1" customWidth="1"/>
    <col min="13049" max="13049" width="14.42578125" style="16" customWidth="1"/>
    <col min="13050" max="13050" width="15.140625" style="16" customWidth="1"/>
    <col min="13051" max="13051" width="16.5703125" style="16" customWidth="1"/>
    <col min="13052" max="13285" width="9.140625" style="16"/>
    <col min="13286" max="13286" width="5" style="16" customWidth="1"/>
    <col min="13287" max="13287" width="28.7109375" style="16" customWidth="1"/>
    <col min="13288" max="13296" width="0" style="16" hidden="1" customWidth="1"/>
    <col min="13297" max="13297" width="12.5703125" style="16" customWidth="1"/>
    <col min="13298" max="13298" width="11" style="16" customWidth="1"/>
    <col min="13299" max="13299" width="11.85546875" style="16" customWidth="1"/>
    <col min="13300" max="13300" width="13.42578125" style="16" customWidth="1"/>
    <col min="13301" max="13301" width="9.140625" style="16"/>
    <col min="13302" max="13302" width="12.42578125" style="16" bestFit="1" customWidth="1"/>
    <col min="13303" max="13303" width="14.7109375" style="16" customWidth="1"/>
    <col min="13304" max="13304" width="12" style="16" bestFit="1" customWidth="1"/>
    <col min="13305" max="13305" width="14.42578125" style="16" customWidth="1"/>
    <col min="13306" max="13306" width="15.140625" style="16" customWidth="1"/>
    <col min="13307" max="13307" width="16.5703125" style="16" customWidth="1"/>
    <col min="13308" max="13541" width="9.140625" style="16"/>
    <col min="13542" max="13542" width="5" style="16" customWidth="1"/>
    <col min="13543" max="13543" width="28.7109375" style="16" customWidth="1"/>
    <col min="13544" max="13552" width="0" style="16" hidden="1" customWidth="1"/>
    <col min="13553" max="13553" width="12.5703125" style="16" customWidth="1"/>
    <col min="13554" max="13554" width="11" style="16" customWidth="1"/>
    <col min="13555" max="13555" width="11.85546875" style="16" customWidth="1"/>
    <col min="13556" max="13556" width="13.42578125" style="16" customWidth="1"/>
    <col min="13557" max="13557" width="9.140625" style="16"/>
    <col min="13558" max="13558" width="12.42578125" style="16" bestFit="1" customWidth="1"/>
    <col min="13559" max="13559" width="14.7109375" style="16" customWidth="1"/>
    <col min="13560" max="13560" width="12" style="16" bestFit="1" customWidth="1"/>
    <col min="13561" max="13561" width="14.42578125" style="16" customWidth="1"/>
    <col min="13562" max="13562" width="15.140625" style="16" customWidth="1"/>
    <col min="13563" max="13563" width="16.5703125" style="16" customWidth="1"/>
    <col min="13564" max="13797" width="9.140625" style="16"/>
    <col min="13798" max="13798" width="5" style="16" customWidth="1"/>
    <col min="13799" max="13799" width="28.7109375" style="16" customWidth="1"/>
    <col min="13800" max="13808" width="0" style="16" hidden="1" customWidth="1"/>
    <col min="13809" max="13809" width="12.5703125" style="16" customWidth="1"/>
    <col min="13810" max="13810" width="11" style="16" customWidth="1"/>
    <col min="13811" max="13811" width="11.85546875" style="16" customWidth="1"/>
    <col min="13812" max="13812" width="13.42578125" style="16" customWidth="1"/>
    <col min="13813" max="13813" width="9.140625" style="16"/>
    <col min="13814" max="13814" width="12.42578125" style="16" bestFit="1" customWidth="1"/>
    <col min="13815" max="13815" width="14.7109375" style="16" customWidth="1"/>
    <col min="13816" max="13816" width="12" style="16" bestFit="1" customWidth="1"/>
    <col min="13817" max="13817" width="14.42578125" style="16" customWidth="1"/>
    <col min="13818" max="13818" width="15.140625" style="16" customWidth="1"/>
    <col min="13819" max="13819" width="16.5703125" style="16" customWidth="1"/>
    <col min="13820" max="14053" width="9.140625" style="16"/>
    <col min="14054" max="14054" width="5" style="16" customWidth="1"/>
    <col min="14055" max="14055" width="28.7109375" style="16" customWidth="1"/>
    <col min="14056" max="14064" width="0" style="16" hidden="1" customWidth="1"/>
    <col min="14065" max="14065" width="12.5703125" style="16" customWidth="1"/>
    <col min="14066" max="14066" width="11" style="16" customWidth="1"/>
    <col min="14067" max="14067" width="11.85546875" style="16" customWidth="1"/>
    <col min="14068" max="14068" width="13.42578125" style="16" customWidth="1"/>
    <col min="14069" max="14069" width="9.140625" style="16"/>
    <col min="14070" max="14070" width="12.42578125" style="16" bestFit="1" customWidth="1"/>
    <col min="14071" max="14071" width="14.7109375" style="16" customWidth="1"/>
    <col min="14072" max="14072" width="12" style="16" bestFit="1" customWidth="1"/>
    <col min="14073" max="14073" width="14.42578125" style="16" customWidth="1"/>
    <col min="14074" max="14074" width="15.140625" style="16" customWidth="1"/>
    <col min="14075" max="14075" width="16.5703125" style="16" customWidth="1"/>
    <col min="14076" max="14309" width="9.140625" style="16"/>
    <col min="14310" max="14310" width="5" style="16" customWidth="1"/>
    <col min="14311" max="14311" width="28.7109375" style="16" customWidth="1"/>
    <col min="14312" max="14320" width="0" style="16" hidden="1" customWidth="1"/>
    <col min="14321" max="14321" width="12.5703125" style="16" customWidth="1"/>
    <col min="14322" max="14322" width="11" style="16" customWidth="1"/>
    <col min="14323" max="14323" width="11.85546875" style="16" customWidth="1"/>
    <col min="14324" max="14324" width="13.42578125" style="16" customWidth="1"/>
    <col min="14325" max="14325" width="9.140625" style="16"/>
    <col min="14326" max="14326" width="12.42578125" style="16" bestFit="1" customWidth="1"/>
    <col min="14327" max="14327" width="14.7109375" style="16" customWidth="1"/>
    <col min="14328" max="14328" width="12" style="16" bestFit="1" customWidth="1"/>
    <col min="14329" max="14329" width="14.42578125" style="16" customWidth="1"/>
    <col min="14330" max="14330" width="15.140625" style="16" customWidth="1"/>
    <col min="14331" max="14331" width="16.5703125" style="16" customWidth="1"/>
    <col min="14332" max="14565" width="9.140625" style="16"/>
    <col min="14566" max="14566" width="5" style="16" customWidth="1"/>
    <col min="14567" max="14567" width="28.7109375" style="16" customWidth="1"/>
    <col min="14568" max="14576" width="0" style="16" hidden="1" customWidth="1"/>
    <col min="14577" max="14577" width="12.5703125" style="16" customWidth="1"/>
    <col min="14578" max="14578" width="11" style="16" customWidth="1"/>
    <col min="14579" max="14579" width="11.85546875" style="16" customWidth="1"/>
    <col min="14580" max="14580" width="13.42578125" style="16" customWidth="1"/>
    <col min="14581" max="14581" width="9.140625" style="16"/>
    <col min="14582" max="14582" width="12.42578125" style="16" bestFit="1" customWidth="1"/>
    <col min="14583" max="14583" width="14.7109375" style="16" customWidth="1"/>
    <col min="14584" max="14584" width="12" style="16" bestFit="1" customWidth="1"/>
    <col min="14585" max="14585" width="14.42578125" style="16" customWidth="1"/>
    <col min="14586" max="14586" width="15.140625" style="16" customWidth="1"/>
    <col min="14587" max="14587" width="16.5703125" style="16" customWidth="1"/>
    <col min="14588" max="14821" width="9.140625" style="16"/>
    <col min="14822" max="14822" width="5" style="16" customWidth="1"/>
    <col min="14823" max="14823" width="28.7109375" style="16" customWidth="1"/>
    <col min="14824" max="14832" width="0" style="16" hidden="1" customWidth="1"/>
    <col min="14833" max="14833" width="12.5703125" style="16" customWidth="1"/>
    <col min="14834" max="14834" width="11" style="16" customWidth="1"/>
    <col min="14835" max="14835" width="11.85546875" style="16" customWidth="1"/>
    <col min="14836" max="14836" width="13.42578125" style="16" customWidth="1"/>
    <col min="14837" max="14837" width="9.140625" style="16"/>
    <col min="14838" max="14838" width="12.42578125" style="16" bestFit="1" customWidth="1"/>
    <col min="14839" max="14839" width="14.7109375" style="16" customWidth="1"/>
    <col min="14840" max="14840" width="12" style="16" bestFit="1" customWidth="1"/>
    <col min="14841" max="14841" width="14.42578125" style="16" customWidth="1"/>
    <col min="14842" max="14842" width="15.140625" style="16" customWidth="1"/>
    <col min="14843" max="14843" width="16.5703125" style="16" customWidth="1"/>
    <col min="14844" max="15077" width="9.140625" style="16"/>
    <col min="15078" max="15078" width="5" style="16" customWidth="1"/>
    <col min="15079" max="15079" width="28.7109375" style="16" customWidth="1"/>
    <col min="15080" max="15088" width="0" style="16" hidden="1" customWidth="1"/>
    <col min="15089" max="15089" width="12.5703125" style="16" customWidth="1"/>
    <col min="15090" max="15090" width="11" style="16" customWidth="1"/>
    <col min="15091" max="15091" width="11.85546875" style="16" customWidth="1"/>
    <col min="15092" max="15092" width="13.42578125" style="16" customWidth="1"/>
    <col min="15093" max="15093" width="9.140625" style="16"/>
    <col min="15094" max="15094" width="12.42578125" style="16" bestFit="1" customWidth="1"/>
    <col min="15095" max="15095" width="14.7109375" style="16" customWidth="1"/>
    <col min="15096" max="15096" width="12" style="16" bestFit="1" customWidth="1"/>
    <col min="15097" max="15097" width="14.42578125" style="16" customWidth="1"/>
    <col min="15098" max="15098" width="15.140625" style="16" customWidth="1"/>
    <col min="15099" max="15099" width="16.5703125" style="16" customWidth="1"/>
    <col min="15100" max="15333" width="9.140625" style="16"/>
    <col min="15334" max="15334" width="5" style="16" customWidth="1"/>
    <col min="15335" max="15335" width="28.7109375" style="16" customWidth="1"/>
    <col min="15336" max="15344" width="0" style="16" hidden="1" customWidth="1"/>
    <col min="15345" max="15345" width="12.5703125" style="16" customWidth="1"/>
    <col min="15346" max="15346" width="11" style="16" customWidth="1"/>
    <col min="15347" max="15347" width="11.85546875" style="16" customWidth="1"/>
    <col min="15348" max="15348" width="13.42578125" style="16" customWidth="1"/>
    <col min="15349" max="15349" width="9.140625" style="16"/>
    <col min="15350" max="15350" width="12.42578125" style="16" bestFit="1" customWidth="1"/>
    <col min="15351" max="15351" width="14.7109375" style="16" customWidth="1"/>
    <col min="15352" max="15352" width="12" style="16" bestFit="1" customWidth="1"/>
    <col min="15353" max="15353" width="14.42578125" style="16" customWidth="1"/>
    <col min="15354" max="15354" width="15.140625" style="16" customWidth="1"/>
    <col min="15355" max="15355" width="16.5703125" style="16" customWidth="1"/>
    <col min="15356" max="15589" width="9.140625" style="16"/>
    <col min="15590" max="15590" width="5" style="16" customWidth="1"/>
    <col min="15591" max="15591" width="28.7109375" style="16" customWidth="1"/>
    <col min="15592" max="15600" width="0" style="16" hidden="1" customWidth="1"/>
    <col min="15601" max="15601" width="12.5703125" style="16" customWidth="1"/>
    <col min="15602" max="15602" width="11" style="16" customWidth="1"/>
    <col min="15603" max="15603" width="11.85546875" style="16" customWidth="1"/>
    <col min="15604" max="15604" width="13.42578125" style="16" customWidth="1"/>
    <col min="15605" max="15605" width="9.140625" style="16"/>
    <col min="15606" max="15606" width="12.42578125" style="16" bestFit="1" customWidth="1"/>
    <col min="15607" max="15607" width="14.7109375" style="16" customWidth="1"/>
    <col min="15608" max="15608" width="12" style="16" bestFit="1" customWidth="1"/>
    <col min="15609" max="15609" width="14.42578125" style="16" customWidth="1"/>
    <col min="15610" max="15610" width="15.140625" style="16" customWidth="1"/>
    <col min="15611" max="15611" width="16.5703125" style="16" customWidth="1"/>
    <col min="15612" max="15845" width="9.140625" style="16"/>
    <col min="15846" max="15846" width="5" style="16" customWidth="1"/>
    <col min="15847" max="15847" width="28.7109375" style="16" customWidth="1"/>
    <col min="15848" max="15856" width="0" style="16" hidden="1" customWidth="1"/>
    <col min="15857" max="15857" width="12.5703125" style="16" customWidth="1"/>
    <col min="15858" max="15858" width="11" style="16" customWidth="1"/>
    <col min="15859" max="15859" width="11.85546875" style="16" customWidth="1"/>
    <col min="15860" max="15860" width="13.42578125" style="16" customWidth="1"/>
    <col min="15861" max="15861" width="9.140625" style="16"/>
    <col min="15862" max="15862" width="12.42578125" style="16" bestFit="1" customWidth="1"/>
    <col min="15863" max="15863" width="14.7109375" style="16" customWidth="1"/>
    <col min="15864" max="15864" width="12" style="16" bestFit="1" customWidth="1"/>
    <col min="15865" max="15865" width="14.42578125" style="16" customWidth="1"/>
    <col min="15866" max="15866" width="15.140625" style="16" customWidth="1"/>
    <col min="15867" max="15867" width="16.5703125" style="16" customWidth="1"/>
    <col min="15868" max="16101" width="9.140625" style="16"/>
    <col min="16102" max="16102" width="5" style="16" customWidth="1"/>
    <col min="16103" max="16103" width="28.7109375" style="16" customWidth="1"/>
    <col min="16104" max="16112" width="0" style="16" hidden="1" customWidth="1"/>
    <col min="16113" max="16113" width="12.5703125" style="16" customWidth="1"/>
    <col min="16114" max="16114" width="11" style="16" customWidth="1"/>
    <col min="16115" max="16115" width="11.85546875" style="16" customWidth="1"/>
    <col min="16116" max="16116" width="13.42578125" style="16" customWidth="1"/>
    <col min="16117" max="16117" width="9.140625" style="16"/>
    <col min="16118" max="16118" width="12.42578125" style="16" bestFit="1" customWidth="1"/>
    <col min="16119" max="16119" width="14.7109375" style="16" customWidth="1"/>
    <col min="16120" max="16120" width="12" style="16" bestFit="1" customWidth="1"/>
    <col min="16121" max="16121" width="14.42578125" style="16" customWidth="1"/>
    <col min="16122" max="16122" width="15.140625" style="16" customWidth="1"/>
    <col min="16123" max="16123" width="16.5703125" style="16" customWidth="1"/>
    <col min="16124" max="16384" width="9.140625" style="16"/>
  </cols>
  <sheetData>
    <row r="1" spans="1:26" x14ac:dyDescent="0.25">
      <c r="A1" s="488" t="s">
        <v>135</v>
      </c>
      <c r="B1" s="488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U1" s="488"/>
      <c r="V1" s="488"/>
      <c r="W1" s="488"/>
      <c r="X1" s="488"/>
      <c r="Y1" s="488"/>
      <c r="Z1" s="488"/>
    </row>
    <row r="2" spans="1:26" x14ac:dyDescent="0.25">
      <c r="A2" s="488" t="s">
        <v>136</v>
      </c>
      <c r="B2" s="488"/>
      <c r="C2" s="488"/>
      <c r="D2" s="488"/>
      <c r="E2" s="488"/>
      <c r="F2" s="488"/>
      <c r="G2" s="488"/>
      <c r="H2" s="488"/>
      <c r="I2" s="488"/>
      <c r="J2" s="488"/>
      <c r="K2" s="488"/>
      <c r="L2" s="488"/>
      <c r="M2" s="488"/>
      <c r="N2" s="488"/>
      <c r="O2" s="488"/>
      <c r="P2" s="488"/>
      <c r="Q2" s="488"/>
      <c r="R2" s="488"/>
      <c r="S2" s="488"/>
      <c r="T2" s="488"/>
      <c r="U2" s="488"/>
      <c r="V2" s="488"/>
      <c r="W2" s="488"/>
      <c r="X2" s="488"/>
      <c r="Y2" s="488"/>
      <c r="Z2" s="488"/>
    </row>
    <row r="3" spans="1:26" x14ac:dyDescent="0.25">
      <c r="A3" s="256"/>
    </row>
    <row r="4" spans="1:26" x14ac:dyDescent="0.25">
      <c r="A4" s="487" t="s">
        <v>137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7"/>
      <c r="X4" s="487"/>
      <c r="Y4" s="487"/>
      <c r="Z4" s="487"/>
    </row>
    <row r="6" spans="1:26" ht="14.25" customHeight="1" x14ac:dyDescent="0.25">
      <c r="A6" s="491" t="s">
        <v>0</v>
      </c>
      <c r="B6" s="491" t="s">
        <v>3</v>
      </c>
      <c r="C6" s="18" t="s">
        <v>17</v>
      </c>
      <c r="D6" s="491" t="s">
        <v>138</v>
      </c>
      <c r="E6" s="491" t="s">
        <v>139</v>
      </c>
      <c r="F6" s="18" t="s">
        <v>17</v>
      </c>
      <c r="G6" s="491" t="s">
        <v>140</v>
      </c>
      <c r="H6" s="491" t="s">
        <v>141</v>
      </c>
      <c r="I6" s="18" t="s">
        <v>17</v>
      </c>
      <c r="J6" s="491" t="s">
        <v>142</v>
      </c>
      <c r="K6" s="491" t="s">
        <v>143</v>
      </c>
      <c r="L6" s="18" t="s">
        <v>17</v>
      </c>
      <c r="M6" s="491" t="s">
        <v>144</v>
      </c>
      <c r="N6" s="491" t="s">
        <v>145</v>
      </c>
      <c r="O6" s="18" t="s">
        <v>17</v>
      </c>
      <c r="P6" s="498" t="s">
        <v>146</v>
      </c>
      <c r="Q6" s="491" t="s">
        <v>147</v>
      </c>
      <c r="R6" s="18" t="s">
        <v>17</v>
      </c>
      <c r="S6" s="498" t="s">
        <v>201</v>
      </c>
      <c r="T6" s="491" t="s">
        <v>202</v>
      </c>
      <c r="U6" s="491" t="s">
        <v>4</v>
      </c>
      <c r="V6" s="491" t="s">
        <v>5</v>
      </c>
      <c r="W6" s="18" t="s">
        <v>17</v>
      </c>
      <c r="X6" s="498" t="s">
        <v>333</v>
      </c>
      <c r="Y6" s="491" t="s">
        <v>334</v>
      </c>
      <c r="Z6" s="171" t="s">
        <v>17</v>
      </c>
    </row>
    <row r="7" spans="1:26" ht="12.75" customHeight="1" x14ac:dyDescent="0.25">
      <c r="A7" s="491"/>
      <c r="B7" s="491"/>
      <c r="C7" s="71" t="s">
        <v>148</v>
      </c>
      <c r="D7" s="491"/>
      <c r="E7" s="491"/>
      <c r="F7" s="71" t="s">
        <v>149</v>
      </c>
      <c r="G7" s="491"/>
      <c r="H7" s="491"/>
      <c r="I7" s="71" t="s">
        <v>150</v>
      </c>
      <c r="J7" s="491"/>
      <c r="K7" s="491"/>
      <c r="L7" s="71" t="s">
        <v>151</v>
      </c>
      <c r="M7" s="491"/>
      <c r="N7" s="491"/>
      <c r="O7" s="71" t="s">
        <v>152</v>
      </c>
      <c r="P7" s="498"/>
      <c r="Q7" s="491"/>
      <c r="R7" s="71" t="s">
        <v>153</v>
      </c>
      <c r="S7" s="498"/>
      <c r="T7" s="491"/>
      <c r="U7" s="491"/>
      <c r="V7" s="491"/>
      <c r="W7" s="71" t="s">
        <v>39</v>
      </c>
      <c r="X7" s="498"/>
      <c r="Y7" s="491"/>
      <c r="Z7" s="171" t="s">
        <v>312</v>
      </c>
    </row>
    <row r="8" spans="1:26" x14ac:dyDescent="0.25">
      <c r="A8" s="257">
        <v>1</v>
      </c>
      <c r="B8" s="327" t="s">
        <v>433</v>
      </c>
      <c r="C8" s="72">
        <v>80059800</v>
      </c>
      <c r="D8" s="93"/>
      <c r="E8" s="25"/>
      <c r="F8" s="73">
        <f>C8+D8-E8</f>
        <v>80059800</v>
      </c>
      <c r="G8" s="73"/>
      <c r="H8" s="25"/>
      <c r="I8" s="23">
        <v>80059800</v>
      </c>
      <c r="J8" s="25"/>
      <c r="K8" s="25"/>
      <c r="L8" s="74">
        <v>80059800</v>
      </c>
      <c r="M8" s="23">
        <v>5740000</v>
      </c>
      <c r="N8" s="25"/>
      <c r="O8" s="74">
        <f>L8+M8-N8</f>
        <v>85799800</v>
      </c>
      <c r="P8" s="23"/>
      <c r="Q8" s="25"/>
      <c r="R8" s="23">
        <f>O8+P8-Q8</f>
        <v>85799800</v>
      </c>
      <c r="S8" s="21"/>
      <c r="T8" s="21"/>
      <c r="U8" s="21"/>
      <c r="V8" s="21"/>
      <c r="W8" s="23">
        <f>R8+S8-T8</f>
        <v>85799800</v>
      </c>
      <c r="X8" s="2"/>
      <c r="Y8" s="2"/>
      <c r="Z8" s="23">
        <f>W8+X8-Y8</f>
        <v>85799800</v>
      </c>
    </row>
    <row r="9" spans="1:26" ht="31.5" x14ac:dyDescent="0.25">
      <c r="A9" s="257">
        <v>2</v>
      </c>
      <c r="B9" s="328" t="s">
        <v>448</v>
      </c>
      <c r="C9" s="76">
        <v>0</v>
      </c>
      <c r="D9" s="2"/>
      <c r="E9" s="2"/>
      <c r="F9" s="77">
        <f>C9+D9-E9</f>
        <v>0</v>
      </c>
      <c r="G9" s="2"/>
      <c r="H9" s="2"/>
      <c r="I9" s="77">
        <v>134043553.56630899</v>
      </c>
      <c r="J9" s="2"/>
      <c r="K9" s="2"/>
      <c r="L9" s="74">
        <f>L10+L11</f>
        <v>134043553.56630901</v>
      </c>
      <c r="M9" s="74">
        <f>M10+M11</f>
        <v>0</v>
      </c>
      <c r="N9" s="74">
        <f>N10+N11</f>
        <v>17268698</v>
      </c>
      <c r="O9" s="74">
        <f>O10+O11</f>
        <v>116774855.56630901</v>
      </c>
      <c r="P9" s="21"/>
      <c r="Q9" s="2"/>
      <c r="R9" s="23">
        <f>R10+R11</f>
        <v>116774855.56630901</v>
      </c>
      <c r="S9" s="21"/>
      <c r="T9" s="21"/>
      <c r="U9" s="21"/>
      <c r="V9" s="21"/>
      <c r="W9" s="23">
        <f>W10+W11</f>
        <v>162515737.56630901</v>
      </c>
      <c r="X9" s="23">
        <f>X10+X11</f>
        <v>0</v>
      </c>
      <c r="Y9" s="23">
        <f>Y10+Y11</f>
        <v>0</v>
      </c>
      <c r="Z9" s="23">
        <f>Z10+Z11</f>
        <v>162515737.56630901</v>
      </c>
    </row>
    <row r="10" spans="1:26" x14ac:dyDescent="0.25">
      <c r="A10" s="257">
        <v>3</v>
      </c>
      <c r="B10" s="329" t="s">
        <v>449</v>
      </c>
      <c r="C10" s="76"/>
      <c r="D10" s="2"/>
      <c r="E10" s="2"/>
      <c r="F10" s="77"/>
      <c r="G10" s="2"/>
      <c r="H10" s="2"/>
      <c r="I10" s="77"/>
      <c r="J10" s="2"/>
      <c r="K10" s="2"/>
      <c r="L10" s="74">
        <v>107985893.56630901</v>
      </c>
      <c r="M10" s="74"/>
      <c r="N10" s="23">
        <v>17268698</v>
      </c>
      <c r="O10" s="74">
        <f>L10+M10-N10</f>
        <v>90717195.566309005</v>
      </c>
      <c r="P10" s="21"/>
      <c r="Q10" s="2"/>
      <c r="R10" s="23">
        <f>O10+P10-Q10</f>
        <v>90717195.566309005</v>
      </c>
      <c r="S10" s="21">
        <v>45740882</v>
      </c>
      <c r="T10" s="21"/>
      <c r="U10" s="21"/>
      <c r="V10" s="21"/>
      <c r="W10" s="23">
        <f>R10+S10-T10</f>
        <v>136458077.56630901</v>
      </c>
      <c r="X10" s="2"/>
      <c r="Y10" s="2"/>
      <c r="Z10" s="23">
        <f>W10+X10-Y10</f>
        <v>136458077.56630901</v>
      </c>
    </row>
    <row r="11" spans="1:26" x14ac:dyDescent="0.25">
      <c r="A11" s="257">
        <v>4</v>
      </c>
      <c r="B11" s="329" t="s">
        <v>450</v>
      </c>
      <c r="C11" s="76"/>
      <c r="D11" s="2"/>
      <c r="E11" s="2"/>
      <c r="F11" s="77"/>
      <c r="G11" s="2"/>
      <c r="H11" s="2"/>
      <c r="I11" s="77"/>
      <c r="J11" s="2"/>
      <c r="K11" s="2"/>
      <c r="L11" s="74">
        <f>SUM(L12:L17)</f>
        <v>26057660</v>
      </c>
      <c r="M11" s="74">
        <f>SUM(M12:M17)</f>
        <v>0</v>
      </c>
      <c r="N11" s="74">
        <f>SUM(N12:N17)</f>
        <v>0</v>
      </c>
      <c r="O11" s="74">
        <f>SUM(O12:O17)</f>
        <v>26057660</v>
      </c>
      <c r="P11" s="21"/>
      <c r="Q11" s="2"/>
      <c r="R11" s="23">
        <f>SUM(R12:R17)</f>
        <v>26057660</v>
      </c>
      <c r="S11" s="23">
        <f>SUM(S12:S17)</f>
        <v>0</v>
      </c>
      <c r="T11" s="23">
        <f>SUM(T12:T17)</f>
        <v>0</v>
      </c>
      <c r="U11" s="23"/>
      <c r="V11" s="23"/>
      <c r="W11" s="23">
        <f>SUM(W12:W17)</f>
        <v>26057660</v>
      </c>
      <c r="X11" s="23">
        <f t="shared" ref="X11:Y11" si="0">SUM(X12:X17)</f>
        <v>0</v>
      </c>
      <c r="Y11" s="23">
        <f t="shared" si="0"/>
        <v>0</v>
      </c>
      <c r="Z11" s="23">
        <f>SUM(Z12:Z17)</f>
        <v>26057660</v>
      </c>
    </row>
    <row r="12" spans="1:26" x14ac:dyDescent="0.25">
      <c r="A12" s="257">
        <v>5</v>
      </c>
      <c r="B12" s="330" t="s">
        <v>157</v>
      </c>
      <c r="C12" s="76"/>
      <c r="D12" s="2"/>
      <c r="E12" s="2"/>
      <c r="F12" s="77"/>
      <c r="G12" s="2"/>
      <c r="H12" s="2"/>
      <c r="I12" s="77"/>
      <c r="J12" s="2"/>
      <c r="K12" s="2"/>
      <c r="L12" s="77">
        <v>3783630</v>
      </c>
      <c r="M12" s="2"/>
      <c r="N12" s="2"/>
      <c r="O12" s="78">
        <f t="shared" ref="O12:O22" si="1">L12+M12-N12</f>
        <v>3783630</v>
      </c>
      <c r="P12" s="21"/>
      <c r="Q12" s="2"/>
      <c r="R12" s="21">
        <f t="shared" ref="R12:R17" si="2">O12+P12-Q12</f>
        <v>3783630</v>
      </c>
      <c r="S12" s="21"/>
      <c r="T12" s="21"/>
      <c r="U12" s="21"/>
      <c r="V12" s="21"/>
      <c r="W12" s="21">
        <v>3783630</v>
      </c>
      <c r="X12" s="2"/>
      <c r="Y12" s="39"/>
      <c r="Z12" s="21">
        <f t="shared" ref="Z12:Z61" si="3">W12+X12-Y12</f>
        <v>3783630</v>
      </c>
    </row>
    <row r="13" spans="1:26" x14ac:dyDescent="0.25">
      <c r="A13" s="257">
        <v>6</v>
      </c>
      <c r="B13" s="330" t="s">
        <v>158</v>
      </c>
      <c r="C13" s="76"/>
      <c r="D13" s="2"/>
      <c r="E13" s="2"/>
      <c r="F13" s="77"/>
      <c r="G13" s="2"/>
      <c r="H13" s="2"/>
      <c r="I13" s="77"/>
      <c r="J13" s="2"/>
      <c r="K13" s="2"/>
      <c r="L13" s="77">
        <v>6391020</v>
      </c>
      <c r="M13" s="2"/>
      <c r="N13" s="2"/>
      <c r="O13" s="78">
        <f t="shared" si="1"/>
        <v>6391020</v>
      </c>
      <c r="P13" s="21"/>
      <c r="Q13" s="2"/>
      <c r="R13" s="21">
        <f t="shared" si="2"/>
        <v>6391020</v>
      </c>
      <c r="S13" s="21"/>
      <c r="T13" s="21"/>
      <c r="U13" s="21"/>
      <c r="V13" s="21"/>
      <c r="W13" s="21">
        <v>6391020</v>
      </c>
      <c r="X13" s="2"/>
      <c r="Y13" s="39"/>
      <c r="Z13" s="21">
        <f t="shared" si="3"/>
        <v>6391020</v>
      </c>
    </row>
    <row r="14" spans="1:26" x14ac:dyDescent="0.25">
      <c r="A14" s="257">
        <v>7</v>
      </c>
      <c r="B14" s="330" t="s">
        <v>157</v>
      </c>
      <c r="C14" s="76"/>
      <c r="D14" s="2"/>
      <c r="E14" s="2"/>
      <c r="F14" s="77"/>
      <c r="G14" s="2"/>
      <c r="H14" s="2"/>
      <c r="I14" s="77"/>
      <c r="J14" s="2"/>
      <c r="K14" s="2"/>
      <c r="L14" s="77">
        <v>6777300</v>
      </c>
      <c r="M14" s="2"/>
      <c r="N14" s="2"/>
      <c r="O14" s="78">
        <f t="shared" si="1"/>
        <v>6777300</v>
      </c>
      <c r="P14" s="21"/>
      <c r="Q14" s="2"/>
      <c r="R14" s="21">
        <f t="shared" si="2"/>
        <v>6777300</v>
      </c>
      <c r="S14" s="21"/>
      <c r="T14" s="21"/>
      <c r="U14" s="21"/>
      <c r="V14" s="21"/>
      <c r="W14" s="21">
        <v>6777300</v>
      </c>
      <c r="X14" s="2"/>
      <c r="Y14" s="39"/>
      <c r="Z14" s="21">
        <f t="shared" si="3"/>
        <v>6777300</v>
      </c>
    </row>
    <row r="15" spans="1:26" x14ac:dyDescent="0.25">
      <c r="A15" s="257">
        <v>8</v>
      </c>
      <c r="B15" s="330" t="s">
        <v>159</v>
      </c>
      <c r="C15" s="76"/>
      <c r="D15" s="2"/>
      <c r="E15" s="2"/>
      <c r="F15" s="77"/>
      <c r="G15" s="2"/>
      <c r="H15" s="2"/>
      <c r="I15" s="77"/>
      <c r="J15" s="2"/>
      <c r="K15" s="2"/>
      <c r="L15" s="77">
        <v>3384010</v>
      </c>
      <c r="M15" s="2"/>
      <c r="N15" s="2"/>
      <c r="O15" s="78">
        <f t="shared" si="1"/>
        <v>3384010</v>
      </c>
      <c r="P15" s="21"/>
      <c r="Q15" s="2"/>
      <c r="R15" s="21">
        <f t="shared" si="2"/>
        <v>3384010</v>
      </c>
      <c r="S15" s="21"/>
      <c r="T15" s="21"/>
      <c r="U15" s="21"/>
      <c r="V15" s="21"/>
      <c r="W15" s="21">
        <v>3384010</v>
      </c>
      <c r="X15" s="2"/>
      <c r="Y15" s="39"/>
      <c r="Z15" s="21">
        <f t="shared" si="3"/>
        <v>3384010</v>
      </c>
    </row>
    <row r="16" spans="1:26" x14ac:dyDescent="0.25">
      <c r="A16" s="257">
        <v>9</v>
      </c>
      <c r="B16" s="330" t="s">
        <v>159</v>
      </c>
      <c r="C16" s="76"/>
      <c r="D16" s="2"/>
      <c r="E16" s="2"/>
      <c r="F16" s="77"/>
      <c r="G16" s="2"/>
      <c r="H16" s="2"/>
      <c r="I16" s="77"/>
      <c r="J16" s="2"/>
      <c r="K16" s="2"/>
      <c r="L16" s="77">
        <v>2900000</v>
      </c>
      <c r="M16" s="2"/>
      <c r="N16" s="2"/>
      <c r="O16" s="78">
        <f t="shared" si="1"/>
        <v>2900000</v>
      </c>
      <c r="P16" s="21"/>
      <c r="Q16" s="2"/>
      <c r="R16" s="21">
        <f t="shared" si="2"/>
        <v>2900000</v>
      </c>
      <c r="S16" s="21"/>
      <c r="T16" s="21"/>
      <c r="U16" s="21"/>
      <c r="V16" s="21"/>
      <c r="W16" s="21">
        <v>2900000</v>
      </c>
      <c r="X16" s="2"/>
      <c r="Y16" s="39"/>
      <c r="Z16" s="21">
        <f t="shared" si="3"/>
        <v>2900000</v>
      </c>
    </row>
    <row r="17" spans="1:26" x14ac:dyDescent="0.25">
      <c r="A17" s="257">
        <v>10</v>
      </c>
      <c r="B17" s="330" t="s">
        <v>160</v>
      </c>
      <c r="C17" s="76"/>
      <c r="D17" s="2"/>
      <c r="E17" s="2"/>
      <c r="F17" s="77"/>
      <c r="G17" s="2"/>
      <c r="H17" s="2"/>
      <c r="I17" s="77"/>
      <c r="J17" s="2"/>
      <c r="K17" s="2"/>
      <c r="L17" s="77">
        <v>2821700</v>
      </c>
      <c r="M17" s="2"/>
      <c r="N17" s="2"/>
      <c r="O17" s="78">
        <f t="shared" si="1"/>
        <v>2821700</v>
      </c>
      <c r="P17" s="21"/>
      <c r="Q17" s="2"/>
      <c r="R17" s="21">
        <f t="shared" si="2"/>
        <v>2821700</v>
      </c>
      <c r="S17" s="21"/>
      <c r="T17" s="21"/>
      <c r="U17" s="21"/>
      <c r="V17" s="21"/>
      <c r="W17" s="21">
        <v>2821700</v>
      </c>
      <c r="X17" s="2"/>
      <c r="Y17" s="39"/>
      <c r="Z17" s="21">
        <f t="shared" si="3"/>
        <v>2821700</v>
      </c>
    </row>
    <row r="18" spans="1:26" x14ac:dyDescent="0.25">
      <c r="A18" s="257">
        <v>11</v>
      </c>
      <c r="B18" s="6" t="s">
        <v>161</v>
      </c>
      <c r="C18" s="72"/>
      <c r="D18" s="17"/>
      <c r="E18" s="73"/>
      <c r="F18" s="73"/>
      <c r="G18" s="73"/>
      <c r="H18" s="25"/>
      <c r="I18" s="23"/>
      <c r="J18" s="25"/>
      <c r="K18" s="25"/>
      <c r="L18" s="74"/>
      <c r="M18" s="74">
        <f>'[1]Bil.Verifikues-2015'!E24</f>
        <v>150364909.19999999</v>
      </c>
      <c r="N18" s="74">
        <f>'[1]Bil.Verifikues-2015'!F24</f>
        <v>93407714.211235315</v>
      </c>
      <c r="O18" s="74">
        <f>M18-N18</f>
        <v>56957194.988764673</v>
      </c>
      <c r="P18" s="21"/>
      <c r="Q18" s="78">
        <v>33394854.0622596</v>
      </c>
      <c r="R18" s="23">
        <f>O18+P18-Q18</f>
        <v>23562340.926505074</v>
      </c>
      <c r="S18" s="17"/>
      <c r="T18" s="23">
        <v>23562340.926505074</v>
      </c>
      <c r="U18" s="23"/>
      <c r="V18" s="23"/>
      <c r="W18" s="23">
        <f t="shared" ref="W18" si="4">R18+S18-T18</f>
        <v>0</v>
      </c>
      <c r="X18" s="2"/>
      <c r="Y18" s="2"/>
      <c r="Z18" s="21">
        <f t="shared" si="3"/>
        <v>0</v>
      </c>
    </row>
    <row r="19" spans="1:26" x14ac:dyDescent="0.25">
      <c r="A19" s="257">
        <v>12</v>
      </c>
      <c r="B19" s="6" t="s">
        <v>162</v>
      </c>
      <c r="C19" s="76"/>
      <c r="D19" s="3"/>
      <c r="E19" s="77"/>
      <c r="F19" s="77"/>
      <c r="G19" s="77"/>
      <c r="H19" s="2"/>
      <c r="I19" s="21"/>
      <c r="J19" s="2"/>
      <c r="K19" s="2"/>
      <c r="L19" s="74">
        <f>SUM(L20:L25)</f>
        <v>42784166.027137145</v>
      </c>
      <c r="M19" s="74">
        <f>SUM(M20:M25)</f>
        <v>297665</v>
      </c>
      <c r="N19" s="74">
        <f>SUM(N20:N25)</f>
        <v>0</v>
      </c>
      <c r="O19" s="74">
        <f>SUM(O20:O44)</f>
        <v>44046313.073987655</v>
      </c>
      <c r="P19" s="74">
        <f>SUM(P20:P44)</f>
        <v>9116328</v>
      </c>
      <c r="Q19" s="2"/>
      <c r="R19" s="23">
        <f>SUM(R20:R45)</f>
        <v>53162581.073987655</v>
      </c>
      <c r="S19" s="23">
        <f>SUM(S20:S45)</f>
        <v>6307874</v>
      </c>
      <c r="T19" s="21"/>
      <c r="U19" s="21"/>
      <c r="V19" s="21"/>
      <c r="W19" s="23">
        <f>SUM(W20:W63)</f>
        <v>59470455.073987655</v>
      </c>
      <c r="X19" s="23">
        <f>SUM(X20:X63)</f>
        <v>8028304.0000000009</v>
      </c>
      <c r="Y19" s="23">
        <f t="shared" ref="Y19" si="5">SUM(Y20:Y63)</f>
        <v>0</v>
      </c>
      <c r="Z19" s="23">
        <f>SUM(Z20:Z63)</f>
        <v>67498759.073987648</v>
      </c>
    </row>
    <row r="20" spans="1:26" x14ac:dyDescent="0.25">
      <c r="A20" s="257">
        <v>13</v>
      </c>
      <c r="B20" s="1" t="s">
        <v>163</v>
      </c>
      <c r="C20" s="76">
        <v>21395097.003676753</v>
      </c>
      <c r="D20" s="3">
        <v>1798373</v>
      </c>
      <c r="E20" s="3">
        <v>1084042</v>
      </c>
      <c r="F20" s="77">
        <f t="shared" ref="F20:F25" si="6">C20+D20-E20</f>
        <v>22109428.003676753</v>
      </c>
      <c r="G20" s="77"/>
      <c r="H20" s="21">
        <f>F20*10%</f>
        <v>2210942.8003676753</v>
      </c>
      <c r="I20" s="79">
        <f t="shared" ref="I20:I23" si="7">F20+G20-H20</f>
        <v>19898485.203309078</v>
      </c>
      <c r="J20" s="21"/>
      <c r="K20" s="39">
        <v>1989848.5203309078</v>
      </c>
      <c r="L20" s="78">
        <v>29610971.912688065</v>
      </c>
      <c r="M20" s="2"/>
      <c r="N20" s="2"/>
      <c r="O20" s="78">
        <f t="shared" si="1"/>
        <v>29610971.912688065</v>
      </c>
      <c r="P20" s="21"/>
      <c r="Q20" s="21"/>
      <c r="R20" s="21">
        <f>O20+P20-Q20-60</f>
        <v>29610911.912688065</v>
      </c>
      <c r="S20" s="21"/>
      <c r="T20" s="21"/>
      <c r="U20" s="21"/>
      <c r="V20" s="21"/>
      <c r="W20" s="21">
        <v>29610911.912688065</v>
      </c>
      <c r="X20" s="21">
        <v>2255842.3425018271</v>
      </c>
      <c r="Y20" s="39"/>
      <c r="Z20" s="21">
        <f>W20+X20-Y20</f>
        <v>31866754.255189892</v>
      </c>
    </row>
    <row r="21" spans="1:26" x14ac:dyDescent="0.25">
      <c r="A21" s="257">
        <v>14</v>
      </c>
      <c r="B21" s="1" t="s">
        <v>164</v>
      </c>
      <c r="C21" s="76">
        <v>7352525.0000096224</v>
      </c>
      <c r="D21" s="3"/>
      <c r="E21" s="3">
        <f>C21*5%</f>
        <v>367626.25000048114</v>
      </c>
      <c r="F21" s="77">
        <f t="shared" si="6"/>
        <v>6984898.7500091409</v>
      </c>
      <c r="G21" s="77"/>
      <c r="H21" s="21">
        <f t="shared" ref="H21:H25" si="8">F21*10%</f>
        <v>698489.87500091409</v>
      </c>
      <c r="I21" s="79">
        <f t="shared" si="7"/>
        <v>6286408.8750082273</v>
      </c>
      <c r="J21" s="21">
        <v>91825</v>
      </c>
      <c r="K21" s="39">
        <v>628640.88750082278</v>
      </c>
      <c r="L21" s="78">
        <v>9506644.1670733392</v>
      </c>
      <c r="M21" s="2"/>
      <c r="N21" s="2"/>
      <c r="O21" s="78">
        <f t="shared" si="1"/>
        <v>9506644.1670733392</v>
      </c>
      <c r="P21" s="21"/>
      <c r="Q21" s="21"/>
      <c r="R21" s="21">
        <f t="shared" ref="R21:R32" si="9">O21+P21-Q21</f>
        <v>9506644.1670733392</v>
      </c>
      <c r="S21" s="21"/>
      <c r="T21" s="21"/>
      <c r="U21" s="21"/>
      <c r="V21" s="21"/>
      <c r="W21" s="21">
        <v>9506644.1670733392</v>
      </c>
      <c r="X21" s="21">
        <v>724242.82340297708</v>
      </c>
      <c r="Y21" s="39"/>
      <c r="Z21" s="21">
        <f t="shared" si="3"/>
        <v>10230886.990476316</v>
      </c>
    </row>
    <row r="22" spans="1:26" x14ac:dyDescent="0.25">
      <c r="A22" s="257">
        <v>15</v>
      </c>
      <c r="B22" s="1" t="s">
        <v>165</v>
      </c>
      <c r="C22" s="76"/>
      <c r="D22" s="3">
        <v>520981</v>
      </c>
      <c r="E22" s="3"/>
      <c r="F22" s="77">
        <f t="shared" si="6"/>
        <v>520981</v>
      </c>
      <c r="G22" s="77"/>
      <c r="H22" s="21">
        <f t="shared" si="8"/>
        <v>52098.100000000006</v>
      </c>
      <c r="I22" s="79">
        <f t="shared" si="7"/>
        <v>468882.9</v>
      </c>
      <c r="J22" s="21">
        <v>490525</v>
      </c>
      <c r="K22" s="39">
        <v>46888.290000000008</v>
      </c>
      <c r="L22" s="78">
        <v>1508802.3181111072</v>
      </c>
      <c r="M22" s="2"/>
      <c r="N22" s="2"/>
      <c r="O22" s="78">
        <f t="shared" si="1"/>
        <v>1508802.3181111072</v>
      </c>
      <c r="P22" s="21"/>
      <c r="Q22" s="2"/>
      <c r="R22" s="21">
        <f t="shared" si="9"/>
        <v>1508802.3181111072</v>
      </c>
      <c r="S22" s="21"/>
      <c r="T22" s="21"/>
      <c r="U22" s="21"/>
      <c r="V22" s="21"/>
      <c r="W22" s="21">
        <v>1508802.3181111072</v>
      </c>
      <c r="X22" s="21">
        <v>114944.79351720067</v>
      </c>
      <c r="Y22" s="39"/>
      <c r="Z22" s="21">
        <f t="shared" si="3"/>
        <v>1623747.111628308</v>
      </c>
    </row>
    <row r="23" spans="1:26" x14ac:dyDescent="0.25">
      <c r="A23" s="257">
        <v>18</v>
      </c>
      <c r="B23" s="1" t="s">
        <v>167</v>
      </c>
      <c r="C23" s="76">
        <v>0</v>
      </c>
      <c r="D23" s="3"/>
      <c r="E23" s="2"/>
      <c r="F23" s="77">
        <f t="shared" si="6"/>
        <v>0</v>
      </c>
      <c r="G23" s="77">
        <v>1450000</v>
      </c>
      <c r="H23" s="21">
        <f t="shared" si="8"/>
        <v>0</v>
      </c>
      <c r="I23" s="79">
        <f t="shared" si="7"/>
        <v>1450000</v>
      </c>
      <c r="J23" s="2"/>
      <c r="K23" s="39">
        <v>145000</v>
      </c>
      <c r="L23" s="78">
        <v>2157747.6292646411</v>
      </c>
      <c r="M23" s="2"/>
      <c r="N23" s="2"/>
      <c r="O23" s="78">
        <f>L23+M23-N23</f>
        <v>2157747.6292646411</v>
      </c>
      <c r="P23" s="21"/>
      <c r="Q23" s="21"/>
      <c r="R23" s="21">
        <f t="shared" si="9"/>
        <v>2157747.6292646411</v>
      </c>
      <c r="S23" s="21"/>
      <c r="T23" s="21"/>
      <c r="U23" s="21"/>
      <c r="V23" s="21"/>
      <c r="W23" s="21">
        <v>2157747.6292646411</v>
      </c>
      <c r="X23" s="21">
        <v>164383.26792774003</v>
      </c>
      <c r="Y23" s="39"/>
      <c r="Z23" s="21">
        <f t="shared" si="3"/>
        <v>2322130.8971923813</v>
      </c>
    </row>
    <row r="24" spans="1:26" x14ac:dyDescent="0.25">
      <c r="A24" s="257">
        <v>19</v>
      </c>
      <c r="B24" s="2" t="s">
        <v>168</v>
      </c>
      <c r="C24" s="76">
        <v>0</v>
      </c>
      <c r="D24" s="2"/>
      <c r="E24" s="2"/>
      <c r="F24" s="77">
        <f t="shared" si="6"/>
        <v>0</v>
      </c>
      <c r="G24" s="77"/>
      <c r="H24" s="21">
        <f t="shared" si="8"/>
        <v>0</v>
      </c>
      <c r="I24" s="21">
        <v>0</v>
      </c>
      <c r="J24" s="2"/>
      <c r="K24" s="2"/>
      <c r="L24" s="21"/>
      <c r="M24" s="21">
        <v>177665</v>
      </c>
      <c r="N24" s="2"/>
      <c r="O24" s="78">
        <f>L24+M24-N24</f>
        <v>177665</v>
      </c>
      <c r="P24" s="21"/>
      <c r="Q24" s="21"/>
      <c r="R24" s="21">
        <f t="shared" si="9"/>
        <v>177665</v>
      </c>
      <c r="S24" s="21"/>
      <c r="T24" s="21"/>
      <c r="U24" s="21"/>
      <c r="V24" s="21"/>
      <c r="W24" s="21">
        <v>177665</v>
      </c>
      <c r="X24" s="21">
        <v>13535.018136636781</v>
      </c>
      <c r="Y24" s="39"/>
      <c r="Z24" s="21">
        <f t="shared" si="3"/>
        <v>191200.01813663679</v>
      </c>
    </row>
    <row r="25" spans="1:26" x14ac:dyDescent="0.25">
      <c r="A25" s="257">
        <v>20</v>
      </c>
      <c r="B25" s="2" t="s">
        <v>169</v>
      </c>
      <c r="C25" s="76">
        <v>0</v>
      </c>
      <c r="D25" s="2"/>
      <c r="E25" s="2"/>
      <c r="F25" s="77">
        <f t="shared" si="6"/>
        <v>0</v>
      </c>
      <c r="G25" s="77"/>
      <c r="H25" s="21">
        <f t="shared" si="8"/>
        <v>0</v>
      </c>
      <c r="I25" s="21">
        <f>F25+G25-H25</f>
        <v>0</v>
      </c>
      <c r="J25" s="2"/>
      <c r="K25" s="2"/>
      <c r="L25" s="2"/>
      <c r="M25" s="21">
        <v>120000</v>
      </c>
      <c r="N25" s="2"/>
      <c r="O25" s="78">
        <f>L25+M25-N25</f>
        <v>120000</v>
      </c>
      <c r="P25" s="21"/>
      <c r="Q25" s="21"/>
      <c r="R25" s="21">
        <f t="shared" si="9"/>
        <v>120000</v>
      </c>
      <c r="S25" s="21"/>
      <c r="T25" s="21"/>
      <c r="U25" s="21"/>
      <c r="V25" s="21"/>
      <c r="W25" s="21">
        <v>120000</v>
      </c>
      <c r="X25" s="21">
        <v>9141.9366582974362</v>
      </c>
      <c r="Y25" s="39"/>
      <c r="Z25" s="21">
        <f t="shared" si="3"/>
        <v>129141.93665829743</v>
      </c>
    </row>
    <row r="26" spans="1:26" x14ac:dyDescent="0.25">
      <c r="A26" s="257">
        <v>21</v>
      </c>
      <c r="B26" s="2" t="s">
        <v>170</v>
      </c>
      <c r="C26" s="76"/>
      <c r="D26" s="2"/>
      <c r="E26" s="2"/>
      <c r="F26" s="77"/>
      <c r="G26" s="77"/>
      <c r="H26" s="21"/>
      <c r="I26" s="21"/>
      <c r="J26" s="2"/>
      <c r="K26" s="2"/>
      <c r="L26" s="2"/>
      <c r="M26" s="21"/>
      <c r="N26" s="2"/>
      <c r="O26" s="78">
        <f>L26+M26-N26</f>
        <v>0</v>
      </c>
      <c r="P26" s="21">
        <v>6920500</v>
      </c>
      <c r="Q26" s="21"/>
      <c r="R26" s="21">
        <f t="shared" si="9"/>
        <v>6920500</v>
      </c>
      <c r="S26" s="21"/>
      <c r="T26" s="21"/>
      <c r="U26" s="21"/>
      <c r="V26" s="21"/>
      <c r="W26" s="21">
        <v>6920500</v>
      </c>
      <c r="X26" s="21">
        <v>527223.10536456166</v>
      </c>
      <c r="Y26" s="39"/>
      <c r="Z26" s="21">
        <f t="shared" si="3"/>
        <v>7447723.105364562</v>
      </c>
    </row>
    <row r="27" spans="1:26" x14ac:dyDescent="0.25">
      <c r="A27" s="257">
        <v>22</v>
      </c>
      <c r="B27" s="2" t="s">
        <v>171</v>
      </c>
      <c r="C27" s="76"/>
      <c r="D27" s="2"/>
      <c r="E27" s="2"/>
      <c r="F27" s="77"/>
      <c r="G27" s="77"/>
      <c r="H27" s="21"/>
      <c r="I27" s="21"/>
      <c r="J27" s="2"/>
      <c r="K27" s="2"/>
      <c r="L27" s="2"/>
      <c r="M27" s="21"/>
      <c r="N27" s="2"/>
      <c r="O27" s="78"/>
      <c r="P27" s="21">
        <v>800000</v>
      </c>
      <c r="Q27" s="21"/>
      <c r="R27" s="21">
        <f t="shared" si="9"/>
        <v>800000</v>
      </c>
      <c r="S27" s="21"/>
      <c r="T27" s="21"/>
      <c r="U27" s="21"/>
      <c r="V27" s="21"/>
      <c r="W27" s="21">
        <v>800000</v>
      </c>
      <c r="X27" s="21">
        <v>60946.244388649568</v>
      </c>
      <c r="Y27" s="39"/>
      <c r="Z27" s="21">
        <f t="shared" si="3"/>
        <v>860946.24438864959</v>
      </c>
    </row>
    <row r="28" spans="1:26" x14ac:dyDescent="0.25">
      <c r="A28" s="257">
        <v>23</v>
      </c>
      <c r="B28" s="2" t="s">
        <v>172</v>
      </c>
      <c r="C28" s="76"/>
      <c r="D28" s="2"/>
      <c r="E28" s="2"/>
      <c r="F28" s="77"/>
      <c r="G28" s="77"/>
      <c r="H28" s="21"/>
      <c r="I28" s="21"/>
      <c r="J28" s="2"/>
      <c r="K28" s="2"/>
      <c r="L28" s="2"/>
      <c r="M28" s="21"/>
      <c r="N28" s="2"/>
      <c r="O28" s="78"/>
      <c r="P28" s="21">
        <f>864365+3043</f>
        <v>867408</v>
      </c>
      <c r="Q28" s="21"/>
      <c r="R28" s="21">
        <f>O28+P28-Q28</f>
        <v>867408</v>
      </c>
      <c r="S28" s="21"/>
      <c r="T28" s="21"/>
      <c r="U28" s="21"/>
      <c r="V28" s="21"/>
      <c r="W28" s="21">
        <v>867408</v>
      </c>
      <c r="X28" s="21">
        <v>66081.574940837178</v>
      </c>
      <c r="Y28" s="39"/>
      <c r="Z28" s="21">
        <f t="shared" si="3"/>
        <v>933489.57494083722</v>
      </c>
    </row>
    <row r="29" spans="1:26" x14ac:dyDescent="0.25">
      <c r="A29" s="257">
        <v>24</v>
      </c>
      <c r="B29" s="2" t="s">
        <v>172</v>
      </c>
      <c r="C29" s="76"/>
      <c r="D29" s="2"/>
      <c r="E29" s="2"/>
      <c r="F29" s="77"/>
      <c r="G29" s="77"/>
      <c r="H29" s="21"/>
      <c r="I29" s="21"/>
      <c r="J29" s="2"/>
      <c r="K29" s="2"/>
      <c r="L29" s="2"/>
      <c r="M29" s="21"/>
      <c r="N29" s="2"/>
      <c r="O29" s="78"/>
      <c r="P29" s="21">
        <v>200000</v>
      </c>
      <c r="Q29" s="21"/>
      <c r="R29" s="21">
        <f t="shared" si="9"/>
        <v>200000</v>
      </c>
      <c r="S29" s="21"/>
      <c r="T29" s="21"/>
      <c r="U29" s="21"/>
      <c r="V29" s="21"/>
      <c r="W29" s="21">
        <v>200000</v>
      </c>
      <c r="X29" s="21">
        <v>15236.561097162392</v>
      </c>
      <c r="Y29" s="39"/>
      <c r="Z29" s="21">
        <f t="shared" si="3"/>
        <v>215236.5610971624</v>
      </c>
    </row>
    <row r="30" spans="1:26" x14ac:dyDescent="0.25">
      <c r="A30" s="257">
        <v>25</v>
      </c>
      <c r="B30" s="2" t="s">
        <v>173</v>
      </c>
      <c r="C30" s="76"/>
      <c r="D30" s="2"/>
      <c r="E30" s="2"/>
      <c r="F30" s="77"/>
      <c r="G30" s="77"/>
      <c r="H30" s="21"/>
      <c r="I30" s="21"/>
      <c r="J30" s="2"/>
      <c r="K30" s="2"/>
      <c r="L30" s="2"/>
      <c r="M30" s="21"/>
      <c r="N30" s="2"/>
      <c r="O30" s="78"/>
      <c r="P30" s="21">
        <v>20000</v>
      </c>
      <c r="Q30" s="21"/>
      <c r="R30" s="21">
        <f t="shared" si="9"/>
        <v>20000</v>
      </c>
      <c r="S30" s="21"/>
      <c r="T30" s="21"/>
      <c r="U30" s="21"/>
      <c r="V30" s="21"/>
      <c r="W30" s="21">
        <v>20000</v>
      </c>
      <c r="X30" s="21">
        <v>1523.6561097162391</v>
      </c>
      <c r="Y30" s="39"/>
      <c r="Z30" s="21">
        <f t="shared" si="3"/>
        <v>21523.656109716238</v>
      </c>
    </row>
    <row r="31" spans="1:26" x14ac:dyDescent="0.25">
      <c r="A31" s="257">
        <v>26</v>
      </c>
      <c r="B31" s="1" t="s">
        <v>174</v>
      </c>
      <c r="C31" s="76"/>
      <c r="D31" s="2"/>
      <c r="E31" s="2"/>
      <c r="F31" s="77"/>
      <c r="G31" s="77"/>
      <c r="H31" s="21"/>
      <c r="I31" s="21"/>
      <c r="J31" s="2"/>
      <c r="K31" s="2"/>
      <c r="L31" s="2"/>
      <c r="M31" s="21"/>
      <c r="N31" s="2"/>
      <c r="O31" s="78"/>
      <c r="P31" s="9">
        <v>77500</v>
      </c>
      <c r="Q31" s="21"/>
      <c r="R31" s="21">
        <f t="shared" si="9"/>
        <v>77500</v>
      </c>
      <c r="S31" s="21"/>
      <c r="T31" s="21"/>
      <c r="U31" s="21"/>
      <c r="V31" s="21"/>
      <c r="W31" s="21">
        <v>77500</v>
      </c>
      <c r="X31" s="21">
        <v>5904.1674251504273</v>
      </c>
      <c r="Y31" s="39"/>
      <c r="Z31" s="21">
        <f t="shared" si="3"/>
        <v>83404.16742515043</v>
      </c>
    </row>
    <row r="32" spans="1:26" x14ac:dyDescent="0.25">
      <c r="A32" s="257">
        <v>27</v>
      </c>
      <c r="B32" s="2" t="s">
        <v>175</v>
      </c>
      <c r="C32" s="76"/>
      <c r="D32" s="2"/>
      <c r="E32" s="2"/>
      <c r="F32" s="77"/>
      <c r="G32" s="77"/>
      <c r="H32" s="21"/>
      <c r="I32" s="21"/>
      <c r="J32" s="2"/>
      <c r="K32" s="2"/>
      <c r="L32" s="2"/>
      <c r="M32" s="21"/>
      <c r="N32" s="2"/>
      <c r="O32" s="78"/>
      <c r="P32" s="21">
        <v>46000</v>
      </c>
      <c r="Q32" s="21"/>
      <c r="R32" s="21">
        <f t="shared" si="9"/>
        <v>46000</v>
      </c>
      <c r="S32" s="21"/>
      <c r="T32" s="21"/>
      <c r="U32" s="21"/>
      <c r="V32" s="21"/>
      <c r="W32" s="21">
        <v>46000</v>
      </c>
      <c r="X32" s="21">
        <v>3504.4090523473501</v>
      </c>
      <c r="Y32" s="39"/>
      <c r="Z32" s="21">
        <f t="shared" si="3"/>
        <v>49504.40905234735</v>
      </c>
    </row>
    <row r="33" spans="1:26" x14ac:dyDescent="0.25">
      <c r="A33" s="258" t="s">
        <v>1</v>
      </c>
      <c r="B33" s="45" t="s">
        <v>8</v>
      </c>
      <c r="C33" s="76"/>
      <c r="D33" s="2"/>
      <c r="E33" s="2"/>
      <c r="F33" s="77"/>
      <c r="G33" s="77"/>
      <c r="H33" s="21"/>
      <c r="I33" s="21"/>
      <c r="J33" s="2"/>
      <c r="K33" s="2"/>
      <c r="L33" s="2"/>
      <c r="M33" s="21"/>
      <c r="N33" s="2"/>
      <c r="O33" s="78"/>
      <c r="P33" s="21"/>
      <c r="Q33" s="2"/>
      <c r="R33" s="21"/>
      <c r="S33" s="45">
        <v>449295</v>
      </c>
      <c r="T33" s="21"/>
      <c r="U33" s="21"/>
      <c r="V33" s="21"/>
      <c r="W33" s="21">
        <v>449295</v>
      </c>
      <c r="X33" s="21">
        <v>34228.553590747884</v>
      </c>
      <c r="Y33" s="39"/>
      <c r="Z33" s="21">
        <f t="shared" si="3"/>
        <v>483523.55359074788</v>
      </c>
    </row>
    <row r="34" spans="1:26" x14ac:dyDescent="0.25">
      <c r="A34" s="258" t="s">
        <v>1</v>
      </c>
      <c r="B34" s="45" t="s">
        <v>8</v>
      </c>
      <c r="C34" s="76"/>
      <c r="D34" s="2"/>
      <c r="E34" s="2"/>
      <c r="F34" s="77"/>
      <c r="G34" s="77"/>
      <c r="H34" s="21"/>
      <c r="I34" s="21"/>
      <c r="J34" s="2"/>
      <c r="K34" s="2"/>
      <c r="L34" s="2"/>
      <c r="M34" s="21"/>
      <c r="N34" s="2"/>
      <c r="O34" s="78"/>
      <c r="P34" s="21"/>
      <c r="Q34" s="2"/>
      <c r="R34" s="21"/>
      <c r="S34" s="45">
        <v>449295</v>
      </c>
      <c r="T34" s="21"/>
      <c r="U34" s="21"/>
      <c r="V34" s="21"/>
      <c r="W34" s="21">
        <v>449295</v>
      </c>
      <c r="X34" s="21">
        <v>34228.553590747884</v>
      </c>
      <c r="Y34" s="39"/>
      <c r="Z34" s="21">
        <f t="shared" si="3"/>
        <v>483523.55359074788</v>
      </c>
    </row>
    <row r="35" spans="1:26" x14ac:dyDescent="0.25">
      <c r="A35" s="258" t="s">
        <v>9</v>
      </c>
      <c r="B35" s="45" t="s">
        <v>199</v>
      </c>
      <c r="C35" s="76"/>
      <c r="D35" s="2"/>
      <c r="E35" s="2"/>
      <c r="F35" s="77"/>
      <c r="G35" s="77"/>
      <c r="H35" s="21"/>
      <c r="I35" s="21"/>
      <c r="J35" s="2"/>
      <c r="K35" s="2"/>
      <c r="L35" s="2"/>
      <c r="M35" s="21"/>
      <c r="N35" s="2"/>
      <c r="O35" s="78"/>
      <c r="P35" s="21"/>
      <c r="Q35" s="2"/>
      <c r="R35" s="21"/>
      <c r="S35" s="45">
        <v>1518160.0000000002</v>
      </c>
      <c r="T35" s="21"/>
      <c r="U35" s="21"/>
      <c r="V35" s="21"/>
      <c r="W35" s="21">
        <v>1518160.0000000002</v>
      </c>
      <c r="X35" s="21">
        <v>115657.68797634031</v>
      </c>
      <c r="Y35" s="39"/>
      <c r="Z35" s="21">
        <f t="shared" si="3"/>
        <v>1633817.6879763405</v>
      </c>
    </row>
    <row r="36" spans="1:26" x14ac:dyDescent="0.25">
      <c r="A36" s="258" t="s">
        <v>12</v>
      </c>
      <c r="B36" s="45" t="s">
        <v>200</v>
      </c>
      <c r="C36" s="76"/>
      <c r="D36" s="2"/>
      <c r="E36" s="2"/>
      <c r="F36" s="77"/>
      <c r="G36" s="77"/>
      <c r="H36" s="21"/>
      <c r="I36" s="21"/>
      <c r="J36" s="2"/>
      <c r="K36" s="2"/>
      <c r="L36" s="2"/>
      <c r="M36" s="21"/>
      <c r="N36" s="2"/>
      <c r="O36" s="78"/>
      <c r="P36" s="21"/>
      <c r="Q36" s="2"/>
      <c r="R36" s="21"/>
      <c r="S36" s="45">
        <v>192400</v>
      </c>
      <c r="T36" s="21"/>
      <c r="U36" s="21"/>
      <c r="V36" s="21"/>
      <c r="W36" s="21">
        <v>192400</v>
      </c>
      <c r="X36" s="21">
        <v>14657.571775470222</v>
      </c>
      <c r="Y36" s="39"/>
      <c r="Z36" s="21">
        <f t="shared" si="3"/>
        <v>207057.57177547022</v>
      </c>
    </row>
    <row r="37" spans="1:26" x14ac:dyDescent="0.25">
      <c r="A37" s="258" t="s">
        <v>36</v>
      </c>
      <c r="B37" s="45" t="s">
        <v>199</v>
      </c>
      <c r="C37" s="76"/>
      <c r="D37" s="2"/>
      <c r="E37" s="2"/>
      <c r="F37" s="77"/>
      <c r="G37" s="77"/>
      <c r="H37" s="21"/>
      <c r="I37" s="21"/>
      <c r="J37" s="2"/>
      <c r="K37" s="2"/>
      <c r="L37" s="2"/>
      <c r="M37" s="21"/>
      <c r="N37" s="2"/>
      <c r="O37" s="78"/>
      <c r="P37" s="21"/>
      <c r="Q37" s="2"/>
      <c r="R37" s="21"/>
      <c r="S37" s="45">
        <v>663000</v>
      </c>
      <c r="T37" s="21"/>
      <c r="U37" s="21"/>
      <c r="V37" s="21"/>
      <c r="W37" s="21">
        <v>663000</v>
      </c>
      <c r="X37" s="21">
        <v>50509.200037093331</v>
      </c>
      <c r="Y37" s="39"/>
      <c r="Z37" s="21">
        <f t="shared" si="3"/>
        <v>713509.20003709337</v>
      </c>
    </row>
    <row r="38" spans="1:26" x14ac:dyDescent="0.25">
      <c r="A38" s="259" t="s">
        <v>37</v>
      </c>
      <c r="B38" s="45" t="s">
        <v>200</v>
      </c>
      <c r="C38" s="76"/>
      <c r="D38" s="2"/>
      <c r="E38" s="2"/>
      <c r="F38" s="77"/>
      <c r="G38" s="77"/>
      <c r="H38" s="21"/>
      <c r="I38" s="21"/>
      <c r="J38" s="2"/>
      <c r="K38" s="2"/>
      <c r="L38" s="2"/>
      <c r="M38" s="21"/>
      <c r="N38" s="2"/>
      <c r="O38" s="78"/>
      <c r="P38" s="21"/>
      <c r="Q38" s="2"/>
      <c r="R38" s="21"/>
      <c r="S38" s="45">
        <v>2453474</v>
      </c>
      <c r="T38" s="21"/>
      <c r="U38" s="21"/>
      <c r="V38" s="21"/>
      <c r="W38" s="21">
        <v>2453474</v>
      </c>
      <c r="X38" s="21">
        <v>186912.53250649702</v>
      </c>
      <c r="Y38" s="39"/>
      <c r="Z38" s="21">
        <f t="shared" si="3"/>
        <v>2640386.5325064971</v>
      </c>
    </row>
    <row r="39" spans="1:26" x14ac:dyDescent="0.25">
      <c r="A39" s="260">
        <v>2018</v>
      </c>
      <c r="B39" s="172" t="s">
        <v>317</v>
      </c>
      <c r="C39" s="76"/>
      <c r="D39" s="2"/>
      <c r="E39" s="2"/>
      <c r="F39" s="77"/>
      <c r="G39" s="77"/>
      <c r="H39" s="21"/>
      <c r="I39" s="21"/>
      <c r="J39" s="2"/>
      <c r="K39" s="2"/>
      <c r="L39" s="2"/>
      <c r="M39" s="21"/>
      <c r="N39" s="2"/>
      <c r="O39" s="78"/>
      <c r="P39" s="21"/>
      <c r="Q39" s="2"/>
      <c r="R39" s="21"/>
      <c r="S39" s="21"/>
      <c r="T39" s="21"/>
      <c r="U39" s="21"/>
      <c r="V39" s="21"/>
      <c r="W39" s="21">
        <v>4398704</v>
      </c>
      <c r="X39" s="21"/>
      <c r="Y39" s="39"/>
      <c r="Z39" s="489">
        <f>SUM(W39:W40)</f>
        <v>0</v>
      </c>
    </row>
    <row r="40" spans="1:26" x14ac:dyDescent="0.25">
      <c r="A40" s="260">
        <v>2018</v>
      </c>
      <c r="B40" s="173" t="s">
        <v>336</v>
      </c>
      <c r="C40" s="76"/>
      <c r="D40" s="2"/>
      <c r="E40" s="2"/>
      <c r="F40" s="77"/>
      <c r="G40" s="77"/>
      <c r="H40" s="21"/>
      <c r="I40" s="21"/>
      <c r="J40" s="2"/>
      <c r="K40" s="2"/>
      <c r="L40" s="2"/>
      <c r="M40" s="21"/>
      <c r="N40" s="2"/>
      <c r="O40" s="78"/>
      <c r="P40" s="21"/>
      <c r="Q40" s="2"/>
      <c r="R40" s="21"/>
      <c r="S40" s="21"/>
      <c r="T40" s="21"/>
      <c r="U40" s="21"/>
      <c r="V40" s="21"/>
      <c r="W40" s="21">
        <v>-4398704</v>
      </c>
      <c r="X40" s="21"/>
      <c r="Y40" s="39"/>
      <c r="Z40" s="490"/>
    </row>
    <row r="41" spans="1:26" x14ac:dyDescent="0.25">
      <c r="A41" s="259"/>
      <c r="B41" s="40" t="s">
        <v>332</v>
      </c>
      <c r="C41" s="76"/>
      <c r="D41" s="2"/>
      <c r="E41" s="2"/>
      <c r="F41" s="77"/>
      <c r="G41" s="77"/>
      <c r="H41" s="21"/>
      <c r="I41" s="21"/>
      <c r="J41" s="2"/>
      <c r="K41" s="2"/>
      <c r="L41" s="2"/>
      <c r="M41" s="21"/>
      <c r="N41" s="2"/>
      <c r="O41" s="78"/>
      <c r="P41" s="21"/>
      <c r="Q41" s="2"/>
      <c r="R41" s="21"/>
      <c r="S41" s="45"/>
      <c r="T41" s="21"/>
      <c r="U41" s="21"/>
      <c r="V41" s="21"/>
      <c r="W41" s="21"/>
      <c r="X41" s="21"/>
      <c r="Y41" s="39"/>
      <c r="Z41" s="21">
        <f t="shared" si="3"/>
        <v>0</v>
      </c>
    </row>
    <row r="42" spans="1:26" x14ac:dyDescent="0.25">
      <c r="A42" s="257">
        <v>16</v>
      </c>
      <c r="B42" s="1" t="s">
        <v>166</v>
      </c>
      <c r="C42" s="76">
        <v>362392.6729670671</v>
      </c>
      <c r="D42" s="3"/>
      <c r="E42" s="3">
        <v>11611</v>
      </c>
      <c r="F42" s="77">
        <f>C42+D42-E42</f>
        <v>350781.6729670671</v>
      </c>
      <c r="G42" s="77">
        <v>122334</v>
      </c>
      <c r="H42" s="21">
        <f>F42*10%</f>
        <v>35078.167296706713</v>
      </c>
      <c r="I42" s="79">
        <f>F42+G42-H42</f>
        <v>438037.50567036041</v>
      </c>
      <c r="J42" s="2"/>
      <c r="K42" s="39">
        <v>87607.501134072081</v>
      </c>
      <c r="L42" s="78">
        <v>579417.25020028616</v>
      </c>
      <c r="M42" s="2"/>
      <c r="N42" s="2"/>
      <c r="O42" s="78">
        <f>L42+M42-N42</f>
        <v>579417.25020028616</v>
      </c>
      <c r="P42" s="21"/>
      <c r="Q42" s="2"/>
      <c r="R42" s="21">
        <f>O42+P42-Q42</f>
        <v>579417.25020028616</v>
      </c>
      <c r="S42" s="21"/>
      <c r="T42" s="21"/>
      <c r="U42" s="21"/>
      <c r="V42" s="21"/>
      <c r="W42" s="21">
        <v>579417.25020028616</v>
      </c>
      <c r="X42" s="21"/>
      <c r="Y42" s="39"/>
      <c r="Z42" s="21">
        <f>W42+X42-Y42</f>
        <v>579417.25020028616</v>
      </c>
    </row>
    <row r="43" spans="1:26" x14ac:dyDescent="0.25">
      <c r="A43" s="257">
        <v>17</v>
      </c>
      <c r="B43" s="1" t="s">
        <v>40</v>
      </c>
      <c r="C43" s="76">
        <v>332289</v>
      </c>
      <c r="D43" s="3"/>
      <c r="E43" s="3">
        <v>8836</v>
      </c>
      <c r="F43" s="77">
        <f>C43+D43-E43</f>
        <v>323453</v>
      </c>
      <c r="G43" s="77"/>
      <c r="H43" s="21">
        <f>F43*10%</f>
        <v>32345.300000000003</v>
      </c>
      <c r="I43" s="79">
        <f>F43+G43-H43</f>
        <v>291107.7</v>
      </c>
      <c r="J43" s="2"/>
      <c r="K43" s="39">
        <v>58221.540000000008</v>
      </c>
      <c r="L43" s="78">
        <v>385064.79665022669</v>
      </c>
      <c r="M43" s="2"/>
      <c r="N43" s="2"/>
      <c r="O43" s="78">
        <f>L43+M43-N43</f>
        <v>385064.79665022669</v>
      </c>
      <c r="P43" s="21"/>
      <c r="Q43" s="2"/>
      <c r="R43" s="21">
        <f>O43+P43-Q43</f>
        <v>385064.79665022669</v>
      </c>
      <c r="S43" s="21"/>
      <c r="T43" s="21"/>
      <c r="U43" s="21"/>
      <c r="V43" s="21"/>
      <c r="W43" s="21">
        <v>385064.79665022669</v>
      </c>
      <c r="X43" s="21"/>
      <c r="Y43" s="39"/>
      <c r="Z43" s="21">
        <f>W43+X43-Y43</f>
        <v>385064.79665022669</v>
      </c>
    </row>
    <row r="44" spans="1:26" x14ac:dyDescent="0.25">
      <c r="A44" s="257">
        <v>28</v>
      </c>
      <c r="B44" s="2" t="s">
        <v>176</v>
      </c>
      <c r="C44" s="76"/>
      <c r="D44" s="2"/>
      <c r="E44" s="2"/>
      <c r="F44" s="77"/>
      <c r="G44" s="77"/>
      <c r="H44" s="21"/>
      <c r="I44" s="21"/>
      <c r="J44" s="2"/>
      <c r="K44" s="2"/>
      <c r="L44" s="2"/>
      <c r="M44" s="21"/>
      <c r="N44" s="2"/>
      <c r="O44" s="78"/>
      <c r="P44" s="21">
        <v>184920</v>
      </c>
      <c r="Q44" s="2"/>
      <c r="R44" s="21">
        <f>O44+P44-Q44</f>
        <v>184920</v>
      </c>
      <c r="S44" s="21"/>
      <c r="T44" s="21"/>
      <c r="U44" s="21"/>
      <c r="V44" s="21"/>
      <c r="W44" s="21">
        <v>184920</v>
      </c>
      <c r="X44" s="21"/>
      <c r="Y44" s="39"/>
      <c r="Z44" s="21">
        <f t="shared" si="3"/>
        <v>184920</v>
      </c>
    </row>
    <row r="45" spans="1:26" x14ac:dyDescent="0.25">
      <c r="A45" s="257" t="s">
        <v>11</v>
      </c>
      <c r="B45" s="2" t="s">
        <v>203</v>
      </c>
      <c r="C45" s="76"/>
      <c r="D45" s="2"/>
      <c r="E45" s="2"/>
      <c r="F45" s="77"/>
      <c r="G45" s="77"/>
      <c r="H45" s="21"/>
      <c r="I45" s="21"/>
      <c r="J45" s="2"/>
      <c r="K45" s="2"/>
      <c r="L45" s="2"/>
      <c r="M45" s="21"/>
      <c r="N45" s="2"/>
      <c r="O45" s="78"/>
      <c r="P45" s="21"/>
      <c r="Q45" s="2"/>
      <c r="R45" s="21"/>
      <c r="S45" s="21">
        <v>582250</v>
      </c>
      <c r="T45" s="21"/>
      <c r="U45" s="21"/>
      <c r="V45" s="21"/>
      <c r="W45" s="21">
        <v>582250</v>
      </c>
      <c r="X45" s="21"/>
      <c r="Y45" s="39"/>
      <c r="Z45" s="21">
        <f t="shared" si="3"/>
        <v>582250</v>
      </c>
    </row>
    <row r="46" spans="1:26" x14ac:dyDescent="0.25">
      <c r="A46" s="257"/>
      <c r="B46" s="25" t="s">
        <v>335</v>
      </c>
      <c r="C46" s="76"/>
      <c r="D46" s="2"/>
      <c r="E46" s="2"/>
      <c r="F46" s="77"/>
      <c r="G46" s="77"/>
      <c r="H46" s="21"/>
      <c r="I46" s="21"/>
      <c r="J46" s="2"/>
      <c r="K46" s="2"/>
      <c r="L46" s="2"/>
      <c r="M46" s="21"/>
      <c r="N46" s="2"/>
      <c r="O46" s="78"/>
      <c r="P46" s="21"/>
      <c r="Q46" s="2"/>
      <c r="R46" s="21"/>
      <c r="S46" s="21"/>
      <c r="T46" s="21"/>
      <c r="U46" s="21"/>
      <c r="V46" s="21"/>
      <c r="W46" s="21"/>
      <c r="X46" s="21"/>
      <c r="Y46" s="39"/>
      <c r="Z46" s="21">
        <f t="shared" si="3"/>
        <v>0</v>
      </c>
    </row>
    <row r="47" spans="1:26" x14ac:dyDescent="0.25">
      <c r="A47" s="261" t="s">
        <v>295</v>
      </c>
      <c r="B47" s="172" t="s">
        <v>296</v>
      </c>
      <c r="C47" s="76"/>
      <c r="D47" s="2"/>
      <c r="E47" s="2"/>
      <c r="F47" s="77"/>
      <c r="G47" s="77"/>
      <c r="H47" s="21"/>
      <c r="I47" s="21"/>
      <c r="J47" s="2"/>
      <c r="K47" s="2"/>
      <c r="L47" s="2"/>
      <c r="M47" s="21"/>
      <c r="N47" s="2"/>
      <c r="O47" s="78"/>
      <c r="P47" s="21"/>
      <c r="Q47" s="2"/>
      <c r="R47" s="21"/>
      <c r="S47" s="21"/>
      <c r="T47" s="21"/>
      <c r="U47" s="21"/>
      <c r="V47" s="172">
        <v>1</v>
      </c>
      <c r="W47" s="21"/>
      <c r="X47" s="22">
        <v>35000</v>
      </c>
      <c r="Y47" s="39"/>
      <c r="Z47" s="21">
        <f t="shared" si="3"/>
        <v>35000</v>
      </c>
    </row>
    <row r="48" spans="1:26" x14ac:dyDescent="0.25">
      <c r="A48" s="261" t="s">
        <v>291</v>
      </c>
      <c r="B48" s="172" t="s">
        <v>292</v>
      </c>
      <c r="C48" s="76"/>
      <c r="D48" s="2"/>
      <c r="E48" s="2"/>
      <c r="F48" s="77"/>
      <c r="G48" s="77"/>
      <c r="H48" s="21"/>
      <c r="I48" s="21"/>
      <c r="J48" s="2"/>
      <c r="K48" s="2"/>
      <c r="L48" s="2"/>
      <c r="M48" s="21"/>
      <c r="N48" s="2"/>
      <c r="O48" s="78"/>
      <c r="P48" s="21"/>
      <c r="Q48" s="2"/>
      <c r="R48" s="21"/>
      <c r="S48" s="21"/>
      <c r="T48" s="21"/>
      <c r="U48" s="21"/>
      <c r="V48" s="172">
        <v>1</v>
      </c>
      <c r="W48" s="21"/>
      <c r="X48" s="22">
        <v>16665</v>
      </c>
      <c r="Y48" s="39"/>
      <c r="Z48" s="21">
        <f t="shared" si="3"/>
        <v>16665</v>
      </c>
    </row>
    <row r="49" spans="1:26" x14ac:dyDescent="0.25">
      <c r="A49" s="262" t="s">
        <v>299</v>
      </c>
      <c r="B49" s="172" t="s">
        <v>300</v>
      </c>
      <c r="C49" s="76"/>
      <c r="D49" s="2"/>
      <c r="E49" s="2"/>
      <c r="F49" s="77"/>
      <c r="G49" s="77"/>
      <c r="H49" s="21"/>
      <c r="I49" s="21"/>
      <c r="J49" s="2"/>
      <c r="K49" s="2"/>
      <c r="L49" s="2"/>
      <c r="M49" s="21"/>
      <c r="N49" s="2"/>
      <c r="O49" s="78"/>
      <c r="P49" s="21"/>
      <c r="Q49" s="2"/>
      <c r="R49" s="21"/>
      <c r="S49" s="21"/>
      <c r="T49" s="21"/>
      <c r="U49" s="21"/>
      <c r="V49" s="172">
        <v>1</v>
      </c>
      <c r="W49" s="21"/>
      <c r="X49" s="22">
        <v>31625</v>
      </c>
      <c r="Y49" s="39"/>
      <c r="Z49" s="21">
        <f t="shared" si="3"/>
        <v>31625</v>
      </c>
    </row>
    <row r="50" spans="1:26" x14ac:dyDescent="0.25">
      <c r="A50" s="262" t="s">
        <v>307</v>
      </c>
      <c r="B50" s="172" t="s">
        <v>308</v>
      </c>
      <c r="C50" s="76"/>
      <c r="D50" s="2"/>
      <c r="E50" s="2"/>
      <c r="F50" s="77"/>
      <c r="G50" s="77"/>
      <c r="H50" s="21"/>
      <c r="I50" s="21"/>
      <c r="J50" s="2"/>
      <c r="K50" s="2"/>
      <c r="L50" s="2"/>
      <c r="M50" s="21"/>
      <c r="N50" s="2"/>
      <c r="O50" s="78"/>
      <c r="P50" s="21"/>
      <c r="Q50" s="2"/>
      <c r="R50" s="21"/>
      <c r="S50" s="21"/>
      <c r="T50" s="21"/>
      <c r="U50" s="21"/>
      <c r="V50" s="172">
        <v>1</v>
      </c>
      <c r="W50" s="21"/>
      <c r="X50" s="22">
        <v>2273335</v>
      </c>
      <c r="Y50" s="39"/>
      <c r="Z50" s="21">
        <f t="shared" si="3"/>
        <v>2273335</v>
      </c>
    </row>
    <row r="51" spans="1:26" x14ac:dyDescent="0.25">
      <c r="A51" s="262" t="s">
        <v>304</v>
      </c>
      <c r="B51" s="172" t="s">
        <v>305</v>
      </c>
      <c r="C51" s="76"/>
      <c r="D51" s="2"/>
      <c r="E51" s="2"/>
      <c r="F51" s="77"/>
      <c r="G51" s="77"/>
      <c r="H51" s="21"/>
      <c r="I51" s="21"/>
      <c r="J51" s="2"/>
      <c r="K51" s="2"/>
      <c r="L51" s="2"/>
      <c r="M51" s="21"/>
      <c r="N51" s="2"/>
      <c r="O51" s="78"/>
      <c r="P51" s="21"/>
      <c r="Q51" s="2"/>
      <c r="R51" s="21"/>
      <c r="S51" s="21"/>
      <c r="T51" s="21"/>
      <c r="U51" s="21"/>
      <c r="V51" s="172">
        <v>2</v>
      </c>
      <c r="W51" s="21"/>
      <c r="X51" s="22">
        <v>114505</v>
      </c>
      <c r="Y51" s="39"/>
      <c r="Z51" s="21">
        <f t="shared" si="3"/>
        <v>114505</v>
      </c>
    </row>
    <row r="52" spans="1:26" x14ac:dyDescent="0.25">
      <c r="A52" s="259" t="s">
        <v>309</v>
      </c>
      <c r="B52" s="172" t="s">
        <v>310</v>
      </c>
      <c r="C52" s="76"/>
      <c r="D52" s="2"/>
      <c r="E52" s="2"/>
      <c r="F52" s="77"/>
      <c r="G52" s="77"/>
      <c r="H52" s="21"/>
      <c r="I52" s="21"/>
      <c r="J52" s="2"/>
      <c r="K52" s="2"/>
      <c r="L52" s="2"/>
      <c r="M52" s="21"/>
      <c r="N52" s="2"/>
      <c r="O52" s="78"/>
      <c r="P52" s="21"/>
      <c r="Q52" s="2"/>
      <c r="R52" s="21"/>
      <c r="S52" s="21"/>
      <c r="T52" s="21"/>
      <c r="U52" s="21"/>
      <c r="V52" s="172">
        <v>1</v>
      </c>
      <c r="W52" s="21"/>
      <c r="X52" s="22">
        <v>416665</v>
      </c>
      <c r="Y52" s="39"/>
      <c r="Z52" s="21">
        <f t="shared" si="3"/>
        <v>416665</v>
      </c>
    </row>
    <row r="53" spans="1:26" x14ac:dyDescent="0.25">
      <c r="A53" s="261" t="s">
        <v>289</v>
      </c>
      <c r="B53" s="172" t="s">
        <v>290</v>
      </c>
      <c r="C53" s="76"/>
      <c r="D53" s="2"/>
      <c r="E53" s="2"/>
      <c r="F53" s="77"/>
      <c r="G53" s="77"/>
      <c r="H53" s="21"/>
      <c r="I53" s="21"/>
      <c r="J53" s="2"/>
      <c r="K53" s="2"/>
      <c r="L53" s="2"/>
      <c r="M53" s="21"/>
      <c r="N53" s="2"/>
      <c r="O53" s="78"/>
      <c r="P53" s="21"/>
      <c r="Q53" s="2"/>
      <c r="R53" s="21"/>
      <c r="S53" s="21"/>
      <c r="T53" s="21"/>
      <c r="U53" s="21"/>
      <c r="V53" s="172">
        <v>1</v>
      </c>
      <c r="W53" s="21"/>
      <c r="X53" s="22">
        <v>208330</v>
      </c>
      <c r="Y53" s="39"/>
      <c r="Z53" s="21">
        <f t="shared" si="3"/>
        <v>208330</v>
      </c>
    </row>
    <row r="54" spans="1:26" x14ac:dyDescent="0.25">
      <c r="A54" s="262" t="s">
        <v>294</v>
      </c>
      <c r="B54" s="172" t="s">
        <v>322</v>
      </c>
      <c r="C54" s="76"/>
      <c r="D54" s="2"/>
      <c r="E54" s="2"/>
      <c r="F54" s="77"/>
      <c r="G54" s="77"/>
      <c r="H54" s="21"/>
      <c r="I54" s="21"/>
      <c r="J54" s="2"/>
      <c r="K54" s="2"/>
      <c r="L54" s="2"/>
      <c r="M54" s="21"/>
      <c r="N54" s="2"/>
      <c r="O54" s="78"/>
      <c r="P54" s="21"/>
      <c r="Q54" s="2"/>
      <c r="R54" s="21"/>
      <c r="S54" s="21"/>
      <c r="T54" s="21"/>
      <c r="U54" s="21"/>
      <c r="V54" s="172">
        <v>1</v>
      </c>
      <c r="W54" s="21"/>
      <c r="X54" s="22">
        <v>275600</v>
      </c>
      <c r="Y54" s="39"/>
      <c r="Z54" s="21">
        <f t="shared" si="3"/>
        <v>275600</v>
      </c>
    </row>
    <row r="55" spans="1:26" x14ac:dyDescent="0.25">
      <c r="A55" s="262" t="s">
        <v>297</v>
      </c>
      <c r="B55" s="172" t="s">
        <v>298</v>
      </c>
      <c r="C55" s="76"/>
      <c r="D55" s="2"/>
      <c r="E55" s="2"/>
      <c r="F55" s="77"/>
      <c r="G55" s="77"/>
      <c r="H55" s="21"/>
      <c r="I55" s="21"/>
      <c r="J55" s="2"/>
      <c r="K55" s="2"/>
      <c r="L55" s="2"/>
      <c r="M55" s="21"/>
      <c r="N55" s="2"/>
      <c r="O55" s="78"/>
      <c r="P55" s="21"/>
      <c r="Q55" s="2"/>
      <c r="R55" s="21"/>
      <c r="S55" s="21"/>
      <c r="T55" s="21"/>
      <c r="U55" s="21"/>
      <c r="V55" s="172">
        <v>1</v>
      </c>
      <c r="W55" s="21"/>
      <c r="X55" s="22">
        <v>10235</v>
      </c>
      <c r="Y55" s="39"/>
      <c r="Z55" s="21">
        <f t="shared" si="3"/>
        <v>10235</v>
      </c>
    </row>
    <row r="56" spans="1:26" x14ac:dyDescent="0.25">
      <c r="A56" s="260"/>
      <c r="B56" s="173"/>
      <c r="C56" s="76"/>
      <c r="D56" s="2"/>
      <c r="E56" s="2"/>
      <c r="F56" s="77"/>
      <c r="G56" s="77"/>
      <c r="H56" s="21"/>
      <c r="I56" s="21"/>
      <c r="J56" s="2"/>
      <c r="K56" s="2"/>
      <c r="L56" s="2"/>
      <c r="M56" s="21"/>
      <c r="N56" s="2"/>
      <c r="O56" s="78"/>
      <c r="P56" s="21"/>
      <c r="Q56" s="2"/>
      <c r="R56" s="21"/>
      <c r="S56" s="21"/>
      <c r="T56" s="21"/>
      <c r="U56" s="21"/>
      <c r="V56" s="21"/>
      <c r="W56" s="21"/>
      <c r="X56" s="2"/>
      <c r="Y56" s="39"/>
      <c r="Z56" s="21">
        <f t="shared" si="3"/>
        <v>0</v>
      </c>
    </row>
    <row r="57" spans="1:26" x14ac:dyDescent="0.25">
      <c r="A57" s="260"/>
      <c r="B57" s="25" t="s">
        <v>337</v>
      </c>
      <c r="C57" s="76"/>
      <c r="D57" s="2"/>
      <c r="E57" s="2"/>
      <c r="F57" s="77"/>
      <c r="G57" s="77"/>
      <c r="H57" s="21"/>
      <c r="I57" s="21"/>
      <c r="J57" s="2"/>
      <c r="K57" s="2"/>
      <c r="L57" s="2"/>
      <c r="M57" s="21"/>
      <c r="N57" s="2"/>
      <c r="O57" s="78"/>
      <c r="P57" s="21"/>
      <c r="Q57" s="2"/>
      <c r="R57" s="21"/>
      <c r="S57" s="21"/>
      <c r="T57" s="21"/>
      <c r="U57" s="21"/>
      <c r="V57" s="21"/>
      <c r="W57" s="21"/>
      <c r="X57" s="2"/>
      <c r="Y57" s="39"/>
      <c r="Z57" s="21">
        <f t="shared" si="3"/>
        <v>0</v>
      </c>
    </row>
    <row r="58" spans="1:26" x14ac:dyDescent="0.25">
      <c r="A58" s="262" t="s">
        <v>301</v>
      </c>
      <c r="B58" s="172" t="s">
        <v>302</v>
      </c>
      <c r="C58" s="76"/>
      <c r="D58" s="2"/>
      <c r="E58" s="2"/>
      <c r="F58" s="77"/>
      <c r="G58" s="77"/>
      <c r="H58" s="21"/>
      <c r="I58" s="21"/>
      <c r="J58" s="2"/>
      <c r="K58" s="2"/>
      <c r="L58" s="2"/>
      <c r="M58" s="21"/>
      <c r="N58" s="2"/>
      <c r="O58" s="78"/>
      <c r="P58" s="21"/>
      <c r="Q58" s="2"/>
      <c r="R58" s="21"/>
      <c r="S58" s="21"/>
      <c r="T58" s="21"/>
      <c r="U58" s="21" t="s">
        <v>287</v>
      </c>
      <c r="V58" s="21">
        <v>1</v>
      </c>
      <c r="W58" s="21"/>
      <c r="X58" s="21">
        <v>44000</v>
      </c>
      <c r="Y58" s="39"/>
      <c r="Z58" s="21">
        <f t="shared" si="3"/>
        <v>44000</v>
      </c>
    </row>
    <row r="59" spans="1:26" x14ac:dyDescent="0.25">
      <c r="A59" s="262" t="s">
        <v>303</v>
      </c>
      <c r="B59" s="172" t="s">
        <v>325</v>
      </c>
      <c r="C59" s="76"/>
      <c r="D59" s="2"/>
      <c r="E59" s="2"/>
      <c r="F59" s="77"/>
      <c r="G59" s="77"/>
      <c r="H59" s="21"/>
      <c r="I59" s="21"/>
      <c r="J59" s="2"/>
      <c r="K59" s="2"/>
      <c r="L59" s="2"/>
      <c r="M59" s="21"/>
      <c r="N59" s="2"/>
      <c r="O59" s="78"/>
      <c r="P59" s="21"/>
      <c r="Q59" s="2"/>
      <c r="R59" s="21"/>
      <c r="S59" s="21"/>
      <c r="T59" s="21"/>
      <c r="U59" s="21" t="s">
        <v>287</v>
      </c>
      <c r="V59" s="21">
        <v>1</v>
      </c>
      <c r="W59" s="21"/>
      <c r="X59" s="21">
        <v>117585</v>
      </c>
      <c r="Y59" s="39"/>
      <c r="Z59" s="21">
        <f t="shared" si="3"/>
        <v>117585</v>
      </c>
    </row>
    <row r="60" spans="1:26" x14ac:dyDescent="0.25">
      <c r="A60" s="259" t="s">
        <v>311</v>
      </c>
      <c r="B60" s="172" t="s">
        <v>327</v>
      </c>
      <c r="C60" s="76"/>
      <c r="D60" s="2"/>
      <c r="E60" s="2"/>
      <c r="F60" s="77"/>
      <c r="G60" s="77"/>
      <c r="H60" s="21"/>
      <c r="I60" s="21"/>
      <c r="J60" s="2"/>
      <c r="K60" s="2"/>
      <c r="L60" s="2"/>
      <c r="M60" s="21"/>
      <c r="N60" s="2"/>
      <c r="O60" s="78"/>
      <c r="P60" s="21"/>
      <c r="Q60" s="2"/>
      <c r="R60" s="21"/>
      <c r="S60" s="21"/>
      <c r="T60" s="21"/>
      <c r="U60" s="21" t="s">
        <v>287</v>
      </c>
      <c r="V60" s="21">
        <v>14</v>
      </c>
      <c r="W60" s="21"/>
      <c r="X60" s="21">
        <v>35000</v>
      </c>
      <c r="Y60" s="39"/>
      <c r="Z60" s="21">
        <f t="shared" si="3"/>
        <v>35000</v>
      </c>
    </row>
    <row r="61" spans="1:26" x14ac:dyDescent="0.25">
      <c r="A61" s="261" t="s">
        <v>293</v>
      </c>
      <c r="B61" s="172" t="s">
        <v>321</v>
      </c>
      <c r="C61" s="76"/>
      <c r="D61" s="2"/>
      <c r="E61" s="2"/>
      <c r="F61" s="77"/>
      <c r="G61" s="77"/>
      <c r="H61" s="21"/>
      <c r="I61" s="21"/>
      <c r="J61" s="2"/>
      <c r="K61" s="2"/>
      <c r="L61" s="2"/>
      <c r="M61" s="21"/>
      <c r="N61" s="2"/>
      <c r="O61" s="78"/>
      <c r="P61" s="21"/>
      <c r="Q61" s="2"/>
      <c r="R61" s="21"/>
      <c r="S61" s="21"/>
      <c r="T61" s="21"/>
      <c r="U61" s="21" t="s">
        <v>287</v>
      </c>
      <c r="V61" s="21"/>
      <c r="W61" s="21"/>
      <c r="X61" s="21">
        <v>51055</v>
      </c>
      <c r="Y61" s="39"/>
      <c r="Z61" s="21">
        <f t="shared" si="3"/>
        <v>51055</v>
      </c>
    </row>
    <row r="62" spans="1:26" x14ac:dyDescent="0.25">
      <c r="A62" s="260"/>
      <c r="B62" s="173"/>
      <c r="C62" s="76"/>
      <c r="D62" s="2"/>
      <c r="E62" s="2"/>
      <c r="F62" s="77"/>
      <c r="G62" s="77"/>
      <c r="H62" s="21"/>
      <c r="I62" s="21"/>
      <c r="J62" s="2"/>
      <c r="K62" s="2"/>
      <c r="L62" s="2"/>
      <c r="M62" s="21"/>
      <c r="N62" s="2"/>
      <c r="O62" s="78"/>
      <c r="P62" s="21"/>
      <c r="Q62" s="2"/>
      <c r="R62" s="21"/>
      <c r="S62" s="21"/>
      <c r="T62" s="21"/>
      <c r="U62" s="21"/>
      <c r="V62" s="21"/>
      <c r="W62" s="21"/>
      <c r="X62" s="2"/>
      <c r="Y62" s="39"/>
      <c r="Z62" s="21"/>
    </row>
    <row r="63" spans="1:26" x14ac:dyDescent="0.25">
      <c r="A63" s="257"/>
      <c r="B63" s="2"/>
      <c r="C63" s="76"/>
      <c r="D63" s="2"/>
      <c r="E63" s="2"/>
      <c r="F63" s="77"/>
      <c r="G63" s="77"/>
      <c r="H63" s="21"/>
      <c r="I63" s="21"/>
      <c r="J63" s="2"/>
      <c r="K63" s="2"/>
      <c r="L63" s="2"/>
      <c r="M63" s="21"/>
      <c r="N63" s="2"/>
      <c r="O63" s="78"/>
      <c r="P63" s="21"/>
      <c r="Q63" s="2"/>
      <c r="R63" s="21"/>
      <c r="S63" s="21"/>
      <c r="T63" s="21"/>
      <c r="U63" s="21"/>
      <c r="V63" s="21"/>
      <c r="W63" s="21"/>
      <c r="X63" s="2"/>
      <c r="Y63" s="2"/>
      <c r="Z63" s="21"/>
    </row>
    <row r="64" spans="1:26" x14ac:dyDescent="0.25">
      <c r="A64" s="263"/>
      <c r="B64" s="46" t="s">
        <v>177</v>
      </c>
      <c r="C64" s="41">
        <f t="shared" ref="C64:K64" si="10">SUM(C8:C25)</f>
        <v>108807422.00368638</v>
      </c>
      <c r="D64" s="41">
        <f t="shared" si="10"/>
        <v>2319354</v>
      </c>
      <c r="E64" s="41">
        <f t="shared" si="10"/>
        <v>1451668.250000481</v>
      </c>
      <c r="F64" s="41">
        <f t="shared" si="10"/>
        <v>109675107.75368589</v>
      </c>
      <c r="G64" s="41">
        <f t="shared" si="10"/>
        <v>1450000</v>
      </c>
      <c r="H64" s="41">
        <f t="shared" si="10"/>
        <v>2961530.7753685894</v>
      </c>
      <c r="I64" s="41">
        <f t="shared" si="10"/>
        <v>242207130.5446263</v>
      </c>
      <c r="J64" s="41">
        <f t="shared" si="10"/>
        <v>582350</v>
      </c>
      <c r="K64" s="41">
        <f t="shared" si="10"/>
        <v>2810377.6978317304</v>
      </c>
      <c r="L64" s="41">
        <f>L8+L9+L18+L19</f>
        <v>256887519.59344614</v>
      </c>
      <c r="M64" s="41">
        <f>M8+M9+M18+M19</f>
        <v>156402574.19999999</v>
      </c>
      <c r="N64" s="41">
        <f>N8+N9+N18+N19</f>
        <v>110676412.21123531</v>
      </c>
      <c r="O64" s="41">
        <f>O8+O9+O18+O19</f>
        <v>303578163.62906134</v>
      </c>
      <c r="P64" s="41">
        <f>P8+P9+P18+P19</f>
        <v>9116328</v>
      </c>
      <c r="Q64" s="41">
        <f>SUM(Q8:Q45)</f>
        <v>33394854.0622596</v>
      </c>
      <c r="R64" s="41">
        <f>R8+R9+R18+R19</f>
        <v>279299577.56680173</v>
      </c>
      <c r="S64" s="41">
        <f>S8+S9+S18+S19</f>
        <v>6307874</v>
      </c>
      <c r="T64" s="41">
        <f>T8+T9+T18+T19</f>
        <v>23562340.926505074</v>
      </c>
      <c r="U64" s="41"/>
      <c r="V64" s="41"/>
      <c r="W64" s="41">
        <f>W8+W9+W18+W19</f>
        <v>307785992.64029664</v>
      </c>
      <c r="X64" s="41">
        <f>X8+X9+X18+X19</f>
        <v>8028304.0000000009</v>
      </c>
      <c r="Y64" s="41">
        <f>Y8+Y9+Y18+Y19</f>
        <v>0</v>
      </c>
      <c r="Z64" s="41">
        <f>Z8+Z9+Z18+Z19</f>
        <v>315814296.64029664</v>
      </c>
    </row>
    <row r="66" spans="1:26" x14ac:dyDescent="0.25">
      <c r="F66" s="66"/>
      <c r="G66" s="66"/>
    </row>
    <row r="67" spans="1:26" x14ac:dyDescent="0.25">
      <c r="A67" s="487" t="s">
        <v>178</v>
      </c>
      <c r="B67" s="487"/>
      <c r="C67" s="487"/>
      <c r="D67" s="487"/>
      <c r="E67" s="487"/>
      <c r="F67" s="487"/>
      <c r="G67" s="487"/>
      <c r="H67" s="487"/>
      <c r="I67" s="487"/>
      <c r="J67" s="487"/>
      <c r="K67" s="487"/>
      <c r="L67" s="487"/>
      <c r="M67" s="487"/>
      <c r="N67" s="487"/>
      <c r="O67" s="487"/>
      <c r="P67" s="487"/>
      <c r="Q67" s="487"/>
      <c r="R67" s="487"/>
      <c r="S67" s="487"/>
      <c r="T67" s="487"/>
      <c r="U67" s="487"/>
      <c r="V67" s="487"/>
      <c r="W67" s="487"/>
      <c r="X67" s="487"/>
      <c r="Y67" s="487"/>
      <c r="Z67" s="487"/>
    </row>
    <row r="68" spans="1:26" ht="8.25" customHeight="1" x14ac:dyDescent="0.25"/>
    <row r="69" spans="1:26" ht="31.5" x14ac:dyDescent="0.25">
      <c r="A69" s="496" t="s">
        <v>0</v>
      </c>
      <c r="B69" s="494" t="s">
        <v>3</v>
      </c>
      <c r="C69" s="69" t="s">
        <v>17</v>
      </c>
      <c r="D69" s="494" t="s">
        <v>138</v>
      </c>
      <c r="E69" s="494" t="s">
        <v>139</v>
      </c>
      <c r="F69" s="69" t="s">
        <v>17</v>
      </c>
      <c r="G69" s="494" t="s">
        <v>140</v>
      </c>
      <c r="H69" s="494" t="s">
        <v>141</v>
      </c>
      <c r="I69" s="69" t="s">
        <v>17</v>
      </c>
      <c r="J69" s="494" t="s">
        <v>142</v>
      </c>
      <c r="K69" s="494" t="s">
        <v>143</v>
      </c>
      <c r="L69" s="47" t="s">
        <v>179</v>
      </c>
      <c r="M69" s="494" t="s">
        <v>144</v>
      </c>
      <c r="N69" s="494" t="s">
        <v>145</v>
      </c>
      <c r="O69" s="47" t="s">
        <v>179</v>
      </c>
      <c r="P69" s="492" t="s">
        <v>146</v>
      </c>
      <c r="Q69" s="494" t="s">
        <v>147</v>
      </c>
      <c r="R69" s="47" t="s">
        <v>179</v>
      </c>
      <c r="S69" s="492" t="s">
        <v>201</v>
      </c>
      <c r="T69" s="494" t="s">
        <v>202</v>
      </c>
      <c r="U69" s="167"/>
      <c r="V69" s="167"/>
      <c r="W69" s="47" t="s">
        <v>179</v>
      </c>
      <c r="X69" s="492" t="s">
        <v>333</v>
      </c>
      <c r="Y69" s="494" t="s">
        <v>334</v>
      </c>
      <c r="Z69" s="153" t="s">
        <v>179</v>
      </c>
    </row>
    <row r="70" spans="1:26" x14ac:dyDescent="0.25">
      <c r="A70" s="497"/>
      <c r="B70" s="495"/>
      <c r="C70" s="70" t="s">
        <v>148</v>
      </c>
      <c r="D70" s="495"/>
      <c r="E70" s="495"/>
      <c r="F70" s="70" t="s">
        <v>149</v>
      </c>
      <c r="G70" s="495"/>
      <c r="H70" s="495"/>
      <c r="I70" s="70" t="s">
        <v>150</v>
      </c>
      <c r="J70" s="495"/>
      <c r="K70" s="495"/>
      <c r="L70" s="71" t="s">
        <v>151</v>
      </c>
      <c r="M70" s="495"/>
      <c r="N70" s="495"/>
      <c r="O70" s="71" t="s">
        <v>152</v>
      </c>
      <c r="P70" s="493"/>
      <c r="Q70" s="495"/>
      <c r="R70" s="71" t="s">
        <v>153</v>
      </c>
      <c r="S70" s="493"/>
      <c r="T70" s="495"/>
      <c r="U70" s="168"/>
      <c r="V70" s="168"/>
      <c r="W70" s="71" t="s">
        <v>39</v>
      </c>
      <c r="X70" s="493"/>
      <c r="Y70" s="495"/>
      <c r="Z70" s="171" t="s">
        <v>312</v>
      </c>
    </row>
    <row r="71" spans="1:26" x14ac:dyDescent="0.25">
      <c r="A71" s="257">
        <v>1</v>
      </c>
      <c r="B71" s="6" t="s">
        <v>154</v>
      </c>
      <c r="C71" s="76">
        <v>0</v>
      </c>
      <c r="D71" s="2"/>
      <c r="E71" s="2"/>
      <c r="F71" s="77">
        <f>C71+D71-E71</f>
        <v>0</v>
      </c>
      <c r="G71" s="2"/>
      <c r="H71" s="2"/>
      <c r="I71" s="77">
        <v>80059800</v>
      </c>
      <c r="J71" s="2"/>
      <c r="K71" s="2"/>
      <c r="L71" s="74"/>
      <c r="M71" s="23"/>
      <c r="N71" s="25"/>
      <c r="O71" s="74"/>
      <c r="P71" s="21"/>
      <c r="Q71" s="2"/>
      <c r="R71" s="2"/>
      <c r="S71" s="2"/>
      <c r="T71" s="2"/>
      <c r="U71" s="2"/>
      <c r="V71" s="2"/>
      <c r="W71" s="2"/>
      <c r="X71" s="2"/>
      <c r="Y71" s="2"/>
      <c r="Z71" s="21"/>
    </row>
    <row r="72" spans="1:26" ht="31.5" x14ac:dyDescent="0.25">
      <c r="A72" s="257">
        <v>2</v>
      </c>
      <c r="B72" s="20" t="s">
        <v>155</v>
      </c>
      <c r="C72" s="76">
        <v>0</v>
      </c>
      <c r="D72" s="2"/>
      <c r="E72" s="2"/>
      <c r="F72" s="77">
        <f>C72+D72-E72</f>
        <v>0</v>
      </c>
      <c r="G72" s="2"/>
      <c r="H72" s="2"/>
      <c r="I72" s="77">
        <v>134043553.56630899</v>
      </c>
      <c r="J72" s="2"/>
      <c r="K72" s="2"/>
      <c r="L72" s="74"/>
      <c r="M72" s="74"/>
      <c r="N72" s="74"/>
      <c r="O72" s="74"/>
      <c r="P72" s="21"/>
      <c r="Q72" s="2"/>
      <c r="R72" s="2"/>
      <c r="S72" s="2"/>
      <c r="T72" s="2"/>
      <c r="U72" s="2"/>
      <c r="V72" s="2"/>
      <c r="W72" s="2"/>
      <c r="X72" s="2"/>
      <c r="Y72" s="2"/>
      <c r="Z72" s="21"/>
    </row>
    <row r="73" spans="1:26" x14ac:dyDescent="0.25">
      <c r="A73" s="257"/>
      <c r="B73" s="6" t="s">
        <v>156</v>
      </c>
      <c r="C73" s="76"/>
      <c r="D73" s="2"/>
      <c r="E73" s="2"/>
      <c r="F73" s="77"/>
      <c r="G73" s="2"/>
      <c r="H73" s="2"/>
      <c r="I73" s="77"/>
      <c r="J73" s="2"/>
      <c r="K73" s="2"/>
      <c r="L73" s="74"/>
      <c r="M73" s="74"/>
      <c r="N73" s="23"/>
      <c r="O73" s="74"/>
      <c r="P73" s="21"/>
      <c r="Q73" s="2"/>
      <c r="R73" s="2"/>
      <c r="S73" s="2"/>
      <c r="T73" s="2"/>
      <c r="U73" s="2"/>
      <c r="V73" s="2"/>
      <c r="W73" s="2"/>
      <c r="X73" s="2"/>
      <c r="Y73" s="2"/>
      <c r="Z73" s="21"/>
    </row>
    <row r="74" spans="1:26" x14ac:dyDescent="0.25">
      <c r="A74" s="257"/>
      <c r="B74" s="6" t="s">
        <v>180</v>
      </c>
      <c r="C74" s="76"/>
      <c r="D74" s="2"/>
      <c r="E74" s="2"/>
      <c r="F74" s="77"/>
      <c r="G74" s="2"/>
      <c r="H74" s="2"/>
      <c r="I74" s="77"/>
      <c r="J74" s="2"/>
      <c r="K74" s="2"/>
      <c r="L74" s="74">
        <f t="shared" ref="L74:Q74" si="11">SUM(L75:L80)</f>
        <v>0</v>
      </c>
      <c r="M74" s="74">
        <f t="shared" si="11"/>
        <v>880382</v>
      </c>
      <c r="N74" s="74">
        <f t="shared" si="11"/>
        <v>0</v>
      </c>
      <c r="O74" s="74">
        <f t="shared" si="11"/>
        <v>880382</v>
      </c>
      <c r="P74" s="74">
        <f>SUM(P75:P80)</f>
        <v>1214844.8000000003</v>
      </c>
      <c r="Q74" s="74">
        <f t="shared" si="11"/>
        <v>0</v>
      </c>
      <c r="R74" s="74">
        <f>SUM(R75:R80)</f>
        <v>2095226.8000000003</v>
      </c>
      <c r="S74" s="74">
        <f>SUM(S75:S80)</f>
        <v>1198121.6600000001</v>
      </c>
      <c r="T74" s="74">
        <f t="shared" ref="T74" si="12">SUM(T75:T80)</f>
        <v>0</v>
      </c>
      <c r="U74" s="74"/>
      <c r="V74" s="74"/>
      <c r="W74" s="74">
        <f>SUM(W75:W80)</f>
        <v>3293348.4600000004</v>
      </c>
      <c r="X74" s="74">
        <f t="shared" ref="X74:Z74" si="13">SUM(X75:X80)</f>
        <v>1138215.5270000002</v>
      </c>
      <c r="Y74" s="74">
        <f t="shared" si="13"/>
        <v>0</v>
      </c>
      <c r="Z74" s="74">
        <f t="shared" si="13"/>
        <v>4431563.9870000007</v>
      </c>
    </row>
    <row r="75" spans="1:26" x14ac:dyDescent="0.25">
      <c r="A75" s="257"/>
      <c r="B75" s="11" t="s">
        <v>157</v>
      </c>
      <c r="C75" s="2"/>
      <c r="D75" s="2"/>
      <c r="E75" s="2"/>
      <c r="F75" s="2"/>
      <c r="G75" s="2"/>
      <c r="H75" s="2"/>
      <c r="I75" s="2"/>
      <c r="J75" s="2"/>
      <c r="K75" s="2"/>
      <c r="L75" s="13">
        <v>0</v>
      </c>
      <c r="M75" s="39">
        <f>L12*5%</f>
        <v>189181.5</v>
      </c>
      <c r="N75" s="74">
        <f t="shared" ref="N75:N79" si="14">SUM(N76:N81)</f>
        <v>0</v>
      </c>
      <c r="O75" s="78">
        <f t="shared" ref="O75:O80" si="15">L75+M75-N75</f>
        <v>189181.5</v>
      </c>
      <c r="P75" s="21">
        <f t="shared" ref="P75:P80" si="16">(O139-O75)*5%</f>
        <v>173330.75409275049</v>
      </c>
      <c r="Q75" s="2"/>
      <c r="R75" s="78">
        <f>O75+P75-Q75</f>
        <v>362512.25409275049</v>
      </c>
      <c r="S75" s="21">
        <f t="shared" ref="S75:S80" si="17">R139*5%</f>
        <v>174123.29138811294</v>
      </c>
      <c r="T75" s="2"/>
      <c r="U75" s="2"/>
      <c r="V75" s="2"/>
      <c r="W75" s="78">
        <v>536635.54548086342</v>
      </c>
      <c r="X75" s="21">
        <v>165417.07681870728</v>
      </c>
      <c r="Y75" s="2"/>
      <c r="Z75" s="21">
        <f>W75+X75-Y75</f>
        <v>702052.62229957071</v>
      </c>
    </row>
    <row r="76" spans="1:26" x14ac:dyDescent="0.25">
      <c r="A76" s="257"/>
      <c r="B76" s="11" t="s">
        <v>158</v>
      </c>
      <c r="C76" s="2"/>
      <c r="D76" s="2"/>
      <c r="E76" s="2"/>
      <c r="F76" s="2"/>
      <c r="G76" s="2"/>
      <c r="H76" s="2"/>
      <c r="I76" s="2"/>
      <c r="J76" s="2"/>
      <c r="K76" s="2"/>
      <c r="L76" s="13">
        <v>0</v>
      </c>
      <c r="M76" s="39">
        <f>L13*5%*4/12</f>
        <v>106517</v>
      </c>
      <c r="N76" s="74">
        <f t="shared" si="14"/>
        <v>0</v>
      </c>
      <c r="O76" s="78">
        <f t="shared" si="15"/>
        <v>106517</v>
      </c>
      <c r="P76" s="21">
        <f t="shared" si="16"/>
        <v>303428.82567609678</v>
      </c>
      <c r="Q76" s="2"/>
      <c r="R76" s="78">
        <f t="shared" ref="R76:R80" si="18">O76+P76-Q76</f>
        <v>409945.82567609678</v>
      </c>
      <c r="S76" s="21">
        <f t="shared" si="17"/>
        <v>293583.23439229198</v>
      </c>
      <c r="T76" s="2"/>
      <c r="U76" s="2"/>
      <c r="V76" s="2"/>
      <c r="W76" s="78">
        <v>703529.0600683887</v>
      </c>
      <c r="X76" s="21">
        <v>278904.0726726774</v>
      </c>
      <c r="Y76" s="2"/>
      <c r="Z76" s="21">
        <f t="shared" ref="Z76:Z80" si="19">W76+X76-Y76</f>
        <v>982433.13274106616</v>
      </c>
    </row>
    <row r="77" spans="1:26" x14ac:dyDescent="0.25">
      <c r="A77" s="257"/>
      <c r="B77" s="11" t="s">
        <v>157</v>
      </c>
      <c r="C77" s="2"/>
      <c r="D77" s="2"/>
      <c r="E77" s="2"/>
      <c r="F77" s="2"/>
      <c r="G77" s="2"/>
      <c r="H77" s="2"/>
      <c r="I77" s="2"/>
      <c r="J77" s="2"/>
      <c r="K77" s="2"/>
      <c r="L77" s="13">
        <v>0</v>
      </c>
      <c r="M77" s="39">
        <f>L14*5%</f>
        <v>338865</v>
      </c>
      <c r="N77" s="74">
        <f t="shared" si="14"/>
        <v>0</v>
      </c>
      <c r="O77" s="78">
        <f t="shared" si="15"/>
        <v>338865</v>
      </c>
      <c r="P77" s="21">
        <f t="shared" si="16"/>
        <v>310472.88442918513</v>
      </c>
      <c r="Q77" s="2"/>
      <c r="R77" s="78">
        <f t="shared" si="18"/>
        <v>649337.88442918519</v>
      </c>
      <c r="S77" s="21">
        <f t="shared" si="17"/>
        <v>311892.4902077259</v>
      </c>
      <c r="T77" s="2"/>
      <c r="U77" s="2"/>
      <c r="V77" s="2"/>
      <c r="W77" s="78">
        <v>961230.37463691109</v>
      </c>
      <c r="X77" s="21">
        <v>296297.86569733958</v>
      </c>
      <c r="Y77" s="2"/>
      <c r="Z77" s="21">
        <f t="shared" si="19"/>
        <v>1257528.2403342507</v>
      </c>
    </row>
    <row r="78" spans="1:26" ht="20.25" customHeight="1" x14ac:dyDescent="0.25">
      <c r="A78" s="257"/>
      <c r="B78" s="11" t="s">
        <v>159</v>
      </c>
      <c r="C78" s="2"/>
      <c r="D78" s="2"/>
      <c r="E78" s="2"/>
      <c r="F78" s="2"/>
      <c r="G78" s="2"/>
      <c r="H78" s="2"/>
      <c r="I78" s="2"/>
      <c r="J78" s="2"/>
      <c r="K78" s="2"/>
      <c r="L78" s="13">
        <v>0</v>
      </c>
      <c r="M78" s="39">
        <f>L15*5%*4/12</f>
        <v>56400.166666666664</v>
      </c>
      <c r="N78" s="74">
        <f t="shared" si="14"/>
        <v>0</v>
      </c>
      <c r="O78" s="78">
        <f t="shared" si="15"/>
        <v>56400.166666666664</v>
      </c>
      <c r="P78" s="21">
        <f t="shared" si="16"/>
        <v>160663.8972145555</v>
      </c>
      <c r="Q78" s="2"/>
      <c r="R78" s="78">
        <f t="shared" si="18"/>
        <v>217064.06388122216</v>
      </c>
      <c r="S78" s="21">
        <f t="shared" si="17"/>
        <v>155450.71068716104</v>
      </c>
      <c r="T78" s="2"/>
      <c r="U78" s="2"/>
      <c r="V78" s="2"/>
      <c r="W78" s="78">
        <v>372514.77456838323</v>
      </c>
      <c r="X78" s="21">
        <v>147678.17515280299</v>
      </c>
      <c r="Y78" s="2"/>
      <c r="Z78" s="21">
        <f t="shared" si="19"/>
        <v>520192.94972118619</v>
      </c>
    </row>
    <row r="79" spans="1:26" x14ac:dyDescent="0.25">
      <c r="A79" s="257"/>
      <c r="B79" s="11" t="s">
        <v>159</v>
      </c>
      <c r="C79" s="2"/>
      <c r="D79" s="2"/>
      <c r="E79" s="2"/>
      <c r="F79" s="2"/>
      <c r="G79" s="2"/>
      <c r="H79" s="2"/>
      <c r="I79" s="2"/>
      <c r="J79" s="2"/>
      <c r="K79" s="2"/>
      <c r="L79" s="13">
        <v>0</v>
      </c>
      <c r="M79" s="39">
        <f>L16*5%*4/12</f>
        <v>48333.333333333336</v>
      </c>
      <c r="N79" s="74">
        <f t="shared" si="14"/>
        <v>0</v>
      </c>
      <c r="O79" s="78">
        <f t="shared" si="15"/>
        <v>48333.333333333336</v>
      </c>
      <c r="P79" s="21">
        <f t="shared" si="16"/>
        <v>137684.37502318577</v>
      </c>
      <c r="Q79" s="2"/>
      <c r="R79" s="78">
        <f t="shared" si="18"/>
        <v>186017.70835651911</v>
      </c>
      <c r="S79" s="21">
        <f t="shared" si="17"/>
        <v>133216.82293869316</v>
      </c>
      <c r="T79" s="2"/>
      <c r="U79" s="2"/>
      <c r="V79" s="2"/>
      <c r="W79" s="78">
        <v>319234.53129521228</v>
      </c>
      <c r="X79" s="21">
        <v>126555.9817917585</v>
      </c>
      <c r="Y79" s="2"/>
      <c r="Z79" s="21">
        <f t="shared" si="19"/>
        <v>445790.51308697078</v>
      </c>
    </row>
    <row r="80" spans="1:26" x14ac:dyDescent="0.25">
      <c r="A80" s="257"/>
      <c r="B80" s="11" t="s">
        <v>160</v>
      </c>
      <c r="C80" s="2"/>
      <c r="D80" s="2"/>
      <c r="E80" s="2"/>
      <c r="F80" s="2"/>
      <c r="G80" s="2"/>
      <c r="H80" s="2"/>
      <c r="I80" s="2"/>
      <c r="J80" s="2"/>
      <c r="K80" s="2"/>
      <c r="L80" s="13">
        <v>0</v>
      </c>
      <c r="M80" s="39">
        <f>L17*5%</f>
        <v>141085</v>
      </c>
      <c r="N80" s="74">
        <f>SUM(N81:N103)</f>
        <v>0</v>
      </c>
      <c r="O80" s="78">
        <f t="shared" si="15"/>
        <v>141085</v>
      </c>
      <c r="P80" s="21">
        <f t="shared" si="16"/>
        <v>129264.06356422644</v>
      </c>
      <c r="Q80" s="2"/>
      <c r="R80" s="78">
        <f t="shared" si="18"/>
        <v>270349.06356422644</v>
      </c>
      <c r="S80" s="79">
        <f t="shared" si="17"/>
        <v>129855.11038601511</v>
      </c>
      <c r="T80" s="2"/>
      <c r="U80" s="2"/>
      <c r="V80" s="2"/>
      <c r="W80" s="78">
        <v>400204.17395024153</v>
      </c>
      <c r="X80" s="21">
        <v>123362.35486671436</v>
      </c>
      <c r="Y80" s="2"/>
      <c r="Z80" s="21">
        <f t="shared" si="19"/>
        <v>523566.52881695586</v>
      </c>
    </row>
    <row r="81" spans="1:26" x14ac:dyDescent="0.25">
      <c r="A81" s="257"/>
      <c r="B81" s="6"/>
      <c r="C81" s="72"/>
      <c r="D81" s="17"/>
      <c r="E81" s="73"/>
      <c r="F81" s="73"/>
      <c r="G81" s="73"/>
      <c r="H81" s="25"/>
      <c r="I81" s="23"/>
      <c r="J81" s="25"/>
      <c r="K81" s="25"/>
      <c r="L81" s="74"/>
      <c r="M81" s="74"/>
      <c r="N81" s="74"/>
      <c r="O81" s="74">
        <f>M81-N81</f>
        <v>0</v>
      </c>
      <c r="P81" s="21"/>
      <c r="Q81" s="2"/>
      <c r="R81" s="2"/>
      <c r="S81" s="2"/>
      <c r="T81" s="2"/>
      <c r="U81" s="2"/>
      <c r="V81" s="2"/>
      <c r="W81" s="2"/>
      <c r="X81" s="2"/>
      <c r="Y81" s="2"/>
      <c r="Z81" s="21"/>
    </row>
    <row r="82" spans="1:26" x14ac:dyDescent="0.25">
      <c r="A82" s="257"/>
      <c r="B82" s="6" t="s">
        <v>162</v>
      </c>
      <c r="C82" s="76"/>
      <c r="D82" s="3"/>
      <c r="E82" s="77"/>
      <c r="F82" s="77"/>
      <c r="G82" s="77"/>
      <c r="H82" s="2"/>
      <c r="I82" s="21"/>
      <c r="J82" s="2"/>
      <c r="K82" s="2"/>
      <c r="L82" s="23">
        <f>SUM(L83:L88)</f>
        <v>16908416.746651582</v>
      </c>
      <c r="M82" s="74">
        <f>SUM(M83:M88)</f>
        <v>2600804.4836041131</v>
      </c>
      <c r="N82" s="74">
        <f>SUM(N83:N88)</f>
        <v>0</v>
      </c>
      <c r="O82" s="74">
        <f>SUM(O83:O105)</f>
        <v>20007050.345477179</v>
      </c>
      <c r="P82" s="74">
        <f>SUM(P83:P105)</f>
        <v>2717911.7450513714</v>
      </c>
      <c r="Q82" s="74">
        <f>SUM(Q83:Q88)</f>
        <v>0</v>
      </c>
      <c r="R82" s="74">
        <f>SUM(R83:R106)</f>
        <v>22724962.090528555</v>
      </c>
      <c r="S82" s="74">
        <f>SUM(S83:S106)</f>
        <v>3426613.632213498</v>
      </c>
      <c r="T82" s="74">
        <f>SUM(T83:T106)</f>
        <v>0</v>
      </c>
      <c r="U82" s="74"/>
      <c r="V82" s="74"/>
      <c r="W82" s="74">
        <f>SUM(W83:W127)</f>
        <v>26151575.722742043</v>
      </c>
      <c r="X82" s="74">
        <f t="shared" ref="X82:Z82" si="20">SUM(X83:X127)</f>
        <v>3562278.7696090648</v>
      </c>
      <c r="Y82" s="74">
        <f t="shared" si="20"/>
        <v>0</v>
      </c>
      <c r="Z82" s="74">
        <f t="shared" si="20"/>
        <v>29713854.492351122</v>
      </c>
    </row>
    <row r="83" spans="1:26" x14ac:dyDescent="0.25">
      <c r="A83" s="257"/>
      <c r="B83" s="1" t="s">
        <v>163</v>
      </c>
      <c r="C83" s="76"/>
      <c r="D83" s="2"/>
      <c r="E83" s="2"/>
      <c r="F83" s="77"/>
      <c r="G83" s="2"/>
      <c r="H83" s="2"/>
      <c r="I83" s="77"/>
      <c r="J83" s="2"/>
      <c r="K83" s="2"/>
      <c r="L83" s="21">
        <v>11702335.229709899</v>
      </c>
      <c r="M83" s="21">
        <f>L147*10%</f>
        <v>1790863.668297817</v>
      </c>
      <c r="N83" s="21"/>
      <c r="O83" s="21">
        <f>L83+M83-N83</f>
        <v>13493198.898007717</v>
      </c>
      <c r="P83" s="21">
        <f>(O83-Q20)*10%</f>
        <v>1349319.8898007718</v>
      </c>
      <c r="Q83" s="2"/>
      <c r="R83" s="78">
        <f>O83+P83-Q83</f>
        <v>14842518.787808489</v>
      </c>
      <c r="S83" s="21">
        <f>R147*10%</f>
        <v>1487549.112487958</v>
      </c>
      <c r="T83" s="2"/>
      <c r="U83" s="2"/>
      <c r="V83" s="2"/>
      <c r="W83" s="78">
        <v>16330067.900296448</v>
      </c>
      <c r="X83" s="39">
        <v>1338788.1012391623</v>
      </c>
      <c r="Y83" s="2"/>
      <c r="Z83" s="21">
        <f t="shared" ref="Z83:Z127" si="21">W83+X83-Y83</f>
        <v>17668856.001535609</v>
      </c>
    </row>
    <row r="84" spans="1:26" x14ac:dyDescent="0.25">
      <c r="A84" s="257">
        <v>3</v>
      </c>
      <c r="B84" s="1" t="s">
        <v>164</v>
      </c>
      <c r="C84" s="21">
        <v>6796744.4917158354</v>
      </c>
      <c r="D84" s="76">
        <f>E20</f>
        <v>1084042</v>
      </c>
      <c r="E84" s="2"/>
      <c r="F84" s="77">
        <f>C84+D84-E84</f>
        <v>7880786.4917158354</v>
      </c>
      <c r="G84" s="21">
        <v>2210942.8003676753</v>
      </c>
      <c r="H84" s="2"/>
      <c r="I84" s="77">
        <v>19898485.203309078</v>
      </c>
      <c r="J84" s="36"/>
      <c r="K84" s="2">
        <v>1989848.5203309078</v>
      </c>
      <c r="L84" s="21">
        <v>3757051.1795659349</v>
      </c>
      <c r="M84" s="21">
        <f>L148*10%</f>
        <v>574959.29875074048</v>
      </c>
      <c r="N84" s="21"/>
      <c r="O84" s="21">
        <f t="shared" ref="O84:O88" si="22">L84+M84-N84</f>
        <v>4332010.4783166759</v>
      </c>
      <c r="P84" s="21">
        <f t="shared" ref="P84:P85" si="23">O148*10%</f>
        <v>517463.36887566646</v>
      </c>
      <c r="Q84" s="2"/>
      <c r="R84" s="78">
        <f t="shared" ref="R84:R95" si="24">O84+P84-Q84</f>
        <v>4849473.8471923424</v>
      </c>
      <c r="S84" s="21">
        <f>R148*10%</f>
        <v>465717.0319880998</v>
      </c>
      <c r="T84" s="2"/>
      <c r="U84" s="2"/>
      <c r="V84" s="2"/>
      <c r="W84" s="78">
        <v>5315190.8791804425</v>
      </c>
      <c r="X84" s="39">
        <v>419145.32878928981</v>
      </c>
      <c r="Y84" s="2"/>
      <c r="Z84" s="21">
        <f t="shared" si="21"/>
        <v>5734336.2079697326</v>
      </c>
    </row>
    <row r="85" spans="1:26" x14ac:dyDescent="0.25">
      <c r="A85" s="257">
        <v>4</v>
      </c>
      <c r="B85" s="1" t="s">
        <v>165</v>
      </c>
      <c r="C85" s="21">
        <v>2674628.5043657878</v>
      </c>
      <c r="D85" s="76">
        <f>E21</f>
        <v>367626.25000048114</v>
      </c>
      <c r="E85" s="2"/>
      <c r="F85" s="77">
        <f>C85+D85-E85</f>
        <v>3042254.7543662689</v>
      </c>
      <c r="G85" s="21">
        <v>750587.97500091395</v>
      </c>
      <c r="H85" s="2"/>
      <c r="I85" s="80">
        <v>6286408.8750082273</v>
      </c>
      <c r="J85" s="81">
        <v>91825</v>
      </c>
      <c r="K85" s="2">
        <v>628640.88750082278</v>
      </c>
      <c r="L85" s="21">
        <v>596282.70811110723</v>
      </c>
      <c r="M85" s="21">
        <f>L149*10%</f>
        <v>91251.96100000001</v>
      </c>
      <c r="N85" s="21"/>
      <c r="O85" s="21">
        <f t="shared" si="22"/>
        <v>687534.66911110724</v>
      </c>
      <c r="P85" s="21">
        <f t="shared" si="23"/>
        <v>82126.764900000009</v>
      </c>
      <c r="Q85" s="2"/>
      <c r="R85" s="78">
        <f t="shared" si="24"/>
        <v>769661.43401110731</v>
      </c>
      <c r="S85" s="21">
        <f>R149*10%</f>
        <v>73914.088409999997</v>
      </c>
      <c r="T85" s="2"/>
      <c r="U85" s="2"/>
      <c r="V85" s="2"/>
      <c r="W85" s="78">
        <v>843575.52242110728</v>
      </c>
      <c r="X85" s="39">
        <v>66522.679569</v>
      </c>
      <c r="Y85" s="2"/>
      <c r="Z85" s="21">
        <f t="shared" si="21"/>
        <v>910098.20199010731</v>
      </c>
    </row>
    <row r="86" spans="1:26" x14ac:dyDescent="0.25">
      <c r="A86" s="257">
        <v>7</v>
      </c>
      <c r="B86" s="1" t="s">
        <v>167</v>
      </c>
      <c r="C86" s="21">
        <v>270974.12834260054</v>
      </c>
      <c r="D86" s="76">
        <f>E43</f>
        <v>8836</v>
      </c>
      <c r="E86" s="2"/>
      <c r="F86" s="77">
        <f t="shared" ref="F86:F128" si="25">C86+D86-E86</f>
        <v>279810.12834260054</v>
      </c>
      <c r="G86" s="21">
        <v>32345.300000000003</v>
      </c>
      <c r="H86" s="2"/>
      <c r="I86" s="77">
        <v>291107.7</v>
      </c>
      <c r="J86" s="21"/>
      <c r="K86" s="2">
        <v>58221.540000000008</v>
      </c>
      <c r="L86" s="21">
        <v>852747.6292646412</v>
      </c>
      <c r="M86" s="21">
        <f>L150*10%</f>
        <v>130500</v>
      </c>
      <c r="N86" s="21"/>
      <c r="O86" s="21">
        <f t="shared" si="22"/>
        <v>983247.6292646412</v>
      </c>
      <c r="P86" s="21">
        <f>O150*10%</f>
        <v>117450</v>
      </c>
      <c r="Q86" s="2"/>
      <c r="R86" s="78">
        <f t="shared" si="24"/>
        <v>1100697.6292646411</v>
      </c>
      <c r="S86" s="21">
        <f t="shared" ref="S86:S93" si="26">R152*10%</f>
        <v>4320</v>
      </c>
      <c r="T86" s="2"/>
      <c r="U86" s="2"/>
      <c r="V86" s="2"/>
      <c r="W86" s="78">
        <v>1105017.6292646411</v>
      </c>
      <c r="X86" s="39">
        <v>95134.5</v>
      </c>
      <c r="Y86" s="2"/>
      <c r="Z86" s="21">
        <f t="shared" si="21"/>
        <v>1200152.1292646411</v>
      </c>
    </row>
    <row r="87" spans="1:26" x14ac:dyDescent="0.25">
      <c r="A87" s="257">
        <v>8</v>
      </c>
      <c r="B87" s="2" t="s">
        <v>168</v>
      </c>
      <c r="C87" s="2"/>
      <c r="D87" s="2"/>
      <c r="E87" s="2"/>
      <c r="F87" s="77">
        <f t="shared" si="25"/>
        <v>0</v>
      </c>
      <c r="G87" s="2"/>
      <c r="H87" s="2"/>
      <c r="I87" s="77">
        <v>1450000</v>
      </c>
      <c r="J87" s="39"/>
      <c r="K87" s="2">
        <v>145000</v>
      </c>
      <c r="L87" s="21"/>
      <c r="M87" s="21">
        <f>M151*10%*160/360</f>
        <v>7896.2222222222226</v>
      </c>
      <c r="N87" s="21"/>
      <c r="O87" s="21">
        <f t="shared" si="22"/>
        <v>7896.2222222222226</v>
      </c>
      <c r="P87" s="21">
        <f>O151*10%</f>
        <v>7106.6</v>
      </c>
      <c r="Q87" s="2"/>
      <c r="R87" s="78">
        <f t="shared" si="24"/>
        <v>15002.822222222223</v>
      </c>
      <c r="S87" s="21">
        <f t="shared" si="26"/>
        <v>646899.83333333337</v>
      </c>
      <c r="T87" s="2"/>
      <c r="U87" s="2"/>
      <c r="V87" s="2"/>
      <c r="W87" s="78">
        <v>661902.6555555556</v>
      </c>
      <c r="X87" s="39">
        <v>5756.3460000000005</v>
      </c>
      <c r="Y87" s="2"/>
      <c r="Z87" s="21">
        <f t="shared" si="21"/>
        <v>667659.00155555562</v>
      </c>
    </row>
    <row r="88" spans="1:26" x14ac:dyDescent="0.25">
      <c r="A88" s="265"/>
      <c r="B88" s="2" t="s">
        <v>169</v>
      </c>
      <c r="C88" s="76">
        <v>0</v>
      </c>
      <c r="D88" s="2"/>
      <c r="E88" s="2"/>
      <c r="F88" s="77">
        <f t="shared" si="25"/>
        <v>0</v>
      </c>
      <c r="G88" s="2"/>
      <c r="H88" s="2"/>
      <c r="I88" s="77">
        <v>0</v>
      </c>
      <c r="J88" s="2"/>
      <c r="K88" s="2"/>
      <c r="L88" s="21"/>
      <c r="M88" s="21">
        <f>M152*10%*160/360</f>
        <v>5333.333333333333</v>
      </c>
      <c r="N88" s="21"/>
      <c r="O88" s="21">
        <f t="shared" si="22"/>
        <v>5333.333333333333</v>
      </c>
      <c r="P88" s="21">
        <f>O152*10%</f>
        <v>4800</v>
      </c>
      <c r="Q88" s="2"/>
      <c r="R88" s="78">
        <f t="shared" si="24"/>
        <v>10133.333333333332</v>
      </c>
      <c r="S88" s="21">
        <f t="shared" si="26"/>
        <v>72666.666666666672</v>
      </c>
      <c r="T88" s="2"/>
      <c r="U88" s="2"/>
      <c r="V88" s="2"/>
      <c r="W88" s="78">
        <v>82800</v>
      </c>
      <c r="X88" s="39">
        <v>3888</v>
      </c>
      <c r="Y88" s="2"/>
      <c r="Z88" s="21">
        <f t="shared" si="21"/>
        <v>86688</v>
      </c>
    </row>
    <row r="89" spans="1:26" x14ac:dyDescent="0.25">
      <c r="A89" s="265"/>
      <c r="B89" s="2" t="s">
        <v>38</v>
      </c>
      <c r="C89" s="76"/>
      <c r="D89" s="2"/>
      <c r="E89" s="2"/>
      <c r="F89" s="77"/>
      <c r="G89" s="2"/>
      <c r="H89" s="2"/>
      <c r="I89" s="77"/>
      <c r="J89" s="2"/>
      <c r="K89" s="2"/>
      <c r="L89" s="21"/>
      <c r="M89" s="21"/>
      <c r="N89" s="21"/>
      <c r="O89" s="21"/>
      <c r="P89" s="21">
        <f>451628.666666667-127</f>
        <v>451501.66666666698</v>
      </c>
      <c r="Q89" s="2"/>
      <c r="R89" s="78">
        <f t="shared" si="24"/>
        <v>451501.66666666698</v>
      </c>
      <c r="S89" s="21">
        <f t="shared" si="26"/>
        <v>83126.600000000006</v>
      </c>
      <c r="T89" s="2"/>
      <c r="U89" s="2"/>
      <c r="V89" s="2"/>
      <c r="W89" s="78">
        <v>534628.26666666695</v>
      </c>
      <c r="X89" s="39">
        <v>582209.85</v>
      </c>
      <c r="Y89" s="2"/>
      <c r="Z89" s="21">
        <f t="shared" si="21"/>
        <v>1116838.1166666669</v>
      </c>
    </row>
    <row r="90" spans="1:26" x14ac:dyDescent="0.25">
      <c r="A90" s="265"/>
      <c r="B90" s="2" t="s">
        <v>181</v>
      </c>
      <c r="C90" s="76"/>
      <c r="D90" s="2"/>
      <c r="E90" s="2"/>
      <c r="F90" s="77"/>
      <c r="G90" s="2"/>
      <c r="H90" s="2"/>
      <c r="I90" s="77"/>
      <c r="J90" s="2"/>
      <c r="K90" s="2"/>
      <c r="L90" s="21"/>
      <c r="M90" s="21"/>
      <c r="N90" s="21"/>
      <c r="O90" s="21"/>
      <c r="P90" s="21">
        <f>P27*11/12*10%</f>
        <v>73333.333333333343</v>
      </c>
      <c r="Q90" s="2"/>
      <c r="R90" s="78">
        <f t="shared" si="24"/>
        <v>73333.333333333343</v>
      </c>
      <c r="S90" s="21">
        <f t="shared" si="26"/>
        <v>19333.333333333336</v>
      </c>
      <c r="T90" s="2"/>
      <c r="U90" s="2"/>
      <c r="V90" s="2"/>
      <c r="W90" s="78">
        <v>92666.666666666686</v>
      </c>
      <c r="X90" s="39">
        <v>65400</v>
      </c>
      <c r="Y90" s="2"/>
      <c r="Z90" s="21">
        <f t="shared" si="21"/>
        <v>158066.66666666669</v>
      </c>
    </row>
    <row r="91" spans="1:26" x14ac:dyDescent="0.25">
      <c r="A91" s="265"/>
      <c r="B91" s="2" t="s">
        <v>172</v>
      </c>
      <c r="C91" s="76"/>
      <c r="D91" s="2"/>
      <c r="E91" s="2"/>
      <c r="F91" s="77"/>
      <c r="G91" s="2"/>
      <c r="H91" s="2"/>
      <c r="I91" s="77"/>
      <c r="J91" s="2"/>
      <c r="K91" s="2"/>
      <c r="L91" s="21"/>
      <c r="M91" s="21"/>
      <c r="N91" s="21"/>
      <c r="O91" s="21"/>
      <c r="P91" s="21">
        <f>P28*5/12*10%</f>
        <v>36142</v>
      </c>
      <c r="Q91" s="2"/>
      <c r="R91" s="78">
        <f t="shared" si="24"/>
        <v>36142</v>
      </c>
      <c r="S91" s="21">
        <f t="shared" si="26"/>
        <v>1900</v>
      </c>
      <c r="T91" s="2"/>
      <c r="U91" s="2"/>
      <c r="V91" s="2"/>
      <c r="W91" s="78">
        <v>38042</v>
      </c>
      <c r="X91" s="39">
        <v>74813.94</v>
      </c>
      <c r="Y91" s="2"/>
      <c r="Z91" s="21">
        <f t="shared" si="21"/>
        <v>112855.94</v>
      </c>
    </row>
    <row r="92" spans="1:26" x14ac:dyDescent="0.25">
      <c r="A92" s="265"/>
      <c r="B92" s="2" t="s">
        <v>172</v>
      </c>
      <c r="C92" s="76"/>
      <c r="D92" s="2"/>
      <c r="E92" s="2"/>
      <c r="F92" s="77"/>
      <c r="G92" s="2"/>
      <c r="H92" s="2"/>
      <c r="I92" s="77"/>
      <c r="J92" s="2"/>
      <c r="K92" s="2"/>
      <c r="L92" s="21"/>
      <c r="M92" s="21"/>
      <c r="N92" s="21"/>
      <c r="O92" s="21"/>
      <c r="P92" s="21">
        <f>P29*4/12*10%</f>
        <v>6666.6666666666679</v>
      </c>
      <c r="Q92" s="2"/>
      <c r="R92" s="78">
        <f t="shared" si="24"/>
        <v>6666.6666666666679</v>
      </c>
      <c r="S92" s="21">
        <f t="shared" si="26"/>
        <v>7362.5</v>
      </c>
      <c r="T92" s="2"/>
      <c r="U92" s="2"/>
      <c r="V92" s="2"/>
      <c r="W92" s="78">
        <v>14029.166666666668</v>
      </c>
      <c r="X92" s="39">
        <v>17400</v>
      </c>
      <c r="Y92" s="2"/>
      <c r="Z92" s="21">
        <f t="shared" si="21"/>
        <v>31429.166666666668</v>
      </c>
    </row>
    <row r="93" spans="1:26" x14ac:dyDescent="0.25">
      <c r="A93" s="265"/>
      <c r="B93" s="2" t="s">
        <v>173</v>
      </c>
      <c r="C93" s="76"/>
      <c r="D93" s="2"/>
      <c r="E93" s="2"/>
      <c r="F93" s="77"/>
      <c r="G93" s="2"/>
      <c r="H93" s="2"/>
      <c r="I93" s="77"/>
      <c r="J93" s="2"/>
      <c r="K93" s="2"/>
      <c r="L93" s="21"/>
      <c r="M93" s="21"/>
      <c r="N93" s="21"/>
      <c r="O93" s="21"/>
      <c r="P93" s="21">
        <f>P30*10%*1/2</f>
        <v>1000</v>
      </c>
      <c r="Q93" s="2"/>
      <c r="R93" s="78">
        <f t="shared" si="24"/>
        <v>1000</v>
      </c>
      <c r="S93" s="21">
        <f t="shared" si="26"/>
        <v>4370</v>
      </c>
      <c r="T93" s="2"/>
      <c r="U93" s="2"/>
      <c r="V93" s="2"/>
      <c r="W93" s="78">
        <v>5370</v>
      </c>
      <c r="X93" s="39">
        <v>1710</v>
      </c>
      <c r="Y93" s="2"/>
      <c r="Z93" s="21">
        <f t="shared" si="21"/>
        <v>7080</v>
      </c>
    </row>
    <row r="94" spans="1:26" x14ac:dyDescent="0.25">
      <c r="A94" s="265"/>
      <c r="B94" s="1" t="s">
        <v>174</v>
      </c>
      <c r="C94" s="76"/>
      <c r="D94" s="2"/>
      <c r="E94" s="2"/>
      <c r="F94" s="77"/>
      <c r="G94" s="2"/>
      <c r="H94" s="2"/>
      <c r="I94" s="77"/>
      <c r="J94" s="2"/>
      <c r="K94" s="2"/>
      <c r="L94" s="21"/>
      <c r="M94" s="21"/>
      <c r="N94" s="21"/>
      <c r="O94" s="21"/>
      <c r="P94" s="21">
        <f>P31*10%*1/2</f>
        <v>3875</v>
      </c>
      <c r="Q94" s="2"/>
      <c r="R94" s="78">
        <f t="shared" si="24"/>
        <v>3875</v>
      </c>
      <c r="S94" s="21">
        <f>R167*10%</f>
        <v>28384.830367439354</v>
      </c>
      <c r="T94" s="2"/>
      <c r="U94" s="2"/>
      <c r="V94" s="2"/>
      <c r="W94" s="78">
        <v>32259.830367439354</v>
      </c>
      <c r="X94" s="39">
        <v>6626.25</v>
      </c>
      <c r="Y94" s="2"/>
      <c r="Z94" s="21">
        <f t="shared" si="21"/>
        <v>38886.080367439354</v>
      </c>
    </row>
    <row r="95" spans="1:26" x14ac:dyDescent="0.25">
      <c r="A95" s="265"/>
      <c r="B95" s="2" t="s">
        <v>175</v>
      </c>
      <c r="C95" s="76"/>
      <c r="D95" s="2"/>
      <c r="E95" s="2"/>
      <c r="F95" s="77"/>
      <c r="G95" s="2"/>
      <c r="H95" s="2"/>
      <c r="I95" s="77"/>
      <c r="J95" s="2"/>
      <c r="K95" s="2"/>
      <c r="L95" s="21"/>
      <c r="M95" s="21"/>
      <c r="N95" s="21"/>
      <c r="O95" s="21"/>
      <c r="P95" s="21">
        <f>P32*10%*1/2</f>
        <v>2300</v>
      </c>
      <c r="Q95" s="2"/>
      <c r="R95" s="78">
        <f t="shared" si="24"/>
        <v>2300</v>
      </c>
      <c r="S95" s="21">
        <f>R168*10%</f>
        <v>18863.77896</v>
      </c>
      <c r="T95" s="2"/>
      <c r="U95" s="2"/>
      <c r="V95" s="2"/>
      <c r="W95" s="78">
        <v>21163.77896</v>
      </c>
      <c r="X95" s="39">
        <v>3933</v>
      </c>
      <c r="Y95" s="2"/>
      <c r="Z95" s="21">
        <f t="shared" si="21"/>
        <v>25096.77896</v>
      </c>
    </row>
    <row r="96" spans="1:26" x14ac:dyDescent="0.25">
      <c r="A96" s="258" t="s">
        <v>1</v>
      </c>
      <c r="B96" s="45" t="s">
        <v>8</v>
      </c>
      <c r="C96" s="76"/>
      <c r="D96" s="2"/>
      <c r="E96" s="2"/>
      <c r="F96" s="77"/>
      <c r="G96" s="2"/>
      <c r="H96" s="2"/>
      <c r="I96" s="77"/>
      <c r="J96" s="2"/>
      <c r="K96" s="2"/>
      <c r="L96" s="77"/>
      <c r="M96" s="2"/>
      <c r="N96" s="2"/>
      <c r="O96" s="78"/>
      <c r="P96" s="21"/>
      <c r="Q96" s="2"/>
      <c r="R96" s="78"/>
      <c r="S96" s="21">
        <f>S160*10%*11/12</f>
        <v>41185.375</v>
      </c>
      <c r="T96" s="2"/>
      <c r="U96" s="2"/>
      <c r="V96" s="2"/>
      <c r="W96" s="78">
        <v>41185.375</v>
      </c>
      <c r="X96" s="39">
        <v>40810.962500000001</v>
      </c>
      <c r="Y96" s="2"/>
      <c r="Z96" s="21">
        <f t="shared" si="21"/>
        <v>81996.337499999994</v>
      </c>
    </row>
    <row r="97" spans="1:26" x14ac:dyDescent="0.25">
      <c r="A97" s="258" t="s">
        <v>1</v>
      </c>
      <c r="B97" s="45" t="s">
        <v>8</v>
      </c>
      <c r="C97" s="76"/>
      <c r="D97" s="2"/>
      <c r="E97" s="2"/>
      <c r="F97" s="77"/>
      <c r="G97" s="2"/>
      <c r="H97" s="2"/>
      <c r="I97" s="77"/>
      <c r="J97" s="2"/>
      <c r="K97" s="2"/>
      <c r="L97" s="77"/>
      <c r="M97" s="2"/>
      <c r="N97" s="2"/>
      <c r="O97" s="78"/>
      <c r="P97" s="21"/>
      <c r="Q97" s="2"/>
      <c r="R97" s="78"/>
      <c r="S97" s="21">
        <f>S161*10%*11/12</f>
        <v>41185.375</v>
      </c>
      <c r="T97" s="2"/>
      <c r="U97" s="2"/>
      <c r="V97" s="2"/>
      <c r="W97" s="78">
        <v>41185.375</v>
      </c>
      <c r="X97" s="39">
        <v>40810.962500000001</v>
      </c>
      <c r="Y97" s="2"/>
      <c r="Z97" s="21">
        <f t="shared" si="21"/>
        <v>81996.337499999994</v>
      </c>
    </row>
    <row r="98" spans="1:26" x14ac:dyDescent="0.25">
      <c r="A98" s="258" t="s">
        <v>9</v>
      </c>
      <c r="B98" s="45" t="s">
        <v>199</v>
      </c>
      <c r="C98" s="76"/>
      <c r="D98" s="2"/>
      <c r="E98" s="2"/>
      <c r="F98" s="77"/>
      <c r="G98" s="2"/>
      <c r="H98" s="2"/>
      <c r="I98" s="77"/>
      <c r="J98" s="2"/>
      <c r="K98" s="2"/>
      <c r="L98" s="77"/>
      <c r="M98" s="2"/>
      <c r="N98" s="2"/>
      <c r="O98" s="78"/>
      <c r="P98" s="21"/>
      <c r="Q98" s="2"/>
      <c r="R98" s="78"/>
      <c r="S98" s="21">
        <f>S162*10%*10/12</f>
        <v>126513.33333333336</v>
      </c>
      <c r="T98" s="2"/>
      <c r="U98" s="2"/>
      <c r="V98" s="2"/>
      <c r="W98" s="78">
        <v>126513.33333333336</v>
      </c>
      <c r="X98" s="39">
        <v>139164.66666666672</v>
      </c>
      <c r="Y98" s="2"/>
      <c r="Z98" s="21">
        <f t="shared" si="21"/>
        <v>265678.00000000006</v>
      </c>
    </row>
    <row r="99" spans="1:26" x14ac:dyDescent="0.25">
      <c r="A99" s="258" t="s">
        <v>12</v>
      </c>
      <c r="B99" s="45" t="s">
        <v>200</v>
      </c>
      <c r="C99" s="76"/>
      <c r="D99" s="2"/>
      <c r="E99" s="2"/>
      <c r="F99" s="77"/>
      <c r="G99" s="2"/>
      <c r="H99" s="2"/>
      <c r="I99" s="77"/>
      <c r="J99" s="2"/>
      <c r="K99" s="2"/>
      <c r="L99" s="77"/>
      <c r="M99" s="2"/>
      <c r="N99" s="2"/>
      <c r="O99" s="78"/>
      <c r="P99" s="21"/>
      <c r="Q99" s="2"/>
      <c r="R99" s="78"/>
      <c r="S99" s="21">
        <f>S163*10%*10/12</f>
        <v>16033.333333333334</v>
      </c>
      <c r="T99" s="2"/>
      <c r="U99" s="2"/>
      <c r="V99" s="2"/>
      <c r="W99" s="78">
        <v>16033.333333333334</v>
      </c>
      <c r="X99" s="39">
        <v>17636.666666666668</v>
      </c>
      <c r="Y99" s="2"/>
      <c r="Z99" s="21">
        <f t="shared" si="21"/>
        <v>33670</v>
      </c>
    </row>
    <row r="100" spans="1:26" x14ac:dyDescent="0.25">
      <c r="A100" s="258" t="s">
        <v>36</v>
      </c>
      <c r="B100" s="45" t="s">
        <v>199</v>
      </c>
      <c r="C100" s="76"/>
      <c r="D100" s="2"/>
      <c r="E100" s="2"/>
      <c r="F100" s="77"/>
      <c r="G100" s="2"/>
      <c r="H100" s="2"/>
      <c r="I100" s="77"/>
      <c r="J100" s="2"/>
      <c r="K100" s="2"/>
      <c r="L100" s="77"/>
      <c r="M100" s="2"/>
      <c r="N100" s="2"/>
      <c r="O100" s="78"/>
      <c r="P100" s="21"/>
      <c r="Q100" s="2"/>
      <c r="R100" s="78"/>
      <c r="S100" s="21">
        <f>S164*10%*5/12</f>
        <v>27625</v>
      </c>
      <c r="T100" s="2"/>
      <c r="U100" s="2"/>
      <c r="V100" s="2"/>
      <c r="W100" s="78">
        <v>27625</v>
      </c>
      <c r="X100" s="39">
        <v>63537.5</v>
      </c>
      <c r="Y100" s="2"/>
      <c r="Z100" s="21">
        <f t="shared" si="21"/>
        <v>91162.5</v>
      </c>
    </row>
    <row r="101" spans="1:26" x14ac:dyDescent="0.25">
      <c r="A101" s="259" t="s">
        <v>37</v>
      </c>
      <c r="B101" s="45" t="s">
        <v>200</v>
      </c>
      <c r="C101" s="76"/>
      <c r="D101" s="2"/>
      <c r="E101" s="2"/>
      <c r="F101" s="77"/>
      <c r="G101" s="2"/>
      <c r="H101" s="2"/>
      <c r="I101" s="77"/>
      <c r="J101" s="2"/>
      <c r="K101" s="2"/>
      <c r="L101" s="77"/>
      <c r="M101" s="2"/>
      <c r="N101" s="2"/>
      <c r="O101" s="78"/>
      <c r="P101" s="21"/>
      <c r="Q101" s="2"/>
      <c r="R101" s="78"/>
      <c r="S101" s="21">
        <f>S165*10%*4/12</f>
        <v>81782.466666666674</v>
      </c>
      <c r="T101" s="2"/>
      <c r="U101" s="2"/>
      <c r="V101" s="2"/>
      <c r="W101" s="78">
        <v>81782.466666666674</v>
      </c>
      <c r="X101" s="39">
        <v>237169.15333333332</v>
      </c>
      <c r="Y101" s="2"/>
      <c r="Z101" s="21">
        <f t="shared" si="21"/>
        <v>318951.62</v>
      </c>
    </row>
    <row r="102" spans="1:26" x14ac:dyDescent="0.25">
      <c r="A102" s="259"/>
      <c r="B102" s="45"/>
      <c r="C102" s="76"/>
      <c r="D102" s="2"/>
      <c r="E102" s="2"/>
      <c r="F102" s="77"/>
      <c r="G102" s="2"/>
      <c r="H102" s="2"/>
      <c r="I102" s="77"/>
      <c r="J102" s="2"/>
      <c r="K102" s="2"/>
      <c r="L102" s="77"/>
      <c r="M102" s="2"/>
      <c r="N102" s="2"/>
      <c r="O102" s="78"/>
      <c r="P102" s="21"/>
      <c r="Q102" s="2"/>
      <c r="R102" s="78"/>
      <c r="S102" s="21"/>
      <c r="T102" s="2"/>
      <c r="U102" s="2"/>
      <c r="V102" s="2"/>
      <c r="W102" s="78"/>
      <c r="X102" s="39">
        <v>0</v>
      </c>
      <c r="Y102" s="2"/>
      <c r="Z102" s="21">
        <f t="shared" si="21"/>
        <v>0</v>
      </c>
    </row>
    <row r="103" spans="1:26" x14ac:dyDescent="0.25">
      <c r="A103" s="257">
        <v>5</v>
      </c>
      <c r="B103" s="1" t="s">
        <v>338</v>
      </c>
      <c r="C103" s="21"/>
      <c r="D103" s="76"/>
      <c r="E103" s="2"/>
      <c r="F103" s="77"/>
      <c r="G103" s="21"/>
      <c r="H103" s="2"/>
      <c r="I103" s="80">
        <v>468882.9</v>
      </c>
      <c r="J103" s="81">
        <v>490525</v>
      </c>
      <c r="K103" s="2">
        <v>46888.290000000008</v>
      </c>
      <c r="L103" s="21">
        <v>228987.24566399789</v>
      </c>
      <c r="M103" s="21">
        <f>L167*20%</f>
        <v>70086.00090725765</v>
      </c>
      <c r="N103" s="21"/>
      <c r="O103" s="21">
        <f>L103+M103-N103</f>
        <v>299073.24657125556</v>
      </c>
      <c r="P103" s="21">
        <f>O167*10%</f>
        <v>31538.700408265944</v>
      </c>
      <c r="Q103" s="2"/>
      <c r="R103" s="78">
        <f>O103+P103-Q103</f>
        <v>330611.94697952148</v>
      </c>
      <c r="S103" s="21">
        <f>R150*10%</f>
        <v>105705</v>
      </c>
      <c r="T103" s="2"/>
      <c r="U103" s="2"/>
      <c r="V103" s="2"/>
      <c r="W103" s="78">
        <v>436316.94697952148</v>
      </c>
      <c r="X103" s="39">
        <v>51092.694661390829</v>
      </c>
      <c r="Y103" s="2"/>
      <c r="Z103" s="21">
        <f t="shared" si="21"/>
        <v>487409.64164091233</v>
      </c>
    </row>
    <row r="104" spans="1:26" x14ac:dyDescent="0.25">
      <c r="A104" s="257">
        <v>6</v>
      </c>
      <c r="B104" s="1" t="s">
        <v>321</v>
      </c>
      <c r="C104" s="21">
        <v>89958.474922332913</v>
      </c>
      <c r="D104" s="76">
        <f>E42</f>
        <v>11611</v>
      </c>
      <c r="E104" s="2"/>
      <c r="F104" s="77">
        <f>C104+D104-E104</f>
        <v>101569.47492233291</v>
      </c>
      <c r="G104" s="21">
        <v>35078.167296706713</v>
      </c>
      <c r="H104" s="2"/>
      <c r="I104" s="77">
        <v>438037.50567036041</v>
      </c>
      <c r="J104" s="21"/>
      <c r="K104" s="2">
        <v>87607.501134072081</v>
      </c>
      <c r="L104" s="21">
        <v>152178.63665022672</v>
      </c>
      <c r="M104" s="21">
        <f>L168*20%</f>
        <v>46577.231999999996</v>
      </c>
      <c r="N104" s="21"/>
      <c r="O104" s="21">
        <f>L104+M104-N104</f>
        <v>198755.86865022671</v>
      </c>
      <c r="P104" s="21">
        <f>O168*10%</f>
        <v>20959.754400000002</v>
      </c>
      <c r="Q104" s="2"/>
      <c r="R104" s="78">
        <f>O104+P104-Q104</f>
        <v>219715.62305022671</v>
      </c>
      <c r="S104" s="21">
        <f>R151*10%</f>
        <v>6395.9400000000005</v>
      </c>
      <c r="T104" s="2"/>
      <c r="U104" s="2"/>
      <c r="V104" s="2"/>
      <c r="W104" s="78">
        <v>226111.56305022672</v>
      </c>
      <c r="X104" s="39">
        <v>33954.802128000003</v>
      </c>
      <c r="Y104" s="2"/>
      <c r="Z104" s="21">
        <f t="shared" si="21"/>
        <v>260066.36517822673</v>
      </c>
    </row>
    <row r="105" spans="1:26" x14ac:dyDescent="0.25">
      <c r="A105" s="265"/>
      <c r="B105" s="2" t="s">
        <v>176</v>
      </c>
      <c r="C105" s="76">
        <v>0</v>
      </c>
      <c r="D105" s="2"/>
      <c r="E105" s="2"/>
      <c r="F105" s="77">
        <f>C105+D105-E105</f>
        <v>0</v>
      </c>
      <c r="G105" s="2"/>
      <c r="H105" s="2"/>
      <c r="I105" s="77">
        <f>F105+G105-H105</f>
        <v>0</v>
      </c>
      <c r="J105" s="2"/>
      <c r="K105" s="2"/>
      <c r="L105" s="77">
        <f>I105+J105-K105</f>
        <v>0</v>
      </c>
      <c r="M105" s="2"/>
      <c r="N105" s="2"/>
      <c r="O105" s="78">
        <f>L105+M105-N105</f>
        <v>0</v>
      </c>
      <c r="P105" s="21">
        <f>P44*4/12*20%</f>
        <v>12328</v>
      </c>
      <c r="Q105" s="2"/>
      <c r="R105" s="78">
        <f>O105+P105-Q105</f>
        <v>12328</v>
      </c>
      <c r="S105" s="21">
        <f>R169*10%</f>
        <v>17259.2</v>
      </c>
      <c r="T105" s="2"/>
      <c r="U105" s="2"/>
      <c r="V105" s="2"/>
      <c r="W105" s="78">
        <v>29587.200000000001</v>
      </c>
      <c r="X105" s="39">
        <v>31066.559999999998</v>
      </c>
      <c r="Y105" s="2"/>
      <c r="Z105" s="21">
        <f t="shared" si="21"/>
        <v>60653.759999999995</v>
      </c>
    </row>
    <row r="106" spans="1:26" x14ac:dyDescent="0.25">
      <c r="A106" s="257" t="s">
        <v>11</v>
      </c>
      <c r="B106" s="2" t="s">
        <v>203</v>
      </c>
      <c r="C106" s="76"/>
      <c r="D106" s="2"/>
      <c r="E106" s="2"/>
      <c r="F106" s="77"/>
      <c r="G106" s="2"/>
      <c r="H106" s="2"/>
      <c r="I106" s="77"/>
      <c r="J106" s="2"/>
      <c r="K106" s="2"/>
      <c r="L106" s="77"/>
      <c r="M106" s="2"/>
      <c r="N106" s="2"/>
      <c r="O106" s="78"/>
      <c r="P106" s="21"/>
      <c r="Q106" s="2"/>
      <c r="R106" s="78"/>
      <c r="S106" s="21">
        <f>S170*10%*10/12</f>
        <v>48520.833333333336</v>
      </c>
      <c r="T106" s="2"/>
      <c r="U106" s="2"/>
      <c r="V106" s="2"/>
      <c r="W106" s="78">
        <v>48520.833333333336</v>
      </c>
      <c r="X106" s="39">
        <v>106745.83333333333</v>
      </c>
      <c r="Y106" s="2"/>
      <c r="Z106" s="21">
        <f t="shared" si="21"/>
        <v>155266.66666666666</v>
      </c>
    </row>
    <row r="107" spans="1:26" x14ac:dyDescent="0.25">
      <c r="A107" s="257"/>
      <c r="B107" s="2"/>
      <c r="C107" s="76"/>
      <c r="D107" s="2"/>
      <c r="E107" s="2"/>
      <c r="F107" s="77"/>
      <c r="G107" s="2"/>
      <c r="H107" s="2"/>
      <c r="I107" s="77"/>
      <c r="J107" s="2"/>
      <c r="K107" s="2"/>
      <c r="L107" s="77"/>
      <c r="M107" s="2"/>
      <c r="N107" s="2"/>
      <c r="O107" s="78"/>
      <c r="P107" s="21"/>
      <c r="Q107" s="2"/>
      <c r="R107" s="78"/>
      <c r="S107" s="21"/>
      <c r="T107" s="2"/>
      <c r="U107" s="2"/>
      <c r="V107" s="2"/>
      <c r="W107" s="78"/>
      <c r="X107" s="2"/>
      <c r="Y107" s="2"/>
      <c r="Z107" s="21">
        <f t="shared" si="21"/>
        <v>0</v>
      </c>
    </row>
    <row r="108" spans="1:26" x14ac:dyDescent="0.25">
      <c r="A108" s="257"/>
      <c r="B108" s="25" t="s">
        <v>335</v>
      </c>
      <c r="C108" s="76"/>
      <c r="D108" s="2"/>
      <c r="E108" s="2"/>
      <c r="F108" s="77"/>
      <c r="G108" s="77"/>
      <c r="H108" s="21"/>
      <c r="I108" s="21"/>
      <c r="J108" s="2"/>
      <c r="K108" s="2"/>
      <c r="L108" s="2"/>
      <c r="M108" s="21"/>
      <c r="N108" s="2"/>
      <c r="O108" s="78"/>
      <c r="P108" s="21"/>
      <c r="Q108" s="2"/>
      <c r="R108" s="21"/>
      <c r="S108" s="21"/>
      <c r="T108" s="21"/>
      <c r="U108" s="21"/>
      <c r="V108" s="21"/>
      <c r="W108" s="78"/>
      <c r="X108" s="2"/>
      <c r="Y108" s="2"/>
      <c r="Z108" s="21">
        <f t="shared" si="21"/>
        <v>0</v>
      </c>
    </row>
    <row r="109" spans="1:26" x14ac:dyDescent="0.25">
      <c r="A109" s="261" t="s">
        <v>295</v>
      </c>
      <c r="B109" s="172" t="s">
        <v>296</v>
      </c>
      <c r="C109" s="76"/>
      <c r="D109" s="2"/>
      <c r="E109" s="2"/>
      <c r="F109" s="77"/>
      <c r="G109" s="77"/>
      <c r="H109" s="21"/>
      <c r="I109" s="21"/>
      <c r="J109" s="2"/>
      <c r="K109" s="2"/>
      <c r="L109" s="2"/>
      <c r="M109" s="21"/>
      <c r="N109" s="2"/>
      <c r="O109" s="78"/>
      <c r="P109" s="21"/>
      <c r="Q109" s="2"/>
      <c r="R109" s="21"/>
      <c r="S109" s="21"/>
      <c r="T109" s="21"/>
      <c r="U109" s="21"/>
      <c r="V109" s="172">
        <v>1</v>
      </c>
      <c r="W109" s="78"/>
      <c r="X109" s="39">
        <v>1886.1111111111111</v>
      </c>
      <c r="Y109" s="2"/>
      <c r="Z109" s="21">
        <f t="shared" si="21"/>
        <v>1886.1111111111111</v>
      </c>
    </row>
    <row r="110" spans="1:26" x14ac:dyDescent="0.25">
      <c r="A110" s="261" t="s">
        <v>291</v>
      </c>
      <c r="B110" s="172" t="s">
        <v>292</v>
      </c>
      <c r="C110" s="76"/>
      <c r="D110" s="2"/>
      <c r="E110" s="2"/>
      <c r="F110" s="77"/>
      <c r="G110" s="77"/>
      <c r="H110" s="21"/>
      <c r="I110" s="21"/>
      <c r="J110" s="2"/>
      <c r="K110" s="2"/>
      <c r="L110" s="2"/>
      <c r="M110" s="21"/>
      <c r="N110" s="2"/>
      <c r="O110" s="78"/>
      <c r="P110" s="21"/>
      <c r="Q110" s="2"/>
      <c r="R110" s="21"/>
      <c r="S110" s="21"/>
      <c r="T110" s="21"/>
      <c r="U110" s="21"/>
      <c r="V110" s="172">
        <v>1</v>
      </c>
      <c r="W110" s="78"/>
      <c r="X110" s="39">
        <v>1157.2916666666667</v>
      </c>
      <c r="Y110" s="2"/>
      <c r="Z110" s="21">
        <f t="shared" si="21"/>
        <v>1157.2916666666667</v>
      </c>
    </row>
    <row r="111" spans="1:26" x14ac:dyDescent="0.25">
      <c r="A111" s="262" t="s">
        <v>299</v>
      </c>
      <c r="B111" s="172" t="s">
        <v>300</v>
      </c>
      <c r="C111" s="76"/>
      <c r="D111" s="2"/>
      <c r="E111" s="2"/>
      <c r="F111" s="77"/>
      <c r="G111" s="77"/>
      <c r="H111" s="21"/>
      <c r="I111" s="21"/>
      <c r="J111" s="2"/>
      <c r="K111" s="2"/>
      <c r="L111" s="2"/>
      <c r="M111" s="21"/>
      <c r="N111" s="2"/>
      <c r="O111" s="78"/>
      <c r="P111" s="21"/>
      <c r="Q111" s="2"/>
      <c r="R111" s="21"/>
      <c r="S111" s="21"/>
      <c r="T111" s="21"/>
      <c r="U111" s="21"/>
      <c r="V111" s="172">
        <v>1</v>
      </c>
      <c r="W111" s="78"/>
      <c r="X111" s="39">
        <v>9856.4583333333339</v>
      </c>
      <c r="Y111" s="2"/>
      <c r="Z111" s="21">
        <f t="shared" si="21"/>
        <v>9856.4583333333339</v>
      </c>
    </row>
    <row r="112" spans="1:26" x14ac:dyDescent="0.25">
      <c r="A112" s="262" t="s">
        <v>307</v>
      </c>
      <c r="B112" s="172" t="s">
        <v>308</v>
      </c>
      <c r="C112" s="76"/>
      <c r="D112" s="2"/>
      <c r="E112" s="2"/>
      <c r="F112" s="77"/>
      <c r="G112" s="77"/>
      <c r="H112" s="21"/>
      <c r="I112" s="21"/>
      <c r="J112" s="2"/>
      <c r="K112" s="2"/>
      <c r="L112" s="2"/>
      <c r="M112" s="21"/>
      <c r="N112" s="2"/>
      <c r="O112" s="78"/>
      <c r="P112" s="21"/>
      <c r="Q112" s="2"/>
      <c r="R112" s="21"/>
      <c r="S112" s="21"/>
      <c r="T112" s="21"/>
      <c r="U112" s="21"/>
      <c r="V112" s="172">
        <v>1</v>
      </c>
      <c r="W112" s="78"/>
      <c r="X112" s="39">
        <v>21470.386111111111</v>
      </c>
      <c r="Y112" s="2"/>
      <c r="Z112" s="21">
        <f t="shared" si="21"/>
        <v>21470.386111111111</v>
      </c>
    </row>
    <row r="113" spans="1:26" x14ac:dyDescent="0.25">
      <c r="A113" s="262" t="s">
        <v>304</v>
      </c>
      <c r="B113" s="172" t="s">
        <v>305</v>
      </c>
      <c r="C113" s="76"/>
      <c r="D113" s="2"/>
      <c r="E113" s="2"/>
      <c r="F113" s="77"/>
      <c r="G113" s="77"/>
      <c r="H113" s="21"/>
      <c r="I113" s="21"/>
      <c r="J113" s="2"/>
      <c r="K113" s="2"/>
      <c r="L113" s="2"/>
      <c r="M113" s="21"/>
      <c r="N113" s="2"/>
      <c r="O113" s="78"/>
      <c r="P113" s="21"/>
      <c r="Q113" s="2"/>
      <c r="R113" s="21"/>
      <c r="S113" s="21"/>
      <c r="T113" s="21"/>
      <c r="U113" s="21"/>
      <c r="V113" s="172">
        <v>2</v>
      </c>
      <c r="W113" s="78"/>
      <c r="X113" s="39">
        <v>2385.5208333333335</v>
      </c>
      <c r="Y113" s="2"/>
      <c r="Z113" s="21">
        <f t="shared" si="21"/>
        <v>2385.5208333333335</v>
      </c>
    </row>
    <row r="114" spans="1:26" x14ac:dyDescent="0.25">
      <c r="A114" s="259" t="s">
        <v>309</v>
      </c>
      <c r="B114" s="172" t="s">
        <v>310</v>
      </c>
      <c r="C114" s="76"/>
      <c r="D114" s="2"/>
      <c r="E114" s="2"/>
      <c r="F114" s="77"/>
      <c r="G114" s="77"/>
      <c r="H114" s="21"/>
      <c r="I114" s="21"/>
      <c r="J114" s="2"/>
      <c r="K114" s="2"/>
      <c r="L114" s="2"/>
      <c r="M114" s="21"/>
      <c r="N114" s="2"/>
      <c r="O114" s="78"/>
      <c r="P114" s="21"/>
      <c r="Q114" s="2"/>
      <c r="R114" s="21"/>
      <c r="S114" s="21"/>
      <c r="T114" s="21"/>
      <c r="U114" s="21"/>
      <c r="V114" s="172">
        <v>1</v>
      </c>
      <c r="W114" s="78"/>
      <c r="X114" s="39">
        <v>2314.8055555555557</v>
      </c>
      <c r="Y114" s="2"/>
      <c r="Z114" s="21">
        <f t="shared" si="21"/>
        <v>2314.8055555555557</v>
      </c>
    </row>
    <row r="115" spans="1:26" x14ac:dyDescent="0.25">
      <c r="A115" s="261" t="s">
        <v>289</v>
      </c>
      <c r="B115" s="172" t="s">
        <v>290</v>
      </c>
      <c r="C115" s="76"/>
      <c r="D115" s="2"/>
      <c r="E115" s="2"/>
      <c r="F115" s="77"/>
      <c r="G115" s="77"/>
      <c r="H115" s="21"/>
      <c r="I115" s="21"/>
      <c r="J115" s="2"/>
      <c r="K115" s="2"/>
      <c r="L115" s="2"/>
      <c r="M115" s="21"/>
      <c r="N115" s="2"/>
      <c r="O115" s="78"/>
      <c r="P115" s="21"/>
      <c r="Q115" s="2"/>
      <c r="R115" s="21"/>
      <c r="S115" s="21"/>
      <c r="T115" s="21"/>
      <c r="U115" s="21"/>
      <c r="V115" s="172">
        <v>1</v>
      </c>
      <c r="W115" s="78"/>
      <c r="X115" s="39">
        <v>13136.363888888889</v>
      </c>
      <c r="Y115" s="2"/>
      <c r="Z115" s="21">
        <f t="shared" si="21"/>
        <v>13136.363888888889</v>
      </c>
    </row>
    <row r="116" spans="1:26" x14ac:dyDescent="0.25">
      <c r="A116" s="262" t="s">
        <v>294</v>
      </c>
      <c r="B116" s="172" t="s">
        <v>322</v>
      </c>
      <c r="C116" s="76"/>
      <c r="D116" s="2"/>
      <c r="E116" s="2"/>
      <c r="F116" s="77"/>
      <c r="G116" s="77"/>
      <c r="H116" s="21"/>
      <c r="I116" s="21"/>
      <c r="J116" s="2"/>
      <c r="K116" s="2"/>
      <c r="L116" s="2"/>
      <c r="M116" s="21"/>
      <c r="N116" s="2"/>
      <c r="O116" s="78"/>
      <c r="P116" s="21"/>
      <c r="Q116" s="2"/>
      <c r="R116" s="21"/>
      <c r="S116" s="21"/>
      <c r="T116" s="21"/>
      <c r="U116" s="21"/>
      <c r="V116" s="172">
        <v>1</v>
      </c>
      <c r="W116" s="78"/>
      <c r="X116" s="39">
        <v>16842.222222222223</v>
      </c>
      <c r="Y116" s="2"/>
      <c r="Z116" s="21">
        <f t="shared" si="21"/>
        <v>16842.222222222223</v>
      </c>
    </row>
    <row r="117" spans="1:26" x14ac:dyDescent="0.25">
      <c r="A117" s="262" t="s">
        <v>297</v>
      </c>
      <c r="B117" s="172" t="s">
        <v>298</v>
      </c>
      <c r="C117" s="76"/>
      <c r="D117" s="2"/>
      <c r="E117" s="2"/>
      <c r="F117" s="77"/>
      <c r="G117" s="77"/>
      <c r="H117" s="21"/>
      <c r="I117" s="21"/>
      <c r="J117" s="2"/>
      <c r="K117" s="2"/>
      <c r="L117" s="2"/>
      <c r="M117" s="21"/>
      <c r="N117" s="2"/>
      <c r="O117" s="78"/>
      <c r="P117" s="21"/>
      <c r="Q117" s="2"/>
      <c r="R117" s="21"/>
      <c r="S117" s="21"/>
      <c r="T117" s="21"/>
      <c r="U117" s="21"/>
      <c r="V117" s="172">
        <v>1</v>
      </c>
      <c r="W117" s="78"/>
      <c r="X117" s="39">
        <v>383.81250000000006</v>
      </c>
      <c r="Y117" s="2"/>
      <c r="Z117" s="21">
        <f t="shared" si="21"/>
        <v>383.81250000000006</v>
      </c>
    </row>
    <row r="118" spans="1:26" x14ac:dyDescent="0.25">
      <c r="A118" s="260">
        <v>2018</v>
      </c>
      <c r="B118" s="172" t="s">
        <v>317</v>
      </c>
      <c r="C118" s="76"/>
      <c r="D118" s="2"/>
      <c r="E118" s="2"/>
      <c r="F118" s="77"/>
      <c r="G118" s="77"/>
      <c r="H118" s="21"/>
      <c r="I118" s="21"/>
      <c r="J118" s="2"/>
      <c r="K118" s="2"/>
      <c r="L118" s="2"/>
      <c r="M118" s="21"/>
      <c r="N118" s="2"/>
      <c r="O118" s="78"/>
      <c r="P118" s="21"/>
      <c r="Q118" s="2"/>
      <c r="R118" s="21"/>
      <c r="S118" s="21"/>
      <c r="T118" s="21"/>
      <c r="U118" s="21"/>
      <c r="V118" s="21"/>
      <c r="W118" s="78"/>
      <c r="X118" s="39">
        <v>0</v>
      </c>
      <c r="Y118" s="2"/>
      <c r="Z118" s="21">
        <f t="shared" si="21"/>
        <v>0</v>
      </c>
    </row>
    <row r="119" spans="1:26" x14ac:dyDescent="0.25">
      <c r="A119" s="260">
        <v>2018</v>
      </c>
      <c r="B119" s="173" t="s">
        <v>336</v>
      </c>
      <c r="C119" s="76"/>
      <c r="D119" s="2"/>
      <c r="E119" s="2"/>
      <c r="F119" s="77"/>
      <c r="G119" s="77"/>
      <c r="H119" s="21"/>
      <c r="I119" s="21"/>
      <c r="J119" s="2"/>
      <c r="K119" s="2"/>
      <c r="L119" s="2"/>
      <c r="M119" s="21"/>
      <c r="N119" s="2"/>
      <c r="O119" s="78"/>
      <c r="P119" s="21"/>
      <c r="Q119" s="2"/>
      <c r="R119" s="21"/>
      <c r="S119" s="21"/>
      <c r="T119" s="21"/>
      <c r="U119" s="21"/>
      <c r="V119" s="21"/>
      <c r="W119" s="78"/>
      <c r="X119" s="39">
        <v>0</v>
      </c>
      <c r="Y119" s="2"/>
      <c r="Z119" s="21">
        <f t="shared" si="21"/>
        <v>0</v>
      </c>
    </row>
    <row r="120" spans="1:26" x14ac:dyDescent="0.25">
      <c r="A120" s="257"/>
      <c r="B120" s="2"/>
      <c r="C120" s="76"/>
      <c r="D120" s="2"/>
      <c r="E120" s="2"/>
      <c r="F120" s="77"/>
      <c r="G120" s="2"/>
      <c r="H120" s="2"/>
      <c r="I120" s="77"/>
      <c r="J120" s="2"/>
      <c r="K120" s="2"/>
      <c r="L120" s="77"/>
      <c r="M120" s="2"/>
      <c r="N120" s="2"/>
      <c r="O120" s="78"/>
      <c r="P120" s="21"/>
      <c r="Q120" s="2"/>
      <c r="R120" s="78"/>
      <c r="S120" s="21"/>
      <c r="T120" s="2"/>
      <c r="U120" s="2"/>
      <c r="V120" s="2"/>
      <c r="W120" s="78"/>
      <c r="X120" s="2"/>
      <c r="Y120" s="2"/>
      <c r="Z120" s="21">
        <f t="shared" si="21"/>
        <v>0</v>
      </c>
    </row>
    <row r="121" spans="1:26" x14ac:dyDescent="0.25">
      <c r="A121" s="257"/>
      <c r="B121" s="2"/>
      <c r="C121" s="76"/>
      <c r="D121" s="2"/>
      <c r="E121" s="2"/>
      <c r="F121" s="77"/>
      <c r="G121" s="2"/>
      <c r="H121" s="2"/>
      <c r="I121" s="77"/>
      <c r="J121" s="2"/>
      <c r="K121" s="2"/>
      <c r="L121" s="77"/>
      <c r="M121" s="2"/>
      <c r="N121" s="2"/>
      <c r="O121" s="78"/>
      <c r="P121" s="21"/>
      <c r="Q121" s="2"/>
      <c r="R121" s="78"/>
      <c r="S121" s="21"/>
      <c r="T121" s="2"/>
      <c r="U121" s="2"/>
      <c r="V121" s="2"/>
      <c r="W121" s="78"/>
      <c r="X121" s="2"/>
      <c r="Y121" s="2"/>
      <c r="Z121" s="21">
        <f t="shared" si="21"/>
        <v>0</v>
      </c>
    </row>
    <row r="122" spans="1:26" x14ac:dyDescent="0.25">
      <c r="A122" s="262" t="s">
        <v>301</v>
      </c>
      <c r="B122" s="172" t="s">
        <v>302</v>
      </c>
      <c r="C122" s="76"/>
      <c r="D122" s="2"/>
      <c r="E122" s="2"/>
      <c r="F122" s="77"/>
      <c r="G122" s="77"/>
      <c r="H122" s="21"/>
      <c r="I122" s="21"/>
      <c r="J122" s="2"/>
      <c r="K122" s="2"/>
      <c r="L122" s="2"/>
      <c r="M122" s="21"/>
      <c r="N122" s="2"/>
      <c r="O122" s="78"/>
      <c r="P122" s="21"/>
      <c r="Q122" s="2"/>
      <c r="R122" s="21"/>
      <c r="S122" s="21"/>
      <c r="T122" s="21"/>
      <c r="U122" s="21" t="s">
        <v>287</v>
      </c>
      <c r="V122" s="21">
        <v>1</v>
      </c>
      <c r="W122" s="78"/>
      <c r="X122" s="39">
        <v>8800</v>
      </c>
      <c r="Y122" s="2"/>
      <c r="Z122" s="21">
        <f t="shared" si="21"/>
        <v>8800</v>
      </c>
    </row>
    <row r="123" spans="1:26" x14ac:dyDescent="0.25">
      <c r="A123" s="262" t="s">
        <v>303</v>
      </c>
      <c r="B123" s="172" t="s">
        <v>325</v>
      </c>
      <c r="C123" s="76"/>
      <c r="D123" s="2"/>
      <c r="E123" s="2"/>
      <c r="F123" s="77"/>
      <c r="G123" s="77"/>
      <c r="H123" s="21"/>
      <c r="I123" s="21"/>
      <c r="J123" s="2"/>
      <c r="K123" s="2"/>
      <c r="L123" s="2"/>
      <c r="M123" s="21"/>
      <c r="N123" s="2"/>
      <c r="O123" s="78"/>
      <c r="P123" s="21"/>
      <c r="Q123" s="2"/>
      <c r="R123" s="21"/>
      <c r="S123" s="21"/>
      <c r="T123" s="21"/>
      <c r="U123" s="21" t="s">
        <v>287</v>
      </c>
      <c r="V123" s="21">
        <v>1</v>
      </c>
      <c r="W123" s="78"/>
      <c r="X123" s="39">
        <v>23517</v>
      </c>
      <c r="Y123" s="2"/>
      <c r="Z123" s="21">
        <f t="shared" si="21"/>
        <v>23517</v>
      </c>
    </row>
    <row r="124" spans="1:26" x14ac:dyDescent="0.25">
      <c r="A124" s="259" t="s">
        <v>311</v>
      </c>
      <c r="B124" s="172" t="s">
        <v>327</v>
      </c>
      <c r="C124" s="76"/>
      <c r="D124" s="2"/>
      <c r="E124" s="2"/>
      <c r="F124" s="77"/>
      <c r="G124" s="77"/>
      <c r="H124" s="21"/>
      <c r="I124" s="21"/>
      <c r="J124" s="2"/>
      <c r="K124" s="2"/>
      <c r="L124" s="2"/>
      <c r="M124" s="21"/>
      <c r="N124" s="2"/>
      <c r="O124" s="78"/>
      <c r="P124" s="21"/>
      <c r="Q124" s="2"/>
      <c r="R124" s="21"/>
      <c r="S124" s="21"/>
      <c r="T124" s="21"/>
      <c r="U124" s="21" t="s">
        <v>287</v>
      </c>
      <c r="V124" s="21">
        <v>14</v>
      </c>
      <c r="W124" s="78"/>
      <c r="X124" s="39">
        <v>7000</v>
      </c>
      <c r="Y124" s="2"/>
      <c r="Z124" s="21">
        <f t="shared" si="21"/>
        <v>7000</v>
      </c>
    </row>
    <row r="125" spans="1:26" x14ac:dyDescent="0.25">
      <c r="A125" s="261" t="s">
        <v>293</v>
      </c>
      <c r="B125" s="172" t="s">
        <v>321</v>
      </c>
      <c r="C125" s="76"/>
      <c r="D125" s="2"/>
      <c r="E125" s="2"/>
      <c r="F125" s="77"/>
      <c r="G125" s="77"/>
      <c r="H125" s="21"/>
      <c r="I125" s="21"/>
      <c r="J125" s="2"/>
      <c r="K125" s="2"/>
      <c r="L125" s="2"/>
      <c r="M125" s="21"/>
      <c r="N125" s="2"/>
      <c r="O125" s="78"/>
      <c r="P125" s="21"/>
      <c r="Q125" s="2"/>
      <c r="R125" s="21"/>
      <c r="S125" s="21"/>
      <c r="T125" s="21"/>
      <c r="U125" s="21" t="s">
        <v>287</v>
      </c>
      <c r="V125" s="21"/>
      <c r="W125" s="78"/>
      <c r="X125" s="39">
        <v>10211</v>
      </c>
      <c r="Y125" s="2"/>
      <c r="Z125" s="21">
        <f t="shared" si="21"/>
        <v>10211</v>
      </c>
    </row>
    <row r="126" spans="1:26" x14ac:dyDescent="0.25">
      <c r="A126" s="257"/>
      <c r="B126" s="2"/>
      <c r="C126" s="76"/>
      <c r="D126" s="2"/>
      <c r="E126" s="2"/>
      <c r="F126" s="77"/>
      <c r="G126" s="2"/>
      <c r="H126" s="2"/>
      <c r="I126" s="77"/>
      <c r="J126" s="2"/>
      <c r="K126" s="2"/>
      <c r="L126" s="77"/>
      <c r="M126" s="2"/>
      <c r="N126" s="2"/>
      <c r="O126" s="78"/>
      <c r="P126" s="21"/>
      <c r="Q126" s="2"/>
      <c r="R126" s="78"/>
      <c r="S126" s="21"/>
      <c r="T126" s="2"/>
      <c r="U126" s="2"/>
      <c r="V126" s="2"/>
      <c r="W126" s="78"/>
      <c r="X126" s="2"/>
      <c r="Y126" s="2"/>
      <c r="Z126" s="21">
        <f t="shared" si="21"/>
        <v>0</v>
      </c>
    </row>
    <row r="127" spans="1:26" x14ac:dyDescent="0.25">
      <c r="A127" s="257"/>
      <c r="B127" s="2"/>
      <c r="C127" s="76"/>
      <c r="D127" s="2"/>
      <c r="E127" s="2"/>
      <c r="F127" s="77"/>
      <c r="G127" s="2"/>
      <c r="H127" s="2"/>
      <c r="I127" s="77"/>
      <c r="J127" s="2"/>
      <c r="K127" s="2"/>
      <c r="L127" s="77"/>
      <c r="M127" s="2"/>
      <c r="N127" s="2"/>
      <c r="O127" s="78"/>
      <c r="P127" s="21"/>
      <c r="Q127" s="2"/>
      <c r="R127" s="78"/>
      <c r="S127" s="21"/>
      <c r="T127" s="2"/>
      <c r="U127" s="2"/>
      <c r="V127" s="2"/>
      <c r="W127" s="78"/>
      <c r="X127" s="2"/>
      <c r="Y127" s="2"/>
      <c r="Z127" s="21">
        <f t="shared" si="21"/>
        <v>0</v>
      </c>
    </row>
    <row r="128" spans="1:26" x14ac:dyDescent="0.25">
      <c r="A128" s="265"/>
      <c r="B128" s="46" t="s">
        <v>182</v>
      </c>
      <c r="C128" s="76">
        <v>0</v>
      </c>
      <c r="D128" s="2"/>
      <c r="E128" s="2"/>
      <c r="F128" s="77">
        <f t="shared" si="25"/>
        <v>0</v>
      </c>
      <c r="G128" s="2"/>
      <c r="H128" s="2"/>
      <c r="I128" s="77">
        <f>F128+G128-H128</f>
        <v>0</v>
      </c>
      <c r="J128" s="2"/>
      <c r="K128" s="2"/>
      <c r="L128" s="41">
        <f t="shared" ref="L128:T128" si="27">L74+L82</f>
        <v>16908416.746651582</v>
      </c>
      <c r="M128" s="41">
        <f t="shared" si="27"/>
        <v>3481186.4836041131</v>
      </c>
      <c r="N128" s="41">
        <f t="shared" si="27"/>
        <v>0</v>
      </c>
      <c r="O128" s="41">
        <f t="shared" si="27"/>
        <v>20887432.345477179</v>
      </c>
      <c r="P128" s="41">
        <f t="shared" si="27"/>
        <v>3932756.5450513717</v>
      </c>
      <c r="Q128" s="41">
        <f t="shared" si="27"/>
        <v>0</v>
      </c>
      <c r="R128" s="41">
        <f t="shared" si="27"/>
        <v>24820188.890528556</v>
      </c>
      <c r="S128" s="41">
        <f t="shared" si="27"/>
        <v>4624735.2922134977</v>
      </c>
      <c r="T128" s="41">
        <f t="shared" si="27"/>
        <v>0</v>
      </c>
      <c r="U128" s="41"/>
      <c r="V128" s="41"/>
      <c r="W128" s="41">
        <f>W74+W82</f>
        <v>29444924.182742044</v>
      </c>
      <c r="X128" s="41">
        <f t="shared" ref="X128:Z128" si="28">X74+X82</f>
        <v>4700494.2966090646</v>
      </c>
      <c r="Y128" s="41">
        <f t="shared" si="28"/>
        <v>0</v>
      </c>
      <c r="Z128" s="41">
        <f t="shared" si="28"/>
        <v>34145418.479351126</v>
      </c>
    </row>
    <row r="129" spans="1:26" x14ac:dyDescent="0.25">
      <c r="C129" s="82"/>
    </row>
    <row r="130" spans="1:26" x14ac:dyDescent="0.25">
      <c r="R130" s="43"/>
    </row>
    <row r="131" spans="1:26" x14ac:dyDescent="0.25">
      <c r="A131" s="487" t="s">
        <v>183</v>
      </c>
      <c r="B131" s="487"/>
      <c r="C131" s="487"/>
      <c r="D131" s="487"/>
      <c r="E131" s="487"/>
      <c r="F131" s="487"/>
      <c r="G131" s="487"/>
      <c r="H131" s="487"/>
      <c r="I131" s="487"/>
      <c r="J131" s="487"/>
      <c r="K131" s="487"/>
      <c r="L131" s="487"/>
      <c r="M131" s="487"/>
      <c r="N131" s="487"/>
      <c r="O131" s="487"/>
      <c r="P131" s="487"/>
      <c r="Q131" s="487"/>
      <c r="R131" s="487"/>
      <c r="S131" s="487"/>
      <c r="T131" s="487"/>
      <c r="U131" s="487"/>
      <c r="V131" s="487"/>
      <c r="W131" s="487"/>
      <c r="X131" s="487"/>
      <c r="Y131" s="487"/>
      <c r="Z131" s="487"/>
    </row>
    <row r="133" spans="1:26" x14ac:dyDescent="0.25">
      <c r="A133" s="496" t="s">
        <v>0</v>
      </c>
      <c r="B133" s="494" t="s">
        <v>3</v>
      </c>
      <c r="C133" s="69" t="s">
        <v>17</v>
      </c>
      <c r="D133" s="494" t="s">
        <v>138</v>
      </c>
      <c r="E133" s="494" t="s">
        <v>139</v>
      </c>
      <c r="F133" s="69" t="s">
        <v>17</v>
      </c>
      <c r="G133" s="494" t="s">
        <v>140</v>
      </c>
      <c r="H133" s="494" t="s">
        <v>141</v>
      </c>
      <c r="I133" s="69" t="s">
        <v>17</v>
      </c>
      <c r="J133" s="494" t="s">
        <v>142</v>
      </c>
      <c r="K133" s="494" t="s">
        <v>143</v>
      </c>
      <c r="L133" s="18" t="s">
        <v>17</v>
      </c>
      <c r="M133" s="494" t="s">
        <v>144</v>
      </c>
      <c r="N133" s="494" t="s">
        <v>145</v>
      </c>
      <c r="O133" s="18" t="s">
        <v>17</v>
      </c>
      <c r="P133" s="492" t="s">
        <v>146</v>
      </c>
      <c r="Q133" s="494" t="s">
        <v>147</v>
      </c>
      <c r="R133" s="18" t="s">
        <v>17</v>
      </c>
      <c r="S133" s="492" t="s">
        <v>201</v>
      </c>
      <c r="T133" s="494" t="s">
        <v>202</v>
      </c>
      <c r="U133" s="167"/>
      <c r="V133" s="167"/>
      <c r="W133" s="18" t="s">
        <v>17</v>
      </c>
      <c r="X133" s="492" t="s">
        <v>333</v>
      </c>
      <c r="Y133" s="494" t="s">
        <v>334</v>
      </c>
      <c r="Z133" s="171" t="s">
        <v>17</v>
      </c>
    </row>
    <row r="134" spans="1:26" x14ac:dyDescent="0.25">
      <c r="A134" s="497"/>
      <c r="B134" s="495"/>
      <c r="C134" s="70">
        <v>40908</v>
      </c>
      <c r="D134" s="495"/>
      <c r="E134" s="495"/>
      <c r="F134" s="70" t="s">
        <v>149</v>
      </c>
      <c r="G134" s="495"/>
      <c r="H134" s="495"/>
      <c r="I134" s="70" t="s">
        <v>150</v>
      </c>
      <c r="J134" s="495"/>
      <c r="K134" s="495"/>
      <c r="L134" s="71" t="s">
        <v>151</v>
      </c>
      <c r="M134" s="495"/>
      <c r="N134" s="495"/>
      <c r="O134" s="71" t="s">
        <v>152</v>
      </c>
      <c r="P134" s="493"/>
      <c r="Q134" s="495"/>
      <c r="R134" s="71" t="s">
        <v>153</v>
      </c>
      <c r="S134" s="493"/>
      <c r="T134" s="495"/>
      <c r="U134" s="168"/>
      <c r="V134" s="168"/>
      <c r="W134" s="71" t="s">
        <v>39</v>
      </c>
      <c r="X134" s="493"/>
      <c r="Y134" s="495"/>
      <c r="Z134" s="171" t="s">
        <v>312</v>
      </c>
    </row>
    <row r="135" spans="1:26" x14ac:dyDescent="0.25">
      <c r="A135" s="257">
        <v>1</v>
      </c>
      <c r="B135" s="6" t="s">
        <v>154</v>
      </c>
      <c r="C135" s="83">
        <v>80059800</v>
      </c>
      <c r="D135" s="26"/>
      <c r="E135" s="2"/>
      <c r="F135" s="84">
        <f>C135+D135-E135</f>
        <v>80059800</v>
      </c>
      <c r="G135" s="84"/>
      <c r="H135" s="2"/>
      <c r="I135" s="85">
        <v>80059800</v>
      </c>
      <c r="J135" s="2"/>
      <c r="K135" s="2"/>
      <c r="L135" s="23">
        <v>80059800</v>
      </c>
      <c r="M135" s="23">
        <v>5740000</v>
      </c>
      <c r="N135" s="23"/>
      <c r="O135" s="23">
        <f>L135+M135-N135</f>
        <v>85799800</v>
      </c>
      <c r="P135" s="21"/>
      <c r="Q135" s="2"/>
      <c r="R135" s="74">
        <f>O135+P135-Q135</f>
        <v>85799800</v>
      </c>
      <c r="S135" s="2"/>
      <c r="T135" s="2"/>
      <c r="U135" s="2"/>
      <c r="V135" s="2"/>
      <c r="W135" s="74">
        <f>R135+S135-T135</f>
        <v>85799800</v>
      </c>
      <c r="X135" s="74">
        <f t="shared" ref="X135:Y135" si="29">S135+T135-U135</f>
        <v>0</v>
      </c>
      <c r="Y135" s="74">
        <f t="shared" si="29"/>
        <v>0</v>
      </c>
      <c r="Z135" s="23">
        <f>W135+X135-Y135</f>
        <v>85799800</v>
      </c>
    </row>
    <row r="136" spans="1:26" ht="31.5" x14ac:dyDescent="0.25">
      <c r="A136" s="257">
        <v>2</v>
      </c>
      <c r="B136" s="20" t="s">
        <v>155</v>
      </c>
      <c r="C136" s="83">
        <v>134043553.56630899</v>
      </c>
      <c r="D136" s="2"/>
      <c r="E136" s="2"/>
      <c r="F136" s="84">
        <f>C136+D136-E136</f>
        <v>134043553.56630899</v>
      </c>
      <c r="G136" s="84"/>
      <c r="H136" s="2"/>
      <c r="I136" s="85">
        <v>134043553.56630899</v>
      </c>
      <c r="J136" s="2"/>
      <c r="K136" s="2"/>
      <c r="L136" s="62">
        <v>134043553.56630899</v>
      </c>
      <c r="M136" s="23"/>
      <c r="N136" s="62">
        <v>43326358</v>
      </c>
      <c r="O136" s="23">
        <f>L136+M136-N136</f>
        <v>90717195.56630899</v>
      </c>
      <c r="P136" s="21"/>
      <c r="Q136" s="78"/>
      <c r="R136" s="23">
        <f>R137+R138</f>
        <v>114679628.76630899</v>
      </c>
      <c r="S136" s="23">
        <f t="shared" ref="S136:T136" si="30">S137+S138</f>
        <v>45740882</v>
      </c>
      <c r="T136" s="23">
        <f t="shared" si="30"/>
        <v>1198121.6600000001</v>
      </c>
      <c r="U136" s="23"/>
      <c r="V136" s="23"/>
      <c r="W136" s="23">
        <f>W137+W138</f>
        <v>159222388.10630897</v>
      </c>
      <c r="X136" s="23">
        <f t="shared" ref="X136:Z136" si="31">X137+X138</f>
        <v>0</v>
      </c>
      <c r="Y136" s="23">
        <f t="shared" si="31"/>
        <v>1138215.5270000002</v>
      </c>
      <c r="Z136" s="23">
        <f t="shared" si="31"/>
        <v>158084172.57930899</v>
      </c>
    </row>
    <row r="137" spans="1:26" x14ac:dyDescent="0.25">
      <c r="A137" s="257"/>
      <c r="B137" s="6" t="s">
        <v>156</v>
      </c>
      <c r="C137" s="162"/>
      <c r="D137" s="25"/>
      <c r="E137" s="25"/>
      <c r="F137" s="163"/>
      <c r="G137" s="163"/>
      <c r="H137" s="25"/>
      <c r="I137" s="164"/>
      <c r="J137" s="25"/>
      <c r="K137" s="25"/>
      <c r="L137" s="74"/>
      <c r="M137" s="25"/>
      <c r="N137" s="23"/>
      <c r="O137" s="23">
        <f>L137+M137-N137</f>
        <v>0</v>
      </c>
      <c r="P137" s="23"/>
      <c r="Q137" s="74"/>
      <c r="R137" s="74">
        <v>90717195.56630899</v>
      </c>
      <c r="S137" s="25">
        <v>45740882</v>
      </c>
      <c r="T137" s="25"/>
      <c r="U137" s="25"/>
      <c r="V137" s="25"/>
      <c r="W137" s="74">
        <f>R137+S137-T137</f>
        <v>136458077.56630898</v>
      </c>
      <c r="X137" s="2"/>
      <c r="Y137" s="2"/>
      <c r="Z137" s="21">
        <f>W137+X137-Y137</f>
        <v>136458077.56630898</v>
      </c>
    </row>
    <row r="138" spans="1:26" x14ac:dyDescent="0.25">
      <c r="A138" s="257"/>
      <c r="B138" s="6" t="s">
        <v>184</v>
      </c>
      <c r="C138" s="83"/>
      <c r="D138" s="2"/>
      <c r="E138" s="2"/>
      <c r="F138" s="84"/>
      <c r="G138" s="84"/>
      <c r="H138" s="2"/>
      <c r="I138" s="85"/>
      <c r="J138" s="2"/>
      <c r="K138" s="2"/>
      <c r="L138" s="74"/>
      <c r="M138" s="74">
        <f t="shared" ref="M138:S138" si="32">SUM(M139:M144)</f>
        <v>26057660</v>
      </c>
      <c r="N138" s="74">
        <f t="shared" si="32"/>
        <v>0</v>
      </c>
      <c r="O138" s="74">
        <f t="shared" si="32"/>
        <v>25177278</v>
      </c>
      <c r="P138" s="23">
        <f t="shared" si="32"/>
        <v>0</v>
      </c>
      <c r="Q138" s="74">
        <f t="shared" si="32"/>
        <v>1214844.8000000003</v>
      </c>
      <c r="R138" s="74">
        <f t="shared" si="32"/>
        <v>23962433.200000003</v>
      </c>
      <c r="S138" s="74">
        <f t="shared" si="32"/>
        <v>0</v>
      </c>
      <c r="T138" s="74">
        <f>SUM(T139:T144)</f>
        <v>1198121.6600000001</v>
      </c>
      <c r="U138" s="74"/>
      <c r="V138" s="74"/>
      <c r="W138" s="74">
        <f>SUM(W139:W144)</f>
        <v>22764310.540000003</v>
      </c>
      <c r="X138" s="74">
        <f t="shared" ref="X138:Z138" si="33">SUM(X139:X144)</f>
        <v>0</v>
      </c>
      <c r="Y138" s="74">
        <f t="shared" si="33"/>
        <v>1138215.5270000002</v>
      </c>
      <c r="Z138" s="74">
        <f t="shared" si="33"/>
        <v>21626095.012999997</v>
      </c>
    </row>
    <row r="139" spans="1:26" x14ac:dyDescent="0.25">
      <c r="A139" s="257"/>
      <c r="B139" s="11" t="s">
        <v>185</v>
      </c>
      <c r="C139" s="83"/>
      <c r="D139" s="2"/>
      <c r="E139" s="2"/>
      <c r="F139" s="84"/>
      <c r="G139" s="84"/>
      <c r="H139" s="2"/>
      <c r="I139" s="85"/>
      <c r="J139" s="2"/>
      <c r="K139" s="2"/>
      <c r="L139" s="77"/>
      <c r="M139" s="77">
        <v>3783630</v>
      </c>
      <c r="N139" s="21"/>
      <c r="O139" s="86">
        <f t="shared" ref="O139:O144" si="34">(L139+M139-N139)*0.966214080619672</f>
        <v>3655796.5818550093</v>
      </c>
      <c r="P139" s="21"/>
      <c r="Q139" s="39">
        <f t="shared" ref="Q139:Q144" si="35">P75</f>
        <v>173330.75409275049</v>
      </c>
      <c r="R139" s="78">
        <f t="shared" ref="R139:R144" si="36">O139+P139-Q139</f>
        <v>3482465.8277622587</v>
      </c>
      <c r="S139" s="2"/>
      <c r="T139" s="78">
        <f t="shared" ref="T139:T144" si="37">S75</f>
        <v>174123.29138811294</v>
      </c>
      <c r="U139" s="78"/>
      <c r="V139" s="78"/>
      <c r="W139" s="78">
        <v>3308341.5363741457</v>
      </c>
      <c r="X139" s="2"/>
      <c r="Y139" s="78">
        <f>X75</f>
        <v>165417.07681870728</v>
      </c>
      <c r="Z139" s="21">
        <f>W139+X139-Y139</f>
        <v>3142924.4595554383</v>
      </c>
    </row>
    <row r="140" spans="1:26" x14ac:dyDescent="0.25">
      <c r="A140" s="257"/>
      <c r="B140" s="11" t="s">
        <v>186</v>
      </c>
      <c r="C140" s="83"/>
      <c r="D140" s="2"/>
      <c r="E140" s="2"/>
      <c r="F140" s="84"/>
      <c r="G140" s="84"/>
      <c r="H140" s="2"/>
      <c r="I140" s="85"/>
      <c r="J140" s="2"/>
      <c r="K140" s="2"/>
      <c r="L140" s="77"/>
      <c r="M140" s="77">
        <v>6391020</v>
      </c>
      <c r="N140" s="21"/>
      <c r="O140" s="86">
        <f t="shared" si="34"/>
        <v>6175093.5135219358</v>
      </c>
      <c r="P140" s="21"/>
      <c r="Q140" s="39">
        <f t="shared" si="35"/>
        <v>303428.82567609678</v>
      </c>
      <c r="R140" s="78">
        <f t="shared" si="36"/>
        <v>5871664.6878458392</v>
      </c>
      <c r="S140" s="2"/>
      <c r="T140" s="78">
        <f t="shared" si="37"/>
        <v>293583.23439229198</v>
      </c>
      <c r="U140" s="78"/>
      <c r="V140" s="78"/>
      <c r="W140" s="78">
        <v>5578081.4534535473</v>
      </c>
      <c r="X140" s="2"/>
      <c r="Y140" s="78">
        <f t="shared" ref="Y140:Y144" si="38">X76</f>
        <v>278904.0726726774</v>
      </c>
      <c r="Z140" s="21">
        <f t="shared" ref="Z140:Z144" si="39">W140+X140-Y140</f>
        <v>5299177.3807808701</v>
      </c>
    </row>
    <row r="141" spans="1:26" x14ac:dyDescent="0.25">
      <c r="A141" s="257"/>
      <c r="B141" s="11" t="s">
        <v>187</v>
      </c>
      <c r="C141" s="83"/>
      <c r="D141" s="2"/>
      <c r="E141" s="2"/>
      <c r="F141" s="84"/>
      <c r="G141" s="84"/>
      <c r="H141" s="2"/>
      <c r="I141" s="85"/>
      <c r="J141" s="2"/>
      <c r="K141" s="2"/>
      <c r="L141" s="77"/>
      <c r="M141" s="77">
        <v>6777300</v>
      </c>
      <c r="N141" s="21"/>
      <c r="O141" s="86">
        <f t="shared" si="34"/>
        <v>6548322.6885837028</v>
      </c>
      <c r="P141" s="21"/>
      <c r="Q141" s="39">
        <f t="shared" si="35"/>
        <v>310472.88442918513</v>
      </c>
      <c r="R141" s="78">
        <f t="shared" si="36"/>
        <v>6237849.8041545181</v>
      </c>
      <c r="S141" s="2"/>
      <c r="T141" s="78">
        <f t="shared" si="37"/>
        <v>311892.4902077259</v>
      </c>
      <c r="U141" s="78"/>
      <c r="V141" s="78"/>
      <c r="W141" s="78">
        <v>5925957.3139467919</v>
      </c>
      <c r="X141" s="2"/>
      <c r="Y141" s="78">
        <f t="shared" si="38"/>
        <v>296297.86569733958</v>
      </c>
      <c r="Z141" s="21">
        <f t="shared" si="39"/>
        <v>5629659.4482494527</v>
      </c>
    </row>
    <row r="142" spans="1:26" ht="20.25" customHeight="1" x14ac:dyDescent="0.25">
      <c r="A142" s="257"/>
      <c r="B142" s="11" t="s">
        <v>188</v>
      </c>
      <c r="C142" s="83"/>
      <c r="D142" s="2"/>
      <c r="E142" s="2"/>
      <c r="F142" s="84"/>
      <c r="G142" s="84"/>
      <c r="H142" s="2"/>
      <c r="I142" s="85"/>
      <c r="J142" s="2"/>
      <c r="K142" s="2"/>
      <c r="L142" s="77"/>
      <c r="M142" s="77">
        <v>3384010</v>
      </c>
      <c r="N142" s="21"/>
      <c r="O142" s="86">
        <f t="shared" si="34"/>
        <v>3269678.1109577762</v>
      </c>
      <c r="P142" s="21"/>
      <c r="Q142" s="39">
        <f t="shared" si="35"/>
        <v>160663.8972145555</v>
      </c>
      <c r="R142" s="78">
        <f t="shared" si="36"/>
        <v>3109014.2137432205</v>
      </c>
      <c r="S142" s="2"/>
      <c r="T142" s="78">
        <f t="shared" si="37"/>
        <v>155450.71068716104</v>
      </c>
      <c r="U142" s="78"/>
      <c r="V142" s="78"/>
      <c r="W142" s="78">
        <v>2953563.5030560596</v>
      </c>
      <c r="X142" s="2"/>
      <c r="Y142" s="78">
        <f t="shared" si="38"/>
        <v>147678.17515280299</v>
      </c>
      <c r="Z142" s="21">
        <f t="shared" si="39"/>
        <v>2805885.3279032568</v>
      </c>
    </row>
    <row r="143" spans="1:26" x14ac:dyDescent="0.25">
      <c r="A143" s="257"/>
      <c r="B143" s="11" t="s">
        <v>189</v>
      </c>
      <c r="C143" s="83"/>
      <c r="D143" s="2"/>
      <c r="E143" s="2"/>
      <c r="F143" s="84"/>
      <c r="G143" s="84"/>
      <c r="H143" s="2"/>
      <c r="I143" s="85"/>
      <c r="J143" s="2"/>
      <c r="K143" s="2"/>
      <c r="L143" s="77"/>
      <c r="M143" s="77">
        <v>2900000</v>
      </c>
      <c r="N143" s="21"/>
      <c r="O143" s="86">
        <f t="shared" si="34"/>
        <v>2802020.8337970488</v>
      </c>
      <c r="P143" s="21"/>
      <c r="Q143" s="39">
        <f t="shared" si="35"/>
        <v>137684.37502318577</v>
      </c>
      <c r="R143" s="78">
        <f t="shared" si="36"/>
        <v>2664336.458773863</v>
      </c>
      <c r="S143" s="2"/>
      <c r="T143" s="78">
        <f t="shared" si="37"/>
        <v>133216.82293869316</v>
      </c>
      <c r="U143" s="78"/>
      <c r="V143" s="78"/>
      <c r="W143" s="78">
        <v>2531119.6358351698</v>
      </c>
      <c r="X143" s="2"/>
      <c r="Y143" s="78">
        <f t="shared" si="38"/>
        <v>126555.9817917585</v>
      </c>
      <c r="Z143" s="21">
        <f t="shared" si="39"/>
        <v>2404563.6540434114</v>
      </c>
    </row>
    <row r="144" spans="1:26" x14ac:dyDescent="0.25">
      <c r="A144" s="257"/>
      <c r="B144" s="11" t="s">
        <v>190</v>
      </c>
      <c r="C144" s="83"/>
      <c r="D144" s="2"/>
      <c r="E144" s="2"/>
      <c r="F144" s="84"/>
      <c r="G144" s="84"/>
      <c r="H144" s="2"/>
      <c r="I144" s="85"/>
      <c r="J144" s="2"/>
      <c r="K144" s="2"/>
      <c r="L144" s="77"/>
      <c r="M144" s="77">
        <v>2821700</v>
      </c>
      <c r="N144" s="21"/>
      <c r="O144" s="86">
        <f t="shared" si="34"/>
        <v>2726366.2712845285</v>
      </c>
      <c r="P144" s="21"/>
      <c r="Q144" s="39">
        <f t="shared" si="35"/>
        <v>129264.06356422644</v>
      </c>
      <c r="R144" s="78">
        <f t="shared" si="36"/>
        <v>2597102.207720302</v>
      </c>
      <c r="S144" s="2"/>
      <c r="T144" s="78">
        <f t="shared" si="37"/>
        <v>129855.11038601511</v>
      </c>
      <c r="U144" s="78"/>
      <c r="V144" s="78"/>
      <c r="W144" s="78">
        <v>2467247.0973342871</v>
      </c>
      <c r="X144" s="2"/>
      <c r="Y144" s="78">
        <f t="shared" si="38"/>
        <v>123362.35486671436</v>
      </c>
      <c r="Z144" s="21">
        <f t="shared" si="39"/>
        <v>2343884.7424675729</v>
      </c>
    </row>
    <row r="145" spans="1:26" x14ac:dyDescent="0.25">
      <c r="A145" s="257"/>
      <c r="B145" s="6" t="s">
        <v>161</v>
      </c>
      <c r="C145" s="76"/>
      <c r="D145" s="3"/>
      <c r="E145" s="77"/>
      <c r="F145" s="77"/>
      <c r="G145" s="77"/>
      <c r="H145" s="2"/>
      <c r="I145" s="21"/>
      <c r="J145" s="2"/>
      <c r="K145" s="2"/>
      <c r="L145" s="74"/>
      <c r="M145" s="62">
        <v>150364909.19999999</v>
      </c>
      <c r="N145" s="62">
        <v>93407714.211235315</v>
      </c>
      <c r="O145" s="87">
        <f>L145+M145-N145</f>
        <v>56957194.988764673</v>
      </c>
      <c r="P145" s="23"/>
      <c r="Q145" s="23">
        <v>33394854.0622596</v>
      </c>
      <c r="R145" s="74">
        <f>O145+P145-Q145</f>
        <v>23562340.926505074</v>
      </c>
      <c r="S145" s="17"/>
      <c r="T145" s="74">
        <v>23562340.926505074</v>
      </c>
      <c r="U145" s="74"/>
      <c r="V145" s="74"/>
      <c r="W145" s="74">
        <f t="shared" ref="W145" si="40">R145+S145-T145</f>
        <v>0</v>
      </c>
      <c r="X145" s="2"/>
      <c r="Y145" s="78">
        <f t="shared" ref="Y145:Y166" si="41">X81</f>
        <v>0</v>
      </c>
      <c r="Z145" s="21">
        <f t="shared" ref="Z145:Z147" si="42">W145+X145-Y145</f>
        <v>0</v>
      </c>
    </row>
    <row r="146" spans="1:26" x14ac:dyDescent="0.25">
      <c r="A146" s="257"/>
      <c r="B146" s="6" t="s">
        <v>162</v>
      </c>
      <c r="C146" s="83"/>
      <c r="D146" s="2"/>
      <c r="E146" s="2"/>
      <c r="F146" s="84"/>
      <c r="G146" s="84"/>
      <c r="H146" s="2"/>
      <c r="I146" s="85"/>
      <c r="J146" s="2"/>
      <c r="K146" s="2"/>
      <c r="L146" s="74">
        <f>SUM(L147:L152)</f>
        <v>25875749.28048557</v>
      </c>
      <c r="M146" s="74">
        <f>SUM(M147:M152)</f>
        <v>297665</v>
      </c>
      <c r="N146" s="74">
        <f>SUM(N147:N152)</f>
        <v>0</v>
      </c>
      <c r="O146" s="74">
        <f>SUM(O147:O169)</f>
        <v>24039262.900519677</v>
      </c>
      <c r="P146" s="74">
        <f>SUM(P147:P169)</f>
        <v>9116328</v>
      </c>
      <c r="Q146" s="74">
        <f>SUM(Q147:Q169)</f>
        <v>2717911.7450513714</v>
      </c>
      <c r="R146" s="74">
        <f>SUM(R147:R191)-61</f>
        <v>30437618.1554683</v>
      </c>
      <c r="S146" s="74">
        <f>SUM(S147:S191)</f>
        <v>6307874</v>
      </c>
      <c r="T146" s="74">
        <f>SUM(T147:T191)</f>
        <v>3426613.6322134985</v>
      </c>
      <c r="U146" s="74"/>
      <c r="V146" s="74"/>
      <c r="W146" s="74">
        <f>SUM(W147:W191)+1</f>
        <v>33318879.523254808</v>
      </c>
      <c r="X146" s="74">
        <f t="shared" ref="X146:Z146" si="43">SUM(X147:X191)+1</f>
        <v>7909344.0277777798</v>
      </c>
      <c r="Y146" s="74">
        <f t="shared" si="43"/>
        <v>3443318.7973868428</v>
      </c>
      <c r="Z146" s="74">
        <f t="shared" si="43"/>
        <v>37784904.753645748</v>
      </c>
    </row>
    <row r="147" spans="1:26" x14ac:dyDescent="0.25">
      <c r="A147" s="257"/>
      <c r="B147" s="1" t="s">
        <v>191</v>
      </c>
      <c r="C147" s="83"/>
      <c r="D147" s="2"/>
      <c r="E147" s="2"/>
      <c r="F147" s="84"/>
      <c r="G147" s="84"/>
      <c r="H147" s="2"/>
      <c r="I147" s="85"/>
      <c r="J147" s="2"/>
      <c r="K147" s="2"/>
      <c r="L147" s="78">
        <v>17908636.682978168</v>
      </c>
      <c r="M147" s="2"/>
      <c r="N147" s="79"/>
      <c r="O147" s="21">
        <v>16224811.014680352</v>
      </c>
      <c r="P147" s="21"/>
      <c r="Q147" s="21">
        <f>P83</f>
        <v>1349319.8898007718</v>
      </c>
      <c r="R147" s="78">
        <f>O147+P147-Q147-Q20</f>
        <v>14875491.12487958</v>
      </c>
      <c r="S147" s="2"/>
      <c r="T147" s="78">
        <f>S83</f>
        <v>1487549.112487958</v>
      </c>
      <c r="U147" s="78"/>
      <c r="V147" s="78"/>
      <c r="W147" s="78">
        <v>13387881.012391621</v>
      </c>
      <c r="X147" s="78">
        <v>2255842.3425018271</v>
      </c>
      <c r="Y147" s="78">
        <f>X83</f>
        <v>1338788.1012391623</v>
      </c>
      <c r="Z147" s="21">
        <f t="shared" si="42"/>
        <v>14304935.253654286</v>
      </c>
    </row>
    <row r="148" spans="1:26" x14ac:dyDescent="0.25">
      <c r="A148" s="257"/>
      <c r="B148" s="1" t="s">
        <v>192</v>
      </c>
      <c r="C148" s="83"/>
      <c r="D148" s="2"/>
      <c r="E148" s="2"/>
      <c r="F148" s="84"/>
      <c r="G148" s="84"/>
      <c r="H148" s="2"/>
      <c r="I148" s="85"/>
      <c r="J148" s="2"/>
      <c r="K148" s="2"/>
      <c r="L148" s="78">
        <v>5749592.9875074048</v>
      </c>
      <c r="M148" s="2"/>
      <c r="N148" s="79"/>
      <c r="O148" s="21">
        <v>5174633.6887566643</v>
      </c>
      <c r="P148" s="21"/>
      <c r="Q148" s="21">
        <f>P84</f>
        <v>517463.36887566646</v>
      </c>
      <c r="R148" s="78">
        <f t="shared" ref="R148:R155" si="44">O148+P148-Q148</f>
        <v>4657170.3198809978</v>
      </c>
      <c r="S148" s="2"/>
      <c r="T148" s="78">
        <f>S84</f>
        <v>465717.0319880998</v>
      </c>
      <c r="U148" s="78"/>
      <c r="V148" s="78"/>
      <c r="W148" s="78">
        <v>4191453.2878928981</v>
      </c>
      <c r="X148" s="78">
        <v>724242.82340297708</v>
      </c>
      <c r="Y148" s="78">
        <f t="shared" ref="Y148:Y165" si="45">X84</f>
        <v>419145.32878928981</v>
      </c>
      <c r="Z148" s="21">
        <f t="shared" ref="Z148:Z189" si="46">W148+X148-Y148</f>
        <v>4496550.7825065851</v>
      </c>
    </row>
    <row r="149" spans="1:26" x14ac:dyDescent="0.25">
      <c r="A149" s="257"/>
      <c r="B149" s="1" t="s">
        <v>193</v>
      </c>
      <c r="C149" s="83"/>
      <c r="D149" s="2"/>
      <c r="E149" s="2"/>
      <c r="F149" s="84"/>
      <c r="G149" s="84"/>
      <c r="H149" s="2"/>
      <c r="I149" s="85"/>
      <c r="J149" s="2"/>
      <c r="K149" s="2"/>
      <c r="L149" s="78">
        <v>912519.61</v>
      </c>
      <c r="M149" s="2"/>
      <c r="N149" s="21"/>
      <c r="O149" s="21">
        <v>821267.64899999998</v>
      </c>
      <c r="P149" s="21"/>
      <c r="Q149" s="21">
        <f>P85</f>
        <v>82126.764900000009</v>
      </c>
      <c r="R149" s="78">
        <f t="shared" si="44"/>
        <v>739140.88409999991</v>
      </c>
      <c r="S149" s="2"/>
      <c r="T149" s="78">
        <f>S85</f>
        <v>73914.088409999997</v>
      </c>
      <c r="U149" s="78"/>
      <c r="V149" s="78"/>
      <c r="W149" s="78">
        <v>665226.79568999994</v>
      </c>
      <c r="X149" s="78">
        <v>114944.79351720067</v>
      </c>
      <c r="Y149" s="78">
        <f t="shared" si="45"/>
        <v>66522.679569</v>
      </c>
      <c r="Z149" s="21">
        <f t="shared" si="46"/>
        <v>713648.90963820054</v>
      </c>
    </row>
    <row r="150" spans="1:26" x14ac:dyDescent="0.25">
      <c r="A150" s="257">
        <v>4</v>
      </c>
      <c r="B150" s="1" t="s">
        <v>195</v>
      </c>
      <c r="C150" s="83">
        <v>7352525.0000096224</v>
      </c>
      <c r="D150" s="3"/>
      <c r="E150" s="3">
        <v>367626.25000048114</v>
      </c>
      <c r="F150" s="84">
        <f>C150+D150-E150</f>
        <v>6984898.7500091409</v>
      </c>
      <c r="G150" s="84"/>
      <c r="H150" s="21">
        <f>H21</f>
        <v>698489.87500091409</v>
      </c>
      <c r="I150" s="85">
        <v>6286408.8750082273</v>
      </c>
      <c r="J150" s="21">
        <v>91825</v>
      </c>
      <c r="K150" s="21">
        <v>628640.88750082278</v>
      </c>
      <c r="L150" s="78">
        <v>1305000</v>
      </c>
      <c r="M150" s="2"/>
      <c r="N150" s="21"/>
      <c r="O150" s="21">
        <v>1174500</v>
      </c>
      <c r="P150" s="21"/>
      <c r="Q150" s="21">
        <f t="shared" ref="Q150:Q159" si="47">P86</f>
        <v>117450</v>
      </c>
      <c r="R150" s="78">
        <f t="shared" si="44"/>
        <v>1057050</v>
      </c>
      <c r="S150" s="2"/>
      <c r="T150" s="78">
        <f>S103</f>
        <v>105705</v>
      </c>
      <c r="U150" s="78"/>
      <c r="V150" s="78"/>
      <c r="W150" s="78">
        <v>951345</v>
      </c>
      <c r="X150" s="78">
        <v>164383.26792774003</v>
      </c>
      <c r="Y150" s="78">
        <f t="shared" si="45"/>
        <v>95134.5</v>
      </c>
      <c r="Z150" s="21">
        <f t="shared" si="46"/>
        <v>1020593.76792774</v>
      </c>
    </row>
    <row r="151" spans="1:26" x14ac:dyDescent="0.25">
      <c r="A151" s="257">
        <v>5</v>
      </c>
      <c r="B151" s="2" t="s">
        <v>196</v>
      </c>
      <c r="C151" s="83"/>
      <c r="D151" s="3">
        <f>D22</f>
        <v>520981</v>
      </c>
      <c r="E151" s="3"/>
      <c r="F151" s="84">
        <f>C151+D151-E151</f>
        <v>520981</v>
      </c>
      <c r="G151" s="84"/>
      <c r="H151" s="21">
        <f>H22</f>
        <v>52098.100000000006</v>
      </c>
      <c r="I151" s="85">
        <v>468882.9</v>
      </c>
      <c r="J151" s="21">
        <v>490525</v>
      </c>
      <c r="K151" s="21">
        <v>46888.290000000008</v>
      </c>
      <c r="L151" s="88"/>
      <c r="M151" s="21">
        <v>177665</v>
      </c>
      <c r="N151" s="21"/>
      <c r="O151" s="21">
        <v>71066</v>
      </c>
      <c r="P151" s="21"/>
      <c r="Q151" s="21">
        <f t="shared" si="47"/>
        <v>7106.6</v>
      </c>
      <c r="R151" s="78">
        <f t="shared" si="44"/>
        <v>63959.4</v>
      </c>
      <c r="S151" s="2"/>
      <c r="T151" s="78">
        <f>S104</f>
        <v>6395.9400000000005</v>
      </c>
      <c r="U151" s="78"/>
      <c r="V151" s="78"/>
      <c r="W151" s="78">
        <v>57563.46</v>
      </c>
      <c r="X151" s="78">
        <v>13535.018136636781</v>
      </c>
      <c r="Y151" s="78">
        <f t="shared" si="45"/>
        <v>5756.3460000000005</v>
      </c>
      <c r="Z151" s="21">
        <f t="shared" si="46"/>
        <v>65342.132136636785</v>
      </c>
    </row>
    <row r="152" spans="1:26" x14ac:dyDescent="0.25">
      <c r="A152" s="257">
        <v>6</v>
      </c>
      <c r="B152" s="2" t="s">
        <v>197</v>
      </c>
      <c r="C152" s="83">
        <v>362392.6729670671</v>
      </c>
      <c r="D152" s="3"/>
      <c r="E152" s="3">
        <v>11611</v>
      </c>
      <c r="F152" s="84">
        <f>C152+D152-E152</f>
        <v>350781.6729670671</v>
      </c>
      <c r="G152" s="84">
        <v>122334</v>
      </c>
      <c r="H152" s="21">
        <f>H42</f>
        <v>35078.167296706713</v>
      </c>
      <c r="I152" s="85">
        <v>438037.50567036041</v>
      </c>
      <c r="J152" s="21"/>
      <c r="K152" s="21">
        <v>87607.501134072081</v>
      </c>
      <c r="L152" s="88"/>
      <c r="M152" s="21">
        <v>120000</v>
      </c>
      <c r="N152" s="21"/>
      <c r="O152" s="21">
        <v>48000</v>
      </c>
      <c r="P152" s="21"/>
      <c r="Q152" s="21">
        <f t="shared" si="47"/>
        <v>4800</v>
      </c>
      <c r="R152" s="78">
        <f t="shared" si="44"/>
        <v>43200</v>
      </c>
      <c r="S152" s="2"/>
      <c r="T152" s="78">
        <f t="shared" ref="T152:T159" si="48">S86</f>
        <v>4320</v>
      </c>
      <c r="U152" s="78"/>
      <c r="V152" s="78"/>
      <c r="W152" s="78">
        <v>38880</v>
      </c>
      <c r="X152" s="78">
        <v>9141.9366582974362</v>
      </c>
      <c r="Y152" s="78">
        <f t="shared" si="45"/>
        <v>3888</v>
      </c>
      <c r="Z152" s="21">
        <f t="shared" si="46"/>
        <v>44133.936658297433</v>
      </c>
    </row>
    <row r="153" spans="1:26" x14ac:dyDescent="0.25">
      <c r="A153" s="257"/>
      <c r="B153" s="2" t="s">
        <v>38</v>
      </c>
      <c r="C153" s="83"/>
      <c r="D153" s="3"/>
      <c r="E153" s="3"/>
      <c r="F153" s="84"/>
      <c r="G153" s="84"/>
      <c r="H153" s="21"/>
      <c r="I153" s="85"/>
      <c r="J153" s="21"/>
      <c r="K153" s="21"/>
      <c r="L153" s="88"/>
      <c r="M153" s="21"/>
      <c r="N153" s="21"/>
      <c r="O153" s="21"/>
      <c r="P153" s="21">
        <f>P26</f>
        <v>6920500</v>
      </c>
      <c r="Q153" s="21">
        <f t="shared" si="47"/>
        <v>451501.66666666698</v>
      </c>
      <c r="R153" s="78">
        <f t="shared" si="44"/>
        <v>6468998.333333333</v>
      </c>
      <c r="S153" s="2"/>
      <c r="T153" s="78">
        <f t="shared" si="48"/>
        <v>646899.83333333337</v>
      </c>
      <c r="U153" s="78"/>
      <c r="V153" s="78"/>
      <c r="W153" s="78">
        <v>5822098.5</v>
      </c>
      <c r="X153" s="78">
        <v>527223.10536456166</v>
      </c>
      <c r="Y153" s="78">
        <f t="shared" si="45"/>
        <v>582209.85</v>
      </c>
      <c r="Z153" s="21">
        <f t="shared" si="46"/>
        <v>5767111.7553645624</v>
      </c>
    </row>
    <row r="154" spans="1:26" x14ac:dyDescent="0.25">
      <c r="A154" s="257"/>
      <c r="B154" s="2" t="s">
        <v>181</v>
      </c>
      <c r="C154" s="83"/>
      <c r="D154" s="3"/>
      <c r="E154" s="3"/>
      <c r="F154" s="84"/>
      <c r="G154" s="84"/>
      <c r="H154" s="21"/>
      <c r="I154" s="85"/>
      <c r="J154" s="21"/>
      <c r="K154" s="21"/>
      <c r="L154" s="88"/>
      <c r="M154" s="21"/>
      <c r="N154" s="21"/>
      <c r="O154" s="21"/>
      <c r="P154" s="21">
        <f>P27</f>
        <v>800000</v>
      </c>
      <c r="Q154" s="21">
        <f t="shared" si="47"/>
        <v>73333.333333333343</v>
      </c>
      <c r="R154" s="78">
        <f t="shared" si="44"/>
        <v>726666.66666666663</v>
      </c>
      <c r="S154" s="2"/>
      <c r="T154" s="78">
        <f t="shared" si="48"/>
        <v>72666.666666666672</v>
      </c>
      <c r="U154" s="78"/>
      <c r="V154" s="78"/>
      <c r="W154" s="78">
        <v>654000</v>
      </c>
      <c r="X154" s="78">
        <v>60946.244388649568</v>
      </c>
      <c r="Y154" s="78">
        <f t="shared" si="45"/>
        <v>65400</v>
      </c>
      <c r="Z154" s="21">
        <f t="shared" si="46"/>
        <v>649546.24438864959</v>
      </c>
    </row>
    <row r="155" spans="1:26" x14ac:dyDescent="0.25">
      <c r="A155" s="257"/>
      <c r="B155" s="2" t="s">
        <v>172</v>
      </c>
      <c r="C155" s="83"/>
      <c r="D155" s="3"/>
      <c r="E155" s="3"/>
      <c r="F155" s="84"/>
      <c r="G155" s="84"/>
      <c r="H155" s="21"/>
      <c r="I155" s="85"/>
      <c r="J155" s="21"/>
      <c r="K155" s="21"/>
      <c r="L155" s="88"/>
      <c r="M155" s="21"/>
      <c r="N155" s="21"/>
      <c r="O155" s="21"/>
      <c r="P155" s="21">
        <f>P28</f>
        <v>867408</v>
      </c>
      <c r="Q155" s="21">
        <f t="shared" si="47"/>
        <v>36142</v>
      </c>
      <c r="R155" s="78">
        <f t="shared" si="44"/>
        <v>831266</v>
      </c>
      <c r="S155" s="2"/>
      <c r="T155" s="78">
        <f t="shared" si="48"/>
        <v>83126.600000000006</v>
      </c>
      <c r="U155" s="78"/>
      <c r="V155" s="78"/>
      <c r="W155" s="78">
        <v>748139.4</v>
      </c>
      <c r="X155" s="78">
        <v>66081.574940837178</v>
      </c>
      <c r="Y155" s="78">
        <f t="shared" si="45"/>
        <v>74813.94</v>
      </c>
      <c r="Z155" s="21">
        <f t="shared" si="46"/>
        <v>739407.03494083718</v>
      </c>
    </row>
    <row r="156" spans="1:26" x14ac:dyDescent="0.25">
      <c r="A156" s="257"/>
      <c r="B156" s="2" t="s">
        <v>172</v>
      </c>
      <c r="C156" s="83"/>
      <c r="D156" s="3"/>
      <c r="E156" s="3"/>
      <c r="F156" s="84"/>
      <c r="G156" s="84"/>
      <c r="H156" s="21"/>
      <c r="I156" s="85"/>
      <c r="J156" s="21"/>
      <c r="K156" s="21"/>
      <c r="L156" s="88"/>
      <c r="M156" s="21"/>
      <c r="N156" s="21"/>
      <c r="O156" s="21"/>
      <c r="P156" s="21">
        <f>P29</f>
        <v>200000</v>
      </c>
      <c r="Q156" s="21">
        <f t="shared" si="47"/>
        <v>6666.6666666666679</v>
      </c>
      <c r="R156" s="78">
        <f t="shared" ref="R156:R159" si="49">O156+P156-Q156</f>
        <v>193333.33333333334</v>
      </c>
      <c r="S156" s="2"/>
      <c r="T156" s="78">
        <f t="shared" si="48"/>
        <v>19333.333333333336</v>
      </c>
      <c r="U156" s="78"/>
      <c r="V156" s="78"/>
      <c r="W156" s="78">
        <v>174000</v>
      </c>
      <c r="X156" s="78">
        <v>15236.561097162392</v>
      </c>
      <c r="Y156" s="78">
        <f t="shared" si="45"/>
        <v>17400</v>
      </c>
      <c r="Z156" s="21">
        <f t="shared" si="46"/>
        <v>171836.5610971624</v>
      </c>
    </row>
    <row r="157" spans="1:26" x14ac:dyDescent="0.25">
      <c r="A157" s="257"/>
      <c r="B157" s="2" t="s">
        <v>173</v>
      </c>
      <c r="C157" s="83"/>
      <c r="D157" s="3"/>
      <c r="E157" s="3"/>
      <c r="F157" s="84"/>
      <c r="G157" s="84"/>
      <c r="H157" s="21"/>
      <c r="I157" s="85"/>
      <c r="J157" s="21"/>
      <c r="K157" s="21"/>
      <c r="L157" s="88"/>
      <c r="M157" s="21"/>
      <c r="N157" s="21"/>
      <c r="O157" s="21"/>
      <c r="P157" s="21">
        <v>20000</v>
      </c>
      <c r="Q157" s="21">
        <f t="shared" si="47"/>
        <v>1000</v>
      </c>
      <c r="R157" s="78">
        <f t="shared" si="49"/>
        <v>19000</v>
      </c>
      <c r="S157" s="2"/>
      <c r="T157" s="78">
        <f t="shared" si="48"/>
        <v>1900</v>
      </c>
      <c r="U157" s="78"/>
      <c r="V157" s="78"/>
      <c r="W157" s="78">
        <v>17100</v>
      </c>
      <c r="X157" s="78">
        <v>1523.6561097162391</v>
      </c>
      <c r="Y157" s="78">
        <f t="shared" si="45"/>
        <v>1710</v>
      </c>
      <c r="Z157" s="21">
        <f t="shared" si="46"/>
        <v>16913.656109716238</v>
      </c>
    </row>
    <row r="158" spans="1:26" x14ac:dyDescent="0.25">
      <c r="A158" s="257"/>
      <c r="B158" s="2" t="s">
        <v>174</v>
      </c>
      <c r="C158" s="83"/>
      <c r="D158" s="3"/>
      <c r="E158" s="3"/>
      <c r="F158" s="84"/>
      <c r="G158" s="84"/>
      <c r="H158" s="21"/>
      <c r="I158" s="85"/>
      <c r="J158" s="21"/>
      <c r="K158" s="21"/>
      <c r="L158" s="88"/>
      <c r="M158" s="21"/>
      <c r="N158" s="21"/>
      <c r="O158" s="21"/>
      <c r="P158" s="21">
        <v>77500</v>
      </c>
      <c r="Q158" s="21">
        <f t="shared" si="47"/>
        <v>3875</v>
      </c>
      <c r="R158" s="78">
        <f t="shared" si="49"/>
        <v>73625</v>
      </c>
      <c r="S158" s="2"/>
      <c r="T158" s="78">
        <f t="shared" si="48"/>
        <v>7362.5</v>
      </c>
      <c r="U158" s="78"/>
      <c r="V158" s="78"/>
      <c r="W158" s="78">
        <v>66262.5</v>
      </c>
      <c r="X158" s="78">
        <v>5904.1674251504273</v>
      </c>
      <c r="Y158" s="78">
        <f t="shared" si="45"/>
        <v>6626.25</v>
      </c>
      <c r="Z158" s="21">
        <f t="shared" si="46"/>
        <v>65540.41742515043</v>
      </c>
    </row>
    <row r="159" spans="1:26" x14ac:dyDescent="0.25">
      <c r="A159" s="257"/>
      <c r="B159" s="2" t="s">
        <v>175</v>
      </c>
      <c r="C159" s="83"/>
      <c r="D159" s="3"/>
      <c r="E159" s="3"/>
      <c r="F159" s="84"/>
      <c r="G159" s="84"/>
      <c r="H159" s="21"/>
      <c r="I159" s="85"/>
      <c r="J159" s="21"/>
      <c r="K159" s="21"/>
      <c r="L159" s="88"/>
      <c r="M159" s="21"/>
      <c r="N159" s="21"/>
      <c r="O159" s="21"/>
      <c r="P159" s="21">
        <v>46000</v>
      </c>
      <c r="Q159" s="21">
        <f t="shared" si="47"/>
        <v>2300</v>
      </c>
      <c r="R159" s="78">
        <f t="shared" si="49"/>
        <v>43700</v>
      </c>
      <c r="S159" s="2"/>
      <c r="T159" s="78">
        <f t="shared" si="48"/>
        <v>4370</v>
      </c>
      <c r="U159" s="78"/>
      <c r="V159" s="78"/>
      <c r="W159" s="78">
        <v>39330</v>
      </c>
      <c r="X159" s="78">
        <v>3504.4090523473501</v>
      </c>
      <c r="Y159" s="78">
        <f t="shared" si="45"/>
        <v>3933</v>
      </c>
      <c r="Z159" s="21">
        <f t="shared" si="46"/>
        <v>38901.40905234735</v>
      </c>
    </row>
    <row r="160" spans="1:26" x14ac:dyDescent="0.25">
      <c r="A160" s="258" t="s">
        <v>1</v>
      </c>
      <c r="B160" s="45" t="s">
        <v>8</v>
      </c>
      <c r="C160" s="83"/>
      <c r="D160" s="3"/>
      <c r="E160" s="3"/>
      <c r="F160" s="84"/>
      <c r="G160" s="84"/>
      <c r="H160" s="21"/>
      <c r="I160" s="85"/>
      <c r="J160" s="21"/>
      <c r="K160" s="21"/>
      <c r="L160" s="88"/>
      <c r="M160" s="21"/>
      <c r="N160" s="21"/>
      <c r="O160" s="21"/>
      <c r="P160" s="21"/>
      <c r="Q160" s="21"/>
      <c r="R160" s="78"/>
      <c r="S160" s="45">
        <v>449295</v>
      </c>
      <c r="T160" s="78">
        <f t="shared" ref="T160:T165" si="50">S96</f>
        <v>41185.375</v>
      </c>
      <c r="U160" s="78"/>
      <c r="V160" s="78"/>
      <c r="W160" s="78">
        <v>408109.625</v>
      </c>
      <c r="X160" s="78">
        <v>34228.553590747884</v>
      </c>
      <c r="Y160" s="78">
        <f t="shared" si="45"/>
        <v>40810.962500000001</v>
      </c>
      <c r="Z160" s="21">
        <f t="shared" si="46"/>
        <v>401527.21609074785</v>
      </c>
    </row>
    <row r="161" spans="1:26" x14ac:dyDescent="0.25">
      <c r="A161" s="258" t="s">
        <v>1</v>
      </c>
      <c r="B161" s="45" t="s">
        <v>8</v>
      </c>
      <c r="C161" s="83"/>
      <c r="D161" s="3"/>
      <c r="E161" s="3"/>
      <c r="F161" s="84"/>
      <c r="G161" s="84"/>
      <c r="H161" s="21"/>
      <c r="I161" s="85"/>
      <c r="J161" s="21"/>
      <c r="K161" s="21"/>
      <c r="L161" s="88"/>
      <c r="M161" s="21"/>
      <c r="N161" s="21"/>
      <c r="O161" s="21"/>
      <c r="P161" s="21"/>
      <c r="Q161" s="21"/>
      <c r="R161" s="78"/>
      <c r="S161" s="45">
        <v>449295</v>
      </c>
      <c r="T161" s="78">
        <f t="shared" si="50"/>
        <v>41185.375</v>
      </c>
      <c r="U161" s="78"/>
      <c r="V161" s="78"/>
      <c r="W161" s="78">
        <v>408109.625</v>
      </c>
      <c r="X161" s="78">
        <v>34228.553590747884</v>
      </c>
      <c r="Y161" s="78">
        <f t="shared" si="45"/>
        <v>40810.962500000001</v>
      </c>
      <c r="Z161" s="21">
        <f t="shared" si="46"/>
        <v>401527.21609074785</v>
      </c>
    </row>
    <row r="162" spans="1:26" x14ac:dyDescent="0.25">
      <c r="A162" s="258" t="s">
        <v>9</v>
      </c>
      <c r="B162" s="45" t="s">
        <v>199</v>
      </c>
      <c r="C162" s="83"/>
      <c r="D162" s="3"/>
      <c r="E162" s="3"/>
      <c r="F162" s="84"/>
      <c r="G162" s="84"/>
      <c r="H162" s="21"/>
      <c r="I162" s="85"/>
      <c r="J162" s="21"/>
      <c r="K162" s="21"/>
      <c r="L162" s="88"/>
      <c r="M162" s="21"/>
      <c r="N162" s="21"/>
      <c r="O162" s="21"/>
      <c r="P162" s="21"/>
      <c r="Q162" s="21"/>
      <c r="R162" s="78"/>
      <c r="S162" s="45">
        <v>1518160.0000000002</v>
      </c>
      <c r="T162" s="78">
        <f t="shared" si="50"/>
        <v>126513.33333333336</v>
      </c>
      <c r="U162" s="78"/>
      <c r="V162" s="78"/>
      <c r="W162" s="78">
        <v>1391646.666666667</v>
      </c>
      <c r="X162" s="78">
        <v>115657.68797634031</v>
      </c>
      <c r="Y162" s="78">
        <f t="shared" si="45"/>
        <v>139164.66666666672</v>
      </c>
      <c r="Z162" s="21">
        <f t="shared" si="46"/>
        <v>1368139.6879763405</v>
      </c>
    </row>
    <row r="163" spans="1:26" x14ac:dyDescent="0.25">
      <c r="A163" s="258" t="s">
        <v>12</v>
      </c>
      <c r="B163" s="45" t="s">
        <v>200</v>
      </c>
      <c r="C163" s="83"/>
      <c r="D163" s="3"/>
      <c r="E163" s="3"/>
      <c r="F163" s="84"/>
      <c r="G163" s="84"/>
      <c r="H163" s="21"/>
      <c r="I163" s="85"/>
      <c r="J163" s="21"/>
      <c r="K163" s="21"/>
      <c r="L163" s="88"/>
      <c r="M163" s="21"/>
      <c r="N163" s="21"/>
      <c r="O163" s="21"/>
      <c r="P163" s="21"/>
      <c r="Q163" s="21"/>
      <c r="R163" s="78"/>
      <c r="S163" s="45">
        <v>192400</v>
      </c>
      <c r="T163" s="78">
        <f t="shared" si="50"/>
        <v>16033.333333333334</v>
      </c>
      <c r="U163" s="78"/>
      <c r="V163" s="78"/>
      <c r="W163" s="78">
        <v>176366.66666666666</v>
      </c>
      <c r="X163" s="78">
        <v>14657.571775470222</v>
      </c>
      <c r="Y163" s="78">
        <f t="shared" si="45"/>
        <v>17636.666666666668</v>
      </c>
      <c r="Z163" s="21">
        <f t="shared" si="46"/>
        <v>173387.57177547022</v>
      </c>
    </row>
    <row r="164" spans="1:26" x14ac:dyDescent="0.25">
      <c r="A164" s="258" t="s">
        <v>36</v>
      </c>
      <c r="B164" s="45" t="s">
        <v>199</v>
      </c>
      <c r="C164" s="83"/>
      <c r="D164" s="3"/>
      <c r="E164" s="3"/>
      <c r="F164" s="84"/>
      <c r="G164" s="84"/>
      <c r="H164" s="21"/>
      <c r="I164" s="85"/>
      <c r="J164" s="21"/>
      <c r="K164" s="21"/>
      <c r="L164" s="88"/>
      <c r="M164" s="21"/>
      <c r="N164" s="21"/>
      <c r="O164" s="21"/>
      <c r="P164" s="21"/>
      <c r="Q164" s="21"/>
      <c r="R164" s="78"/>
      <c r="S164" s="45">
        <v>663000</v>
      </c>
      <c r="T164" s="78">
        <f t="shared" si="50"/>
        <v>27625</v>
      </c>
      <c r="U164" s="78"/>
      <c r="V164" s="78"/>
      <c r="W164" s="78">
        <v>635375</v>
      </c>
      <c r="X164" s="78">
        <v>50509.200037093331</v>
      </c>
      <c r="Y164" s="78">
        <f t="shared" si="45"/>
        <v>63537.5</v>
      </c>
      <c r="Z164" s="21">
        <f t="shared" si="46"/>
        <v>622346.70003709337</v>
      </c>
    </row>
    <row r="165" spans="1:26" x14ac:dyDescent="0.25">
      <c r="A165" s="259" t="s">
        <v>37</v>
      </c>
      <c r="B165" s="45" t="s">
        <v>200</v>
      </c>
      <c r="C165" s="83"/>
      <c r="D165" s="3"/>
      <c r="E165" s="3"/>
      <c r="F165" s="84"/>
      <c r="G165" s="84"/>
      <c r="H165" s="21"/>
      <c r="I165" s="85"/>
      <c r="J165" s="21"/>
      <c r="K165" s="21"/>
      <c r="L165" s="88"/>
      <c r="M165" s="21"/>
      <c r="N165" s="21"/>
      <c r="O165" s="21"/>
      <c r="P165" s="21"/>
      <c r="Q165" s="21"/>
      <c r="R165" s="78"/>
      <c r="S165" s="45">
        <v>2453474</v>
      </c>
      <c r="T165" s="78">
        <f t="shared" si="50"/>
        <v>81782.466666666674</v>
      </c>
      <c r="U165" s="78"/>
      <c r="V165" s="78"/>
      <c r="W165" s="78">
        <v>2371691.5333333332</v>
      </c>
      <c r="X165" s="78">
        <v>186912.53250649702</v>
      </c>
      <c r="Y165" s="78">
        <f t="shared" si="45"/>
        <v>237169.15333333332</v>
      </c>
      <c r="Z165" s="21">
        <f t="shared" si="46"/>
        <v>2321434.912506497</v>
      </c>
    </row>
    <row r="166" spans="1:26" x14ac:dyDescent="0.25">
      <c r="A166" s="259"/>
      <c r="B166" s="45"/>
      <c r="C166" s="83"/>
      <c r="D166" s="3"/>
      <c r="E166" s="3"/>
      <c r="F166" s="84"/>
      <c r="G166" s="84"/>
      <c r="H166" s="21"/>
      <c r="I166" s="85"/>
      <c r="J166" s="21"/>
      <c r="K166" s="21"/>
      <c r="L166" s="88"/>
      <c r="M166" s="21"/>
      <c r="N166" s="21"/>
      <c r="O166" s="21"/>
      <c r="P166" s="21"/>
      <c r="Q166" s="21"/>
      <c r="R166" s="78"/>
      <c r="S166" s="45"/>
      <c r="T166" s="78"/>
      <c r="U166" s="78"/>
      <c r="V166" s="78"/>
      <c r="W166" s="78"/>
      <c r="X166" s="78">
        <v>0</v>
      </c>
      <c r="Y166" s="78">
        <f t="shared" si="41"/>
        <v>0</v>
      </c>
      <c r="Z166" s="21">
        <f t="shared" si="46"/>
        <v>0</v>
      </c>
    </row>
    <row r="167" spans="1:26" x14ac:dyDescent="0.25">
      <c r="A167" s="257"/>
      <c r="B167" s="1" t="s">
        <v>204</v>
      </c>
      <c r="C167" s="83"/>
      <c r="D167" s="2"/>
      <c r="E167" s="2"/>
      <c r="F167" s="84"/>
      <c r="G167" s="84"/>
      <c r="H167" s="2"/>
      <c r="I167" s="85"/>
      <c r="J167" s="2"/>
      <c r="K167" s="2"/>
      <c r="L167" s="78">
        <v>350430.00453628827</v>
      </c>
      <c r="M167" s="2"/>
      <c r="N167" s="79"/>
      <c r="O167" s="21">
        <v>315387.00408265943</v>
      </c>
      <c r="P167" s="21"/>
      <c r="Q167" s="21">
        <f>P103</f>
        <v>31538.700408265944</v>
      </c>
      <c r="R167" s="78">
        <f>O167+P167-Q167</f>
        <v>283848.30367439351</v>
      </c>
      <c r="S167" s="2"/>
      <c r="T167" s="78">
        <f>S94</f>
        <v>28384.830367439354</v>
      </c>
      <c r="U167" s="78"/>
      <c r="V167" s="78"/>
      <c r="W167" s="78">
        <v>255463.47330695414</v>
      </c>
      <c r="X167" s="78">
        <v>0</v>
      </c>
      <c r="Y167" s="78">
        <f>X103</f>
        <v>51092.694661390829</v>
      </c>
      <c r="Z167" s="21">
        <f t="shared" si="46"/>
        <v>204370.77864556332</v>
      </c>
    </row>
    <row r="168" spans="1:26" x14ac:dyDescent="0.25">
      <c r="A168" s="257">
        <v>3</v>
      </c>
      <c r="B168" s="1" t="s">
        <v>194</v>
      </c>
      <c r="C168" s="83">
        <v>21395097.003676753</v>
      </c>
      <c r="D168" s="3">
        <f>D20</f>
        <v>1798373</v>
      </c>
      <c r="E168" s="3">
        <v>1084042</v>
      </c>
      <c r="F168" s="84">
        <f>C168+D168-E168</f>
        <v>22109428.003676753</v>
      </c>
      <c r="G168" s="84"/>
      <c r="H168" s="21">
        <f>H20</f>
        <v>2210942.8003676753</v>
      </c>
      <c r="I168" s="85">
        <v>19898485.203309078</v>
      </c>
      <c r="J168" s="21"/>
      <c r="K168" s="21">
        <v>1989848.5203309078</v>
      </c>
      <c r="L168" s="78">
        <v>232886.15999999997</v>
      </c>
      <c r="M168" s="2"/>
      <c r="N168" s="79"/>
      <c r="O168" s="21">
        <v>209597.54399999999</v>
      </c>
      <c r="P168" s="21"/>
      <c r="Q168" s="21">
        <f>P104</f>
        <v>20959.754400000002</v>
      </c>
      <c r="R168" s="78">
        <f>O168+P168-Q168</f>
        <v>188637.78959999999</v>
      </c>
      <c r="S168" s="2"/>
      <c r="T168" s="78">
        <f>S95</f>
        <v>18863.77896</v>
      </c>
      <c r="U168" s="78"/>
      <c r="V168" s="78"/>
      <c r="W168" s="78">
        <v>169774.01063999999</v>
      </c>
      <c r="X168" s="78">
        <v>0</v>
      </c>
      <c r="Y168" s="78">
        <f t="shared" ref="Y168:Y170" si="51">X104</f>
        <v>33954.802128000003</v>
      </c>
      <c r="Z168" s="21">
        <f t="shared" si="46"/>
        <v>135819.20851199998</v>
      </c>
    </row>
    <row r="169" spans="1:26" x14ac:dyDescent="0.25">
      <c r="A169" s="257"/>
      <c r="B169" s="2" t="s">
        <v>176</v>
      </c>
      <c r="C169" s="83"/>
      <c r="D169" s="3"/>
      <c r="E169" s="3"/>
      <c r="F169" s="84"/>
      <c r="G169" s="84"/>
      <c r="H169" s="21"/>
      <c r="I169" s="85"/>
      <c r="J169" s="21"/>
      <c r="K169" s="21"/>
      <c r="L169" s="88"/>
      <c r="M169" s="21"/>
      <c r="N169" s="21"/>
      <c r="O169" s="21"/>
      <c r="P169" s="21">
        <v>184920</v>
      </c>
      <c r="Q169" s="21">
        <f>P105</f>
        <v>12328</v>
      </c>
      <c r="R169" s="78">
        <f>O169+P169-Q169</f>
        <v>172592</v>
      </c>
      <c r="S169" s="2"/>
      <c r="T169" s="78">
        <f>S105</f>
        <v>17259.2</v>
      </c>
      <c r="U169" s="78"/>
      <c r="V169" s="78"/>
      <c r="W169" s="78">
        <v>155332.79999999999</v>
      </c>
      <c r="X169" s="78">
        <v>0</v>
      </c>
      <c r="Y169" s="78">
        <f t="shared" si="51"/>
        <v>31066.559999999998</v>
      </c>
      <c r="Z169" s="21">
        <f t="shared" si="46"/>
        <v>124266.23999999999</v>
      </c>
    </row>
    <row r="170" spans="1:26" x14ac:dyDescent="0.25">
      <c r="A170" s="257" t="s">
        <v>11</v>
      </c>
      <c r="B170" s="2" t="s">
        <v>203</v>
      </c>
      <c r="C170" s="83"/>
      <c r="D170" s="3"/>
      <c r="E170" s="3"/>
      <c r="F170" s="84"/>
      <c r="G170" s="84"/>
      <c r="H170" s="21"/>
      <c r="I170" s="85"/>
      <c r="J170" s="21"/>
      <c r="K170" s="21"/>
      <c r="L170" s="88"/>
      <c r="M170" s="21"/>
      <c r="N170" s="21"/>
      <c r="O170" s="21"/>
      <c r="P170" s="21"/>
      <c r="Q170" s="21"/>
      <c r="R170" s="78"/>
      <c r="S170" s="2">
        <v>582250</v>
      </c>
      <c r="T170" s="78">
        <f t="shared" ref="T170" si="52">S106</f>
        <v>48520.833333333336</v>
      </c>
      <c r="U170" s="78"/>
      <c r="V170" s="78"/>
      <c r="W170" s="78">
        <v>533729.16666666663</v>
      </c>
      <c r="X170" s="78">
        <v>0</v>
      </c>
      <c r="Y170" s="78">
        <f t="shared" si="51"/>
        <v>106745.83333333333</v>
      </c>
      <c r="Z170" s="21">
        <f t="shared" si="46"/>
        <v>426983.33333333331</v>
      </c>
    </row>
    <row r="171" spans="1:26" x14ac:dyDescent="0.25">
      <c r="A171" s="257"/>
      <c r="B171" s="2"/>
      <c r="C171" s="83"/>
      <c r="D171" s="3"/>
      <c r="E171" s="3"/>
      <c r="F171" s="84"/>
      <c r="G171" s="84"/>
      <c r="H171" s="21"/>
      <c r="I171" s="85"/>
      <c r="J171" s="21"/>
      <c r="K171" s="21"/>
      <c r="L171" s="88"/>
      <c r="M171" s="21"/>
      <c r="N171" s="21"/>
      <c r="O171" s="21"/>
      <c r="P171" s="21"/>
      <c r="Q171" s="21"/>
      <c r="R171" s="78"/>
      <c r="S171" s="2"/>
      <c r="T171" s="78"/>
      <c r="U171" s="78"/>
      <c r="V171" s="78"/>
      <c r="W171" s="78"/>
      <c r="X171" s="2"/>
      <c r="Y171" s="2"/>
      <c r="Z171" s="21">
        <f t="shared" si="46"/>
        <v>0</v>
      </c>
    </row>
    <row r="172" spans="1:26" x14ac:dyDescent="0.25">
      <c r="A172" s="257"/>
      <c r="B172" s="25" t="s">
        <v>335</v>
      </c>
      <c r="C172" s="76"/>
      <c r="D172" s="2"/>
      <c r="E172" s="2"/>
      <c r="F172" s="77"/>
      <c r="G172" s="77"/>
      <c r="H172" s="21"/>
      <c r="I172" s="21"/>
      <c r="J172" s="2"/>
      <c r="K172" s="2"/>
      <c r="L172" s="2"/>
      <c r="M172" s="21"/>
      <c r="N172" s="2"/>
      <c r="O172" s="78"/>
      <c r="P172" s="21"/>
      <c r="Q172" s="2"/>
      <c r="R172" s="21"/>
      <c r="S172" s="21"/>
      <c r="T172" s="21"/>
      <c r="U172" s="21"/>
      <c r="V172" s="21"/>
      <c r="W172" s="78"/>
      <c r="X172" s="39"/>
      <c r="Y172" s="2"/>
      <c r="Z172" s="21">
        <f t="shared" si="46"/>
        <v>0</v>
      </c>
    </row>
    <row r="173" spans="1:26" x14ac:dyDescent="0.25">
      <c r="A173" s="261" t="s">
        <v>295</v>
      </c>
      <c r="B173" s="172" t="s">
        <v>296</v>
      </c>
      <c r="C173" s="76"/>
      <c r="D173" s="2"/>
      <c r="E173" s="2"/>
      <c r="F173" s="77"/>
      <c r="G173" s="77"/>
      <c r="H173" s="21"/>
      <c r="I173" s="21"/>
      <c r="J173" s="2"/>
      <c r="K173" s="2"/>
      <c r="L173" s="2"/>
      <c r="M173" s="21"/>
      <c r="N173" s="2"/>
      <c r="O173" s="78"/>
      <c r="P173" s="21"/>
      <c r="Q173" s="2"/>
      <c r="R173" s="21"/>
      <c r="S173" s="21"/>
      <c r="T173" s="21"/>
      <c r="U173" s="21"/>
      <c r="V173" s="172">
        <v>1</v>
      </c>
      <c r="W173" s="78"/>
      <c r="X173" s="21">
        <v>33113.888888888891</v>
      </c>
      <c r="Y173" s="2"/>
      <c r="Z173" s="21">
        <f t="shared" si="46"/>
        <v>33113.888888888891</v>
      </c>
    </row>
    <row r="174" spans="1:26" x14ac:dyDescent="0.25">
      <c r="A174" s="261" t="s">
        <v>291</v>
      </c>
      <c r="B174" s="172" t="s">
        <v>292</v>
      </c>
      <c r="C174" s="76"/>
      <c r="D174" s="2"/>
      <c r="E174" s="2"/>
      <c r="F174" s="77"/>
      <c r="G174" s="77"/>
      <c r="H174" s="21"/>
      <c r="I174" s="21"/>
      <c r="J174" s="2"/>
      <c r="K174" s="2"/>
      <c r="L174" s="2"/>
      <c r="M174" s="21"/>
      <c r="N174" s="2"/>
      <c r="O174" s="78"/>
      <c r="P174" s="21"/>
      <c r="Q174" s="2"/>
      <c r="R174" s="21"/>
      <c r="S174" s="21"/>
      <c r="T174" s="21"/>
      <c r="U174" s="21"/>
      <c r="V174" s="172">
        <v>1</v>
      </c>
      <c r="W174" s="78"/>
      <c r="X174" s="21">
        <v>15507.708333333334</v>
      </c>
      <c r="Y174" s="2"/>
      <c r="Z174" s="21">
        <f t="shared" si="46"/>
        <v>15507.708333333334</v>
      </c>
    </row>
    <row r="175" spans="1:26" x14ac:dyDescent="0.25">
      <c r="A175" s="262" t="s">
        <v>299</v>
      </c>
      <c r="B175" s="172" t="s">
        <v>300</v>
      </c>
      <c r="C175" s="76"/>
      <c r="D175" s="2"/>
      <c r="E175" s="2"/>
      <c r="F175" s="77"/>
      <c r="G175" s="77"/>
      <c r="H175" s="21"/>
      <c r="I175" s="21"/>
      <c r="J175" s="2"/>
      <c r="K175" s="2"/>
      <c r="L175" s="2"/>
      <c r="M175" s="21"/>
      <c r="N175" s="2"/>
      <c r="O175" s="78"/>
      <c r="P175" s="21"/>
      <c r="Q175" s="2"/>
      <c r="R175" s="21"/>
      <c r="S175" s="21"/>
      <c r="T175" s="21"/>
      <c r="U175" s="21"/>
      <c r="V175" s="172">
        <v>1</v>
      </c>
      <c r="W175" s="78"/>
      <c r="X175" s="21">
        <v>21768.541666666664</v>
      </c>
      <c r="Y175" s="2"/>
      <c r="Z175" s="21">
        <f t="shared" si="46"/>
        <v>21768.541666666664</v>
      </c>
    </row>
    <row r="176" spans="1:26" x14ac:dyDescent="0.25">
      <c r="A176" s="262" t="s">
        <v>307</v>
      </c>
      <c r="B176" s="172" t="s">
        <v>308</v>
      </c>
      <c r="C176" s="76"/>
      <c r="D176" s="2"/>
      <c r="E176" s="2"/>
      <c r="F176" s="77"/>
      <c r="G176" s="77"/>
      <c r="H176" s="21"/>
      <c r="I176" s="21"/>
      <c r="J176" s="2"/>
      <c r="K176" s="2"/>
      <c r="L176" s="2"/>
      <c r="M176" s="21"/>
      <c r="N176" s="2"/>
      <c r="O176" s="78"/>
      <c r="P176" s="21"/>
      <c r="Q176" s="2"/>
      <c r="R176" s="21"/>
      <c r="S176" s="21"/>
      <c r="T176" s="21"/>
      <c r="U176" s="21"/>
      <c r="V176" s="172">
        <v>1</v>
      </c>
      <c r="W176" s="78"/>
      <c r="X176" s="21">
        <v>2251864.6138888891</v>
      </c>
      <c r="Y176" s="2"/>
      <c r="Z176" s="21">
        <f t="shared" si="46"/>
        <v>2251864.6138888891</v>
      </c>
    </row>
    <row r="177" spans="1:26" x14ac:dyDescent="0.25">
      <c r="A177" s="262" t="s">
        <v>304</v>
      </c>
      <c r="B177" s="172" t="s">
        <v>305</v>
      </c>
      <c r="C177" s="76"/>
      <c r="D177" s="2"/>
      <c r="E177" s="2"/>
      <c r="F177" s="77"/>
      <c r="G177" s="77"/>
      <c r="H177" s="21"/>
      <c r="I177" s="21"/>
      <c r="J177" s="2"/>
      <c r="K177" s="2"/>
      <c r="L177" s="2"/>
      <c r="M177" s="21"/>
      <c r="N177" s="2"/>
      <c r="O177" s="78"/>
      <c r="P177" s="21"/>
      <c r="Q177" s="2"/>
      <c r="R177" s="21"/>
      <c r="S177" s="21"/>
      <c r="T177" s="21"/>
      <c r="U177" s="21"/>
      <c r="V177" s="172">
        <v>2</v>
      </c>
      <c r="W177" s="78"/>
      <c r="X177" s="21">
        <v>112119.47916666667</v>
      </c>
      <c r="Y177" s="2"/>
      <c r="Z177" s="21">
        <f t="shared" si="46"/>
        <v>112119.47916666667</v>
      </c>
    </row>
    <row r="178" spans="1:26" x14ac:dyDescent="0.25">
      <c r="A178" s="259" t="s">
        <v>309</v>
      </c>
      <c r="B178" s="172" t="s">
        <v>310</v>
      </c>
      <c r="C178" s="76"/>
      <c r="D178" s="2"/>
      <c r="E178" s="2"/>
      <c r="F178" s="77"/>
      <c r="G178" s="77"/>
      <c r="H178" s="21"/>
      <c r="I178" s="21"/>
      <c r="J178" s="2"/>
      <c r="K178" s="2"/>
      <c r="L178" s="2"/>
      <c r="M178" s="21"/>
      <c r="N178" s="2"/>
      <c r="O178" s="78"/>
      <c r="P178" s="21"/>
      <c r="Q178" s="2"/>
      <c r="R178" s="21"/>
      <c r="S178" s="21"/>
      <c r="T178" s="21"/>
      <c r="U178" s="21"/>
      <c r="V178" s="172">
        <v>1</v>
      </c>
      <c r="W178" s="78"/>
      <c r="X178" s="21">
        <v>414350.19444444444</v>
      </c>
      <c r="Y178" s="2"/>
      <c r="Z178" s="21">
        <f t="shared" si="46"/>
        <v>414350.19444444444</v>
      </c>
    </row>
    <row r="179" spans="1:26" x14ac:dyDescent="0.25">
      <c r="A179" s="261" t="s">
        <v>289</v>
      </c>
      <c r="B179" s="172" t="s">
        <v>290</v>
      </c>
      <c r="C179" s="76"/>
      <c r="D179" s="2"/>
      <c r="E179" s="2"/>
      <c r="F179" s="77"/>
      <c r="G179" s="77"/>
      <c r="H179" s="21"/>
      <c r="I179" s="21"/>
      <c r="J179" s="2"/>
      <c r="K179" s="2"/>
      <c r="L179" s="2"/>
      <c r="M179" s="21"/>
      <c r="N179" s="2"/>
      <c r="O179" s="78"/>
      <c r="P179" s="21"/>
      <c r="Q179" s="2"/>
      <c r="R179" s="21"/>
      <c r="S179" s="21"/>
      <c r="T179" s="21"/>
      <c r="U179" s="21"/>
      <c r="V179" s="172">
        <v>1</v>
      </c>
      <c r="W179" s="78"/>
      <c r="X179" s="21">
        <v>195193.63611111112</v>
      </c>
      <c r="Y179" s="2"/>
      <c r="Z179" s="21">
        <f t="shared" si="46"/>
        <v>195193.63611111112</v>
      </c>
    </row>
    <row r="180" spans="1:26" x14ac:dyDescent="0.25">
      <c r="A180" s="262" t="s">
        <v>294</v>
      </c>
      <c r="B180" s="172" t="s">
        <v>322</v>
      </c>
      <c r="C180" s="76"/>
      <c r="D180" s="2"/>
      <c r="E180" s="2"/>
      <c r="F180" s="77"/>
      <c r="G180" s="77"/>
      <c r="H180" s="21"/>
      <c r="I180" s="21"/>
      <c r="J180" s="2"/>
      <c r="K180" s="2"/>
      <c r="L180" s="2"/>
      <c r="M180" s="21"/>
      <c r="N180" s="2"/>
      <c r="O180" s="78"/>
      <c r="P180" s="21"/>
      <c r="Q180" s="2"/>
      <c r="R180" s="21"/>
      <c r="S180" s="21"/>
      <c r="T180" s="21"/>
      <c r="U180" s="21"/>
      <c r="V180" s="172">
        <v>1</v>
      </c>
      <c r="W180" s="78"/>
      <c r="X180" s="21">
        <v>258757.77777777778</v>
      </c>
      <c r="Y180" s="2"/>
      <c r="Z180" s="21">
        <f t="shared" si="46"/>
        <v>258757.77777777778</v>
      </c>
    </row>
    <row r="181" spans="1:26" x14ac:dyDescent="0.25">
      <c r="A181" s="262" t="s">
        <v>297</v>
      </c>
      <c r="B181" s="172" t="s">
        <v>298</v>
      </c>
      <c r="C181" s="76"/>
      <c r="D181" s="2"/>
      <c r="E181" s="2"/>
      <c r="F181" s="77"/>
      <c r="G181" s="77"/>
      <c r="H181" s="21"/>
      <c r="I181" s="21"/>
      <c r="J181" s="2"/>
      <c r="K181" s="2"/>
      <c r="L181" s="2"/>
      <c r="M181" s="21"/>
      <c r="N181" s="2"/>
      <c r="O181" s="78"/>
      <c r="P181" s="21"/>
      <c r="Q181" s="2"/>
      <c r="R181" s="21"/>
      <c r="S181" s="21"/>
      <c r="T181" s="21"/>
      <c r="U181" s="21"/>
      <c r="V181" s="172">
        <v>1</v>
      </c>
      <c r="W181" s="78"/>
      <c r="X181" s="21">
        <v>9851.1875</v>
      </c>
      <c r="Y181" s="2"/>
      <c r="Z181" s="21">
        <f t="shared" si="46"/>
        <v>9851.1875</v>
      </c>
    </row>
    <row r="182" spans="1:26" x14ac:dyDescent="0.25">
      <c r="A182" s="260">
        <v>2018</v>
      </c>
      <c r="B182" s="172" t="s">
        <v>317</v>
      </c>
      <c r="C182" s="76"/>
      <c r="D182" s="2"/>
      <c r="E182" s="2"/>
      <c r="F182" s="77"/>
      <c r="G182" s="77"/>
      <c r="H182" s="21"/>
      <c r="I182" s="21"/>
      <c r="J182" s="2"/>
      <c r="K182" s="2"/>
      <c r="L182" s="2"/>
      <c r="M182" s="21"/>
      <c r="N182" s="2"/>
      <c r="O182" s="78"/>
      <c r="P182" s="21"/>
      <c r="Q182" s="2"/>
      <c r="R182" s="21"/>
      <c r="S182" s="21"/>
      <c r="T182" s="21"/>
      <c r="U182" s="21"/>
      <c r="V182" s="21"/>
      <c r="W182" s="78"/>
      <c r="X182" s="21">
        <v>0</v>
      </c>
      <c r="Y182" s="2"/>
      <c r="Z182" s="21">
        <f t="shared" si="46"/>
        <v>0</v>
      </c>
    </row>
    <row r="183" spans="1:26" x14ac:dyDescent="0.25">
      <c r="A183" s="260">
        <v>2018</v>
      </c>
      <c r="B183" s="173" t="s">
        <v>336</v>
      </c>
      <c r="C183" s="76"/>
      <c r="D183" s="2"/>
      <c r="E183" s="2"/>
      <c r="F183" s="77"/>
      <c r="G183" s="77"/>
      <c r="H183" s="21"/>
      <c r="I183" s="21"/>
      <c r="J183" s="2"/>
      <c r="K183" s="2"/>
      <c r="L183" s="2"/>
      <c r="M183" s="21"/>
      <c r="N183" s="2"/>
      <c r="O183" s="78"/>
      <c r="P183" s="21"/>
      <c r="Q183" s="2"/>
      <c r="R183" s="21"/>
      <c r="S183" s="21"/>
      <c r="T183" s="21"/>
      <c r="U183" s="21"/>
      <c r="V183" s="21"/>
      <c r="W183" s="78"/>
      <c r="X183" s="21">
        <v>0</v>
      </c>
      <c r="Y183" s="2"/>
      <c r="Z183" s="21">
        <f t="shared" si="46"/>
        <v>0</v>
      </c>
    </row>
    <row r="184" spans="1:26" x14ac:dyDescent="0.25">
      <c r="A184" s="257"/>
      <c r="B184" s="2"/>
      <c r="C184" s="76"/>
      <c r="D184" s="2"/>
      <c r="E184" s="2"/>
      <c r="F184" s="77"/>
      <c r="G184" s="2"/>
      <c r="H184" s="2"/>
      <c r="I184" s="77"/>
      <c r="J184" s="2"/>
      <c r="K184" s="2"/>
      <c r="L184" s="77"/>
      <c r="M184" s="2"/>
      <c r="N184" s="2"/>
      <c r="O184" s="78"/>
      <c r="P184" s="21"/>
      <c r="Q184" s="2"/>
      <c r="R184" s="78"/>
      <c r="S184" s="21"/>
      <c r="T184" s="2"/>
      <c r="U184" s="2"/>
      <c r="V184" s="2"/>
      <c r="W184" s="78"/>
      <c r="X184" s="21"/>
      <c r="Y184" s="2"/>
      <c r="Z184" s="21">
        <f t="shared" si="46"/>
        <v>0</v>
      </c>
    </row>
    <row r="185" spans="1:26" x14ac:dyDescent="0.25">
      <c r="A185" s="257"/>
      <c r="B185" s="25" t="s">
        <v>355</v>
      </c>
      <c r="C185" s="76"/>
      <c r="D185" s="2"/>
      <c r="E185" s="2"/>
      <c r="F185" s="77"/>
      <c r="G185" s="2"/>
      <c r="H185" s="2"/>
      <c r="I185" s="77"/>
      <c r="J185" s="2"/>
      <c r="K185" s="2"/>
      <c r="L185" s="77"/>
      <c r="M185" s="2"/>
      <c r="N185" s="2"/>
      <c r="O185" s="78"/>
      <c r="P185" s="21"/>
      <c r="Q185" s="2"/>
      <c r="R185" s="78"/>
      <c r="S185" s="21"/>
      <c r="T185" s="2"/>
      <c r="U185" s="2"/>
      <c r="V185" s="2"/>
      <c r="W185" s="78"/>
      <c r="X185" s="21"/>
      <c r="Y185" s="2"/>
      <c r="Z185" s="21">
        <f t="shared" si="46"/>
        <v>0</v>
      </c>
    </row>
    <row r="186" spans="1:26" x14ac:dyDescent="0.25">
      <c r="A186" s="262" t="s">
        <v>301</v>
      </c>
      <c r="B186" s="172" t="s">
        <v>302</v>
      </c>
      <c r="C186" s="76"/>
      <c r="D186" s="2"/>
      <c r="E186" s="2"/>
      <c r="F186" s="77"/>
      <c r="G186" s="77"/>
      <c r="H186" s="21"/>
      <c r="I186" s="21"/>
      <c r="J186" s="2"/>
      <c r="K186" s="2"/>
      <c r="L186" s="2"/>
      <c r="M186" s="21"/>
      <c r="N186" s="2"/>
      <c r="O186" s="78"/>
      <c r="P186" s="21"/>
      <c r="Q186" s="2"/>
      <c r="R186" s="21"/>
      <c r="S186" s="21"/>
      <c r="T186" s="21"/>
      <c r="U186" s="21" t="s">
        <v>287</v>
      </c>
      <c r="V186" s="21">
        <v>1</v>
      </c>
      <c r="W186" s="78"/>
      <c r="X186" s="21">
        <v>35200</v>
      </c>
      <c r="Y186" s="2"/>
      <c r="Z186" s="21">
        <f t="shared" si="46"/>
        <v>35200</v>
      </c>
    </row>
    <row r="187" spans="1:26" x14ac:dyDescent="0.25">
      <c r="A187" s="262" t="s">
        <v>303</v>
      </c>
      <c r="B187" s="172" t="s">
        <v>325</v>
      </c>
      <c r="C187" s="76"/>
      <c r="D187" s="2"/>
      <c r="E187" s="2"/>
      <c r="F187" s="77"/>
      <c r="G187" s="77"/>
      <c r="H187" s="21"/>
      <c r="I187" s="21"/>
      <c r="J187" s="2"/>
      <c r="K187" s="2"/>
      <c r="L187" s="2"/>
      <c r="M187" s="21"/>
      <c r="N187" s="2"/>
      <c r="O187" s="78"/>
      <c r="P187" s="21"/>
      <c r="Q187" s="2"/>
      <c r="R187" s="21"/>
      <c r="S187" s="21"/>
      <c r="T187" s="21"/>
      <c r="U187" s="21" t="s">
        <v>287</v>
      </c>
      <c r="V187" s="21">
        <v>1</v>
      </c>
      <c r="W187" s="78"/>
      <c r="X187" s="21">
        <v>94068</v>
      </c>
      <c r="Y187" s="2"/>
      <c r="Z187" s="21">
        <f t="shared" si="46"/>
        <v>94068</v>
      </c>
    </row>
    <row r="188" spans="1:26" x14ac:dyDescent="0.25">
      <c r="A188" s="259" t="s">
        <v>311</v>
      </c>
      <c r="B188" s="172" t="s">
        <v>327</v>
      </c>
      <c r="C188" s="76"/>
      <c r="D188" s="2"/>
      <c r="E188" s="2"/>
      <c r="F188" s="77"/>
      <c r="G188" s="77"/>
      <c r="H188" s="21"/>
      <c r="I188" s="21"/>
      <c r="J188" s="2"/>
      <c r="K188" s="2"/>
      <c r="L188" s="2"/>
      <c r="M188" s="21"/>
      <c r="N188" s="2"/>
      <c r="O188" s="78"/>
      <c r="P188" s="21"/>
      <c r="Q188" s="2"/>
      <c r="R188" s="21"/>
      <c r="S188" s="21"/>
      <c r="T188" s="21"/>
      <c r="U188" s="21" t="s">
        <v>287</v>
      </c>
      <c r="V188" s="21">
        <v>14</v>
      </c>
      <c r="W188" s="78"/>
      <c r="X188" s="21">
        <v>28000</v>
      </c>
      <c r="Y188" s="2"/>
      <c r="Z188" s="21">
        <f t="shared" si="46"/>
        <v>28000</v>
      </c>
    </row>
    <row r="189" spans="1:26" x14ac:dyDescent="0.25">
      <c r="A189" s="261" t="s">
        <v>293</v>
      </c>
      <c r="B189" s="172" t="s">
        <v>321</v>
      </c>
      <c r="C189" s="76"/>
      <c r="D189" s="2"/>
      <c r="E189" s="2"/>
      <c r="F189" s="77"/>
      <c r="G189" s="77"/>
      <c r="H189" s="21"/>
      <c r="I189" s="21"/>
      <c r="J189" s="2"/>
      <c r="K189" s="2"/>
      <c r="L189" s="2"/>
      <c r="M189" s="21"/>
      <c r="N189" s="2"/>
      <c r="O189" s="78"/>
      <c r="P189" s="21"/>
      <c r="Q189" s="2"/>
      <c r="R189" s="21"/>
      <c r="S189" s="21"/>
      <c r="T189" s="21"/>
      <c r="U189" s="21" t="s">
        <v>287</v>
      </c>
      <c r="V189" s="21"/>
      <c r="W189" s="78"/>
      <c r="X189" s="21">
        <v>40844</v>
      </c>
      <c r="Y189" s="2"/>
      <c r="Z189" s="21">
        <f t="shared" si="46"/>
        <v>40844</v>
      </c>
    </row>
    <row r="190" spans="1:26" x14ac:dyDescent="0.25">
      <c r="A190" s="257"/>
      <c r="B190" s="2"/>
      <c r="C190" s="83"/>
      <c r="D190" s="3"/>
      <c r="E190" s="3"/>
      <c r="F190" s="84"/>
      <c r="G190" s="84"/>
      <c r="H190" s="21"/>
      <c r="I190" s="85"/>
      <c r="J190" s="21"/>
      <c r="K190" s="21"/>
      <c r="L190" s="88"/>
      <c r="M190" s="21"/>
      <c r="N190" s="21"/>
      <c r="O190" s="21"/>
      <c r="P190" s="21"/>
      <c r="Q190" s="21"/>
      <c r="R190" s="78"/>
      <c r="S190" s="2"/>
      <c r="T190" s="78"/>
      <c r="U190" s="78"/>
      <c r="V190" s="78"/>
      <c r="W190" s="78"/>
      <c r="X190" s="2"/>
      <c r="Y190" s="2"/>
      <c r="Z190" s="21"/>
    </row>
    <row r="191" spans="1:26" x14ac:dyDescent="0.25">
      <c r="A191" s="257"/>
      <c r="B191" s="2"/>
      <c r="C191" s="83"/>
      <c r="D191" s="3"/>
      <c r="E191" s="3"/>
      <c r="F191" s="84"/>
      <c r="G191" s="84"/>
      <c r="H191" s="21"/>
      <c r="I191" s="85"/>
      <c r="J191" s="21"/>
      <c r="K191" s="21"/>
      <c r="L191" s="88"/>
      <c r="M191" s="21"/>
      <c r="N191" s="21"/>
      <c r="O191" s="21"/>
      <c r="P191" s="21"/>
      <c r="Q191" s="21"/>
      <c r="R191" s="78"/>
      <c r="S191" s="2"/>
      <c r="T191" s="2"/>
      <c r="U191" s="2"/>
      <c r="V191" s="2"/>
      <c r="W191" s="2"/>
      <c r="X191" s="2"/>
      <c r="Y191" s="2"/>
      <c r="Z191" s="21"/>
    </row>
    <row r="192" spans="1:26" x14ac:dyDescent="0.25">
      <c r="A192" s="266"/>
      <c r="B192" s="189" t="s">
        <v>198</v>
      </c>
      <c r="C192" s="89">
        <f t="shared" ref="C192:K192" si="53">SUM(C135:C152)</f>
        <v>221818271.23928568</v>
      </c>
      <c r="D192" s="89">
        <f t="shared" si="53"/>
        <v>520981</v>
      </c>
      <c r="E192" s="41">
        <f t="shared" si="53"/>
        <v>379237.25000048114</v>
      </c>
      <c r="F192" s="89">
        <f t="shared" si="53"/>
        <v>221960014.9892852</v>
      </c>
      <c r="G192" s="89">
        <f t="shared" si="53"/>
        <v>122334</v>
      </c>
      <c r="H192" s="89">
        <f t="shared" si="53"/>
        <v>785666.14229762077</v>
      </c>
      <c r="I192" s="89">
        <f t="shared" si="53"/>
        <v>221296682.84698758</v>
      </c>
      <c r="J192" s="89">
        <f t="shared" si="53"/>
        <v>582350</v>
      </c>
      <c r="K192" s="89">
        <f t="shared" si="53"/>
        <v>763136.6786348949</v>
      </c>
      <c r="L192" s="41" t="e">
        <f>L135+L136+L138+#REF!+L145+L146+#REF!</f>
        <v>#REF!</v>
      </c>
      <c r="M192" s="41" t="e">
        <f>M135+M136+M138+#REF!+M145+M146+#REF!</f>
        <v>#REF!</v>
      </c>
      <c r="N192" s="41" t="e">
        <f>N135+N136+N138+#REF!+N145+N146+#REF!</f>
        <v>#REF!</v>
      </c>
      <c r="O192" s="41">
        <f>O135+O136+O138+O145+O146</f>
        <v>282690731.45559335</v>
      </c>
      <c r="P192" s="41">
        <f>P135+P136+P138+P145+P146</f>
        <v>9116328</v>
      </c>
      <c r="Q192" s="41">
        <f>Q135+Q136+Q138+Q145+Q146</f>
        <v>37327610.607310966</v>
      </c>
      <c r="R192" s="41">
        <f>R135+R136+R145+R146</f>
        <v>254479387.84828234</v>
      </c>
      <c r="S192" s="41">
        <f t="shared" ref="S192:T192" si="54">S135+S136+S145+S146</f>
        <v>52048756</v>
      </c>
      <c r="T192" s="41">
        <f t="shared" si="54"/>
        <v>28187076.218718573</v>
      </c>
      <c r="U192" s="41"/>
      <c r="V192" s="41"/>
      <c r="W192" s="41">
        <f>W135+W136+W145+W146</f>
        <v>278341067.62956375</v>
      </c>
      <c r="X192" s="41">
        <f>X135+X136+X145+X146</f>
        <v>7909344.0277777798</v>
      </c>
      <c r="Y192" s="41">
        <f>Y135+Y136+Y145+Y146</f>
        <v>4581534.3243868425</v>
      </c>
      <c r="Z192" s="41">
        <f t="shared" ref="Z192" si="55">Z135+Z136+Z145+Z146</f>
        <v>281668877.33295476</v>
      </c>
    </row>
    <row r="193" spans="1:26" s="42" customFormat="1" x14ac:dyDescent="0.25">
      <c r="A193" s="267"/>
      <c r="B193" s="90"/>
      <c r="C193" s="91"/>
      <c r="F193" s="90"/>
      <c r="G193" s="90"/>
      <c r="P193" s="37"/>
      <c r="Z193" s="37"/>
    </row>
    <row r="194" spans="1:26" hidden="1" x14ac:dyDescent="0.25">
      <c r="C194" s="92"/>
      <c r="F194" s="500" t="s">
        <v>88</v>
      </c>
      <c r="G194" s="500"/>
      <c r="J194" s="42"/>
      <c r="N194" s="500"/>
      <c r="O194" s="500"/>
      <c r="R194" s="66"/>
      <c r="S194" s="66"/>
      <c r="T194" s="66"/>
      <c r="U194" s="66"/>
      <c r="V194" s="66"/>
      <c r="W194" s="66"/>
      <c r="X194" s="66"/>
    </row>
    <row r="195" spans="1:26" hidden="1" x14ac:dyDescent="0.25">
      <c r="C195" s="92"/>
      <c r="F195" s="499" t="s">
        <v>18</v>
      </c>
      <c r="G195" s="499"/>
      <c r="J195" s="42"/>
      <c r="N195" s="499"/>
      <c r="O195" s="499"/>
      <c r="R195" s="43"/>
      <c r="W195" s="43">
        <f>W192+W128</f>
        <v>307785991.81230581</v>
      </c>
      <c r="X195" s="43">
        <f>X192+X128</f>
        <v>12609838.324386844</v>
      </c>
      <c r="Y195" s="43">
        <f t="shared" ref="Y195:Z195" si="56">Y192+Y128</f>
        <v>4581534.3243868425</v>
      </c>
      <c r="Z195" s="43">
        <f t="shared" si="56"/>
        <v>315814295.81230587</v>
      </c>
    </row>
    <row r="196" spans="1:26" hidden="1" x14ac:dyDescent="0.25">
      <c r="C196" s="92"/>
      <c r="F196" s="170"/>
      <c r="G196" s="170"/>
      <c r="J196" s="42"/>
      <c r="N196" s="170"/>
      <c r="O196" s="170"/>
      <c r="R196" s="43"/>
      <c r="W196" s="43">
        <f>W64</f>
        <v>307785992.64029664</v>
      </c>
      <c r="X196" s="43">
        <f t="shared" ref="X196:Z196" si="57">X64</f>
        <v>8028304.0000000009</v>
      </c>
      <c r="Y196" s="43">
        <f t="shared" si="57"/>
        <v>0</v>
      </c>
      <c r="Z196" s="43">
        <f t="shared" si="57"/>
        <v>315814296.64029664</v>
      </c>
    </row>
    <row r="197" spans="1:26" hidden="1" x14ac:dyDescent="0.25">
      <c r="A197" s="501"/>
      <c r="B197" s="501"/>
      <c r="C197" s="501"/>
      <c r="J197" s="42"/>
      <c r="K197" s="42"/>
      <c r="R197" s="66"/>
      <c r="W197" s="43">
        <f>W195-W196</f>
        <v>-0.8279908299446106</v>
      </c>
      <c r="X197" s="43">
        <f>X195-X196</f>
        <v>4581534.3243868435</v>
      </c>
      <c r="Y197" s="43">
        <f>Y195-Y196</f>
        <v>4581534.3243868425</v>
      </c>
      <c r="Z197" s="43">
        <f t="shared" ref="Z197" si="58">Z64-Z195</f>
        <v>0.82799077033996582</v>
      </c>
    </row>
    <row r="198" spans="1:26" hidden="1" x14ac:dyDescent="0.25">
      <c r="A198" s="499"/>
      <c r="B198" s="499"/>
      <c r="C198" s="499"/>
      <c r="F198" s="92"/>
      <c r="G198" s="92"/>
    </row>
    <row r="199" spans="1:26" hidden="1" x14ac:dyDescent="0.25">
      <c r="P199" s="16"/>
    </row>
    <row r="200" spans="1:26" hidden="1" x14ac:dyDescent="0.25">
      <c r="P200" s="16"/>
    </row>
    <row r="201" spans="1:26" x14ac:dyDescent="0.25">
      <c r="P201" s="16"/>
    </row>
    <row r="202" spans="1:26" x14ac:dyDescent="0.25">
      <c r="P202" s="16"/>
    </row>
    <row r="203" spans="1:26" x14ac:dyDescent="0.25">
      <c r="P203" s="16"/>
    </row>
    <row r="204" spans="1:26" x14ac:dyDescent="0.25">
      <c r="P204" s="16"/>
    </row>
    <row r="205" spans="1:26" x14ac:dyDescent="0.25">
      <c r="P205" s="16"/>
    </row>
    <row r="206" spans="1:26" x14ac:dyDescent="0.25">
      <c r="P206" s="16"/>
    </row>
    <row r="207" spans="1:26" x14ac:dyDescent="0.25">
      <c r="P207" s="16"/>
    </row>
    <row r="208" spans="1:26" x14ac:dyDescent="0.25">
      <c r="P208" s="16"/>
    </row>
    <row r="209" spans="16:16" x14ac:dyDescent="0.25">
      <c r="P209" s="16"/>
    </row>
    <row r="210" spans="16:16" x14ac:dyDescent="0.25">
      <c r="P210" s="16"/>
    </row>
  </sheetData>
  <mergeCells count="62">
    <mergeCell ref="E69:E70"/>
    <mergeCell ref="G69:G70"/>
    <mergeCell ref="Q6:Q7"/>
    <mergeCell ref="A6:A7"/>
    <mergeCell ref="B6:B7"/>
    <mergeCell ref="D6:D7"/>
    <mergeCell ref="E6:E7"/>
    <mergeCell ref="G6:G7"/>
    <mergeCell ref="H6:H7"/>
    <mergeCell ref="J6:J7"/>
    <mergeCell ref="K6:K7"/>
    <mergeCell ref="M6:M7"/>
    <mergeCell ref="N6:N7"/>
    <mergeCell ref="P6:P7"/>
    <mergeCell ref="A198:C198"/>
    <mergeCell ref="J133:J134"/>
    <mergeCell ref="K133:K134"/>
    <mergeCell ref="M133:M134"/>
    <mergeCell ref="N133:N134"/>
    <mergeCell ref="F194:G194"/>
    <mergeCell ref="N194:O194"/>
    <mergeCell ref="F195:G195"/>
    <mergeCell ref="N195:O195"/>
    <mergeCell ref="A197:C197"/>
    <mergeCell ref="A133:A134"/>
    <mergeCell ref="B133:B134"/>
    <mergeCell ref="D133:D134"/>
    <mergeCell ref="E133:E134"/>
    <mergeCell ref="G133:G134"/>
    <mergeCell ref="H133:H134"/>
    <mergeCell ref="X133:X134"/>
    <mergeCell ref="Y133:Y134"/>
    <mergeCell ref="X6:X7"/>
    <mergeCell ref="A67:Z67"/>
    <mergeCell ref="S6:S7"/>
    <mergeCell ref="T6:T7"/>
    <mergeCell ref="S69:S70"/>
    <mergeCell ref="T69:T70"/>
    <mergeCell ref="S133:S134"/>
    <mergeCell ref="T133:T134"/>
    <mergeCell ref="V6:V7"/>
    <mergeCell ref="U6:U7"/>
    <mergeCell ref="P133:P134"/>
    <mergeCell ref="Q133:Q134"/>
    <mergeCell ref="Q69:Q70"/>
    <mergeCell ref="H69:H70"/>
    <mergeCell ref="A4:Z4"/>
    <mergeCell ref="A2:Z2"/>
    <mergeCell ref="A1:Z1"/>
    <mergeCell ref="A131:Z131"/>
    <mergeCell ref="Z39:Z40"/>
    <mergeCell ref="Y6:Y7"/>
    <mergeCell ref="X69:X70"/>
    <mergeCell ref="Y69:Y70"/>
    <mergeCell ref="J69:J70"/>
    <mergeCell ref="K69:K70"/>
    <mergeCell ref="M69:M70"/>
    <mergeCell ref="N69:N70"/>
    <mergeCell ref="P69:P70"/>
    <mergeCell ref="A69:A70"/>
    <mergeCell ref="B69:B70"/>
    <mergeCell ref="D69:D70"/>
  </mergeCells>
  <printOptions horizontalCentered="1"/>
  <pageMargins left="0.7" right="0.7" top="0.75" bottom="0.75" header="0.3" footer="0.3"/>
  <pageSetup scale="34" orientation="portrait" r:id="rId1"/>
  <rowBreaks count="1" manualBreakCount="1">
    <brk id="64" max="25" man="1"/>
  </rowBreaks>
  <ignoredErrors>
    <ignoredError sqref="R138 R9 R11 R19 Y146:Z146 Z138 Z136 W136 Z9 Z11 W9 W11 W19 Z19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F8"/>
  <sheetViews>
    <sheetView view="pageBreakPreview" zoomScaleNormal="110" zoomScaleSheetLayoutView="100" workbookViewId="0">
      <selection activeCell="D5" sqref="D5"/>
    </sheetView>
  </sheetViews>
  <sheetFormatPr defaultRowHeight="17.25" x14ac:dyDescent="0.3"/>
  <cols>
    <col min="1" max="1" width="6.7109375" style="120" customWidth="1"/>
    <col min="2" max="2" width="39.42578125" style="120" customWidth="1"/>
    <col min="3" max="3" width="6.85546875" style="120" customWidth="1"/>
    <col min="4" max="4" width="7.140625" style="120" customWidth="1"/>
    <col min="5" max="5" width="8.7109375" style="120" customWidth="1"/>
    <col min="6" max="6" width="12.140625" style="120" customWidth="1"/>
    <col min="7" max="16384" width="9.140625" style="120"/>
  </cols>
  <sheetData>
    <row r="1" spans="1:6" ht="15.75" customHeight="1" x14ac:dyDescent="0.3">
      <c r="A1" s="502" t="s">
        <v>357</v>
      </c>
      <c r="B1" s="503"/>
      <c r="C1" s="503"/>
      <c r="D1" s="503"/>
      <c r="E1" s="503"/>
      <c r="F1" s="503"/>
    </row>
    <row r="2" spans="1:6" ht="15.75" customHeight="1" x14ac:dyDescent="0.3"/>
    <row r="3" spans="1:6" ht="43.5" customHeight="1" x14ac:dyDescent="0.3">
      <c r="A3" s="153" t="s">
        <v>0</v>
      </c>
      <c r="B3" s="153" t="s">
        <v>3</v>
      </c>
      <c r="C3" s="153" t="s">
        <v>4</v>
      </c>
      <c r="D3" s="153" t="s">
        <v>5</v>
      </c>
      <c r="E3" s="153" t="s">
        <v>34</v>
      </c>
      <c r="F3" s="153" t="s">
        <v>6</v>
      </c>
    </row>
    <row r="4" spans="1:6" ht="21.75" customHeight="1" x14ac:dyDescent="0.3">
      <c r="A4" s="40" t="s">
        <v>73</v>
      </c>
      <c r="B4" s="185" t="s">
        <v>358</v>
      </c>
      <c r="C4" s="153"/>
      <c r="D4" s="153"/>
      <c r="E4" s="153"/>
      <c r="F4" s="153"/>
    </row>
    <row r="5" spans="1:6" ht="15.75" customHeight="1" x14ac:dyDescent="0.3">
      <c r="A5" s="45">
        <v>1</v>
      </c>
      <c r="B5" s="45" t="s">
        <v>2</v>
      </c>
      <c r="C5" s="4" t="s">
        <v>10</v>
      </c>
      <c r="D5" s="24">
        <v>5580</v>
      </c>
      <c r="E5" s="24">
        <v>141</v>
      </c>
      <c r="F5" s="45">
        <f>D5*E5</f>
        <v>786780</v>
      </c>
    </row>
    <row r="6" spans="1:6" ht="15.75" customHeight="1" x14ac:dyDescent="0.3">
      <c r="A6" s="45">
        <v>2</v>
      </c>
      <c r="B6" s="45" t="s">
        <v>306</v>
      </c>
      <c r="C6" s="4" t="s">
        <v>285</v>
      </c>
      <c r="D6" s="121"/>
      <c r="E6" s="24"/>
      <c r="F6" s="45">
        <v>1324500</v>
      </c>
    </row>
    <row r="7" spans="1:6" ht="15.75" customHeight="1" x14ac:dyDescent="0.3">
      <c r="A7" s="45">
        <v>3</v>
      </c>
      <c r="B7" s="45" t="s">
        <v>343</v>
      </c>
      <c r="C7" s="4" t="s">
        <v>286</v>
      </c>
      <c r="D7" s="24">
        <v>2200</v>
      </c>
      <c r="E7" s="24">
        <v>500</v>
      </c>
      <c r="F7" s="45">
        <f t="shared" ref="F7" si="0">D7*E7</f>
        <v>1100000</v>
      </c>
    </row>
    <row r="8" spans="1:6" ht="15.75" customHeight="1" x14ac:dyDescent="0.3">
      <c r="A8" s="181"/>
      <c r="B8" s="182" t="s">
        <v>354</v>
      </c>
      <c r="C8" s="183"/>
      <c r="D8" s="184"/>
      <c r="E8" s="184"/>
      <c r="F8" s="183">
        <f>SUM(F5:F7)</f>
        <v>3211280</v>
      </c>
    </row>
  </sheetData>
  <mergeCells count="1">
    <mergeCell ref="A1:F1"/>
  </mergeCells>
  <printOptions horizontalCentered="1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3"/>
  <sheetViews>
    <sheetView view="pageBreakPreview" zoomScale="106" zoomScaleSheetLayoutView="106" workbookViewId="0">
      <selection activeCell="E19" sqref="E19"/>
    </sheetView>
  </sheetViews>
  <sheetFormatPr defaultRowHeight="15.75" x14ac:dyDescent="0.25"/>
  <cols>
    <col min="1" max="1" width="7.28515625" style="15" customWidth="1"/>
    <col min="2" max="2" width="9.140625" style="15"/>
    <col min="3" max="3" width="12.7109375" style="15" customWidth="1"/>
    <col min="4" max="4" width="16" style="16" customWidth="1"/>
    <col min="5" max="5" width="13.5703125" style="16" customWidth="1"/>
    <col min="6" max="6" width="10.85546875" style="16" customWidth="1"/>
    <col min="7" max="8" width="10.85546875" style="15" customWidth="1"/>
    <col min="9" max="9" width="10.85546875" style="16" customWidth="1"/>
    <col min="10" max="10" width="12.7109375" style="15" customWidth="1"/>
    <col min="11" max="11" width="10.85546875" style="109" customWidth="1"/>
    <col min="12" max="12" width="10.85546875" style="15" customWidth="1"/>
    <col min="13" max="16384" width="9.140625" style="15"/>
  </cols>
  <sheetData>
    <row r="1" spans="1:12" x14ac:dyDescent="0.25">
      <c r="B1" s="65" t="s">
        <v>135</v>
      </c>
      <c r="C1" s="16"/>
    </row>
    <row r="2" spans="1:12" x14ac:dyDescent="0.25">
      <c r="B2" s="7" t="s">
        <v>136</v>
      </c>
      <c r="C2" s="16"/>
    </row>
    <row r="3" spans="1:12" x14ac:dyDescent="0.25">
      <c r="B3" s="67"/>
      <c r="C3" s="16"/>
    </row>
    <row r="4" spans="1:12" x14ac:dyDescent="0.25">
      <c r="B4" s="68" t="s">
        <v>356</v>
      </c>
      <c r="C4" s="68"/>
    </row>
    <row r="6" spans="1:12" ht="110.25" x14ac:dyDescent="0.25">
      <c r="A6" s="212" t="s">
        <v>264</v>
      </c>
      <c r="B6" s="212" t="s">
        <v>263</v>
      </c>
      <c r="C6" s="212" t="s">
        <v>24</v>
      </c>
      <c r="D6" s="212" t="s">
        <v>25</v>
      </c>
      <c r="E6" s="212" t="s">
        <v>26</v>
      </c>
      <c r="F6" s="212" t="s">
        <v>27</v>
      </c>
      <c r="G6" s="212" t="s">
        <v>28</v>
      </c>
      <c r="H6" s="212" t="s">
        <v>29</v>
      </c>
      <c r="I6" s="212" t="s">
        <v>30</v>
      </c>
      <c r="J6" s="212" t="s">
        <v>31</v>
      </c>
      <c r="K6" s="212" t="s">
        <v>32</v>
      </c>
      <c r="L6" s="212" t="s">
        <v>33</v>
      </c>
    </row>
    <row r="7" spans="1:12" x14ac:dyDescent="0.25">
      <c r="A7" s="32">
        <v>76</v>
      </c>
      <c r="B7" s="35" t="s">
        <v>331</v>
      </c>
      <c r="C7" s="35">
        <v>1669146</v>
      </c>
      <c r="D7" s="35">
        <v>1917000</v>
      </c>
      <c r="E7" s="35">
        <v>1917000</v>
      </c>
      <c r="F7" s="35">
        <v>287550</v>
      </c>
      <c r="G7" s="35">
        <v>182115</v>
      </c>
      <c r="H7" s="35">
        <v>469665</v>
      </c>
      <c r="I7" s="35">
        <v>469665</v>
      </c>
      <c r="J7" s="35">
        <v>1917000</v>
      </c>
      <c r="K7" s="35">
        <v>65178</v>
      </c>
      <c r="L7" s="35">
        <v>33150</v>
      </c>
    </row>
    <row r="8" spans="1:12" x14ac:dyDescent="0.25">
      <c r="A8" s="32">
        <v>71</v>
      </c>
      <c r="B8" s="35" t="s">
        <v>346</v>
      </c>
      <c r="C8" s="35">
        <v>1629184</v>
      </c>
      <c r="D8" s="35">
        <v>1872000</v>
      </c>
      <c r="E8" s="35">
        <v>1872000</v>
      </c>
      <c r="F8" s="35">
        <v>280800</v>
      </c>
      <c r="G8" s="35">
        <v>177842</v>
      </c>
      <c r="H8" s="35">
        <v>458642</v>
      </c>
      <c r="I8" s="35">
        <v>458642</v>
      </c>
      <c r="J8" s="35">
        <v>1872000</v>
      </c>
      <c r="K8" s="35">
        <v>63648</v>
      </c>
      <c r="L8" s="35">
        <v>33150</v>
      </c>
    </row>
    <row r="9" spans="1:12" x14ac:dyDescent="0.25">
      <c r="A9" s="32">
        <v>71</v>
      </c>
      <c r="B9" s="35" t="s">
        <v>344</v>
      </c>
      <c r="C9" s="35">
        <v>1478876</v>
      </c>
      <c r="D9" s="35">
        <v>1702000</v>
      </c>
      <c r="E9" s="35">
        <v>1702000</v>
      </c>
      <c r="F9" s="35">
        <v>255300</v>
      </c>
      <c r="G9" s="35">
        <v>161690</v>
      </c>
      <c r="H9" s="35">
        <v>416990</v>
      </c>
      <c r="I9" s="35">
        <v>416990</v>
      </c>
      <c r="J9" s="35">
        <v>1702000</v>
      </c>
      <c r="K9" s="35">
        <v>57868</v>
      </c>
      <c r="L9" s="35">
        <v>32500</v>
      </c>
    </row>
    <row r="10" spans="1:12" x14ac:dyDescent="0.25">
      <c r="A10" s="2">
        <v>64</v>
      </c>
      <c r="B10" s="35" t="s">
        <v>19</v>
      </c>
      <c r="C10" s="35">
        <v>1470194</v>
      </c>
      <c r="D10" s="35">
        <v>1686368</v>
      </c>
      <c r="E10" s="35">
        <v>1686368</v>
      </c>
      <c r="F10" s="35">
        <v>252956</v>
      </c>
      <c r="G10" s="35">
        <v>160206</v>
      </c>
      <c r="H10" s="35">
        <v>413162</v>
      </c>
      <c r="I10" s="35">
        <v>413162</v>
      </c>
      <c r="J10" s="35">
        <v>1686368</v>
      </c>
      <c r="K10" s="35">
        <v>57336</v>
      </c>
      <c r="L10" s="35">
        <v>27300</v>
      </c>
    </row>
    <row r="11" spans="1:12" x14ac:dyDescent="0.25">
      <c r="A11" s="2">
        <v>75</v>
      </c>
      <c r="B11" s="35" t="s">
        <v>20</v>
      </c>
      <c r="C11" s="35">
        <v>1555412.5</v>
      </c>
      <c r="D11" s="35">
        <v>1783800</v>
      </c>
      <c r="E11" s="35">
        <v>1783800</v>
      </c>
      <c r="F11" s="35">
        <v>267570</v>
      </c>
      <c r="G11" s="35">
        <v>169463</v>
      </c>
      <c r="H11" s="35">
        <v>437033</v>
      </c>
      <c r="I11" s="35">
        <v>437033</v>
      </c>
      <c r="J11" s="35">
        <v>1783800</v>
      </c>
      <c r="K11" s="35">
        <v>60649</v>
      </c>
      <c r="L11" s="35">
        <v>28600</v>
      </c>
    </row>
    <row r="12" spans="1:12" x14ac:dyDescent="0.25">
      <c r="A12" s="2">
        <v>70</v>
      </c>
      <c r="B12" s="35" t="s">
        <v>21</v>
      </c>
      <c r="C12" s="35">
        <v>1716025</v>
      </c>
      <c r="D12" s="35">
        <v>1967600</v>
      </c>
      <c r="E12" s="35">
        <v>1967600</v>
      </c>
      <c r="F12" s="35">
        <v>295140</v>
      </c>
      <c r="G12" s="35">
        <v>186926</v>
      </c>
      <c r="H12" s="35">
        <v>482066</v>
      </c>
      <c r="I12" s="35">
        <v>482066</v>
      </c>
      <c r="J12" s="35">
        <v>1967600</v>
      </c>
      <c r="K12" s="35">
        <v>66898</v>
      </c>
      <c r="L12" s="35">
        <v>31200</v>
      </c>
    </row>
    <row r="13" spans="1:12" x14ac:dyDescent="0.25">
      <c r="A13" s="2">
        <v>83</v>
      </c>
      <c r="B13" s="35" t="s">
        <v>22</v>
      </c>
      <c r="C13" s="35">
        <v>1852601.5</v>
      </c>
      <c r="D13" s="35">
        <v>2121400</v>
      </c>
      <c r="E13" s="35">
        <v>2121400</v>
      </c>
      <c r="F13" s="35">
        <v>318210</v>
      </c>
      <c r="G13" s="35">
        <v>201535</v>
      </c>
      <c r="H13" s="35">
        <v>519745</v>
      </c>
      <c r="I13" s="35">
        <v>519745</v>
      </c>
      <c r="J13" s="35">
        <v>2121400</v>
      </c>
      <c r="K13" s="35">
        <v>72127</v>
      </c>
      <c r="L13" s="35">
        <v>31200</v>
      </c>
    </row>
    <row r="14" spans="1:12" x14ac:dyDescent="0.25">
      <c r="A14" s="2">
        <v>74</v>
      </c>
      <c r="B14" s="35" t="s">
        <v>13</v>
      </c>
      <c r="C14" s="35">
        <v>1881552</v>
      </c>
      <c r="D14" s="35">
        <v>2154000</v>
      </c>
      <c r="E14" s="35">
        <v>2154000</v>
      </c>
      <c r="F14" s="35">
        <v>323100</v>
      </c>
      <c r="G14" s="35">
        <v>204630</v>
      </c>
      <c r="H14" s="35">
        <v>527730</v>
      </c>
      <c r="I14" s="35">
        <v>527730</v>
      </c>
      <c r="J14" s="35">
        <v>2154000</v>
      </c>
      <c r="K14" s="35">
        <v>73236</v>
      </c>
      <c r="L14" s="35">
        <v>31200</v>
      </c>
    </row>
    <row r="15" spans="1:12" x14ac:dyDescent="0.25">
      <c r="A15" s="2">
        <v>73</v>
      </c>
      <c r="B15" s="35" t="s">
        <v>14</v>
      </c>
      <c r="C15" s="35">
        <v>1919201</v>
      </c>
      <c r="D15" s="35">
        <v>2196400</v>
      </c>
      <c r="E15" s="35">
        <v>2196400</v>
      </c>
      <c r="F15" s="35">
        <v>329460</v>
      </c>
      <c r="G15" s="35">
        <v>208660</v>
      </c>
      <c r="H15" s="35">
        <v>538120</v>
      </c>
      <c r="I15" s="35">
        <v>538120</v>
      </c>
      <c r="J15" s="35">
        <v>2196400</v>
      </c>
      <c r="K15" s="35">
        <v>74678</v>
      </c>
      <c r="L15" s="35">
        <v>31200</v>
      </c>
    </row>
    <row r="16" spans="1:12" x14ac:dyDescent="0.25">
      <c r="A16" s="2">
        <v>82</v>
      </c>
      <c r="B16" s="35" t="s">
        <v>15</v>
      </c>
      <c r="C16" s="35">
        <v>1971240</v>
      </c>
      <c r="D16" s="35">
        <v>2255000</v>
      </c>
      <c r="E16" s="35">
        <v>2255000</v>
      </c>
      <c r="F16" s="35">
        <v>338250</v>
      </c>
      <c r="G16" s="35">
        <v>214225</v>
      </c>
      <c r="H16" s="35">
        <v>552475</v>
      </c>
      <c r="I16" s="35">
        <v>552475</v>
      </c>
      <c r="J16" s="35">
        <v>2255000</v>
      </c>
      <c r="K16" s="35">
        <v>76670</v>
      </c>
      <c r="L16" s="35">
        <v>31200</v>
      </c>
    </row>
    <row r="17" spans="1:12" x14ac:dyDescent="0.25">
      <c r="A17" s="2">
        <v>83</v>
      </c>
      <c r="B17" s="35" t="s">
        <v>16</v>
      </c>
      <c r="C17" s="35">
        <v>1850650</v>
      </c>
      <c r="D17" s="35">
        <v>2119200</v>
      </c>
      <c r="E17" s="35">
        <v>2119200</v>
      </c>
      <c r="F17" s="35">
        <v>317880</v>
      </c>
      <c r="G17" s="35">
        <v>201324</v>
      </c>
      <c r="H17" s="35">
        <v>519204</v>
      </c>
      <c r="I17" s="35">
        <v>519204</v>
      </c>
      <c r="J17" s="35">
        <v>2119200</v>
      </c>
      <c r="K17" s="35">
        <v>72052</v>
      </c>
      <c r="L17" s="35">
        <v>31200</v>
      </c>
    </row>
    <row r="18" spans="1:12" x14ac:dyDescent="0.25">
      <c r="A18" s="2">
        <v>81</v>
      </c>
      <c r="B18" s="35" t="s">
        <v>23</v>
      </c>
      <c r="C18" s="35">
        <v>2017416</v>
      </c>
      <c r="D18" s="35">
        <v>2307000</v>
      </c>
      <c r="E18" s="35">
        <v>2307000</v>
      </c>
      <c r="F18" s="35">
        <v>346050</v>
      </c>
      <c r="G18" s="35">
        <v>219165</v>
      </c>
      <c r="H18" s="35">
        <v>565215</v>
      </c>
      <c r="I18" s="35">
        <v>565215</v>
      </c>
      <c r="J18" s="35">
        <v>2307000</v>
      </c>
      <c r="K18" s="35">
        <v>78438</v>
      </c>
      <c r="L18" s="35">
        <v>31200</v>
      </c>
    </row>
    <row r="19" spans="1:12" x14ac:dyDescent="0.25">
      <c r="A19" s="213">
        <f>AVERAGE(A7:A18)</f>
        <v>75.25</v>
      </c>
      <c r="B19" s="101" t="s">
        <v>7</v>
      </c>
      <c r="C19" s="101">
        <f>SUM(C7:C18)</f>
        <v>21011498</v>
      </c>
      <c r="D19" s="101">
        <f t="shared" ref="D19:L19" si="0">SUM(D7:D18)</f>
        <v>24081768</v>
      </c>
      <c r="E19" s="101">
        <f t="shared" si="0"/>
        <v>24081768</v>
      </c>
      <c r="F19" s="101">
        <f t="shared" si="0"/>
        <v>3612266</v>
      </c>
      <c r="G19" s="101">
        <f t="shared" si="0"/>
        <v>2287781</v>
      </c>
      <c r="H19" s="101">
        <f t="shared" si="0"/>
        <v>5900047</v>
      </c>
      <c r="I19" s="101">
        <f t="shared" si="0"/>
        <v>5900047</v>
      </c>
      <c r="J19" s="101">
        <f t="shared" si="0"/>
        <v>24081768</v>
      </c>
      <c r="K19" s="101">
        <f t="shared" si="0"/>
        <v>818778</v>
      </c>
      <c r="L19" s="101">
        <f t="shared" si="0"/>
        <v>373100</v>
      </c>
    </row>
    <row r="20" spans="1:12" x14ac:dyDescent="0.25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</row>
    <row r="21" spans="1:12" x14ac:dyDescent="0.25">
      <c r="B21" s="15" t="s">
        <v>265</v>
      </c>
      <c r="D21" s="15"/>
      <c r="E21" s="193">
        <f>D19</f>
        <v>24081768</v>
      </c>
    </row>
    <row r="22" spans="1:12" x14ac:dyDescent="0.25">
      <c r="B22" s="15" t="s">
        <v>266</v>
      </c>
      <c r="D22" s="15"/>
      <c r="E22" s="193">
        <f>F19+K19/2</f>
        <v>4021655</v>
      </c>
      <c r="F22" s="216"/>
    </row>
    <row r="23" spans="1:12" x14ac:dyDescent="0.25">
      <c r="B23" s="15" t="s">
        <v>267</v>
      </c>
      <c r="E23" s="193">
        <v>71</v>
      </c>
      <c r="G23" s="16"/>
      <c r="H23" s="16"/>
    </row>
  </sheetData>
  <pageMargins left="0.7" right="0.7" top="0.75" bottom="0.75" header="0.3" footer="0.3"/>
  <pageSetup scale="8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8"/>
  <sheetViews>
    <sheetView view="pageBreakPreview" topLeftCell="A13" zoomScaleSheetLayoutView="100" workbookViewId="0">
      <selection activeCell="F54" sqref="F54"/>
    </sheetView>
  </sheetViews>
  <sheetFormatPr defaultRowHeight="15.75" x14ac:dyDescent="0.25"/>
  <cols>
    <col min="1" max="1" width="39.7109375" style="15" customWidth="1"/>
    <col min="2" max="2" width="13" style="15" customWidth="1"/>
    <col min="3" max="3" width="13.85546875" style="99" customWidth="1"/>
    <col min="4" max="4" width="12.5703125" style="15" customWidth="1"/>
    <col min="5" max="5" width="13.140625" style="15" customWidth="1"/>
    <col min="6" max="6" width="14.140625" style="15" customWidth="1"/>
    <col min="7" max="8" width="10.42578125" style="454" bestFit="1" customWidth="1"/>
    <col min="9" max="234" width="9.140625" style="15"/>
    <col min="235" max="235" width="39" style="15" customWidth="1"/>
    <col min="236" max="236" width="13" style="15" customWidth="1"/>
    <col min="237" max="237" width="11.42578125" style="15" customWidth="1"/>
    <col min="238" max="238" width="12.5703125" style="15" customWidth="1"/>
    <col min="239" max="239" width="15.5703125" style="15" customWidth="1"/>
    <col min="240" max="240" width="9.140625" style="15"/>
    <col min="241" max="241" width="11.85546875" style="15" customWidth="1"/>
    <col min="242" max="242" width="10.5703125" style="15" customWidth="1"/>
    <col min="243" max="490" width="9.140625" style="15"/>
    <col min="491" max="491" width="39" style="15" customWidth="1"/>
    <col min="492" max="492" width="13" style="15" customWidth="1"/>
    <col min="493" max="493" width="11.42578125" style="15" customWidth="1"/>
    <col min="494" max="494" width="12.5703125" style="15" customWidth="1"/>
    <col min="495" max="495" width="15.5703125" style="15" customWidth="1"/>
    <col min="496" max="496" width="9.140625" style="15"/>
    <col min="497" max="497" width="11.85546875" style="15" customWidth="1"/>
    <col min="498" max="498" width="10.5703125" style="15" customWidth="1"/>
    <col min="499" max="746" width="9.140625" style="15"/>
    <col min="747" max="747" width="39" style="15" customWidth="1"/>
    <col min="748" max="748" width="13" style="15" customWidth="1"/>
    <col min="749" max="749" width="11.42578125" style="15" customWidth="1"/>
    <col min="750" max="750" width="12.5703125" style="15" customWidth="1"/>
    <col min="751" max="751" width="15.5703125" style="15" customWidth="1"/>
    <col min="752" max="752" width="9.140625" style="15"/>
    <col min="753" max="753" width="11.85546875" style="15" customWidth="1"/>
    <col min="754" max="754" width="10.5703125" style="15" customWidth="1"/>
    <col min="755" max="1002" width="9.140625" style="15"/>
    <col min="1003" max="1003" width="39" style="15" customWidth="1"/>
    <col min="1004" max="1004" width="13" style="15" customWidth="1"/>
    <col min="1005" max="1005" width="11.42578125" style="15" customWidth="1"/>
    <col min="1006" max="1006" width="12.5703125" style="15" customWidth="1"/>
    <col min="1007" max="1007" width="15.5703125" style="15" customWidth="1"/>
    <col min="1008" max="1008" width="9.140625" style="15"/>
    <col min="1009" max="1009" width="11.85546875" style="15" customWidth="1"/>
    <col min="1010" max="1010" width="10.5703125" style="15" customWidth="1"/>
    <col min="1011" max="1258" width="9.140625" style="15"/>
    <col min="1259" max="1259" width="39" style="15" customWidth="1"/>
    <col min="1260" max="1260" width="13" style="15" customWidth="1"/>
    <col min="1261" max="1261" width="11.42578125" style="15" customWidth="1"/>
    <col min="1262" max="1262" width="12.5703125" style="15" customWidth="1"/>
    <col min="1263" max="1263" width="15.5703125" style="15" customWidth="1"/>
    <col min="1264" max="1264" width="9.140625" style="15"/>
    <col min="1265" max="1265" width="11.85546875" style="15" customWidth="1"/>
    <col min="1266" max="1266" width="10.5703125" style="15" customWidth="1"/>
    <col min="1267" max="1514" width="9.140625" style="15"/>
    <col min="1515" max="1515" width="39" style="15" customWidth="1"/>
    <col min="1516" max="1516" width="13" style="15" customWidth="1"/>
    <col min="1517" max="1517" width="11.42578125" style="15" customWidth="1"/>
    <col min="1518" max="1518" width="12.5703125" style="15" customWidth="1"/>
    <col min="1519" max="1519" width="15.5703125" style="15" customWidth="1"/>
    <col min="1520" max="1520" width="9.140625" style="15"/>
    <col min="1521" max="1521" width="11.85546875" style="15" customWidth="1"/>
    <col min="1522" max="1522" width="10.5703125" style="15" customWidth="1"/>
    <col min="1523" max="1770" width="9.140625" style="15"/>
    <col min="1771" max="1771" width="39" style="15" customWidth="1"/>
    <col min="1772" max="1772" width="13" style="15" customWidth="1"/>
    <col min="1773" max="1773" width="11.42578125" style="15" customWidth="1"/>
    <col min="1774" max="1774" width="12.5703125" style="15" customWidth="1"/>
    <col min="1775" max="1775" width="15.5703125" style="15" customWidth="1"/>
    <col min="1776" max="1776" width="9.140625" style="15"/>
    <col min="1777" max="1777" width="11.85546875" style="15" customWidth="1"/>
    <col min="1778" max="1778" width="10.5703125" style="15" customWidth="1"/>
    <col min="1779" max="2026" width="9.140625" style="15"/>
    <col min="2027" max="2027" width="39" style="15" customWidth="1"/>
    <col min="2028" max="2028" width="13" style="15" customWidth="1"/>
    <col min="2029" max="2029" width="11.42578125" style="15" customWidth="1"/>
    <col min="2030" max="2030" width="12.5703125" style="15" customWidth="1"/>
    <col min="2031" max="2031" width="15.5703125" style="15" customWidth="1"/>
    <col min="2032" max="2032" width="9.140625" style="15"/>
    <col min="2033" max="2033" width="11.85546875" style="15" customWidth="1"/>
    <col min="2034" max="2034" width="10.5703125" style="15" customWidth="1"/>
    <col min="2035" max="2282" width="9.140625" style="15"/>
    <col min="2283" max="2283" width="39" style="15" customWidth="1"/>
    <col min="2284" max="2284" width="13" style="15" customWidth="1"/>
    <col min="2285" max="2285" width="11.42578125" style="15" customWidth="1"/>
    <col min="2286" max="2286" width="12.5703125" style="15" customWidth="1"/>
    <col min="2287" max="2287" width="15.5703125" style="15" customWidth="1"/>
    <col min="2288" max="2288" width="9.140625" style="15"/>
    <col min="2289" max="2289" width="11.85546875" style="15" customWidth="1"/>
    <col min="2290" max="2290" width="10.5703125" style="15" customWidth="1"/>
    <col min="2291" max="2538" width="9.140625" style="15"/>
    <col min="2539" max="2539" width="39" style="15" customWidth="1"/>
    <col min="2540" max="2540" width="13" style="15" customWidth="1"/>
    <col min="2541" max="2541" width="11.42578125" style="15" customWidth="1"/>
    <col min="2542" max="2542" width="12.5703125" style="15" customWidth="1"/>
    <col min="2543" max="2543" width="15.5703125" style="15" customWidth="1"/>
    <col min="2544" max="2544" width="9.140625" style="15"/>
    <col min="2545" max="2545" width="11.85546875" style="15" customWidth="1"/>
    <col min="2546" max="2546" width="10.5703125" style="15" customWidth="1"/>
    <col min="2547" max="2794" width="9.140625" style="15"/>
    <col min="2795" max="2795" width="39" style="15" customWidth="1"/>
    <col min="2796" max="2796" width="13" style="15" customWidth="1"/>
    <col min="2797" max="2797" width="11.42578125" style="15" customWidth="1"/>
    <col min="2798" max="2798" width="12.5703125" style="15" customWidth="1"/>
    <col min="2799" max="2799" width="15.5703125" style="15" customWidth="1"/>
    <col min="2800" max="2800" width="9.140625" style="15"/>
    <col min="2801" max="2801" width="11.85546875" style="15" customWidth="1"/>
    <col min="2802" max="2802" width="10.5703125" style="15" customWidth="1"/>
    <col min="2803" max="3050" width="9.140625" style="15"/>
    <col min="3051" max="3051" width="39" style="15" customWidth="1"/>
    <col min="3052" max="3052" width="13" style="15" customWidth="1"/>
    <col min="3053" max="3053" width="11.42578125" style="15" customWidth="1"/>
    <col min="3054" max="3054" width="12.5703125" style="15" customWidth="1"/>
    <col min="3055" max="3055" width="15.5703125" style="15" customWidth="1"/>
    <col min="3056" max="3056" width="9.140625" style="15"/>
    <col min="3057" max="3057" width="11.85546875" style="15" customWidth="1"/>
    <col min="3058" max="3058" width="10.5703125" style="15" customWidth="1"/>
    <col min="3059" max="3306" width="9.140625" style="15"/>
    <col min="3307" max="3307" width="39" style="15" customWidth="1"/>
    <col min="3308" max="3308" width="13" style="15" customWidth="1"/>
    <col min="3309" max="3309" width="11.42578125" style="15" customWidth="1"/>
    <col min="3310" max="3310" width="12.5703125" style="15" customWidth="1"/>
    <col min="3311" max="3311" width="15.5703125" style="15" customWidth="1"/>
    <col min="3312" max="3312" width="9.140625" style="15"/>
    <col min="3313" max="3313" width="11.85546875" style="15" customWidth="1"/>
    <col min="3314" max="3314" width="10.5703125" style="15" customWidth="1"/>
    <col min="3315" max="3562" width="9.140625" style="15"/>
    <col min="3563" max="3563" width="39" style="15" customWidth="1"/>
    <col min="3564" max="3564" width="13" style="15" customWidth="1"/>
    <col min="3565" max="3565" width="11.42578125" style="15" customWidth="1"/>
    <col min="3566" max="3566" width="12.5703125" style="15" customWidth="1"/>
    <col min="3567" max="3567" width="15.5703125" style="15" customWidth="1"/>
    <col min="3568" max="3568" width="9.140625" style="15"/>
    <col min="3569" max="3569" width="11.85546875" style="15" customWidth="1"/>
    <col min="3570" max="3570" width="10.5703125" style="15" customWidth="1"/>
    <col min="3571" max="3818" width="9.140625" style="15"/>
    <col min="3819" max="3819" width="39" style="15" customWidth="1"/>
    <col min="3820" max="3820" width="13" style="15" customWidth="1"/>
    <col min="3821" max="3821" width="11.42578125" style="15" customWidth="1"/>
    <col min="3822" max="3822" width="12.5703125" style="15" customWidth="1"/>
    <col min="3823" max="3823" width="15.5703125" style="15" customWidth="1"/>
    <col min="3824" max="3824" width="9.140625" style="15"/>
    <col min="3825" max="3825" width="11.85546875" style="15" customWidth="1"/>
    <col min="3826" max="3826" width="10.5703125" style="15" customWidth="1"/>
    <col min="3827" max="4074" width="9.140625" style="15"/>
    <col min="4075" max="4075" width="39" style="15" customWidth="1"/>
    <col min="4076" max="4076" width="13" style="15" customWidth="1"/>
    <col min="4077" max="4077" width="11.42578125" style="15" customWidth="1"/>
    <col min="4078" max="4078" width="12.5703125" style="15" customWidth="1"/>
    <col min="4079" max="4079" width="15.5703125" style="15" customWidth="1"/>
    <col min="4080" max="4080" width="9.140625" style="15"/>
    <col min="4081" max="4081" width="11.85546875" style="15" customWidth="1"/>
    <col min="4082" max="4082" width="10.5703125" style="15" customWidth="1"/>
    <col min="4083" max="4330" width="9.140625" style="15"/>
    <col min="4331" max="4331" width="39" style="15" customWidth="1"/>
    <col min="4332" max="4332" width="13" style="15" customWidth="1"/>
    <col min="4333" max="4333" width="11.42578125" style="15" customWidth="1"/>
    <col min="4334" max="4334" width="12.5703125" style="15" customWidth="1"/>
    <col min="4335" max="4335" width="15.5703125" style="15" customWidth="1"/>
    <col min="4336" max="4336" width="9.140625" style="15"/>
    <col min="4337" max="4337" width="11.85546875" style="15" customWidth="1"/>
    <col min="4338" max="4338" width="10.5703125" style="15" customWidth="1"/>
    <col min="4339" max="4586" width="9.140625" style="15"/>
    <col min="4587" max="4587" width="39" style="15" customWidth="1"/>
    <col min="4588" max="4588" width="13" style="15" customWidth="1"/>
    <col min="4589" max="4589" width="11.42578125" style="15" customWidth="1"/>
    <col min="4590" max="4590" width="12.5703125" style="15" customWidth="1"/>
    <col min="4591" max="4591" width="15.5703125" style="15" customWidth="1"/>
    <col min="4592" max="4592" width="9.140625" style="15"/>
    <col min="4593" max="4593" width="11.85546875" style="15" customWidth="1"/>
    <col min="4594" max="4594" width="10.5703125" style="15" customWidth="1"/>
    <col min="4595" max="4842" width="9.140625" style="15"/>
    <col min="4843" max="4843" width="39" style="15" customWidth="1"/>
    <col min="4844" max="4844" width="13" style="15" customWidth="1"/>
    <col min="4845" max="4845" width="11.42578125" style="15" customWidth="1"/>
    <col min="4846" max="4846" width="12.5703125" style="15" customWidth="1"/>
    <col min="4847" max="4847" width="15.5703125" style="15" customWidth="1"/>
    <col min="4848" max="4848" width="9.140625" style="15"/>
    <col min="4849" max="4849" width="11.85546875" style="15" customWidth="1"/>
    <col min="4850" max="4850" width="10.5703125" style="15" customWidth="1"/>
    <col min="4851" max="5098" width="9.140625" style="15"/>
    <col min="5099" max="5099" width="39" style="15" customWidth="1"/>
    <col min="5100" max="5100" width="13" style="15" customWidth="1"/>
    <col min="5101" max="5101" width="11.42578125" style="15" customWidth="1"/>
    <col min="5102" max="5102" width="12.5703125" style="15" customWidth="1"/>
    <col min="5103" max="5103" width="15.5703125" style="15" customWidth="1"/>
    <col min="5104" max="5104" width="9.140625" style="15"/>
    <col min="5105" max="5105" width="11.85546875" style="15" customWidth="1"/>
    <col min="5106" max="5106" width="10.5703125" style="15" customWidth="1"/>
    <col min="5107" max="5354" width="9.140625" style="15"/>
    <col min="5355" max="5355" width="39" style="15" customWidth="1"/>
    <col min="5356" max="5356" width="13" style="15" customWidth="1"/>
    <col min="5357" max="5357" width="11.42578125" style="15" customWidth="1"/>
    <col min="5358" max="5358" width="12.5703125" style="15" customWidth="1"/>
    <col min="5359" max="5359" width="15.5703125" style="15" customWidth="1"/>
    <col min="5360" max="5360" width="9.140625" style="15"/>
    <col min="5361" max="5361" width="11.85546875" style="15" customWidth="1"/>
    <col min="5362" max="5362" width="10.5703125" style="15" customWidth="1"/>
    <col min="5363" max="5610" width="9.140625" style="15"/>
    <col min="5611" max="5611" width="39" style="15" customWidth="1"/>
    <col min="5612" max="5612" width="13" style="15" customWidth="1"/>
    <col min="5613" max="5613" width="11.42578125" style="15" customWidth="1"/>
    <col min="5614" max="5614" width="12.5703125" style="15" customWidth="1"/>
    <col min="5615" max="5615" width="15.5703125" style="15" customWidth="1"/>
    <col min="5616" max="5616" width="9.140625" style="15"/>
    <col min="5617" max="5617" width="11.85546875" style="15" customWidth="1"/>
    <col min="5618" max="5618" width="10.5703125" style="15" customWidth="1"/>
    <col min="5619" max="5866" width="9.140625" style="15"/>
    <col min="5867" max="5867" width="39" style="15" customWidth="1"/>
    <col min="5868" max="5868" width="13" style="15" customWidth="1"/>
    <col min="5869" max="5869" width="11.42578125" style="15" customWidth="1"/>
    <col min="5870" max="5870" width="12.5703125" style="15" customWidth="1"/>
    <col min="5871" max="5871" width="15.5703125" style="15" customWidth="1"/>
    <col min="5872" max="5872" width="9.140625" style="15"/>
    <col min="5873" max="5873" width="11.85546875" style="15" customWidth="1"/>
    <col min="5874" max="5874" width="10.5703125" style="15" customWidth="1"/>
    <col min="5875" max="6122" width="9.140625" style="15"/>
    <col min="6123" max="6123" width="39" style="15" customWidth="1"/>
    <col min="6124" max="6124" width="13" style="15" customWidth="1"/>
    <col min="6125" max="6125" width="11.42578125" style="15" customWidth="1"/>
    <col min="6126" max="6126" width="12.5703125" style="15" customWidth="1"/>
    <col min="6127" max="6127" width="15.5703125" style="15" customWidth="1"/>
    <col min="6128" max="6128" width="9.140625" style="15"/>
    <col min="6129" max="6129" width="11.85546875" style="15" customWidth="1"/>
    <col min="6130" max="6130" width="10.5703125" style="15" customWidth="1"/>
    <col min="6131" max="6378" width="9.140625" style="15"/>
    <col min="6379" max="6379" width="39" style="15" customWidth="1"/>
    <col min="6380" max="6380" width="13" style="15" customWidth="1"/>
    <col min="6381" max="6381" width="11.42578125" style="15" customWidth="1"/>
    <col min="6382" max="6382" width="12.5703125" style="15" customWidth="1"/>
    <col min="6383" max="6383" width="15.5703125" style="15" customWidth="1"/>
    <col min="6384" max="6384" width="9.140625" style="15"/>
    <col min="6385" max="6385" width="11.85546875" style="15" customWidth="1"/>
    <col min="6386" max="6386" width="10.5703125" style="15" customWidth="1"/>
    <col min="6387" max="6634" width="9.140625" style="15"/>
    <col min="6635" max="6635" width="39" style="15" customWidth="1"/>
    <col min="6636" max="6636" width="13" style="15" customWidth="1"/>
    <col min="6637" max="6637" width="11.42578125" style="15" customWidth="1"/>
    <col min="6638" max="6638" width="12.5703125" style="15" customWidth="1"/>
    <col min="6639" max="6639" width="15.5703125" style="15" customWidth="1"/>
    <col min="6640" max="6640" width="9.140625" style="15"/>
    <col min="6641" max="6641" width="11.85546875" style="15" customWidth="1"/>
    <col min="6642" max="6642" width="10.5703125" style="15" customWidth="1"/>
    <col min="6643" max="6890" width="9.140625" style="15"/>
    <col min="6891" max="6891" width="39" style="15" customWidth="1"/>
    <col min="6892" max="6892" width="13" style="15" customWidth="1"/>
    <col min="6893" max="6893" width="11.42578125" style="15" customWidth="1"/>
    <col min="6894" max="6894" width="12.5703125" style="15" customWidth="1"/>
    <col min="6895" max="6895" width="15.5703125" style="15" customWidth="1"/>
    <col min="6896" max="6896" width="9.140625" style="15"/>
    <col min="6897" max="6897" width="11.85546875" style="15" customWidth="1"/>
    <col min="6898" max="6898" width="10.5703125" style="15" customWidth="1"/>
    <col min="6899" max="7146" width="9.140625" style="15"/>
    <col min="7147" max="7147" width="39" style="15" customWidth="1"/>
    <col min="7148" max="7148" width="13" style="15" customWidth="1"/>
    <col min="7149" max="7149" width="11.42578125" style="15" customWidth="1"/>
    <col min="7150" max="7150" width="12.5703125" style="15" customWidth="1"/>
    <col min="7151" max="7151" width="15.5703125" style="15" customWidth="1"/>
    <col min="7152" max="7152" width="9.140625" style="15"/>
    <col min="7153" max="7153" width="11.85546875" style="15" customWidth="1"/>
    <col min="7154" max="7154" width="10.5703125" style="15" customWidth="1"/>
    <col min="7155" max="7402" width="9.140625" style="15"/>
    <col min="7403" max="7403" width="39" style="15" customWidth="1"/>
    <col min="7404" max="7404" width="13" style="15" customWidth="1"/>
    <col min="7405" max="7405" width="11.42578125" style="15" customWidth="1"/>
    <col min="7406" max="7406" width="12.5703125" style="15" customWidth="1"/>
    <col min="7407" max="7407" width="15.5703125" style="15" customWidth="1"/>
    <col min="7408" max="7408" width="9.140625" style="15"/>
    <col min="7409" max="7409" width="11.85546875" style="15" customWidth="1"/>
    <col min="7410" max="7410" width="10.5703125" style="15" customWidth="1"/>
    <col min="7411" max="7658" width="9.140625" style="15"/>
    <col min="7659" max="7659" width="39" style="15" customWidth="1"/>
    <col min="7660" max="7660" width="13" style="15" customWidth="1"/>
    <col min="7661" max="7661" width="11.42578125" style="15" customWidth="1"/>
    <col min="7662" max="7662" width="12.5703125" style="15" customWidth="1"/>
    <col min="7663" max="7663" width="15.5703125" style="15" customWidth="1"/>
    <col min="7664" max="7664" width="9.140625" style="15"/>
    <col min="7665" max="7665" width="11.85546875" style="15" customWidth="1"/>
    <col min="7666" max="7666" width="10.5703125" style="15" customWidth="1"/>
    <col min="7667" max="7914" width="9.140625" style="15"/>
    <col min="7915" max="7915" width="39" style="15" customWidth="1"/>
    <col min="7916" max="7916" width="13" style="15" customWidth="1"/>
    <col min="7917" max="7917" width="11.42578125" style="15" customWidth="1"/>
    <col min="7918" max="7918" width="12.5703125" style="15" customWidth="1"/>
    <col min="7919" max="7919" width="15.5703125" style="15" customWidth="1"/>
    <col min="7920" max="7920" width="9.140625" style="15"/>
    <col min="7921" max="7921" width="11.85546875" style="15" customWidth="1"/>
    <col min="7922" max="7922" width="10.5703125" style="15" customWidth="1"/>
    <col min="7923" max="8170" width="9.140625" style="15"/>
    <col min="8171" max="8171" width="39" style="15" customWidth="1"/>
    <col min="8172" max="8172" width="13" style="15" customWidth="1"/>
    <col min="8173" max="8173" width="11.42578125" style="15" customWidth="1"/>
    <col min="8174" max="8174" width="12.5703125" style="15" customWidth="1"/>
    <col min="8175" max="8175" width="15.5703125" style="15" customWidth="1"/>
    <col min="8176" max="8176" width="9.140625" style="15"/>
    <col min="8177" max="8177" width="11.85546875" style="15" customWidth="1"/>
    <col min="8178" max="8178" width="10.5703125" style="15" customWidth="1"/>
    <col min="8179" max="8426" width="9.140625" style="15"/>
    <col min="8427" max="8427" width="39" style="15" customWidth="1"/>
    <col min="8428" max="8428" width="13" style="15" customWidth="1"/>
    <col min="8429" max="8429" width="11.42578125" style="15" customWidth="1"/>
    <col min="8430" max="8430" width="12.5703125" style="15" customWidth="1"/>
    <col min="8431" max="8431" width="15.5703125" style="15" customWidth="1"/>
    <col min="8432" max="8432" width="9.140625" style="15"/>
    <col min="8433" max="8433" width="11.85546875" style="15" customWidth="1"/>
    <col min="8434" max="8434" width="10.5703125" style="15" customWidth="1"/>
    <col min="8435" max="8682" width="9.140625" style="15"/>
    <col min="8683" max="8683" width="39" style="15" customWidth="1"/>
    <col min="8684" max="8684" width="13" style="15" customWidth="1"/>
    <col min="8685" max="8685" width="11.42578125" style="15" customWidth="1"/>
    <col min="8686" max="8686" width="12.5703125" style="15" customWidth="1"/>
    <col min="8687" max="8687" width="15.5703125" style="15" customWidth="1"/>
    <col min="8688" max="8688" width="9.140625" style="15"/>
    <col min="8689" max="8689" width="11.85546875" style="15" customWidth="1"/>
    <col min="8690" max="8690" width="10.5703125" style="15" customWidth="1"/>
    <col min="8691" max="8938" width="9.140625" style="15"/>
    <col min="8939" max="8939" width="39" style="15" customWidth="1"/>
    <col min="8940" max="8940" width="13" style="15" customWidth="1"/>
    <col min="8941" max="8941" width="11.42578125" style="15" customWidth="1"/>
    <col min="8942" max="8942" width="12.5703125" style="15" customWidth="1"/>
    <col min="8943" max="8943" width="15.5703125" style="15" customWidth="1"/>
    <col min="8944" max="8944" width="9.140625" style="15"/>
    <col min="8945" max="8945" width="11.85546875" style="15" customWidth="1"/>
    <col min="8946" max="8946" width="10.5703125" style="15" customWidth="1"/>
    <col min="8947" max="9194" width="9.140625" style="15"/>
    <col min="9195" max="9195" width="39" style="15" customWidth="1"/>
    <col min="9196" max="9196" width="13" style="15" customWidth="1"/>
    <col min="9197" max="9197" width="11.42578125" style="15" customWidth="1"/>
    <col min="9198" max="9198" width="12.5703125" style="15" customWidth="1"/>
    <col min="9199" max="9199" width="15.5703125" style="15" customWidth="1"/>
    <col min="9200" max="9200" width="9.140625" style="15"/>
    <col min="9201" max="9201" width="11.85546875" style="15" customWidth="1"/>
    <col min="9202" max="9202" width="10.5703125" style="15" customWidth="1"/>
    <col min="9203" max="9450" width="9.140625" style="15"/>
    <col min="9451" max="9451" width="39" style="15" customWidth="1"/>
    <col min="9452" max="9452" width="13" style="15" customWidth="1"/>
    <col min="9453" max="9453" width="11.42578125" style="15" customWidth="1"/>
    <col min="9454" max="9454" width="12.5703125" style="15" customWidth="1"/>
    <col min="9455" max="9455" width="15.5703125" style="15" customWidth="1"/>
    <col min="9456" max="9456" width="9.140625" style="15"/>
    <col min="9457" max="9457" width="11.85546875" style="15" customWidth="1"/>
    <col min="9458" max="9458" width="10.5703125" style="15" customWidth="1"/>
    <col min="9459" max="9706" width="9.140625" style="15"/>
    <col min="9707" max="9707" width="39" style="15" customWidth="1"/>
    <col min="9708" max="9708" width="13" style="15" customWidth="1"/>
    <col min="9709" max="9709" width="11.42578125" style="15" customWidth="1"/>
    <col min="9710" max="9710" width="12.5703125" style="15" customWidth="1"/>
    <col min="9711" max="9711" width="15.5703125" style="15" customWidth="1"/>
    <col min="9712" max="9712" width="9.140625" style="15"/>
    <col min="9713" max="9713" width="11.85546875" style="15" customWidth="1"/>
    <col min="9714" max="9714" width="10.5703125" style="15" customWidth="1"/>
    <col min="9715" max="9962" width="9.140625" style="15"/>
    <col min="9963" max="9963" width="39" style="15" customWidth="1"/>
    <col min="9964" max="9964" width="13" style="15" customWidth="1"/>
    <col min="9965" max="9965" width="11.42578125" style="15" customWidth="1"/>
    <col min="9966" max="9966" width="12.5703125" style="15" customWidth="1"/>
    <col min="9967" max="9967" width="15.5703125" style="15" customWidth="1"/>
    <col min="9968" max="9968" width="9.140625" style="15"/>
    <col min="9969" max="9969" width="11.85546875" style="15" customWidth="1"/>
    <col min="9970" max="9970" width="10.5703125" style="15" customWidth="1"/>
    <col min="9971" max="10218" width="9.140625" style="15"/>
    <col min="10219" max="10219" width="39" style="15" customWidth="1"/>
    <col min="10220" max="10220" width="13" style="15" customWidth="1"/>
    <col min="10221" max="10221" width="11.42578125" style="15" customWidth="1"/>
    <col min="10222" max="10222" width="12.5703125" style="15" customWidth="1"/>
    <col min="10223" max="10223" width="15.5703125" style="15" customWidth="1"/>
    <col min="10224" max="10224" width="9.140625" style="15"/>
    <col min="10225" max="10225" width="11.85546875" style="15" customWidth="1"/>
    <col min="10226" max="10226" width="10.5703125" style="15" customWidth="1"/>
    <col min="10227" max="10474" width="9.140625" style="15"/>
    <col min="10475" max="10475" width="39" style="15" customWidth="1"/>
    <col min="10476" max="10476" width="13" style="15" customWidth="1"/>
    <col min="10477" max="10477" width="11.42578125" style="15" customWidth="1"/>
    <col min="10478" max="10478" width="12.5703125" style="15" customWidth="1"/>
    <col min="10479" max="10479" width="15.5703125" style="15" customWidth="1"/>
    <col min="10480" max="10480" width="9.140625" style="15"/>
    <col min="10481" max="10481" width="11.85546875" style="15" customWidth="1"/>
    <col min="10482" max="10482" width="10.5703125" style="15" customWidth="1"/>
    <col min="10483" max="10730" width="9.140625" style="15"/>
    <col min="10731" max="10731" width="39" style="15" customWidth="1"/>
    <col min="10732" max="10732" width="13" style="15" customWidth="1"/>
    <col min="10733" max="10733" width="11.42578125" style="15" customWidth="1"/>
    <col min="10734" max="10734" width="12.5703125" style="15" customWidth="1"/>
    <col min="10735" max="10735" width="15.5703125" style="15" customWidth="1"/>
    <col min="10736" max="10736" width="9.140625" style="15"/>
    <col min="10737" max="10737" width="11.85546875" style="15" customWidth="1"/>
    <col min="10738" max="10738" width="10.5703125" style="15" customWidth="1"/>
    <col min="10739" max="10986" width="9.140625" style="15"/>
    <col min="10987" max="10987" width="39" style="15" customWidth="1"/>
    <col min="10988" max="10988" width="13" style="15" customWidth="1"/>
    <col min="10989" max="10989" width="11.42578125" style="15" customWidth="1"/>
    <col min="10990" max="10990" width="12.5703125" style="15" customWidth="1"/>
    <col min="10991" max="10991" width="15.5703125" style="15" customWidth="1"/>
    <col min="10992" max="10992" width="9.140625" style="15"/>
    <col min="10993" max="10993" width="11.85546875" style="15" customWidth="1"/>
    <col min="10994" max="10994" width="10.5703125" style="15" customWidth="1"/>
    <col min="10995" max="11242" width="9.140625" style="15"/>
    <col min="11243" max="11243" width="39" style="15" customWidth="1"/>
    <col min="11244" max="11244" width="13" style="15" customWidth="1"/>
    <col min="11245" max="11245" width="11.42578125" style="15" customWidth="1"/>
    <col min="11246" max="11246" width="12.5703125" style="15" customWidth="1"/>
    <col min="11247" max="11247" width="15.5703125" style="15" customWidth="1"/>
    <col min="11248" max="11248" width="9.140625" style="15"/>
    <col min="11249" max="11249" width="11.85546875" style="15" customWidth="1"/>
    <col min="11250" max="11250" width="10.5703125" style="15" customWidth="1"/>
    <col min="11251" max="11498" width="9.140625" style="15"/>
    <col min="11499" max="11499" width="39" style="15" customWidth="1"/>
    <col min="11500" max="11500" width="13" style="15" customWidth="1"/>
    <col min="11501" max="11501" width="11.42578125" style="15" customWidth="1"/>
    <col min="11502" max="11502" width="12.5703125" style="15" customWidth="1"/>
    <col min="11503" max="11503" width="15.5703125" style="15" customWidth="1"/>
    <col min="11504" max="11504" width="9.140625" style="15"/>
    <col min="11505" max="11505" width="11.85546875" style="15" customWidth="1"/>
    <col min="11506" max="11506" width="10.5703125" style="15" customWidth="1"/>
    <col min="11507" max="11754" width="9.140625" style="15"/>
    <col min="11755" max="11755" width="39" style="15" customWidth="1"/>
    <col min="11756" max="11756" width="13" style="15" customWidth="1"/>
    <col min="11757" max="11757" width="11.42578125" style="15" customWidth="1"/>
    <col min="11758" max="11758" width="12.5703125" style="15" customWidth="1"/>
    <col min="11759" max="11759" width="15.5703125" style="15" customWidth="1"/>
    <col min="11760" max="11760" width="9.140625" style="15"/>
    <col min="11761" max="11761" width="11.85546875" style="15" customWidth="1"/>
    <col min="11762" max="11762" width="10.5703125" style="15" customWidth="1"/>
    <col min="11763" max="12010" width="9.140625" style="15"/>
    <col min="12011" max="12011" width="39" style="15" customWidth="1"/>
    <col min="12012" max="12012" width="13" style="15" customWidth="1"/>
    <col min="12013" max="12013" width="11.42578125" style="15" customWidth="1"/>
    <col min="12014" max="12014" width="12.5703125" style="15" customWidth="1"/>
    <col min="12015" max="12015" width="15.5703125" style="15" customWidth="1"/>
    <col min="12016" max="12016" width="9.140625" style="15"/>
    <col min="12017" max="12017" width="11.85546875" style="15" customWidth="1"/>
    <col min="12018" max="12018" width="10.5703125" style="15" customWidth="1"/>
    <col min="12019" max="12266" width="9.140625" style="15"/>
    <col min="12267" max="12267" width="39" style="15" customWidth="1"/>
    <col min="12268" max="12268" width="13" style="15" customWidth="1"/>
    <col min="12269" max="12269" width="11.42578125" style="15" customWidth="1"/>
    <col min="12270" max="12270" width="12.5703125" style="15" customWidth="1"/>
    <col min="12271" max="12271" width="15.5703125" style="15" customWidth="1"/>
    <col min="12272" max="12272" width="9.140625" style="15"/>
    <col min="12273" max="12273" width="11.85546875" style="15" customWidth="1"/>
    <col min="12274" max="12274" width="10.5703125" style="15" customWidth="1"/>
    <col min="12275" max="12522" width="9.140625" style="15"/>
    <col min="12523" max="12523" width="39" style="15" customWidth="1"/>
    <col min="12524" max="12524" width="13" style="15" customWidth="1"/>
    <col min="12525" max="12525" width="11.42578125" style="15" customWidth="1"/>
    <col min="12526" max="12526" width="12.5703125" style="15" customWidth="1"/>
    <col min="12527" max="12527" width="15.5703125" style="15" customWidth="1"/>
    <col min="12528" max="12528" width="9.140625" style="15"/>
    <col min="12529" max="12529" width="11.85546875" style="15" customWidth="1"/>
    <col min="12530" max="12530" width="10.5703125" style="15" customWidth="1"/>
    <col min="12531" max="12778" width="9.140625" style="15"/>
    <col min="12779" max="12779" width="39" style="15" customWidth="1"/>
    <col min="12780" max="12780" width="13" style="15" customWidth="1"/>
    <col min="12781" max="12781" width="11.42578125" style="15" customWidth="1"/>
    <col min="12782" max="12782" width="12.5703125" style="15" customWidth="1"/>
    <col min="12783" max="12783" width="15.5703125" style="15" customWidth="1"/>
    <col min="12784" max="12784" width="9.140625" style="15"/>
    <col min="12785" max="12785" width="11.85546875" style="15" customWidth="1"/>
    <col min="12786" max="12786" width="10.5703125" style="15" customWidth="1"/>
    <col min="12787" max="13034" width="9.140625" style="15"/>
    <col min="13035" max="13035" width="39" style="15" customWidth="1"/>
    <col min="13036" max="13036" width="13" style="15" customWidth="1"/>
    <col min="13037" max="13037" width="11.42578125" style="15" customWidth="1"/>
    <col min="13038" max="13038" width="12.5703125" style="15" customWidth="1"/>
    <col min="13039" max="13039" width="15.5703125" style="15" customWidth="1"/>
    <col min="13040" max="13040" width="9.140625" style="15"/>
    <col min="13041" max="13041" width="11.85546875" style="15" customWidth="1"/>
    <col min="13042" max="13042" width="10.5703125" style="15" customWidth="1"/>
    <col min="13043" max="13290" width="9.140625" style="15"/>
    <col min="13291" max="13291" width="39" style="15" customWidth="1"/>
    <col min="13292" max="13292" width="13" style="15" customWidth="1"/>
    <col min="13293" max="13293" width="11.42578125" style="15" customWidth="1"/>
    <col min="13294" max="13294" width="12.5703125" style="15" customWidth="1"/>
    <col min="13295" max="13295" width="15.5703125" style="15" customWidth="1"/>
    <col min="13296" max="13296" width="9.140625" style="15"/>
    <col min="13297" max="13297" width="11.85546875" style="15" customWidth="1"/>
    <col min="13298" max="13298" width="10.5703125" style="15" customWidth="1"/>
    <col min="13299" max="13546" width="9.140625" style="15"/>
    <col min="13547" max="13547" width="39" style="15" customWidth="1"/>
    <col min="13548" max="13548" width="13" style="15" customWidth="1"/>
    <col min="13549" max="13549" width="11.42578125" style="15" customWidth="1"/>
    <col min="13550" max="13550" width="12.5703125" style="15" customWidth="1"/>
    <col min="13551" max="13551" width="15.5703125" style="15" customWidth="1"/>
    <col min="13552" max="13552" width="9.140625" style="15"/>
    <col min="13553" max="13553" width="11.85546875" style="15" customWidth="1"/>
    <col min="13554" max="13554" width="10.5703125" style="15" customWidth="1"/>
    <col min="13555" max="13802" width="9.140625" style="15"/>
    <col min="13803" max="13803" width="39" style="15" customWidth="1"/>
    <col min="13804" max="13804" width="13" style="15" customWidth="1"/>
    <col min="13805" max="13805" width="11.42578125" style="15" customWidth="1"/>
    <col min="13806" max="13806" width="12.5703125" style="15" customWidth="1"/>
    <col min="13807" max="13807" width="15.5703125" style="15" customWidth="1"/>
    <col min="13808" max="13808" width="9.140625" style="15"/>
    <col min="13809" max="13809" width="11.85546875" style="15" customWidth="1"/>
    <col min="13810" max="13810" width="10.5703125" style="15" customWidth="1"/>
    <col min="13811" max="14058" width="9.140625" style="15"/>
    <col min="14059" max="14059" width="39" style="15" customWidth="1"/>
    <col min="14060" max="14060" width="13" style="15" customWidth="1"/>
    <col min="14061" max="14061" width="11.42578125" style="15" customWidth="1"/>
    <col min="14062" max="14062" width="12.5703125" style="15" customWidth="1"/>
    <col min="14063" max="14063" width="15.5703125" style="15" customWidth="1"/>
    <col min="14064" max="14064" width="9.140625" style="15"/>
    <col min="14065" max="14065" width="11.85546875" style="15" customWidth="1"/>
    <col min="14066" max="14066" width="10.5703125" style="15" customWidth="1"/>
    <col min="14067" max="14314" width="9.140625" style="15"/>
    <col min="14315" max="14315" width="39" style="15" customWidth="1"/>
    <col min="14316" max="14316" width="13" style="15" customWidth="1"/>
    <col min="14317" max="14317" width="11.42578125" style="15" customWidth="1"/>
    <col min="14318" max="14318" width="12.5703125" style="15" customWidth="1"/>
    <col min="14319" max="14319" width="15.5703125" style="15" customWidth="1"/>
    <col min="14320" max="14320" width="9.140625" style="15"/>
    <col min="14321" max="14321" width="11.85546875" style="15" customWidth="1"/>
    <col min="14322" max="14322" width="10.5703125" style="15" customWidth="1"/>
    <col min="14323" max="14570" width="9.140625" style="15"/>
    <col min="14571" max="14571" width="39" style="15" customWidth="1"/>
    <col min="14572" max="14572" width="13" style="15" customWidth="1"/>
    <col min="14573" max="14573" width="11.42578125" style="15" customWidth="1"/>
    <col min="14574" max="14574" width="12.5703125" style="15" customWidth="1"/>
    <col min="14575" max="14575" width="15.5703125" style="15" customWidth="1"/>
    <col min="14576" max="14576" width="9.140625" style="15"/>
    <col min="14577" max="14577" width="11.85546875" style="15" customWidth="1"/>
    <col min="14578" max="14578" width="10.5703125" style="15" customWidth="1"/>
    <col min="14579" max="14826" width="9.140625" style="15"/>
    <col min="14827" max="14827" width="39" style="15" customWidth="1"/>
    <col min="14828" max="14828" width="13" style="15" customWidth="1"/>
    <col min="14829" max="14829" width="11.42578125" style="15" customWidth="1"/>
    <col min="14830" max="14830" width="12.5703125" style="15" customWidth="1"/>
    <col min="14831" max="14831" width="15.5703125" style="15" customWidth="1"/>
    <col min="14832" max="14832" width="9.140625" style="15"/>
    <col min="14833" max="14833" width="11.85546875" style="15" customWidth="1"/>
    <col min="14834" max="14834" width="10.5703125" style="15" customWidth="1"/>
    <col min="14835" max="15082" width="9.140625" style="15"/>
    <col min="15083" max="15083" width="39" style="15" customWidth="1"/>
    <col min="15084" max="15084" width="13" style="15" customWidth="1"/>
    <col min="15085" max="15085" width="11.42578125" style="15" customWidth="1"/>
    <col min="15086" max="15086" width="12.5703125" style="15" customWidth="1"/>
    <col min="15087" max="15087" width="15.5703125" style="15" customWidth="1"/>
    <col min="15088" max="15088" width="9.140625" style="15"/>
    <col min="15089" max="15089" width="11.85546875" style="15" customWidth="1"/>
    <col min="15090" max="15090" width="10.5703125" style="15" customWidth="1"/>
    <col min="15091" max="15338" width="9.140625" style="15"/>
    <col min="15339" max="15339" width="39" style="15" customWidth="1"/>
    <col min="15340" max="15340" width="13" style="15" customWidth="1"/>
    <col min="15341" max="15341" width="11.42578125" style="15" customWidth="1"/>
    <col min="15342" max="15342" width="12.5703125" style="15" customWidth="1"/>
    <col min="15343" max="15343" width="15.5703125" style="15" customWidth="1"/>
    <col min="15344" max="15344" width="9.140625" style="15"/>
    <col min="15345" max="15345" width="11.85546875" style="15" customWidth="1"/>
    <col min="15346" max="15346" width="10.5703125" style="15" customWidth="1"/>
    <col min="15347" max="15594" width="9.140625" style="15"/>
    <col min="15595" max="15595" width="39" style="15" customWidth="1"/>
    <col min="15596" max="15596" width="13" style="15" customWidth="1"/>
    <col min="15597" max="15597" width="11.42578125" style="15" customWidth="1"/>
    <col min="15598" max="15598" width="12.5703125" style="15" customWidth="1"/>
    <col min="15599" max="15599" width="15.5703125" style="15" customWidth="1"/>
    <col min="15600" max="15600" width="9.140625" style="15"/>
    <col min="15601" max="15601" width="11.85546875" style="15" customWidth="1"/>
    <col min="15602" max="15602" width="10.5703125" style="15" customWidth="1"/>
    <col min="15603" max="15850" width="9.140625" style="15"/>
    <col min="15851" max="15851" width="39" style="15" customWidth="1"/>
    <col min="15852" max="15852" width="13" style="15" customWidth="1"/>
    <col min="15853" max="15853" width="11.42578125" style="15" customWidth="1"/>
    <col min="15854" max="15854" width="12.5703125" style="15" customWidth="1"/>
    <col min="15855" max="15855" width="15.5703125" style="15" customWidth="1"/>
    <col min="15856" max="15856" width="9.140625" style="15"/>
    <col min="15857" max="15857" width="11.85546875" style="15" customWidth="1"/>
    <col min="15858" max="15858" width="10.5703125" style="15" customWidth="1"/>
    <col min="15859" max="16106" width="9.140625" style="15"/>
    <col min="16107" max="16107" width="39" style="15" customWidth="1"/>
    <col min="16108" max="16108" width="13" style="15" customWidth="1"/>
    <col min="16109" max="16109" width="11.42578125" style="15" customWidth="1"/>
    <col min="16110" max="16110" width="12.5703125" style="15" customWidth="1"/>
    <col min="16111" max="16111" width="15.5703125" style="15" customWidth="1"/>
    <col min="16112" max="16112" width="9.140625" style="15"/>
    <col min="16113" max="16113" width="11.85546875" style="15" customWidth="1"/>
    <col min="16114" max="16114" width="10.5703125" style="15" customWidth="1"/>
    <col min="16115" max="16384" width="9.140625" style="15"/>
  </cols>
  <sheetData>
    <row r="1" spans="1:8" x14ac:dyDescent="0.25">
      <c r="A1" s="505" t="s">
        <v>360</v>
      </c>
      <c r="B1" s="505"/>
      <c r="C1" s="505"/>
      <c r="D1" s="505"/>
      <c r="E1" s="505"/>
    </row>
    <row r="3" spans="1:8" x14ac:dyDescent="0.25">
      <c r="A3" s="506" t="s">
        <v>3</v>
      </c>
      <c r="B3" s="507" t="s">
        <v>361</v>
      </c>
      <c r="C3" s="507" t="s">
        <v>359</v>
      </c>
      <c r="D3" s="191" t="s">
        <v>215</v>
      </c>
      <c r="E3" s="191" t="s">
        <v>216</v>
      </c>
    </row>
    <row r="4" spans="1:8" x14ac:dyDescent="0.25">
      <c r="A4" s="506"/>
      <c r="B4" s="507"/>
      <c r="C4" s="507"/>
      <c r="D4" s="192" t="s">
        <v>217</v>
      </c>
      <c r="E4" s="192" t="s">
        <v>218</v>
      </c>
    </row>
    <row r="5" spans="1:8" x14ac:dyDescent="0.25">
      <c r="A5" s="8" t="s">
        <v>219</v>
      </c>
      <c r="B5" s="30"/>
      <c r="C5" s="30"/>
      <c r="D5" s="30"/>
      <c r="E5" s="29">
        <f>SHFS18!B19</f>
        <v>22066148.293032285</v>
      </c>
    </row>
    <row r="6" spans="1:8" x14ac:dyDescent="0.25">
      <c r="A6" s="98" t="s">
        <v>220</v>
      </c>
      <c r="B6" s="44"/>
      <c r="C6" s="44"/>
      <c r="D6" s="44"/>
      <c r="E6" s="75">
        <v>4700494.2966090646</v>
      </c>
    </row>
    <row r="7" spans="1:8" x14ac:dyDescent="0.25">
      <c r="A7" s="30" t="s">
        <v>365</v>
      </c>
      <c r="B7" s="29">
        <f>5000000*85%</f>
        <v>4250000</v>
      </c>
      <c r="C7" s="29"/>
      <c r="D7" s="29">
        <f>B7-C7</f>
        <v>4250000</v>
      </c>
      <c r="E7" s="75">
        <v>-4250000</v>
      </c>
    </row>
    <row r="8" spans="1:8" x14ac:dyDescent="0.25">
      <c r="A8" s="30" t="s">
        <v>366</v>
      </c>
      <c r="B8" s="29">
        <f>5000000*15%</f>
        <v>750000</v>
      </c>
      <c r="C8" s="29"/>
      <c r="D8" s="29">
        <f>B8-C8</f>
        <v>750000</v>
      </c>
      <c r="E8" s="75">
        <v>-750000</v>
      </c>
    </row>
    <row r="9" spans="1:8" x14ac:dyDescent="0.25">
      <c r="A9" s="98"/>
      <c r="B9" s="44"/>
      <c r="C9" s="44"/>
      <c r="D9" s="44"/>
      <c r="E9" s="75"/>
    </row>
    <row r="10" spans="1:8" x14ac:dyDescent="0.25">
      <c r="A10" s="98" t="s">
        <v>221</v>
      </c>
      <c r="B10" s="29">
        <f>SUM(B11:B15)</f>
        <v>315814296.65330899</v>
      </c>
      <c r="C10" s="29">
        <f>SUM(C11:C15)</f>
        <v>307785992.65330899</v>
      </c>
      <c r="D10" s="29">
        <f>B10-C10</f>
        <v>8028304</v>
      </c>
      <c r="E10" s="75">
        <f>-D10</f>
        <v>-8028304</v>
      </c>
    </row>
    <row r="11" spans="1:8" x14ac:dyDescent="0.25">
      <c r="A11" s="1" t="s">
        <v>222</v>
      </c>
      <c r="B11" s="21">
        <v>85799800</v>
      </c>
      <c r="C11" s="106">
        <v>85799800</v>
      </c>
      <c r="D11" s="2"/>
      <c r="E11" s="74"/>
      <c r="G11" s="453">
        <f>B11-C11</f>
        <v>0</v>
      </c>
    </row>
    <row r="12" spans="1:8" x14ac:dyDescent="0.25">
      <c r="A12" s="64" t="s">
        <v>250</v>
      </c>
      <c r="B12" s="21">
        <v>136458077.56630898</v>
      </c>
      <c r="C12" s="106">
        <v>136458077.56630898</v>
      </c>
      <c r="D12" s="78"/>
      <c r="E12" s="74">
        <f>-D12</f>
        <v>0</v>
      </c>
      <c r="G12" s="453">
        <f>B12-C12</f>
        <v>0</v>
      </c>
    </row>
    <row r="13" spans="1:8" x14ac:dyDescent="0.25">
      <c r="A13" s="34" t="s">
        <v>251</v>
      </c>
      <c r="B13" s="21">
        <v>26057660</v>
      </c>
      <c r="C13" s="106">
        <v>26057660</v>
      </c>
      <c r="D13" s="78"/>
      <c r="E13" s="74">
        <f>-D13</f>
        <v>0</v>
      </c>
      <c r="G13" s="453">
        <f>B13-C13</f>
        <v>0</v>
      </c>
    </row>
    <row r="14" spans="1:8" x14ac:dyDescent="0.25">
      <c r="A14" s="10" t="s">
        <v>272</v>
      </c>
      <c r="B14" s="3"/>
      <c r="C14" s="21"/>
      <c r="D14" s="78"/>
      <c r="E14" s="74"/>
    </row>
    <row r="15" spans="1:8" s="109" customFormat="1" x14ac:dyDescent="0.25">
      <c r="A15" s="108" t="s">
        <v>256</v>
      </c>
      <c r="B15" s="21">
        <v>67498759.086999997</v>
      </c>
      <c r="C15" s="106">
        <v>59470455.086999997</v>
      </c>
      <c r="D15" s="78"/>
      <c r="E15" s="14">
        <f t="shared" ref="E15:E19" si="0">-D15</f>
        <v>0</v>
      </c>
      <c r="G15" s="451">
        <f>B15-C15</f>
        <v>8028304</v>
      </c>
      <c r="H15" s="455"/>
    </row>
    <row r="16" spans="1:8" x14ac:dyDescent="0.25">
      <c r="A16" s="12" t="s">
        <v>223</v>
      </c>
      <c r="B16" s="29">
        <f>SUM(B17:B19)</f>
        <v>3211279.9999999404</v>
      </c>
      <c r="C16" s="29">
        <f>SUM(C17:C19)</f>
        <v>1146126.4999999404</v>
      </c>
      <c r="D16" s="29">
        <f>B16-C16</f>
        <v>2065153.5</v>
      </c>
      <c r="E16" s="75">
        <f>-D16</f>
        <v>-2065153.5</v>
      </c>
    </row>
    <row r="17" spans="1:8" x14ac:dyDescent="0.25">
      <c r="A17" s="10" t="s">
        <v>249</v>
      </c>
      <c r="B17" s="21">
        <v>3211279.9999999404</v>
      </c>
      <c r="C17" s="21">
        <v>1146126.4999999404</v>
      </c>
      <c r="D17" s="96"/>
      <c r="E17" s="110">
        <f>-D17</f>
        <v>0</v>
      </c>
      <c r="G17" s="451">
        <f>B17-C17</f>
        <v>2065153.5</v>
      </c>
    </row>
    <row r="18" spans="1:8" x14ac:dyDescent="0.25">
      <c r="A18" s="10" t="s">
        <v>252</v>
      </c>
      <c r="B18" s="32">
        <v>0</v>
      </c>
      <c r="C18" s="32">
        <v>0</v>
      </c>
      <c r="D18" s="96"/>
      <c r="E18" s="110"/>
    </row>
    <row r="19" spans="1:8" x14ac:dyDescent="0.25">
      <c r="A19" s="5" t="s">
        <v>224</v>
      </c>
      <c r="B19" s="32">
        <v>0</v>
      </c>
      <c r="C19" s="32">
        <v>0</v>
      </c>
      <c r="D19" s="111"/>
      <c r="E19" s="111">
        <f t="shared" si="0"/>
        <v>0</v>
      </c>
    </row>
    <row r="20" spans="1:8" x14ac:dyDescent="0.25">
      <c r="A20" s="98" t="s">
        <v>226</v>
      </c>
      <c r="B20" s="95">
        <f>SUM(B21:B24)</f>
        <v>291873873.78105909</v>
      </c>
      <c r="C20" s="95">
        <f>SUM(C21:C24)</f>
        <v>358772834.96041775</v>
      </c>
      <c r="D20" s="75">
        <f>B20-C20</f>
        <v>-66898961.179358661</v>
      </c>
      <c r="E20" s="75">
        <f>-D20</f>
        <v>66898961.179358661</v>
      </c>
    </row>
    <row r="21" spans="1:8" x14ac:dyDescent="0.25">
      <c r="A21" s="1" t="s">
        <v>227</v>
      </c>
      <c r="B21" s="112">
        <v>267180774.76999992</v>
      </c>
      <c r="C21" s="112">
        <v>337726462.29999995</v>
      </c>
      <c r="D21" s="96"/>
      <c r="E21" s="96"/>
      <c r="G21" s="451">
        <f>B21-C21</f>
        <v>-70545687.530000031</v>
      </c>
      <c r="H21" s="452"/>
    </row>
    <row r="22" spans="1:8" x14ac:dyDescent="0.25">
      <c r="A22" s="1" t="s">
        <v>228</v>
      </c>
      <c r="B22" s="112">
        <v>16094833.180417798</v>
      </c>
      <c r="C22" s="112">
        <v>21046372.660417799</v>
      </c>
      <c r="D22" s="96"/>
      <c r="E22" s="96"/>
      <c r="G22" s="451">
        <f>B22-C22</f>
        <v>-4951539.4800000004</v>
      </c>
      <c r="H22" s="451">
        <f>SUM(G21:G22)</f>
        <v>-75497227.010000035</v>
      </c>
    </row>
    <row r="23" spans="1:8" x14ac:dyDescent="0.25">
      <c r="A23" s="1" t="s">
        <v>229</v>
      </c>
      <c r="B23" s="112">
        <v>8598265.8306413628</v>
      </c>
      <c r="C23" s="112">
        <v>0</v>
      </c>
      <c r="D23" s="96"/>
      <c r="E23" s="96"/>
      <c r="G23" s="453">
        <f t="shared" ref="G23" si="1">B23-C23</f>
        <v>8598265.8306413628</v>
      </c>
    </row>
    <row r="24" spans="1:8" x14ac:dyDescent="0.25">
      <c r="A24" s="1" t="s">
        <v>230</v>
      </c>
      <c r="B24" s="112">
        <v>0</v>
      </c>
      <c r="C24" s="112">
        <v>0</v>
      </c>
      <c r="D24" s="96"/>
      <c r="E24" s="96"/>
    </row>
    <row r="25" spans="1:8" x14ac:dyDescent="0.25">
      <c r="A25" s="98" t="s">
        <v>231</v>
      </c>
      <c r="B25" s="29">
        <f>SUM(B26:B29)</f>
        <v>77369220.519199997</v>
      </c>
      <c r="C25" s="29">
        <f>SUM(C26:C29)</f>
        <v>76653154.019199997</v>
      </c>
      <c r="D25" s="75">
        <f>B25-C25</f>
        <v>716066.5</v>
      </c>
      <c r="E25" s="75">
        <f>-D25</f>
        <v>-716066.5</v>
      </c>
    </row>
    <row r="26" spans="1:8" x14ac:dyDescent="0.25">
      <c r="A26" s="27" t="s">
        <v>225</v>
      </c>
      <c r="B26" s="113"/>
      <c r="C26" s="113"/>
      <c r="D26" s="110"/>
      <c r="E26" s="110"/>
    </row>
    <row r="27" spans="1:8" x14ac:dyDescent="0.25">
      <c r="A27" s="1" t="s">
        <v>253</v>
      </c>
      <c r="B27" s="161">
        <v>76766568.999200001</v>
      </c>
      <c r="C27" s="35">
        <v>76166568.999200001</v>
      </c>
      <c r="D27" s="114"/>
      <c r="E27" s="114"/>
      <c r="G27" s="451">
        <f>B27-C27</f>
        <v>600000</v>
      </c>
      <c r="H27" s="452"/>
    </row>
    <row r="28" spans="1:8" x14ac:dyDescent="0.25">
      <c r="A28" s="1" t="s">
        <v>255</v>
      </c>
      <c r="B28" s="161">
        <v>285106.5</v>
      </c>
      <c r="C28" s="35">
        <v>316585</v>
      </c>
      <c r="D28" s="114"/>
      <c r="E28" s="114"/>
      <c r="G28" s="451">
        <f t="shared" ref="G28:G29" si="2">B28-C28</f>
        <v>-31478.5</v>
      </c>
      <c r="H28" s="452"/>
    </row>
    <row r="29" spans="1:8" x14ac:dyDescent="0.25">
      <c r="A29" s="1" t="s">
        <v>254</v>
      </c>
      <c r="B29" s="161">
        <v>317545.02</v>
      </c>
      <c r="C29" s="35">
        <v>170000.02000000002</v>
      </c>
      <c r="D29" s="114"/>
      <c r="E29" s="114"/>
      <c r="G29" s="451">
        <f t="shared" si="2"/>
        <v>147545</v>
      </c>
      <c r="H29" s="451">
        <f>SUM(G27:G29)</f>
        <v>716066.5</v>
      </c>
    </row>
    <row r="30" spans="1:8" x14ac:dyDescent="0.25">
      <c r="A30" s="6" t="s">
        <v>232</v>
      </c>
      <c r="B30" s="107">
        <f>SUM(B31:B32)</f>
        <v>40215289.331349403</v>
      </c>
      <c r="C30" s="107">
        <f>SUM(C31:C32)</f>
        <v>82835259.569999993</v>
      </c>
      <c r="D30" s="107">
        <f>B30-C30</f>
        <v>-42619970.23865059</v>
      </c>
      <c r="E30" s="107">
        <f>D30</f>
        <v>-42619970.23865059</v>
      </c>
    </row>
    <row r="31" spans="1:8" x14ac:dyDescent="0.25">
      <c r="A31" s="1" t="s">
        <v>233</v>
      </c>
      <c r="B31" s="115">
        <v>29000000.120000001</v>
      </c>
      <c r="C31" s="116">
        <v>38448333.369999997</v>
      </c>
      <c r="D31" s="114"/>
      <c r="E31" s="110"/>
      <c r="G31" s="451">
        <f>B31-C31</f>
        <v>-9448333.2499999963</v>
      </c>
    </row>
    <row r="32" spans="1:8" x14ac:dyDescent="0.25">
      <c r="A32" s="1" t="s">
        <v>234</v>
      </c>
      <c r="B32" s="115">
        <v>11215289.211349405</v>
      </c>
      <c r="C32" s="112">
        <v>44386926.200000003</v>
      </c>
      <c r="D32" s="96"/>
      <c r="E32" s="114"/>
      <c r="G32" s="453">
        <f>B32-C32</f>
        <v>-33171636.988650598</v>
      </c>
    </row>
    <row r="33" spans="1:8" x14ac:dyDescent="0.25">
      <c r="A33" s="98" t="s">
        <v>235</v>
      </c>
      <c r="B33" s="117">
        <f>SUM(B34:B40)</f>
        <v>120721602.16535994</v>
      </c>
      <c r="C33" s="117">
        <f>SUM(C34:C40)</f>
        <v>148451180.86565578</v>
      </c>
      <c r="D33" s="75">
        <f>B33-C33</f>
        <v>-27729578.700295836</v>
      </c>
      <c r="E33" s="75">
        <f>D33</f>
        <v>-27729578.700295836</v>
      </c>
      <c r="G33" s="453"/>
    </row>
    <row r="34" spans="1:8" x14ac:dyDescent="0.25">
      <c r="A34" s="1" t="s">
        <v>236</v>
      </c>
      <c r="B34" s="111">
        <v>33000000</v>
      </c>
      <c r="C34" s="111">
        <v>32937125.890000045</v>
      </c>
      <c r="D34" s="110"/>
      <c r="E34" s="110"/>
      <c r="G34" s="451">
        <f>B34-C34</f>
        <v>62874.1099999547</v>
      </c>
      <c r="H34" s="451">
        <f>G31+G34</f>
        <v>-9385459.1400000416</v>
      </c>
    </row>
    <row r="35" spans="1:8" x14ac:dyDescent="0.25">
      <c r="A35" s="32" t="s">
        <v>257</v>
      </c>
      <c r="B35" s="118">
        <v>83177219.665359974</v>
      </c>
      <c r="C35" s="119">
        <v>98602062.365359962</v>
      </c>
      <c r="D35" s="32"/>
      <c r="E35" s="32"/>
      <c r="G35" s="451">
        <f>B35-C35</f>
        <v>-15424842.699999988</v>
      </c>
    </row>
    <row r="36" spans="1:8" x14ac:dyDescent="0.25">
      <c r="A36" s="32" t="s">
        <v>258</v>
      </c>
      <c r="B36" s="118">
        <v>1446872.5</v>
      </c>
      <c r="C36" s="119">
        <v>2401201.9999999814</v>
      </c>
      <c r="D36" s="32"/>
      <c r="E36" s="32"/>
      <c r="G36" s="451">
        <f t="shared" ref="G36:G40" si="3">B36-C36</f>
        <v>-954329.49999998137</v>
      </c>
      <c r="H36" s="452"/>
    </row>
    <row r="37" spans="1:8" x14ac:dyDescent="0.25">
      <c r="A37" s="32" t="s">
        <v>259</v>
      </c>
      <c r="B37" s="118">
        <v>643653</v>
      </c>
      <c r="C37" s="119">
        <v>546816</v>
      </c>
      <c r="D37" s="32"/>
      <c r="E37" s="32"/>
      <c r="G37" s="451">
        <f t="shared" si="3"/>
        <v>96837</v>
      </c>
      <c r="H37" s="452"/>
    </row>
    <row r="38" spans="1:8" x14ac:dyDescent="0.25">
      <c r="A38" s="32" t="s">
        <v>260</v>
      </c>
      <c r="B38" s="118">
        <v>31200</v>
      </c>
      <c r="C38" s="119">
        <v>26650</v>
      </c>
      <c r="D38" s="32"/>
      <c r="E38" s="32"/>
      <c r="G38" s="451">
        <f t="shared" si="3"/>
        <v>4550</v>
      </c>
      <c r="H38" s="451">
        <f>SUM(G36:G38)</f>
        <v>-852942.49999998137</v>
      </c>
    </row>
    <row r="39" spans="1:8" x14ac:dyDescent="0.25">
      <c r="A39" s="32" t="s">
        <v>262</v>
      </c>
      <c r="B39" s="118">
        <v>0</v>
      </c>
      <c r="C39" s="112">
        <v>1619197.7543491255</v>
      </c>
      <c r="D39" s="32"/>
      <c r="E39" s="32"/>
      <c r="G39" s="451">
        <f t="shared" si="3"/>
        <v>-1619197.7543491255</v>
      </c>
      <c r="H39" s="452"/>
    </row>
    <row r="40" spans="1:8" x14ac:dyDescent="0.25">
      <c r="A40" s="32" t="s">
        <v>261</v>
      </c>
      <c r="B40" s="118">
        <v>2422656.9999999627</v>
      </c>
      <c r="C40" s="35">
        <v>12318126.85594666</v>
      </c>
      <c r="D40" s="32"/>
      <c r="E40" s="32"/>
      <c r="G40" s="451">
        <f t="shared" si="3"/>
        <v>-9895469.8559466973</v>
      </c>
      <c r="H40" s="451">
        <f>SUM(G39:G40)</f>
        <v>-11514667.610295823</v>
      </c>
    </row>
    <row r="41" spans="1:8" x14ac:dyDescent="0.25">
      <c r="A41" s="32"/>
      <c r="B41" s="32"/>
      <c r="C41" s="32"/>
      <c r="D41" s="32"/>
      <c r="E41" s="32"/>
    </row>
    <row r="42" spans="1:8" x14ac:dyDescent="0.25">
      <c r="A42" s="504" t="s">
        <v>362</v>
      </c>
      <c r="B42" s="504"/>
      <c r="C42" s="504"/>
      <c r="D42" s="504"/>
      <c r="E42" s="101">
        <f>SUM(E5:E41)</f>
        <v>7506530.8300535828</v>
      </c>
      <c r="F42" s="38"/>
    </row>
    <row r="43" spans="1:8" x14ac:dyDescent="0.25">
      <c r="A43" s="504" t="s">
        <v>363</v>
      </c>
      <c r="B43" s="504"/>
      <c r="C43" s="504"/>
      <c r="D43" s="504"/>
      <c r="E43" s="100">
        <f>'BV18'!D6</f>
        <v>22687145.684201702</v>
      </c>
    </row>
    <row r="44" spans="1:8" x14ac:dyDescent="0.25">
      <c r="A44" s="504" t="s">
        <v>364</v>
      </c>
      <c r="B44" s="504"/>
      <c r="C44" s="504"/>
      <c r="D44" s="504"/>
      <c r="E44" s="101">
        <f>E42+E43</f>
        <v>30193676.514255285</v>
      </c>
    </row>
    <row r="45" spans="1:8" x14ac:dyDescent="0.25">
      <c r="D45" s="99"/>
      <c r="E45" s="99"/>
    </row>
    <row r="46" spans="1:8" x14ac:dyDescent="0.25">
      <c r="E46" s="102"/>
    </row>
    <row r="47" spans="1:8" x14ac:dyDescent="0.25">
      <c r="E47" s="105"/>
    </row>
    <row r="48" spans="1:8" x14ac:dyDescent="0.25">
      <c r="C48" s="15"/>
      <c r="E48" s="38"/>
    </row>
  </sheetData>
  <mergeCells count="7">
    <mergeCell ref="A44:D44"/>
    <mergeCell ref="A1:E1"/>
    <mergeCell ref="A3:A4"/>
    <mergeCell ref="B3:B4"/>
    <mergeCell ref="C3:C4"/>
    <mergeCell ref="A42:D42"/>
    <mergeCell ref="A43:D43"/>
  </mergeCells>
  <printOptions horizontalCentered="1"/>
  <pageMargins left="0.3" right="0.3" top="0.75" bottom="0.75" header="0.3" footer="0.3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 KOP2018</vt:lpstr>
      <vt:lpstr>A-P18</vt:lpstr>
      <vt:lpstr>BV18</vt:lpstr>
      <vt:lpstr>SHFS18</vt:lpstr>
      <vt:lpstr>P.AQT18</vt:lpstr>
      <vt:lpstr>AQT18</vt:lpstr>
      <vt:lpstr>MP18</vt:lpstr>
      <vt:lpstr>PAGA18</vt:lpstr>
      <vt:lpstr>CF18</vt:lpstr>
      <vt:lpstr>K</vt:lpstr>
      <vt:lpstr>SH.SHPJEG</vt:lpstr>
      <vt:lpstr>' KOP2018'!Print_Area</vt:lpstr>
      <vt:lpstr>'A-P18'!Print_Area</vt:lpstr>
      <vt:lpstr>'AQT18'!Print_Area</vt:lpstr>
      <vt:lpstr>'BV18'!Print_Area</vt:lpstr>
      <vt:lpstr>'CF18'!Print_Area</vt:lpstr>
      <vt:lpstr>K!Print_Area</vt:lpstr>
      <vt:lpstr>'MP18'!Print_Area</vt:lpstr>
      <vt:lpstr>P.AQT18!Print_Area</vt:lpstr>
      <vt:lpstr>PAGA18!Print_Area</vt:lpstr>
      <vt:lpstr>SH.SHPJEG!Print_Area</vt:lpstr>
      <vt:lpstr>SHFS18!Print_Area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2019-06-20T10:36:15Z</dcterms:modified>
</cp:coreProperties>
</file>