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 tabRatio="823" activeTab="9"/>
  </bookViews>
  <sheets>
    <sheet name="pasqyra 4 2015" sheetId="59" r:id="rId1"/>
    <sheet name="Deklar.Tatim Fitimit " sheetId="57" r:id="rId2"/>
    <sheet name="Analiza Llogarish  (2)" sheetId="56" r:id="rId3"/>
    <sheet name="Assets " sheetId="54" r:id="rId4"/>
    <sheet name="Amortizimi" sheetId="53" r:id="rId5"/>
    <sheet name="AQT" sheetId="52" r:id="rId6"/>
    <sheet name="Sheet1 " sheetId="32" r:id="rId7"/>
    <sheet name="Aktivet" sheetId="4" r:id="rId8"/>
    <sheet name="Pasivet" sheetId="14" r:id="rId9"/>
    <sheet name="PASH" sheetId="15" r:id="rId10"/>
    <sheet name="SHERBIME " sheetId="51" r:id="rId11"/>
    <sheet name="Fluksi " sheetId="18" r:id="rId12"/>
    <sheet name="Kapitali" sheetId="25" r:id="rId13"/>
    <sheet name="SHENIME" sheetId="43" r:id="rId14"/>
    <sheet name="TVSH " sheetId="31" r:id="rId15"/>
    <sheet name="SIG SHOQ" sheetId="34" r:id="rId16"/>
    <sheet name="Pasqyra1&amp;2" sheetId="44" r:id="rId17"/>
    <sheet name="pasqyra 3" sheetId="45" r:id="rId18"/>
    <sheet name="AMF" sheetId="48" r:id="rId19"/>
    <sheet name="Mjete" sheetId="47" r:id="rId20"/>
    <sheet name="Sheet2" sheetId="5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2">'Analiza Llogarish  (2)'!$C$3:$F$104</definedName>
  </definedNames>
  <calcPr calcId="124519"/>
</workbook>
</file>

<file path=xl/calcChain.xml><?xml version="1.0" encoding="utf-8"?>
<calcChain xmlns="http://schemas.openxmlformats.org/spreadsheetml/2006/main">
  <c r="C43" i="57"/>
  <c r="E35"/>
  <c r="C28"/>
  <c r="B11"/>
  <c r="C11"/>
  <c r="G17" i="14"/>
  <c r="O40" i="15"/>
  <c r="O41"/>
  <c r="O39"/>
  <c r="L38"/>
  <c r="L39"/>
  <c r="L43"/>
  <c r="L44"/>
  <c r="L37"/>
  <c r="G18" i="4"/>
  <c r="I18"/>
  <c r="C13" i="51"/>
  <c r="G41" i="59"/>
  <c r="F41"/>
  <c r="F42"/>
  <c r="F43"/>
  <c r="F44"/>
  <c r="F45"/>
  <c r="F46"/>
  <c r="F47"/>
  <c r="F48"/>
  <c r="E41"/>
  <c r="E42"/>
  <c r="E43"/>
  <c r="E44"/>
  <c r="E49"/>
  <c r="E45"/>
  <c r="E46"/>
  <c r="E47"/>
  <c r="E48"/>
  <c r="E40"/>
  <c r="E30"/>
  <c r="D17"/>
  <c r="D97"/>
  <c r="B96"/>
  <c r="D48"/>
  <c r="D47"/>
  <c r="D46"/>
  <c r="D45"/>
  <c r="D44"/>
  <c r="D43"/>
  <c r="D42"/>
  <c r="D41"/>
  <c r="D40"/>
  <c r="D33"/>
  <c r="G32"/>
  <c r="G31"/>
  <c r="G30"/>
  <c r="G29"/>
  <c r="G45"/>
  <c r="G28"/>
  <c r="G27"/>
  <c r="G43"/>
  <c r="G26"/>
  <c r="G25"/>
  <c r="F24"/>
  <c r="G24"/>
  <c r="G33"/>
  <c r="F33"/>
  <c r="E24"/>
  <c r="F17"/>
  <c r="E17"/>
  <c r="G16"/>
  <c r="G48"/>
  <c r="G15"/>
  <c r="G47"/>
  <c r="G14"/>
  <c r="G46"/>
  <c r="G13"/>
  <c r="G12"/>
  <c r="G44"/>
  <c r="G11"/>
  <c r="G10"/>
  <c r="G9"/>
  <c r="G8"/>
  <c r="I71" i="44"/>
  <c r="J71"/>
  <c r="I38"/>
  <c r="I37"/>
  <c r="I68"/>
  <c r="I20"/>
  <c r="I9"/>
  <c r="K51" i="45"/>
  <c r="K55"/>
  <c r="K34"/>
  <c r="K44"/>
  <c r="K35"/>
  <c r="K8"/>
  <c r="I10" i="44"/>
  <c r="K9" i="45"/>
  <c r="K6"/>
  <c r="L49" i="14"/>
  <c r="F24" i="18"/>
  <c r="F41"/>
  <c r="G6" i="4"/>
  <c r="G48" i="14"/>
  <c r="I48"/>
  <c r="E23" i="31"/>
  <c r="G21" i="4"/>
  <c r="G12" i="15"/>
  <c r="E25" i="51"/>
  <c r="N8" i="15"/>
  <c r="N9"/>
  <c r="N26"/>
  <c r="N20"/>
  <c r="C18" i="51"/>
  <c r="C11"/>
  <c r="C25"/>
  <c r="G13" i="15"/>
  <c r="G11"/>
  <c r="N18" s="1"/>
  <c r="N19" s="1"/>
  <c r="C19" i="51"/>
  <c r="G15" i="15"/>
  <c r="G14"/>
  <c r="G20"/>
  <c r="G42" i="4"/>
  <c r="I42"/>
  <c r="G41"/>
  <c r="G40"/>
  <c r="G39"/>
  <c r="G45"/>
  <c r="I45"/>
  <c r="G23" i="14"/>
  <c r="G38"/>
  <c r="G44"/>
  <c r="G15"/>
  <c r="G6"/>
  <c r="I6"/>
  <c r="B12" i="53"/>
  <c r="M12"/>
  <c r="F10"/>
  <c r="G10"/>
  <c r="F11" i="18"/>
  <c r="H21" i="15"/>
  <c r="H15"/>
  <c r="H14"/>
  <c r="H44" i="14"/>
  <c r="H23"/>
  <c r="H22"/>
  <c r="H6"/>
  <c r="H13" i="4"/>
  <c r="H42"/>
  <c r="H41"/>
  <c r="H40"/>
  <c r="E30" i="31"/>
  <c r="U12"/>
  <c r="V12"/>
  <c r="F23" i="47"/>
  <c r="E11" i="48"/>
  <c r="E12"/>
  <c r="F12"/>
  <c r="E13"/>
  <c r="F13"/>
  <c r="E14"/>
  <c r="F14"/>
  <c r="E15"/>
  <c r="F15"/>
  <c r="E16"/>
  <c r="F16"/>
  <c r="E17"/>
  <c r="F17"/>
  <c r="E18"/>
  <c r="F18"/>
  <c r="D34"/>
  <c r="K18" i="45"/>
  <c r="K27"/>
  <c r="K32"/>
  <c r="J8" i="44"/>
  <c r="J24"/>
  <c r="J12"/>
  <c r="I16"/>
  <c r="I36"/>
  <c r="J36"/>
  <c r="J37"/>
  <c r="I43"/>
  <c r="J43"/>
  <c r="I47"/>
  <c r="I59"/>
  <c r="J59"/>
  <c r="J47"/>
  <c r="I63"/>
  <c r="J63"/>
  <c r="H12" i="34"/>
  <c r="I12"/>
  <c r="G12"/>
  <c r="K12"/>
  <c r="H13"/>
  <c r="I13"/>
  <c r="G13"/>
  <c r="L13"/>
  <c r="K13"/>
  <c r="F14"/>
  <c r="I14"/>
  <c r="H14"/>
  <c r="K14"/>
  <c r="F15"/>
  <c r="K15"/>
  <c r="F16"/>
  <c r="I16"/>
  <c r="G16"/>
  <c r="L16"/>
  <c r="H16"/>
  <c r="K16"/>
  <c r="G17"/>
  <c r="H17"/>
  <c r="I17"/>
  <c r="K17"/>
  <c r="L17"/>
  <c r="F18"/>
  <c r="I18"/>
  <c r="H18"/>
  <c r="G18"/>
  <c r="K18"/>
  <c r="F19"/>
  <c r="K19"/>
  <c r="H20"/>
  <c r="I20"/>
  <c r="G20"/>
  <c r="L20"/>
  <c r="K20"/>
  <c r="H21"/>
  <c r="G21"/>
  <c r="L21"/>
  <c r="I21"/>
  <c r="H22"/>
  <c r="G22"/>
  <c r="L22"/>
  <c r="I22"/>
  <c r="H23"/>
  <c r="I23"/>
  <c r="G23"/>
  <c r="L23"/>
  <c r="K23"/>
  <c r="C24"/>
  <c r="D24"/>
  <c r="E24"/>
  <c r="E30"/>
  <c r="J24"/>
  <c r="M24"/>
  <c r="F11" i="31"/>
  <c r="K11"/>
  <c r="K24"/>
  <c r="S11"/>
  <c r="T11"/>
  <c r="F12"/>
  <c r="K12"/>
  <c r="P12"/>
  <c r="F13"/>
  <c r="K13"/>
  <c r="U13"/>
  <c r="V13"/>
  <c r="F14"/>
  <c r="P14"/>
  <c r="K14"/>
  <c r="U14"/>
  <c r="V14"/>
  <c r="F15"/>
  <c r="K15"/>
  <c r="U15"/>
  <c r="V15"/>
  <c r="F16"/>
  <c r="P16"/>
  <c r="K16"/>
  <c r="U16"/>
  <c r="V16"/>
  <c r="F17"/>
  <c r="K17"/>
  <c r="U17"/>
  <c r="V17"/>
  <c r="F18"/>
  <c r="K18"/>
  <c r="P18"/>
  <c r="U18"/>
  <c r="V18"/>
  <c r="F19"/>
  <c r="K19"/>
  <c r="U19"/>
  <c r="V19"/>
  <c r="F20"/>
  <c r="K20"/>
  <c r="P20"/>
  <c r="U20"/>
  <c r="V20"/>
  <c r="F21"/>
  <c r="K21"/>
  <c r="U21"/>
  <c r="V21"/>
  <c r="F22"/>
  <c r="S22"/>
  <c r="K22"/>
  <c r="P22"/>
  <c r="U22"/>
  <c r="V22"/>
  <c r="K23"/>
  <c r="C24"/>
  <c r="D24"/>
  <c r="H24"/>
  <c r="I24"/>
  <c r="J24"/>
  <c r="L24"/>
  <c r="M24"/>
  <c r="N24"/>
  <c r="O24"/>
  <c r="R24"/>
  <c r="C60"/>
  <c r="F60"/>
  <c r="G60"/>
  <c r="G61"/>
  <c r="G62"/>
  <c r="C64"/>
  <c r="C70"/>
  <c r="G70"/>
  <c r="G73"/>
  <c r="C73"/>
  <c r="C80"/>
  <c r="G80"/>
  <c r="G84"/>
  <c r="G83"/>
  <c r="C84"/>
  <c r="C91"/>
  <c r="G91"/>
  <c r="G95"/>
  <c r="C102"/>
  <c r="G102"/>
  <c r="C106"/>
  <c r="C113"/>
  <c r="C117"/>
  <c r="G113"/>
  <c r="G117"/>
  <c r="J113"/>
  <c r="C125"/>
  <c r="G125"/>
  <c r="G129"/>
  <c r="C126"/>
  <c r="C129"/>
  <c r="G127"/>
  <c r="G128"/>
  <c r="C135"/>
  <c r="J135"/>
  <c r="G135"/>
  <c r="C136"/>
  <c r="G136"/>
  <c r="G137"/>
  <c r="G138"/>
  <c r="C145"/>
  <c r="G145"/>
  <c r="C146"/>
  <c r="G146"/>
  <c r="G148"/>
  <c r="C153"/>
  <c r="C156"/>
  <c r="G156"/>
  <c r="G160"/>
  <c r="C161"/>
  <c r="C157"/>
  <c r="C160"/>
  <c r="G157"/>
  <c r="G158"/>
  <c r="G159"/>
  <c r="C168"/>
  <c r="J168"/>
  <c r="G168"/>
  <c r="C169"/>
  <c r="G169"/>
  <c r="G171"/>
  <c r="C179"/>
  <c r="C183"/>
  <c r="G179"/>
  <c r="G183"/>
  <c r="C180"/>
  <c r="G180"/>
  <c r="G181"/>
  <c r="G182"/>
  <c r="M3" i="25"/>
  <c r="M4"/>
  <c r="C5"/>
  <c r="D5"/>
  <c r="E5"/>
  <c r="F5"/>
  <c r="F15"/>
  <c r="F17"/>
  <c r="F26"/>
  <c r="G5"/>
  <c r="G15"/>
  <c r="G17"/>
  <c r="G26"/>
  <c r="H5"/>
  <c r="I5"/>
  <c r="I15"/>
  <c r="I17"/>
  <c r="I26"/>
  <c r="J5"/>
  <c r="J15"/>
  <c r="J17"/>
  <c r="J26"/>
  <c r="K5"/>
  <c r="L5"/>
  <c r="L15"/>
  <c r="L17"/>
  <c r="L26"/>
  <c r="M6"/>
  <c r="M7"/>
  <c r="M8"/>
  <c r="M9"/>
  <c r="M10"/>
  <c r="M11"/>
  <c r="M12"/>
  <c r="M13"/>
  <c r="M14"/>
  <c r="D15"/>
  <c r="D17"/>
  <c r="D26"/>
  <c r="E15"/>
  <c r="H15"/>
  <c r="H17"/>
  <c r="K15"/>
  <c r="K17"/>
  <c r="K26"/>
  <c r="M16"/>
  <c r="E17"/>
  <c r="E26"/>
  <c r="H26"/>
  <c r="M18"/>
  <c r="M19"/>
  <c r="M20"/>
  <c r="M21"/>
  <c r="M22"/>
  <c r="M23"/>
  <c r="M24"/>
  <c r="M25"/>
  <c r="F7" i="18"/>
  <c r="E11"/>
  <c r="F29"/>
  <c r="H11" i="15"/>
  <c r="H35"/>
  <c r="G21"/>
  <c r="G30"/>
  <c r="H30"/>
  <c r="G54"/>
  <c r="H54"/>
  <c r="I7" i="14"/>
  <c r="I8"/>
  <c r="I9"/>
  <c r="I10"/>
  <c r="I11"/>
  <c r="I12"/>
  <c r="I13"/>
  <c r="I14"/>
  <c r="I18"/>
  <c r="I19"/>
  <c r="I20"/>
  <c r="I21"/>
  <c r="I24"/>
  <c r="I25"/>
  <c r="I26"/>
  <c r="I27"/>
  <c r="I28"/>
  <c r="I29"/>
  <c r="I30"/>
  <c r="I31"/>
  <c r="I32"/>
  <c r="I33"/>
  <c r="G34"/>
  <c r="H34"/>
  <c r="I34"/>
  <c r="I35"/>
  <c r="I36"/>
  <c r="I37"/>
  <c r="I40"/>
  <c r="I41"/>
  <c r="I42"/>
  <c r="I43"/>
  <c r="I45"/>
  <c r="I46"/>
  <c r="I47"/>
  <c r="H6" i="4"/>
  <c r="I7"/>
  <c r="I8"/>
  <c r="G9"/>
  <c r="H9"/>
  <c r="I10"/>
  <c r="I11"/>
  <c r="I12"/>
  <c r="I14"/>
  <c r="I15"/>
  <c r="I16"/>
  <c r="I17"/>
  <c r="I19"/>
  <c r="H20"/>
  <c r="I22"/>
  <c r="I23"/>
  <c r="I24"/>
  <c r="I25"/>
  <c r="I26"/>
  <c r="I27"/>
  <c r="I28"/>
  <c r="I29"/>
  <c r="I31"/>
  <c r="G32"/>
  <c r="H32"/>
  <c r="I33"/>
  <c r="I34"/>
  <c r="I35"/>
  <c r="I36"/>
  <c r="I37"/>
  <c r="I38"/>
  <c r="I40"/>
  <c r="I43"/>
  <c r="I44"/>
  <c r="H45"/>
  <c r="I46"/>
  <c r="I47"/>
  <c r="I48"/>
  <c r="I49"/>
  <c r="I50"/>
  <c r="B7" i="52"/>
  <c r="B10"/>
  <c r="J7"/>
  <c r="L8"/>
  <c r="J9"/>
  <c r="L9"/>
  <c r="D10"/>
  <c r="F10"/>
  <c r="F18"/>
  <c r="H10"/>
  <c r="J10"/>
  <c r="A12"/>
  <c r="J12"/>
  <c r="L12"/>
  <c r="B13"/>
  <c r="B15"/>
  <c r="B18"/>
  <c r="J13"/>
  <c r="J14"/>
  <c r="L14"/>
  <c r="O14"/>
  <c r="A15"/>
  <c r="C15"/>
  <c r="D15"/>
  <c r="F15"/>
  <c r="H15"/>
  <c r="H18"/>
  <c r="D17"/>
  <c r="F17"/>
  <c r="F21"/>
  <c r="H17"/>
  <c r="H21"/>
  <c r="J17"/>
  <c r="D18"/>
  <c r="D21"/>
  <c r="B10" i="53"/>
  <c r="C10"/>
  <c r="D11"/>
  <c r="E11"/>
  <c r="H11"/>
  <c r="I11"/>
  <c r="J11"/>
  <c r="G12"/>
  <c r="B13"/>
  <c r="C13"/>
  <c r="F13"/>
  <c r="K13"/>
  <c r="B14"/>
  <c r="C14"/>
  <c r="F14"/>
  <c r="F11"/>
  <c r="G14"/>
  <c r="K14"/>
  <c r="B15"/>
  <c r="C15"/>
  <c r="C11"/>
  <c r="F15"/>
  <c r="G15"/>
  <c r="K15"/>
  <c r="B16"/>
  <c r="B11"/>
  <c r="C16"/>
  <c r="F16"/>
  <c r="K16"/>
  <c r="B17"/>
  <c r="C17"/>
  <c r="F17"/>
  <c r="G17"/>
  <c r="L17"/>
  <c r="M17"/>
  <c r="K17"/>
  <c r="B18"/>
  <c r="C18"/>
  <c r="F18"/>
  <c r="G18"/>
  <c r="K18"/>
  <c r="M18"/>
  <c r="F19"/>
  <c r="G19"/>
  <c r="K19"/>
  <c r="L19"/>
  <c r="M19"/>
  <c r="G20"/>
  <c r="K20"/>
  <c r="M20"/>
  <c r="D21"/>
  <c r="D24"/>
  <c r="E21"/>
  <c r="E24"/>
  <c r="H21"/>
  <c r="I21"/>
  <c r="J21"/>
  <c r="J24"/>
  <c r="M22"/>
  <c r="M23"/>
  <c r="H24"/>
  <c r="I24"/>
  <c r="N24"/>
  <c r="F25"/>
  <c r="G25"/>
  <c r="H31"/>
  <c r="I31"/>
  <c r="J31"/>
  <c r="H32"/>
  <c r="H33"/>
  <c r="H34"/>
  <c r="I34"/>
  <c r="J34"/>
  <c r="H35"/>
  <c r="J35"/>
  <c r="I35"/>
  <c r="H36"/>
  <c r="F37"/>
  <c r="G37"/>
  <c r="H39"/>
  <c r="E41"/>
  <c r="F41"/>
  <c r="I41"/>
  <c r="I45"/>
  <c r="G41"/>
  <c r="J41"/>
  <c r="E42"/>
  <c r="F42"/>
  <c r="I42"/>
  <c r="G42"/>
  <c r="J42"/>
  <c r="E43"/>
  <c r="F43"/>
  <c r="I43"/>
  <c r="G43"/>
  <c r="J43"/>
  <c r="I44"/>
  <c r="J44"/>
  <c r="G45"/>
  <c r="H45"/>
  <c r="H49"/>
  <c r="J49"/>
  <c r="I49"/>
  <c r="H50"/>
  <c r="H51"/>
  <c r="E52"/>
  <c r="H52"/>
  <c r="J52"/>
  <c r="F52"/>
  <c r="G52"/>
  <c r="I53"/>
  <c r="J53"/>
  <c r="E54"/>
  <c r="F54"/>
  <c r="G54"/>
  <c r="J54"/>
  <c r="H54"/>
  <c r="I54"/>
  <c r="C6" i="54"/>
  <c r="C24"/>
  <c r="D6"/>
  <c r="E6"/>
  <c r="F6"/>
  <c r="G6"/>
  <c r="H6"/>
  <c r="I6"/>
  <c r="J6"/>
  <c r="B10"/>
  <c r="C13"/>
  <c r="E13"/>
  <c r="E24"/>
  <c r="F13"/>
  <c r="H13"/>
  <c r="I13"/>
  <c r="J13"/>
  <c r="J24"/>
  <c r="B14"/>
  <c r="G14"/>
  <c r="J14"/>
  <c r="B15"/>
  <c r="G15"/>
  <c r="J15"/>
  <c r="K15"/>
  <c r="B16"/>
  <c r="B13"/>
  <c r="J16"/>
  <c r="B17"/>
  <c r="J17"/>
  <c r="K17"/>
  <c r="B18"/>
  <c r="G18"/>
  <c r="J18"/>
  <c r="K18"/>
  <c r="B19"/>
  <c r="J19"/>
  <c r="B20"/>
  <c r="K20"/>
  <c r="G20"/>
  <c r="J20"/>
  <c r="G21"/>
  <c r="K21"/>
  <c r="J21"/>
  <c r="G22"/>
  <c r="J22"/>
  <c r="K22"/>
  <c r="G23"/>
  <c r="J23"/>
  <c r="H24"/>
  <c r="I24"/>
  <c r="H33"/>
  <c r="I33"/>
  <c r="J33"/>
  <c r="H34"/>
  <c r="H35"/>
  <c r="H36"/>
  <c r="J36"/>
  <c r="H37"/>
  <c r="I37"/>
  <c r="J37"/>
  <c r="H38"/>
  <c r="J38"/>
  <c r="I38"/>
  <c r="G39"/>
  <c r="D17"/>
  <c r="G17"/>
  <c r="E41"/>
  <c r="F41"/>
  <c r="G41"/>
  <c r="J41"/>
  <c r="I41"/>
  <c r="E42"/>
  <c r="F42"/>
  <c r="I42"/>
  <c r="G42"/>
  <c r="E43"/>
  <c r="F43"/>
  <c r="I43"/>
  <c r="G43"/>
  <c r="J43"/>
  <c r="I44"/>
  <c r="J44"/>
  <c r="H47"/>
  <c r="H48"/>
  <c r="I48"/>
  <c r="H49"/>
  <c r="J49"/>
  <c r="E50"/>
  <c r="H50"/>
  <c r="J50"/>
  <c r="F50"/>
  <c r="G50"/>
  <c r="I51"/>
  <c r="J51"/>
  <c r="E52"/>
  <c r="H52"/>
  <c r="I52"/>
  <c r="F52"/>
  <c r="G52"/>
  <c r="G58"/>
  <c r="E60"/>
  <c r="F60"/>
  <c r="E16" i="56"/>
  <c r="E26"/>
  <c r="E27"/>
  <c r="E53"/>
  <c r="F53"/>
  <c r="F56"/>
  <c r="E65"/>
  <c r="E66"/>
  <c r="E83"/>
  <c r="F83"/>
  <c r="E100"/>
  <c r="F100"/>
  <c r="E140"/>
  <c r="E141"/>
  <c r="F140"/>
  <c r="F141"/>
  <c r="E187"/>
  <c r="F187"/>
  <c r="E200"/>
  <c r="F200"/>
  <c r="E43" i="57"/>
  <c r="F43"/>
  <c r="L43"/>
  <c r="M43"/>
  <c r="E47"/>
  <c r="C52"/>
  <c r="B52"/>
  <c r="B66"/>
  <c r="B67"/>
  <c r="B68"/>
  <c r="B69"/>
  <c r="B70"/>
  <c r="B71"/>
  <c r="B72"/>
  <c r="B73"/>
  <c r="B74"/>
  <c r="B75"/>
  <c r="C75"/>
  <c r="B80"/>
  <c r="B81"/>
  <c r="B82"/>
  <c r="B83"/>
  <c r="B84"/>
  <c r="C93"/>
  <c r="B94"/>
  <c r="B95"/>
  <c r="C95"/>
  <c r="C96"/>
  <c r="L12" i="53"/>
  <c r="C119" i="31"/>
  <c r="C139"/>
  <c r="C13" i="57"/>
  <c r="U23" i="31"/>
  <c r="E33" i="59"/>
  <c r="L70" i="44"/>
  <c r="J32" i="53"/>
  <c r="G13"/>
  <c r="L13"/>
  <c r="B17" i="52"/>
  <c r="L7"/>
  <c r="G17" i="59"/>
  <c r="G40"/>
  <c r="J48" i="54"/>
  <c r="G55" i="53"/>
  <c r="G57"/>
  <c r="I39"/>
  <c r="J39"/>
  <c r="J45"/>
  <c r="J91" i="31"/>
  <c r="C95"/>
  <c r="G56" i="54"/>
  <c r="F23" i="31"/>
  <c r="V23"/>
  <c r="E24"/>
  <c r="S14"/>
  <c r="E48" i="57"/>
  <c r="E49"/>
  <c r="I49" i="54"/>
  <c r="I34"/>
  <c r="J34"/>
  <c r="I50" i="53"/>
  <c r="J50"/>
  <c r="I32"/>
  <c r="K21"/>
  <c r="K24"/>
  <c r="S18" i="31"/>
  <c r="L18" i="34"/>
  <c r="C184" i="31"/>
  <c r="P17"/>
  <c r="F24" i="54"/>
  <c r="B21" i="52"/>
  <c r="G172" i="31"/>
  <c r="G139"/>
  <c r="I14" i="44"/>
  <c r="I12" s="1"/>
  <c r="F40" i="59"/>
  <c r="F49"/>
  <c r="D16" i="54"/>
  <c r="S17" i="31"/>
  <c r="T17"/>
  <c r="L12" i="34"/>
  <c r="G16" i="54"/>
  <c r="K16"/>
  <c r="O38" i="15"/>
  <c r="O42"/>
  <c r="L15" i="53"/>
  <c r="M15"/>
  <c r="K14" i="54"/>
  <c r="E24" i="18"/>
  <c r="E29"/>
  <c r="G51" i="4"/>
  <c r="K39"/>
  <c r="I39"/>
  <c r="S16" i="31"/>
  <c r="T16"/>
  <c r="B12" i="57"/>
  <c r="C12" s="1"/>
  <c r="C36" s="1"/>
  <c r="G35" i="15"/>
  <c r="G37" s="1"/>
  <c r="G36" s="1"/>
  <c r="E10" i="18" s="1"/>
  <c r="G49" i="59"/>
  <c r="L17" i="52"/>
  <c r="L10"/>
  <c r="J33" i="53"/>
  <c r="J37"/>
  <c r="I33"/>
  <c r="H37"/>
  <c r="J18" i="52"/>
  <c r="H51" i="4"/>
  <c r="H30"/>
  <c r="I6"/>
  <c r="I15" i="34"/>
  <c r="H15"/>
  <c r="G15"/>
  <c r="L15"/>
  <c r="I8" i="44"/>
  <c r="I24" s="1"/>
  <c r="C21" i="53"/>
  <c r="C24"/>
  <c r="I37"/>
  <c r="B99" i="57"/>
  <c r="C94"/>
  <c r="J35" i="54"/>
  <c r="I35"/>
  <c r="I52" i="53"/>
  <c r="F55"/>
  <c r="I32" i="4"/>
  <c r="I9"/>
  <c r="H37" i="15"/>
  <c r="H36"/>
  <c r="H40"/>
  <c r="H48"/>
  <c r="H55"/>
  <c r="M5" i="25"/>
  <c r="C15"/>
  <c r="G64" i="31"/>
  <c r="S19"/>
  <c r="P19"/>
  <c r="F24"/>
  <c r="P28"/>
  <c r="I19" i="34"/>
  <c r="I24"/>
  <c r="H19"/>
  <c r="H38" i="14"/>
  <c r="I38"/>
  <c r="I23"/>
  <c r="I21" i="4"/>
  <c r="G20"/>
  <c r="K14" i="45"/>
  <c r="K45"/>
  <c r="F45" i="53"/>
  <c r="F57"/>
  <c r="S23" i="31"/>
  <c r="P23"/>
  <c r="B88" i="57"/>
  <c r="H58" i="54"/>
  <c r="J58"/>
  <c r="J60"/>
  <c r="J42"/>
  <c r="G45"/>
  <c r="D19"/>
  <c r="K10"/>
  <c r="B6"/>
  <c r="I36" i="53"/>
  <c r="J36"/>
  <c r="L18"/>
  <c r="G16"/>
  <c r="F21"/>
  <c r="F24"/>
  <c r="M13"/>
  <c r="B21"/>
  <c r="B24"/>
  <c r="M10"/>
  <c r="G149" i="31"/>
  <c r="G106"/>
  <c r="G119"/>
  <c r="J119"/>
  <c r="T14"/>
  <c r="F24" i="34"/>
  <c r="G14"/>
  <c r="L14"/>
  <c r="H50" i="14"/>
  <c r="I44"/>
  <c r="O44" i="15"/>
  <c r="O45"/>
  <c r="O47"/>
  <c r="E18" i="18"/>
  <c r="G22" i="14"/>
  <c r="C172" i="31"/>
  <c r="C173"/>
  <c r="E37" i="18"/>
  <c r="E41" s="1"/>
  <c r="I36" i="54"/>
  <c r="S12" i="31"/>
  <c r="J52" i="54"/>
  <c r="I50"/>
  <c r="I47"/>
  <c r="J47"/>
  <c r="I51" i="53"/>
  <c r="J51"/>
  <c r="J55"/>
  <c r="L14"/>
  <c r="K11"/>
  <c r="J21" i="52"/>
  <c r="L13"/>
  <c r="L15"/>
  <c r="J15"/>
  <c r="I15" i="14"/>
  <c r="J145" i="31"/>
  <c r="C149"/>
  <c r="C150"/>
  <c r="P15"/>
  <c r="P13"/>
  <c r="F11" i="48"/>
  <c r="F34"/>
  <c r="E34"/>
  <c r="H39" i="4"/>
  <c r="I41"/>
  <c r="H39" i="14"/>
  <c r="H51"/>
  <c r="G13" i="4"/>
  <c r="G42" i="59"/>
  <c r="C99" i="57"/>
  <c r="L20" i="53"/>
  <c r="J102" i="31"/>
  <c r="K119"/>
  <c r="J80"/>
  <c r="J70"/>
  <c r="P21"/>
  <c r="S20"/>
  <c r="K23" i="54"/>
  <c r="H55" i="53"/>
  <c r="L10"/>
  <c r="J179" i="31"/>
  <c r="J186"/>
  <c r="J156"/>
  <c r="J125"/>
  <c r="J60"/>
  <c r="S21"/>
  <c r="K24" i="34"/>
  <c r="K25"/>
  <c r="J68" i="44"/>
  <c r="J57" i="53"/>
  <c r="E16" i="18"/>
  <c r="I13" i="4"/>
  <c r="F16" i="18"/>
  <c r="L16" i="53"/>
  <c r="G11"/>
  <c r="G19" i="54"/>
  <c r="D13"/>
  <c r="D24"/>
  <c r="I55" i="53"/>
  <c r="H24" i="34"/>
  <c r="G26"/>
  <c r="G28"/>
  <c r="K6" i="54"/>
  <c r="B24"/>
  <c r="I57" i="53"/>
  <c r="L18" i="52"/>
  <c r="S13" i="31"/>
  <c r="S24"/>
  <c r="T13"/>
  <c r="P24"/>
  <c r="C17" i="25"/>
  <c r="M15"/>
  <c r="H57" i="53"/>
  <c r="S15" i="31"/>
  <c r="T15"/>
  <c r="M14" i="53"/>
  <c r="M21" s="1"/>
  <c r="M24" s="1"/>
  <c r="L21"/>
  <c r="L24"/>
  <c r="G39" i="14"/>
  <c r="I22"/>
  <c r="T12" i="31"/>
  <c r="I58" i="54"/>
  <c r="I60"/>
  <c r="H60"/>
  <c r="I20" i="4"/>
  <c r="F17" i="18"/>
  <c r="E17"/>
  <c r="G19" i="34"/>
  <c r="L19"/>
  <c r="L24"/>
  <c r="G30" i="4"/>
  <c r="H52"/>
  <c r="H52" i="14"/>
  <c r="H53"/>
  <c r="G60" i="54"/>
  <c r="E7" i="18"/>
  <c r="G21" i="53"/>
  <c r="G24"/>
  <c r="G26"/>
  <c r="I51" i="4"/>
  <c r="G24" i="34"/>
  <c r="F20" i="18"/>
  <c r="F43" s="1"/>
  <c r="F46" s="1"/>
  <c r="E44" s="1"/>
  <c r="T24" i="31"/>
  <c r="K19" i="54"/>
  <c r="G13"/>
  <c r="I30" i="4"/>
  <c r="G52"/>
  <c r="I39" i="14"/>
  <c r="C26" i="25"/>
  <c r="M26"/>
  <c r="M17"/>
  <c r="M16" i="53"/>
  <c r="L11"/>
  <c r="K13" i="54"/>
  <c r="G24"/>
  <c r="K24"/>
  <c r="I52" i="4"/>
  <c r="G52" i="14"/>
  <c r="E20" i="18" l="1"/>
  <c r="E43" s="1"/>
  <c r="E46" s="1"/>
  <c r="H12"/>
  <c r="G40" i="15"/>
  <c r="B36" i="57"/>
  <c r="N24" i="15"/>
  <c r="N25" s="1"/>
  <c r="N27" s="1"/>
  <c r="G48" l="1"/>
  <c r="G55" s="1"/>
  <c r="G49" i="14"/>
  <c r="I49" l="1"/>
  <c r="G50"/>
  <c r="L48"/>
  <c r="G51" l="1"/>
  <c r="I50"/>
  <c r="G53" l="1"/>
  <c r="I51"/>
  <c r="D49" i="59"/>
</calcChain>
</file>

<file path=xl/comments1.xml><?xml version="1.0" encoding="utf-8"?>
<comments xmlns="http://schemas.openxmlformats.org/spreadsheetml/2006/main">
  <authors>
    <author>PC</author>
  </authors>
  <commentList>
    <comment ref="G61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 + 900 leke te ardhura roos pasi korigjuar  taxa per rev breakfast kjo perseritat per cdo muaj </t>
        </r>
      </text>
    </comment>
    <comment ref="H62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proces verbale  mungesa malli  baret  perseritet per cdo muaj </t>
        </r>
      </text>
    </comment>
    <comment ref="G83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 gabim mbledhje pasqyra e te ardhurave  5388 rooms&amp; 3375 telef
</t>
        </r>
      </text>
    </comment>
  </commentList>
</comments>
</file>

<file path=xl/comments2.xml><?xml version="1.0" encoding="utf-8"?>
<comments xmlns="http://schemas.openxmlformats.org/spreadsheetml/2006/main">
  <authors>
    <author>HB Alfa</author>
  </authors>
  <commentList>
    <comment ref="I38" authorId="0">
      <text>
        <r>
          <rPr>
            <b/>
            <sz val="9"/>
            <color indexed="81"/>
            <rFont val="Tahoma"/>
            <family val="2"/>
          </rPr>
          <t>HB Alfa:</t>
        </r>
        <r>
          <rPr>
            <sz val="9"/>
            <color indexed="81"/>
            <rFont val="Tahoma"/>
            <family val="2"/>
          </rPr>
          <t xml:space="preserve">
karburant 3714945.2
</t>
        </r>
      </text>
    </comment>
  </commentList>
</comments>
</file>

<file path=xl/sharedStrings.xml><?xml version="1.0" encoding="utf-8"?>
<sst xmlns="http://schemas.openxmlformats.org/spreadsheetml/2006/main" count="1508" uniqueCount="1037">
  <si>
    <t>Nr</t>
  </si>
  <si>
    <t>I</t>
  </si>
  <si>
    <t>II</t>
  </si>
  <si>
    <t>A   K   T   I   V   E   T</t>
  </si>
  <si>
    <t>Aktivet  monetare</t>
  </si>
  <si>
    <t>Banka</t>
  </si>
  <si>
    <t>Arka</t>
  </si>
  <si>
    <t>S H E N I M E T          S P J E G U E S E</t>
  </si>
  <si>
    <t>Per Drejtimin  e Njesise  Ekonomike</t>
  </si>
  <si>
    <t>Pershkrimi  i  Elementeve</t>
  </si>
  <si>
    <t>Sqarim:</t>
  </si>
  <si>
    <t>Totali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</si>
  <si>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</si>
  <si>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</si>
  <si>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</si>
  <si>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</si>
  <si>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</si>
  <si>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</si>
  <si>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</si>
  <si>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</si>
  <si>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</si>
  <si>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</si>
  <si>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</si>
  <si>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</si>
  <si>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</si>
  <si>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</si>
  <si>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</si>
  <si>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</si>
  <si>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</si>
  <si>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</si>
  <si>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</si>
  <si>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</si>
  <si>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</si>
  <si>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</si>
  <si>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</si>
  <si>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</si>
  <si>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</si>
  <si>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</si>
  <si>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</si>
  <si>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</si>
  <si>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</si>
  <si>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</si>
  <si>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</si>
  <si>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</si>
  <si>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</si>
  <si>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</si>
  <si>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</si>
  <si>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</si>
  <si>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</si>
  <si>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</si>
  <si>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</si>
  <si>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</si>
  <si>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</si>
  <si>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</si>
  <si>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</si>
  <si>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</si>
  <si>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</si>
  <si>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</si>
  <si>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</si>
  <si>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</si>
  <si>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</si>
  <si>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</si>
  <si>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</si>
  <si>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</si>
  <si>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</si>
  <si>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</si>
  <si>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</si>
  <si>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</si>
  <si>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</si>
  <si>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</si>
  <si>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</si>
  <si>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</si>
  <si>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</si>
  <si>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</si>
  <si>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</si>
  <si>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</si>
  <si>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</si>
  <si>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</si>
  <si>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</si>
  <si>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</si>
  <si>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</si>
  <si>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</si>
  <si>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</si>
  <si>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</si>
  <si>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</si>
  <si>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</si>
  <si>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</si>
  <si>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</si>
  <si>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</si>
  <si>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</si>
  <si>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</si>
  <si>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</si>
  <si>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</si>
  <si>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</si>
  <si>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</si>
  <si>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</si>
  <si>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</si>
  <si>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</si>
  <si>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</si>
  <si>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</si>
  <si>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</si>
  <si>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</si>
  <si>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</si>
  <si>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</si>
  <si>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</si>
  <si>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</si>
  <si>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</si>
  <si>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</si>
  <si>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</si>
  <si>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</si>
  <si>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</si>
  <si>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</si>
  <si>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</si>
  <si>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</si>
  <si>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</si>
  <si>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</si>
  <si>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</si>
  <si>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</si>
  <si>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</si>
  <si>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</si>
  <si>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</si>
  <si>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</si>
  <si>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</si>
  <si>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</si>
  <si>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</si>
  <si>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</si>
  <si>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</si>
  <si>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</si>
  <si>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</si>
  <si>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</si>
  <si>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</si>
  <si>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</si>
  <si>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</si>
  <si>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</si>
  <si>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</si>
  <si>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</si>
  <si>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</si>
  <si>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</si>
  <si>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</si>
  <si>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</si>
  <si>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</si>
  <si>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</si>
  <si>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</si>
  <si>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</si>
  <si>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</si>
  <si>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</si>
  <si>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</si>
  <si>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</si>
  <si>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</si>
  <si>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</si>
  <si>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</si>
  <si>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</si>
  <si>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</si>
  <si>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</si>
  <si>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</si>
  <si>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</si>
  <si>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</si>
  <si>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</si>
  <si>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</si>
  <si>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</si>
  <si>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</si>
  <si>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</si>
  <si>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</si>
  <si>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</si>
  <si>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</si>
  <si>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</si>
  <si>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</si>
  <si>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</si>
  <si>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</si>
  <si>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</si>
  <si>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</si>
  <si>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</si>
  <si>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</si>
  <si>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</si>
  <si>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</si>
  <si>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</si>
  <si>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</si>
  <si>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</si>
  <si>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</si>
  <si>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</si>
  <si>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</si>
  <si>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</si>
  <si>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</si>
  <si>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</si>
  <si>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</si>
  <si>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</si>
  <si>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</si>
  <si>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</si>
  <si>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</si>
  <si>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</si>
  <si>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</si>
  <si>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</si>
  <si>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</si>
  <si>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</si>
  <si>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</si>
  <si>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Pozicionit Financiar (Bilanci)</t>
  </si>
  <si>
    <t>Pozicioni financiar i rideklaruar më 1 janar 2015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</si>
  <si>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</si>
  <si>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</si>
  <si>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</si>
  <si>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</si>
  <si>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</si>
  <si>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</si>
  <si>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</si>
  <si>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</si>
  <si>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</si>
  <si>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</si>
  <si>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</si>
  <si>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</si>
  <si>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</si>
  <si>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</si>
  <si>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</si>
  <si>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</si>
  <si>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</si>
  <si>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</si>
  <si>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>E M E R T I M I</t>
  </si>
  <si>
    <t>III</t>
  </si>
  <si>
    <t>Shenimet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</si>
  <si>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</si>
  <si>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</si>
  <si>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</si>
  <si>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</si>
  <si>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</si>
  <si>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</si>
  <si>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</si>
  <si>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</si>
  <si>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</si>
  <si>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</si>
  <si>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</si>
  <si>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</si>
  <si>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</si>
  <si>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</si>
  <si>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</si>
  <si>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</si>
  <si>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</si>
  <si>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</si>
  <si>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</si>
  <si>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</si>
  <si>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</si>
  <si>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</si>
  <si>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</si>
  <si>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Akciza</t>
  </si>
  <si>
    <t>(Zhaneta Maska )</t>
  </si>
  <si>
    <t xml:space="preserve">(  Ne zbatim te Standartit Kombetar te Kontabilitetit Nr.2 dhe </t>
  </si>
  <si>
    <t>Ligjit Nr. 9228 Date 29.04.2004 **Per Kontabilitetin dhe Pasqyrat Financiare**  )</t>
  </si>
  <si>
    <r>
      <t xml:space="preserve">Veprimtaria Kryesore:      </t>
    </r>
    <r>
      <rPr>
        <b/>
        <u/>
        <sz val="10"/>
        <rFont val="Times New Roman"/>
        <family val="1"/>
      </rPr>
      <t xml:space="preserve">Shebime ne fushen e hotelerise </t>
    </r>
  </si>
  <si>
    <t>P A S Q Y R A T     F I N A N C I A R E   INDIVIDUALE</t>
  </si>
  <si>
    <t>Pasqyrat  Finanaciare jane Individuale</t>
  </si>
  <si>
    <t>Po</t>
  </si>
  <si>
    <t>Pasqyrat  Finanaciare jane te  konsoliduara</t>
  </si>
  <si>
    <t>Pasqyrat  Finanaciare jane te shprehura ne</t>
  </si>
  <si>
    <t xml:space="preserve">Pasqyrat  Finanaciare jane te rrumbullakosura ne </t>
  </si>
  <si>
    <t xml:space="preserve">Periudhe Kontabel e pasqyrave Finanaciare </t>
  </si>
  <si>
    <t xml:space="preserve">Data e mbylljes se pasqyrave Finanaciare </t>
  </si>
  <si>
    <t>Leke</t>
  </si>
  <si>
    <t>0.0 leke</t>
  </si>
  <si>
    <t>S A R AN D E</t>
  </si>
  <si>
    <t>TVSH E LLOGARITUR.</t>
  </si>
  <si>
    <t>TVSH E PAGUAR</t>
  </si>
  <si>
    <t>S A K T E S I M E</t>
  </si>
  <si>
    <t>Shitje</t>
  </si>
  <si>
    <t>Shitjet e tatueshme</t>
  </si>
  <si>
    <t xml:space="preserve">Blerje te </t>
  </si>
  <si>
    <t>IMPORTE</t>
  </si>
  <si>
    <t>BRENDA VENDIT</t>
  </si>
  <si>
    <t>.</t>
  </si>
  <si>
    <t xml:space="preserve">Gjendja </t>
  </si>
  <si>
    <t>TVSH.</t>
  </si>
  <si>
    <t>Nr.</t>
  </si>
  <si>
    <t>MUAJI</t>
  </si>
  <si>
    <t>te perjashtuara</t>
  </si>
  <si>
    <t>Eksporte</t>
  </si>
  <si>
    <t>Vlera tatueshme</t>
  </si>
  <si>
    <t>TVSH e llogaritur</t>
  </si>
  <si>
    <t>perjashtuara me tvsh jo te zbriteshme</t>
  </si>
  <si>
    <t>TVSH-ja e zbriteshme.</t>
  </si>
  <si>
    <t>TVSH e zbriteshme  muajit kaluar</t>
  </si>
  <si>
    <t>Kerkese rimbursimi</t>
  </si>
  <si>
    <t>Tvsh-se zbritshme nga muaji kaluar</t>
  </si>
  <si>
    <t>Teprica TVSH zbriteshme</t>
  </si>
  <si>
    <t>e detyrushme per tu paguar</t>
  </si>
  <si>
    <t>Gjoba per vonesa</t>
  </si>
  <si>
    <t>Totali per tu paguar</t>
  </si>
  <si>
    <t>Pagesat TVSH</t>
  </si>
  <si>
    <t>Differenca</t>
  </si>
  <si>
    <t>a</t>
  </si>
  <si>
    <t>b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</si>
  <si>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</si>
  <si>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</si>
  <si>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</si>
  <si>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</si>
  <si>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</si>
  <si>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</si>
  <si>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</si>
  <si>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</si>
  <si>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</si>
  <si>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</si>
  <si>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</si>
  <si>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</si>
  <si>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SHUMA:</t>
  </si>
  <si>
    <t xml:space="preserve">Sistemi </t>
  </si>
  <si>
    <t>RAKORDIM REVENUE   DEKLARATA WITH  SISTEM</t>
  </si>
  <si>
    <t>Kuadrim      REVENUE   2011</t>
  </si>
  <si>
    <t xml:space="preserve">Janar </t>
  </si>
  <si>
    <t xml:space="preserve">Deklarata </t>
  </si>
  <si>
    <t xml:space="preserve">Differenca </t>
  </si>
  <si>
    <t>usd</t>
  </si>
  <si>
    <t xml:space="preserve">leke </t>
  </si>
  <si>
    <t xml:space="preserve">Shuma Raport </t>
  </si>
  <si>
    <t>Diff Kursi Rent</t>
  </si>
  <si>
    <t xml:space="preserve">5% taxe Breakfast </t>
  </si>
  <si>
    <t>Staff &amp; Coml</t>
  </si>
  <si>
    <t>p.verb demt mall</t>
  </si>
  <si>
    <t>shuma</t>
  </si>
  <si>
    <t>February</t>
  </si>
  <si>
    <t xml:space="preserve">shuma </t>
  </si>
  <si>
    <t xml:space="preserve">diff kursi  rent </t>
  </si>
  <si>
    <t xml:space="preserve"> 5%  tax</t>
  </si>
  <si>
    <t>March</t>
  </si>
  <si>
    <t>shum a</t>
  </si>
  <si>
    <t>Staff&amp; Compl</t>
  </si>
  <si>
    <t>5% tax</t>
  </si>
  <si>
    <t xml:space="preserve">Diff Kursi rent </t>
  </si>
  <si>
    <t>pverbal</t>
  </si>
  <si>
    <t>April</t>
  </si>
  <si>
    <t>diff kurs rent</t>
  </si>
  <si>
    <t>5%taxe</t>
  </si>
  <si>
    <t xml:space="preserve">staff </t>
  </si>
  <si>
    <t>pver Mr Hysen</t>
  </si>
  <si>
    <t>mr Taha &amp; div malli</t>
  </si>
  <si>
    <t>May</t>
  </si>
  <si>
    <t>5% taxe</t>
  </si>
  <si>
    <t>staff&amp; compl</t>
  </si>
  <si>
    <t xml:space="preserve"> pverb demt mall</t>
  </si>
  <si>
    <t xml:space="preserve">total </t>
  </si>
  <si>
    <t>June</t>
  </si>
  <si>
    <t>shuma rap</t>
  </si>
  <si>
    <t>Staff &amp; compl</t>
  </si>
  <si>
    <t>bank int</t>
  </si>
  <si>
    <t>TOTAL 6/MUJOR</t>
  </si>
  <si>
    <t>july</t>
  </si>
  <si>
    <t>corec 5%</t>
  </si>
  <si>
    <t>5% june</t>
  </si>
  <si>
    <t>P Verb j/perd</t>
  </si>
  <si>
    <t xml:space="preserve">August </t>
  </si>
  <si>
    <t xml:space="preserve">sist pv grate </t>
  </si>
  <si>
    <t>P Verb staff deb</t>
  </si>
  <si>
    <t xml:space="preserve">September </t>
  </si>
  <si>
    <t xml:space="preserve">october </t>
  </si>
  <si>
    <t xml:space="preserve">rent </t>
  </si>
  <si>
    <t>sales&amp;staff</t>
  </si>
  <si>
    <t>November</t>
  </si>
  <si>
    <t xml:space="preserve">December </t>
  </si>
  <si>
    <t xml:space="preserve">Bank Int </t>
  </si>
  <si>
    <t xml:space="preserve">DEKLARATA ANALITIKE PER </t>
  </si>
  <si>
    <t>Numri i Vendosjes se Dokumentit ( NVD)</t>
  </si>
  <si>
    <t>TATIMIN MBI TE ARDHURAT</t>
  </si>
  <si>
    <t>(Vetem per perdorim zyrtar)</t>
  </si>
  <si>
    <t>Sipas bilancit</t>
  </si>
  <si>
    <t>Fiskale</t>
  </si>
  <si>
    <t>Totali i te ardhurave</t>
  </si>
  <si>
    <t>Totali i shpenzimeve</t>
  </si>
  <si>
    <t>Total shpenzimet e pazbriteshme sipas ligjit ( neni 21):</t>
  </si>
  <si>
    <t xml:space="preserve">(a)Kosto e blerjes dhe permisimit te tokes dhe te truallit </t>
  </si>
  <si>
    <t xml:space="preserve">(6)                 </t>
  </si>
  <si>
    <t>(b) kosto e blerjes dhe permisimit te aktiveve objekt amortizimi</t>
  </si>
  <si>
    <t xml:space="preserve">(7)                 </t>
  </si>
  <si>
    <t>(c)zmadhimi i kapitalit themeltar te shoqerise ose kontributit te sejcilit person ne ortakeri</t>
  </si>
  <si>
    <t xml:space="preserve">(8)                 </t>
  </si>
  <si>
    <t>(ç)vlera e shperblimeve ne natyre</t>
  </si>
  <si>
    <t xml:space="preserve">(9)                 </t>
  </si>
  <si>
    <t>(d) kontributet vullnetare te pensioneve</t>
  </si>
  <si>
    <t xml:space="preserve">(10)                 </t>
  </si>
  <si>
    <t>(dh) dividentet e deklaruar dhe ndarja e fitimit</t>
  </si>
  <si>
    <t xml:space="preserve">(11)                 </t>
  </si>
  <si>
    <t>(e)interesat e paguara mbi interesin maksimal te kredise caktuar nga banka e Shqiperise</t>
  </si>
  <si>
    <t xml:space="preserve">(12)                 </t>
  </si>
  <si>
    <t>(e) gjobat,kamatvonesat dhe kushtet e tear penale</t>
  </si>
  <si>
    <t>(f)krijimi ose rritja e rezervave te fondeve te tear</t>
  </si>
  <si>
    <t xml:space="preserve">(14)                 </t>
  </si>
  <si>
    <t>(g)tatimi mbi te ardhurat personale,akciza,tatimi mbi fitimin dhe tatimi mbi vleren e shtuar te zbriteshme.</t>
  </si>
  <si>
    <t xml:space="preserve">(15)                 </t>
  </si>
  <si>
    <t>(gj)gjithsejt shpenzimet e perfaqesimit ,pritje,percjellje</t>
  </si>
  <si>
    <t>(h)shpenzimet e konsumit personal</t>
  </si>
  <si>
    <t>(i )shpenzizmet te cilat tejkalojne kufijte e percaktuar me ligj</t>
  </si>
  <si>
    <t xml:space="preserve">(18)                 </t>
  </si>
  <si>
    <t>(j)shpenzimet per dhurata</t>
  </si>
  <si>
    <t>(k)çdo lloja shpenzimi, masa e te cilit nuk vertetohet me dokumenta</t>
  </si>
  <si>
    <t>(l)interesi i paguar kur huaja dhe parapagimet tejkalojne kater here kapitalin themeltar</t>
  </si>
  <si>
    <t xml:space="preserve">(21)                 </t>
  </si>
  <si>
    <t>(ll)nese baza e amortizimit eshte shume negative</t>
  </si>
  <si>
    <t xml:space="preserve">(22)                 </t>
  </si>
  <si>
    <t>(m)shpenzime per sherbime teknike,konsulence,menazhim te palikujduara brenda periudhes tatimore</t>
  </si>
  <si>
    <t xml:space="preserve">(23)                 </t>
  </si>
  <si>
    <t>(n)amortizimi nga rivleresimi i aktiveve te qendrueshsme</t>
  </si>
  <si>
    <t xml:space="preserve">(24)                 </t>
  </si>
  <si>
    <t>Rezultati i vitit Ushtrimor</t>
  </si>
  <si>
    <t>Humbja</t>
  </si>
  <si>
    <t>Fitimi</t>
  </si>
  <si>
    <t>Humbja per tu mbartur nga 1 vit me pare</t>
  </si>
  <si>
    <t>(29)              0</t>
  </si>
  <si>
    <t>Humbja per tu mbartur nga 2 vite me pare</t>
  </si>
  <si>
    <t>(30)             0</t>
  </si>
  <si>
    <t>Humbja per tu mbartur nga 3 vite me pare</t>
  </si>
  <si>
    <t>(31)             0</t>
  </si>
  <si>
    <t>Shuma e humbjes per tu mbartur ne vitin ushtrimor</t>
  </si>
  <si>
    <t>5</t>
  </si>
  <si>
    <t>(33)</t>
  </si>
  <si>
    <t>Shuma e humbjeve qe nuk mbarten per efekt fiskal</t>
  </si>
  <si>
    <t>(34)</t>
  </si>
  <si>
    <t>Fitimi i tatueshem</t>
  </si>
  <si>
    <t>Tatim fitimi i llogaritur</t>
  </si>
  <si>
    <t xml:space="preserve">               </t>
  </si>
  <si>
    <t>Zbritje nga fitimi (rezervat ligjore)</t>
  </si>
  <si>
    <t xml:space="preserve">(37)             </t>
  </si>
  <si>
    <t xml:space="preserve">(38)           </t>
  </si>
  <si>
    <t>Fitimi neto per tu shperndare nga periudha ushtrimore</t>
  </si>
  <si>
    <t xml:space="preserve">(39)                </t>
  </si>
  <si>
    <t>Fitimi neto per tu shperndare nga vitet e kaluara</t>
  </si>
  <si>
    <t xml:space="preserve">(40)                </t>
  </si>
  <si>
    <t>Shtese kapitali nga fitimi</t>
  </si>
  <si>
    <t xml:space="preserve">(41)                </t>
  </si>
  <si>
    <t>Dividente per tu shperndare</t>
  </si>
  <si>
    <t xml:space="preserve">(42)                </t>
  </si>
  <si>
    <t>Tatimi mbi dividentin i llogaritur</t>
  </si>
  <si>
    <t xml:space="preserve">(43)                </t>
  </si>
  <si>
    <t>LLOGARITJA E AMORTIZIMIT</t>
  </si>
  <si>
    <t>Ne total llogaritja e amortizimit vjetor =(a + b +c + d )</t>
  </si>
  <si>
    <t>a.Ndertesa e makineri afatgjate</t>
  </si>
  <si>
    <t>b.Aktive te patrupezuara</t>
  </si>
  <si>
    <t>c.Kompjuterat dhe sisteme informacioni</t>
  </si>
  <si>
    <t>d.Te gjitha aktivet e tear te aktivitetit</t>
  </si>
  <si>
    <t>Tatimi i mbajtur ne burim ne zbatim te nenit 33</t>
  </si>
  <si>
    <r>
      <t>Data dhe nenshkrimi i personit te tatueshem</t>
    </r>
    <r>
      <rPr>
        <sz val="10"/>
        <rFont val="Times New Roman"/>
        <family val="1"/>
      </rPr>
      <t>-</t>
    </r>
    <r>
      <rPr>
        <sz val="8"/>
        <rFont val="Times New Roman"/>
        <family val="1"/>
      </rPr>
      <t>Deklaroj nen pergjegjesine time se informacioni i mesiperm eshte i plote dhe i sakte.</t>
    </r>
  </si>
  <si>
    <t xml:space="preserve">Shpenzime te panjohura </t>
  </si>
  <si>
    <t>LEKE</t>
  </si>
  <si>
    <t>USD</t>
  </si>
  <si>
    <t>*  Shpenzime  Qera  Banese  llog 61301</t>
  </si>
  <si>
    <t>4762.51*80</t>
  </si>
  <si>
    <t>*  Shpenzime  Hause exp llog 61302</t>
  </si>
  <si>
    <t>885.85*80+32.13*80</t>
  </si>
  <si>
    <t>*  Shpenz Personel jashte ndermarjes  Llog.621</t>
  </si>
  <si>
    <t>2185.94*80</t>
  </si>
  <si>
    <t>*  Shpenz Head Office Charge lolg 62101</t>
  </si>
  <si>
    <t>36813.84*80</t>
  </si>
  <si>
    <t>*  Shpemzime Reklama  llog 624</t>
  </si>
  <si>
    <t>(875-250)*80</t>
  </si>
  <si>
    <t>*  Shpenizme  Marketing Exp llog62401</t>
  </si>
  <si>
    <t>6021.82*80</t>
  </si>
  <si>
    <t>*  Shpenz  transport e furl pa fatura  llog 62701</t>
  </si>
  <si>
    <t>4451.06*80</t>
  </si>
  <si>
    <t>*  Shpenzime Staf Benific llog64803</t>
  </si>
  <si>
    <t>7125.83*80</t>
  </si>
  <si>
    <t>*  General Expens LLOG.+64804</t>
  </si>
  <si>
    <t>2250*80</t>
  </si>
  <si>
    <t>*  Ragional Expens  Llog.64806</t>
  </si>
  <si>
    <t>*  Interest HQ LLOG 66102</t>
  </si>
  <si>
    <t xml:space="preserve">*  Shpenzemi te jtera  llog.60202 Toni pa fatura </t>
  </si>
  <si>
    <t>*  Shpenzime  P/Verbale /Perd.Glas &amp;China  llog 60204</t>
  </si>
  <si>
    <t>*  Shpenzime  P/Verbale J/Perd  Linen  llog 60209</t>
  </si>
  <si>
    <t>*  Shpenzime Food Toni pa fatura Kitchen Llog60501</t>
  </si>
  <si>
    <t>16560.005*80</t>
  </si>
  <si>
    <t>*  Shpenzime Beverage Toni pa fatura Kitchen Llog60502</t>
  </si>
  <si>
    <t>1487.11*80</t>
  </si>
  <si>
    <t>*  Shpenzime  maintenance  llog615</t>
  </si>
  <si>
    <t>1858.96*80</t>
  </si>
  <si>
    <t>*  Shpenzime -Servis Maintenance  Llog.61504</t>
  </si>
  <si>
    <t>23752.5*80</t>
  </si>
  <si>
    <t>*  Shpenzime te tjera  llog 618</t>
  </si>
  <si>
    <t>(470.46-337.5)*80</t>
  </si>
  <si>
    <t xml:space="preserve">T O T A L </t>
  </si>
  <si>
    <t>Muaji</t>
  </si>
  <si>
    <t>No. Punonjesve</t>
  </si>
  <si>
    <t xml:space="preserve">Paga Bruto ne leke </t>
  </si>
  <si>
    <t xml:space="preserve">Kontribute per sig Shoqerore ne leke </t>
  </si>
  <si>
    <t xml:space="preserve">16)Kontribut per sig Shendet Gjithsej ne leke </t>
  </si>
  <si>
    <t>Kontribute gjithsej</t>
  </si>
  <si>
    <t xml:space="preserve">18)Tatimi mbi te ardhurat ne  leke </t>
  </si>
  <si>
    <t>Nga Keto:</t>
  </si>
  <si>
    <t xml:space="preserve">15Kontribute  shtese </t>
  </si>
  <si>
    <t xml:space="preserve">10)Gjithsej </t>
  </si>
  <si>
    <t>11)Paga mbi te cilen llog kontributet</t>
  </si>
  <si>
    <t>12)Gjithsej</t>
  </si>
  <si>
    <t>13) Punedhenes</t>
  </si>
  <si>
    <t>14)Punemarresi</t>
  </si>
  <si>
    <t>Gjithsej</t>
  </si>
  <si>
    <t xml:space="preserve">Femra </t>
  </si>
  <si>
    <t xml:space="preserve">Korrik </t>
  </si>
  <si>
    <t>Shator</t>
  </si>
  <si>
    <t xml:space="preserve">Nentor </t>
  </si>
  <si>
    <t xml:space="preserve">Dhjetor </t>
  </si>
  <si>
    <t>TOTAL</t>
  </si>
  <si>
    <t xml:space="preserve">Fitim / Humbja e vitit para  tatimit </t>
  </si>
  <si>
    <t xml:space="preserve">Shpenzimet financiare jomonetare  </t>
  </si>
  <si>
    <t xml:space="preserve">Diferenca 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</si>
  <si>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</si>
  <si>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</si>
  <si>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</si>
  <si>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a) Informacion i përgjithsëm dhe politikat kontabël</t>
  </si>
  <si>
    <t>b)Shënimet qe shpjegojnë zërat e ndryshëm të pasqyrave financiare</t>
  </si>
  <si>
    <t>c) Shënime të tjera shpjegeuse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</si>
  <si>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</si>
  <si>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</si>
  <si>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</si>
  <si>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</si>
  <si>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</si>
  <si>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</si>
  <si>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</si>
  <si>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 xml:space="preserve">        d) KUPTUSHMERIA e Pasqyrave Financiare eshte realizuar ne masen e plote per te </t>
  </si>
  <si>
    <t xml:space="preserve">        e) MATERIALITETI eshte vleresuar nga ana jone dhe ne baze te tij Pasqyrat Financiare</t>
  </si>
  <si>
    <t xml:space="preserve">         f) BESUSHMERIA per hartimin e Pasqyrave Financiare eshte e siguruar pasi nuk ka</t>
  </si>
  <si>
    <t xml:space="preserve">     Per percaktimin e kostos se inventareve eshte zgjedhur metoda "Cmimi  mesatar  I ponderuar" </t>
  </si>
  <si>
    <t>(SKK 4: 15)</t>
  </si>
  <si>
    <t>eshte vleresuar me kosto. (SKK 5; 11)</t>
  </si>
  <si>
    <t>interesat) eshte metoda e kapitalizimit ne koston e aktivit per periudhen e investimit.(SKK 5: 16)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</si>
  <si>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</si>
  <si>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</si>
  <si>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</si>
  <si>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</si>
  <si>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</si>
  <si>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Te gjitha AAM te tjera(Mjet transporti) me 20 % te vleftes se mbetur</t>
  </si>
  <si>
    <t xml:space="preserve">Shoqeria : Hotel " Alfa Butrinti " Shpk 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</si>
  <si>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</si>
  <si>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</si>
  <si>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</si>
  <si>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</si>
  <si>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</si>
  <si>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</si>
  <si>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2015</t>
  </si>
  <si>
    <t>Shitjet gjithsej (a + b +c )</t>
  </si>
  <si>
    <t>a)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</si>
  <si>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</si>
  <si>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</si>
  <si>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</si>
  <si>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</si>
  <si>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</si>
  <si>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</si>
  <si>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</si>
  <si>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</si>
  <si>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</si>
  <si>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</si>
  <si>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</si>
  <si>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</si>
  <si>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</si>
  <si>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</si>
  <si>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</si>
  <si>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</si>
  <si>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 (Diferenca  pozitive nga kembimi etj.(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</si>
  <si>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</si>
  <si>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</si>
  <si>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</si>
  <si>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</si>
  <si>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</si>
  <si>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</si>
  <si>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tjera(+karburant goma etj)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</si>
  <si>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</si>
  <si>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</si>
  <si>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</si>
  <si>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</si>
  <si>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</si>
  <si>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</si>
  <si>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</si>
  <si>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</si>
  <si>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</si>
  <si>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</si>
  <si>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</si>
  <si>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</si>
  <si>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</si>
  <si>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</si>
  <si>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</si>
  <si>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  uje &amp; elektricity</t>
  </si>
  <si>
    <t>Qera Rent TV</t>
  </si>
  <si>
    <t>d)</t>
  </si>
  <si>
    <t>Mirembajtje dhe riparime</t>
  </si>
  <si>
    <t>e)</t>
  </si>
  <si>
    <t>Shpenzime për Siguracione</t>
  </si>
  <si>
    <t>f)</t>
  </si>
  <si>
    <t>g)</t>
  </si>
  <si>
    <t>h)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</si>
  <si>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</si>
  <si>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</si>
  <si>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</si>
  <si>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</si>
  <si>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</si>
  <si>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</si>
  <si>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</si>
  <si>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</si>
  <si>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</si>
  <si>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</si>
  <si>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</si>
  <si>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 xml:space="preserve">Shpenzime per sherbime bankare   &amp; interesa kredie &amp;diff kursi </t>
  </si>
  <si>
    <t>Tatime dhe taksa (a+b+c+d)</t>
  </si>
  <si>
    <t>Taksa dhe tarifa doganore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</si>
  <si>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</si>
  <si>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</si>
  <si>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</si>
  <si>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</si>
  <si>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</si>
  <si>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</si>
  <si>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</si>
  <si>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</si>
  <si>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</si>
  <si>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</si>
  <si>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</si>
  <si>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</si>
  <si>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 _:     K24618801A__________________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</si>
  <si>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</si>
  <si>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</si>
  <si>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</si>
  <si>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</si>
  <si>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</si>
  <si>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</si>
  <si>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cigaresh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</si>
  <si>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</si>
  <si>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</si>
  <si>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</si>
  <si>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</si>
  <si>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</si>
  <si>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</si>
  <si>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</si>
  <si>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</si>
  <si>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</si>
  <si>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</si>
  <si>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</si>
  <si>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</si>
  <si>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</si>
  <si>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</si>
  <si>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</si>
  <si>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</si>
  <si>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</si>
  <si>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</si>
  <si>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</si>
  <si>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</si>
  <si>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</si>
  <si>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</si>
  <si>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</si>
  <si>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</si>
  <si>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</si>
  <si>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</si>
  <si>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</si>
  <si>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</si>
  <si>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</si>
  <si>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</si>
  <si>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</si>
  <si>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</si>
  <si>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</si>
  <si>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</si>
  <si>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>Sherbime financiare   bank comis</t>
  </si>
  <si>
    <t>Siguracione</t>
  </si>
  <si>
    <t>Sherbime mjekesore</t>
  </si>
  <si>
    <t xml:space="preserve">Bar restorante </t>
  </si>
  <si>
    <t xml:space="preserve">Sherbime financiare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</si>
  <si>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</si>
  <si>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</si>
  <si>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</si>
  <si>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</si>
  <si>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</si>
  <si>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</si>
  <si>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 qera salle , ambjenti etj sherb</t>
  </si>
  <si>
    <t>V</t>
  </si>
  <si>
    <t>Totali i te ardhurave nga sherbimet</t>
  </si>
  <si>
    <t>TOALI (I+II+III+IV+V)</t>
  </si>
  <si>
    <t>Sherbime te tjera</t>
  </si>
  <si>
    <t>Nr. I te punesuarve</t>
  </si>
  <si>
    <t>Me page deri ne 22.000 leke</t>
  </si>
  <si>
    <t>Me page nga 22.001 deri ne 30.000 leke</t>
  </si>
  <si>
    <t>Me page nga 30.001 deri  ne 91.475 leke</t>
  </si>
  <si>
    <t>Me page me te larte se 95,130 leke</t>
  </si>
  <si>
    <r>
      <t xml:space="preserve">Shenim: </t>
    </r>
    <r>
      <rPr>
        <sz val="10"/>
        <rFont val="Arial"/>
        <family val="2"/>
      </rPr>
      <t>Kjo pasqyre plotesohet edhe on-line.</t>
    </r>
  </si>
  <si>
    <t xml:space="preserve"> </t>
  </si>
  <si>
    <t>Sasia</t>
  </si>
  <si>
    <t>Toka</t>
  </si>
  <si>
    <t>Ndertesa</t>
  </si>
  <si>
    <t>"</t>
  </si>
  <si>
    <t xml:space="preserve">Mjete Transporti </t>
  </si>
  <si>
    <t>Lloji i mjetit</t>
  </si>
  <si>
    <t>Kapaciteti ne ton</t>
  </si>
  <si>
    <t>Targa e mjetit</t>
  </si>
  <si>
    <t>Vlefta fillestare ne leke</t>
  </si>
  <si>
    <t>Gjithsejt :</t>
  </si>
  <si>
    <t>Pasqyra e Amortizimit per efekt fiskal</t>
  </si>
  <si>
    <t>E m e r t I m I</t>
  </si>
  <si>
    <t>Shuma vjetore e amortizimit</t>
  </si>
  <si>
    <t>Perqindja Amortizimit vjetor</t>
  </si>
  <si>
    <t>Per efekt fiskal</t>
  </si>
  <si>
    <t>Tregetar</t>
  </si>
  <si>
    <t>Ne  fitimin     tatimor</t>
  </si>
  <si>
    <t>Aktivitete te patrupezuara</t>
  </si>
  <si>
    <t xml:space="preserve">Ndetime e Instalime te prgjithshme </t>
  </si>
  <si>
    <t>Makineri e paisje</t>
  </si>
  <si>
    <t xml:space="preserve">Pajisje Zyre </t>
  </si>
  <si>
    <t>Kompjutera dhe sisteme informacioni</t>
  </si>
  <si>
    <t xml:space="preserve"> Cr.</t>
  </si>
  <si>
    <t>Total</t>
  </si>
  <si>
    <t xml:space="preserve">Balance </t>
  </si>
  <si>
    <t>Albania Experience -Agent</t>
  </si>
  <si>
    <t xml:space="preserve">Credit Bank of Albania </t>
  </si>
  <si>
    <t xml:space="preserve">SM Tours  -  Agent </t>
  </si>
  <si>
    <t xml:space="preserve">Post  &amp; Present </t>
  </si>
  <si>
    <t>Europa Travel &amp; Tours</t>
  </si>
  <si>
    <t>Qendra Kulturore</t>
  </si>
  <si>
    <t>Itaka Travel</t>
  </si>
  <si>
    <t>Bashkia Sarande</t>
  </si>
  <si>
    <t>DMG Albania</t>
  </si>
  <si>
    <t xml:space="preserve">Partia Socialiste Dega Sarande </t>
  </si>
  <si>
    <t>Tirana Bank Lek</t>
  </si>
  <si>
    <t>Tirana Bank USD</t>
  </si>
  <si>
    <t>Tirana Bank EURO</t>
  </si>
  <si>
    <t>ProCredit Bank  Lek</t>
  </si>
  <si>
    <t>ProCredit Bank  Euro</t>
  </si>
  <si>
    <t>Credit Bank of Albania Lek</t>
  </si>
  <si>
    <t>Credit Bank of Albania USD</t>
  </si>
  <si>
    <t>Credit Bank of Albania  EURO</t>
  </si>
  <si>
    <t>Debi</t>
  </si>
  <si>
    <t>Me page nga 91.476 deri ne 97030leke</t>
  </si>
  <si>
    <t>Viti    2016</t>
  </si>
  <si>
    <t>Nga : 01.01.2016</t>
  </si>
  <si>
    <t>Deri :31.12.2016</t>
  </si>
  <si>
    <t xml:space="preserve">Të tjera   TVSH per tu  paguar </t>
  </si>
  <si>
    <t>Celje 01.01.2016</t>
  </si>
  <si>
    <t>PASQYRE E RAKORDIMI E DEKLARIMIT DHE PAGESES  TVSH PER VITIN    2016</t>
  </si>
  <si>
    <t>Kontribute per sig Shoqerore  VITI   -  2016</t>
  </si>
  <si>
    <t>Pozicioni financiar më 31 dhjetor 2014</t>
  </si>
  <si>
    <t>Pozicioni financiar i rideklaruar më 31 dhjetor 2015</t>
  </si>
  <si>
    <t>Pozicioni financiar i rideklaruar më 1 janar 2016</t>
  </si>
  <si>
    <t>Pozicioni financiar më 31 dhjetor 2016</t>
  </si>
  <si>
    <t>31.12.2016</t>
  </si>
  <si>
    <t>Inventari Automjeteve ne pronesi vitin 2016</t>
  </si>
  <si>
    <t>Mjete monetare dhe ekuivalentë të mjeteve monetare më 1 janar 2016</t>
  </si>
  <si>
    <t>Mjete monetare dhe ekuivalentë të mjeteve monetare më 31 dhjetor 2016</t>
  </si>
  <si>
    <t>E Vlefshme per SHENIMET</t>
  </si>
  <si>
    <t>Ndertime dhe instalime te pergj</t>
  </si>
  <si>
    <t>Makineri Pajisje</t>
  </si>
  <si>
    <t>Mjete transporti</t>
  </si>
  <si>
    <t>Te tjera aktive</t>
  </si>
  <si>
    <t>Aktive  A.Materiale</t>
  </si>
  <si>
    <t xml:space="preserve">Shtesa </t>
  </si>
  <si>
    <t>Pakesime</t>
  </si>
  <si>
    <t>Amortizimi</t>
  </si>
  <si>
    <t>Gjendja e Aktiveve teAfatgjata Materiale ne date 31.12.2016</t>
  </si>
  <si>
    <t>Gjendje 01.01.2016</t>
  </si>
  <si>
    <t>Gjendje 31.12.2016</t>
  </si>
  <si>
    <t>Vlera neto 01.01.2016</t>
  </si>
  <si>
    <t>Vlera neto 31.12.2016</t>
  </si>
  <si>
    <t xml:space="preserve">Pasqyra 2  OK </t>
  </si>
  <si>
    <t xml:space="preserve">   S A R A N D E </t>
  </si>
  <si>
    <t xml:space="preserve"> PASQYRA       E     AMORTIZIMEVE  31.12.2016</t>
  </si>
  <si>
    <t>EMERTIMI</t>
  </si>
  <si>
    <t xml:space="preserve">  Assets Closing Balace 31.12.2015</t>
  </si>
  <si>
    <t xml:space="preserve">                       SHTESA                    </t>
  </si>
  <si>
    <t xml:space="preserve">                            PAKESIME    </t>
  </si>
  <si>
    <t xml:space="preserve">Shuma ne mbyllje te ushtrimit </t>
  </si>
  <si>
    <t xml:space="preserve">SHUMA E AKUMULUAR NE   FILL VITIT </t>
  </si>
  <si>
    <t xml:space="preserve">Plotesime  lidh . Me  rivleresim </t>
  </si>
  <si>
    <t>Shtesa te tjera</t>
  </si>
  <si>
    <t xml:space="preserve"> Amortizimi vjetor </t>
  </si>
  <si>
    <t xml:space="preserve">Pakesime te tjera </t>
  </si>
  <si>
    <t xml:space="preserve">Elemente te shitur </t>
  </si>
  <si>
    <t xml:space="preserve">nxjere jashte perdorimit </t>
  </si>
  <si>
    <t xml:space="preserve">GJITHSEJ PAKESIME </t>
  </si>
  <si>
    <t>vl mbet</t>
  </si>
  <si>
    <t xml:space="preserve">Pa trupezuara </t>
  </si>
  <si>
    <t xml:space="preserve"> II    TE     TRUPEZUARA</t>
  </si>
  <si>
    <t xml:space="preserve"> 7-Toka Troje Terrene</t>
  </si>
  <si>
    <t xml:space="preserve"> 8-Ndertesa</t>
  </si>
  <si>
    <t xml:space="preserve"> 9-Ndertime dhe instalime te pergjitheshme</t>
  </si>
  <si>
    <t>10 Makineri Paisje</t>
  </si>
  <si>
    <t>11Mjete Transporti</t>
  </si>
  <si>
    <t xml:space="preserve">Pajisje zyre informatike </t>
  </si>
  <si>
    <t xml:space="preserve">12.Pajisja zyre </t>
  </si>
  <si>
    <t>13 Kultura dru-frutore</t>
  </si>
  <si>
    <t>16-Ne proces</t>
  </si>
  <si>
    <t>TOTALI   II</t>
  </si>
  <si>
    <t>SHUMA</t>
  </si>
  <si>
    <t>TOTAL(I+II)</t>
  </si>
  <si>
    <t>GJENDJA DHE NDRYSHIMET E AKTIVEVE TE QENDRUESHMEME VLERE  BRUTO 31-12.2016</t>
  </si>
  <si>
    <t>Gjendja ne celje te ushtrimit</t>
  </si>
  <si>
    <t>SHTESA GJATE USHTRIMIT</t>
  </si>
  <si>
    <t xml:space="preserve">       PAKESIMI GJATE USHTRIMIT</t>
  </si>
  <si>
    <t>Gjendja ne mbyllje te ushtrimit</t>
  </si>
  <si>
    <t>Kontribute ne kapital</t>
  </si>
  <si>
    <t>Blere dhe krijuar</t>
  </si>
  <si>
    <t xml:space="preserve">Shtesa te tjera </t>
  </si>
  <si>
    <t>Rivlersime</t>
  </si>
  <si>
    <t>Pakesime te tjera</t>
  </si>
  <si>
    <t>I    TE PA TRUPEZUARA</t>
  </si>
  <si>
    <t>1 -Shpenzime te nisjes dhe zgjerimit</t>
  </si>
  <si>
    <t xml:space="preserve">2 - Shpenzime te kerkimeve te        aplikuara e te zhvillimt </t>
  </si>
  <si>
    <t>3 - Koncesione, Patenta, Marka dhe vlera e te drejta te ngjashme</t>
  </si>
  <si>
    <t>4 - Fond tregetar</t>
  </si>
  <si>
    <t>5 - Te tjera ne shfrytezim</t>
  </si>
  <si>
    <t>6 - Ne proces dhe pagesa pjesore</t>
  </si>
  <si>
    <t>II   TE TRUPEZUARA</t>
  </si>
  <si>
    <t>7 - Toka, terrene, troje</t>
  </si>
  <si>
    <t>8 - Ndertesa</t>
  </si>
  <si>
    <t>9 - Ndertime dhe instalime te pergj.</t>
  </si>
  <si>
    <t>10 -  Makineri Paisje</t>
  </si>
  <si>
    <t>11 - Mjete transporti</t>
  </si>
  <si>
    <t>14 - Kultura dru-frutore</t>
  </si>
  <si>
    <t>15 - Te tjera ne shfrytezim</t>
  </si>
  <si>
    <t>16 - Ne proces dhe pagesa pjesore</t>
  </si>
  <si>
    <t>TOTAL   I   +   II</t>
  </si>
  <si>
    <t>Viti 2016</t>
  </si>
  <si>
    <t xml:space="preserve">  Të ardhura nga shitja e aktiveve afatgjata  parashkrim debi kredi </t>
  </si>
  <si>
    <r>
      <t xml:space="preserve"> </t>
    </r>
    <r>
      <rPr>
        <sz val="8"/>
        <rFont val="Arial"/>
        <family val="2"/>
      </rPr>
      <t>Ndryshimet e gjëndjeve të Mallrave (+/-)</t>
    </r>
  </si>
  <si>
    <r>
      <t xml:space="preserve"> </t>
    </r>
    <r>
      <rPr>
        <sz val="8"/>
        <rFont val="Arial"/>
        <family val="2"/>
      </rPr>
      <t>Pagat e personelit+shperblime</t>
    </r>
  </si>
  <si>
    <t xml:space="preserve">Hotel  " Alfa  Butrint" shpk </t>
  </si>
  <si>
    <t>Gjendjet e bankave dhe arkes  dt 31.12.2016</t>
  </si>
  <si>
    <t>No. Llog</t>
  </si>
  <si>
    <t xml:space="preserve">Pershkrimi </t>
  </si>
  <si>
    <t xml:space="preserve">Arka   te ardhura  leke </t>
  </si>
  <si>
    <t>Arka  shpenzime Leke</t>
  </si>
  <si>
    <t>Arka te ardhura  EURO</t>
  </si>
  <si>
    <t>Arka te Shpenzime a  EURO</t>
  </si>
  <si>
    <t xml:space="preserve">Arka te ardhura USD </t>
  </si>
  <si>
    <t xml:space="preserve">Arka te Shpenzime  USD </t>
  </si>
  <si>
    <t>Gjendja e llog.411   " KLIENTE " DT 31.12.2016</t>
  </si>
  <si>
    <t xml:space="preserve">Elite travel Albania </t>
  </si>
  <si>
    <t>Agjensia Kombetare  e Turizmit</t>
  </si>
  <si>
    <t>Panajot Lula</t>
  </si>
  <si>
    <t>Cedok A.S. Group</t>
  </si>
  <si>
    <t>GO Balkanic Travel L.T.D.</t>
  </si>
  <si>
    <t>Gjendja e Llog .46701 " Debitore te tjere  "  dt 31.12.2016</t>
  </si>
  <si>
    <t>TVSH PER TU RIMBURSUAR</t>
  </si>
  <si>
    <t>Gjendjet e Aktiveve Qarkulluese  "Lende e pare e Matereiale  "  dt 31.12.2016</t>
  </si>
  <si>
    <t>Magazina  e detergjenteve</t>
  </si>
  <si>
    <t xml:space="preserve">Magazina e te lintave </t>
  </si>
  <si>
    <t>Magazina e servicio</t>
  </si>
  <si>
    <t>Magazina kancelari</t>
  </si>
  <si>
    <t>Magazina e materialeve te tjera</t>
  </si>
  <si>
    <t xml:space="preserve">Te linta dhe servicio ne perdorim </t>
  </si>
  <si>
    <t>Gjendjet e Aktiveve Qarkulluese  "Mallra  "  dt 31.12.2016</t>
  </si>
  <si>
    <t xml:space="preserve">Magazina Ushqimore </t>
  </si>
  <si>
    <t>Magazinz e Pijeve</t>
  </si>
  <si>
    <t xml:space="preserve">Mallra  ne  sektoret e sherbimit </t>
  </si>
  <si>
    <t>Mallra  ne  Gushine</t>
  </si>
  <si>
    <t xml:space="preserve">Mallra ne Dyqan </t>
  </si>
  <si>
    <t>Gjendja e Llogarise 46702 " Kreditore te Tjere "   dt 31.12.2016</t>
  </si>
  <si>
    <t>Gjendja e Llog 401. " Furnitore "  dt 31.12.2016</t>
  </si>
  <si>
    <t>Sigurime shoqerore  Dhjetor -2016</t>
  </si>
  <si>
    <t>Tatim mbi te ardhurat  Pers. Punonjesve ( TAP)- Djketor -16</t>
  </si>
  <si>
    <t xml:space="preserve">15%  Tatim ne Burim </t>
  </si>
  <si>
    <t xml:space="preserve">2008 e para </t>
  </si>
  <si>
    <t>Sarande me , 15/03/2017</t>
  </si>
  <si>
    <t>Shpenzime te  panjohura  2016</t>
  </si>
  <si>
    <t xml:space="preserve">641013 shp staff   idemnity shitje  hoteli </t>
  </si>
  <si>
    <t xml:space="preserve">64105 shpenzime  nori  pa  deklaruar ne tetor  pag  ne  dhjetor </t>
  </si>
  <si>
    <t>(  A D M I N I S T R A T O R E   )</t>
  </si>
  <si>
    <t>NIPT : J64228814D</t>
  </si>
  <si>
    <t xml:space="preserve">UJESJELLES KANALIZIME Sha </t>
  </si>
  <si>
    <t>FH.33 DT 15.12.2016</t>
  </si>
  <si>
    <t xml:space="preserve">Kompjutera  ACER 4 GB </t>
  </si>
  <si>
    <t>4 cope</t>
  </si>
  <si>
    <t>PKOM</t>
  </si>
  <si>
    <t xml:space="preserve">Kompjutera  ACER   8  GB  </t>
  </si>
  <si>
    <t>5 cope</t>
  </si>
  <si>
    <t>Printer work center  3225</t>
  </si>
  <si>
    <t>3cope</t>
  </si>
  <si>
    <t>Fotokopje madhe XEROX</t>
  </si>
  <si>
    <t>1 cope</t>
  </si>
  <si>
    <t>FH 17 DT 03.06.16</t>
  </si>
  <si>
    <r>
      <t>Inkubatore  20 ̊</t>
    </r>
    <r>
      <rPr>
        <sz val="10"/>
        <rFont val="Arial"/>
      </rPr>
      <t xml:space="preserve">    per analiza  BOD  -  ITUN</t>
    </r>
  </si>
  <si>
    <t>mak</t>
  </si>
  <si>
    <t>KRION shpk</t>
  </si>
  <si>
    <t>Multi Parameter portabel  ITUN</t>
  </si>
  <si>
    <t>Aparat per  matjen e SS  -  ITUS</t>
  </si>
  <si>
    <t>Pompe Vakumi     Aparatin  e SS  -ITUN</t>
  </si>
  <si>
    <t>Termometer Dicital  per  Inkubatorin BOD  itun</t>
  </si>
  <si>
    <t>FH. 28 dt.31.10.2016</t>
  </si>
  <si>
    <t>Stabilizator  dicital 10 kva   ITUN</t>
  </si>
  <si>
    <t>29.2.2016</t>
  </si>
  <si>
    <t xml:space="preserve">Linje ujesjelles  fshati Gjasht </t>
  </si>
  <si>
    <t>linja</t>
  </si>
  <si>
    <t>20.05.2016</t>
  </si>
  <si>
    <t>Linje ujesjelles  fshati Caush</t>
  </si>
  <si>
    <t>03.06.2016</t>
  </si>
  <si>
    <t>Rikonstruksion sistemit SPUZ-KUZ</t>
  </si>
  <si>
    <t>linja  KUZ</t>
  </si>
  <si>
    <t>31.07.2016</t>
  </si>
  <si>
    <t xml:space="preserve">Rikonstruk pjesshem   ujesjelles fshati Aliko - Caush </t>
  </si>
  <si>
    <t>13.12.20163</t>
  </si>
  <si>
    <t xml:space="preserve">Sistemime ujra  zeza sarande </t>
  </si>
  <si>
    <t>FH.20 dt.30.08.2016</t>
  </si>
  <si>
    <t>Kontator    4 cope*5833.33</t>
  </si>
  <si>
    <t xml:space="preserve">4  cope </t>
  </si>
  <si>
    <t>Shtesa 2016</t>
  </si>
  <si>
    <t>12 - Paisje zyre  Informatike</t>
  </si>
  <si>
    <t xml:space="preserve">UJESJELLES KANALIZIME sha </t>
  </si>
  <si>
    <t>Inkubatore  20 ̊    per analiza  BOD  -  ITUN</t>
  </si>
  <si>
    <t>24.03.2016</t>
  </si>
  <si>
    <t>Mbulim  cati   magazina Vrion</t>
  </si>
  <si>
    <t>Kontabiliteti</t>
  </si>
  <si>
    <t xml:space="preserve">diff </t>
  </si>
  <si>
    <t xml:space="preserve">komisione bankare </t>
  </si>
  <si>
    <t xml:space="preserve">rivers pike lidh odise  gunari rap  ne  prill </t>
  </si>
  <si>
    <t>Zbrit 89200 O Gunari duhet zbrit edhe 11200 pik lidh  R.Dodi</t>
  </si>
  <si>
    <t xml:space="preserve">119327-1008115   taxa 5% bashk=888,780 nuk  kuadron </t>
  </si>
  <si>
    <t xml:space="preserve">54071 bank int-825 libreza pa fut kontab </t>
  </si>
  <si>
    <t xml:space="preserve">Libreza pa fut kontab </t>
  </si>
  <si>
    <t xml:space="preserve">SAHATE </t>
  </si>
  <si>
    <t>SHKURT</t>
  </si>
  <si>
    <t>TETOR</t>
  </si>
  <si>
    <t xml:space="preserve">SHP </t>
  </si>
  <si>
    <t xml:space="preserve">KONTAB </t>
  </si>
  <si>
    <t>PAGA</t>
  </si>
  <si>
    <t>SHPERBL</t>
  </si>
  <si>
    <t>FATKEQESI</t>
  </si>
  <si>
    <t xml:space="preserve">ARKA PA  DEKLARUAR </t>
  </si>
  <si>
    <t xml:space="preserve">Arka pa deklaruar </t>
  </si>
  <si>
    <t>Emri dhe forma ligjore : * UJESJELLES KANALIZIME *Sh.a</t>
  </si>
  <si>
    <t>Numri Unik(NIPT): J64228814D</t>
  </si>
  <si>
    <t>Adresa e Selise: Gjashte -Sarande.</t>
  </si>
  <si>
    <t xml:space="preserve">Furnizimi me uje te pishem me perdorimin e infrastruktures ekzistuese </t>
  </si>
  <si>
    <t xml:space="preserve"> dhe  ajo e cila do te rezultoje me zgjerimin apo rehabilitimin.</t>
  </si>
  <si>
    <t xml:space="preserve">Mbledhjen dhe largimin e ujrave te zeza dhe trajtimin te bazuar </t>
  </si>
  <si>
    <t xml:space="preserve">normat dhe standartet e cilesise se efluentit, siç eshte artikuluar ne </t>
  </si>
  <si>
    <t>ligjshmerine/ rregulloren e aprovuar nga organizmat zyrtare.</t>
  </si>
  <si>
    <t>Faturimin dhe arketimin e faturave te  ujit dhe te kanalizimeve,</t>
  </si>
  <si>
    <t xml:space="preserve">shkeputjen e konsumatoreve debitore dhe lidhjen e konsumatoreve </t>
  </si>
  <si>
    <t>Menaxhimi, operimi mirembajtje dhe administrim i sherbimit ne te</t>
  </si>
  <si>
    <t xml:space="preserve">gjitha fazat e tij. Prokurimin e investimeve te nevojshme per zgjerim, </t>
  </si>
  <si>
    <t xml:space="preserve"> rehabilitim apo riparim te infrastruktures ekzistuese.</t>
  </si>
  <si>
    <t>30.03.2017</t>
  </si>
  <si>
    <t>Data e krijimit :   01.07.1996</t>
  </si>
  <si>
    <t>Nr.Regjistrit Theleltar : ________</t>
  </si>
  <si>
    <t>Të tjera   per tu  paguar   (Debitor)</t>
  </si>
  <si>
    <t>Studime dhe projetime</t>
  </si>
  <si>
    <t>Të pagueshme për detyrimetTatim Fitimi</t>
  </si>
  <si>
    <t xml:space="preserve">Të pagueshme për detyrimet tatimore  TVSH </t>
  </si>
  <si>
    <t>Pasqyra per furnitura,nentrajtime dhe sherbime  31.12.2016</t>
  </si>
  <si>
    <t>Shuma Leke 31.12. 2016</t>
  </si>
  <si>
    <t>Shpenzime enerigji elektrike</t>
  </si>
  <si>
    <t>Shpenzime per uje</t>
  </si>
  <si>
    <t xml:space="preserve">Shpenzime per avull    heqje  mbeturina </t>
  </si>
  <si>
    <t xml:space="preserve">Karburante,vaj, goma pjese  kembimi dru zjari , gaz </t>
  </si>
  <si>
    <t>Shpenzime per qira  TV</t>
  </si>
  <si>
    <t>Shpenzime per mirmbajtje</t>
  </si>
  <si>
    <t>Shpenzime per riparime Compjuter</t>
  </si>
  <si>
    <t>Pagesa dhe honorare  Bonuse  (6501)</t>
  </si>
  <si>
    <r>
      <t xml:space="preserve">Pagesa per liensa,etj </t>
    </r>
    <r>
      <rPr>
        <sz val="10"/>
        <color indexed="10"/>
        <rFont val="Arial Narrow"/>
        <family val="2"/>
      </rPr>
      <t>Roje Objekti+EXP</t>
    </r>
  </si>
  <si>
    <t>reklama ,publicitet.marketing exp</t>
  </si>
  <si>
    <t>Udhetime dieta                                    (625)</t>
  </si>
  <si>
    <t>Shpenzime PTT                                  (626)</t>
  </si>
  <si>
    <t>Shpenzime transporti                          (62701)</t>
  </si>
  <si>
    <t>Sherbime bankare                               (628)</t>
  </si>
  <si>
    <t>Prime sigurimi ( Insur Loan)</t>
  </si>
  <si>
    <t>Kontrolle,peshmatje,etj</t>
  </si>
  <si>
    <t>Shuma :</t>
  </si>
  <si>
    <t xml:space="preserve">FURNIZIM ME BOTE </t>
  </si>
  <si>
    <t>punonjes  jasht   exp bilanc</t>
  </si>
  <si>
    <t xml:space="preserve">SHP PNJ  </t>
  </si>
  <si>
    <t xml:space="preserve">SHPERBL PENSION </t>
  </si>
  <si>
    <t>Tatim Taxa dhe Sigurime shoqerore  gjendje   dt 31.12.2016</t>
  </si>
  <si>
    <t>Shpenzime te tjera  page   k adminis</t>
  </si>
  <si>
    <t>ardh</t>
  </si>
  <si>
    <t>shp</t>
  </si>
  <si>
    <t xml:space="preserve">total  shp </t>
  </si>
  <si>
    <t>shp panjor paga pa  raport  shperbl</t>
  </si>
  <si>
    <t>shp posta fatura  te  vit 2009</t>
  </si>
  <si>
    <t>Pasqyra e Ndryshimeve në Kapitalin Neto VITI   -  2016</t>
  </si>
  <si>
    <t xml:space="preserve">K/DEGES FINANACES </t>
  </si>
  <si>
    <t xml:space="preserve">ZHANETA  MASKA </t>
  </si>
  <si>
    <t xml:space="preserve">A D M I N I S T R A T O R </t>
  </si>
  <si>
    <t xml:space="preserve">Ing.    Sheme LULO </t>
  </si>
  <si>
    <t>Ing. SHEME  LULO</t>
  </si>
  <si>
    <t>Ing.     SHEME  LULO</t>
  </si>
  <si>
    <t xml:space="preserve">       (Zhaneta Maska )</t>
  </si>
  <si>
    <t>SHOQERIA "Ujesjelles Kanalizime i " Sh.a</t>
  </si>
  <si>
    <t>NIPT :  J64228814D</t>
  </si>
  <si>
    <t>SHOQERIA "Ujesjelles Kanalizime  " Sh.a</t>
  </si>
  <si>
    <t xml:space="preserve"> Autonjet tip  "  FIAT DUKATO"</t>
  </si>
  <si>
    <t xml:space="preserve">  Automjet tip " MITSUBISHI PJERO"</t>
  </si>
  <si>
    <t>Mjet  Tip "SKREP FIAT HITACHI "</t>
  </si>
  <si>
    <t>Automjet  tip  "NISAN D22"</t>
  </si>
  <si>
    <t>KAROFICINE (Autoservis Fiat Dukato)</t>
  </si>
  <si>
    <t>Automjet  tip " BENS"  MERCEDES</t>
  </si>
  <si>
    <t>Zetor " DAMPER COMPAKT"</t>
  </si>
  <si>
    <t>OPEL  Campo</t>
  </si>
  <si>
    <t xml:space="preserve">SKREPI I RI </t>
  </si>
  <si>
    <t>Kamiocine</t>
  </si>
  <si>
    <t xml:space="preserve">Zetor </t>
  </si>
  <si>
    <t>Skrep</t>
  </si>
  <si>
    <t>3+1</t>
  </si>
  <si>
    <t>SR 1318 B</t>
  </si>
  <si>
    <t>AA502FR</t>
  </si>
  <si>
    <t>PA TARGA</t>
  </si>
  <si>
    <t>SR 6879 B</t>
  </si>
  <si>
    <t>SR 5981 B</t>
  </si>
  <si>
    <t>SR 8114 B</t>
  </si>
  <si>
    <t>SR 7011 B</t>
  </si>
  <si>
    <t>ACMT94</t>
  </si>
  <si>
    <t xml:space="preserve">Motocikleta </t>
  </si>
  <si>
    <t>SHOQERIA "Ujesjelles Kanalizime " Sh.a</t>
  </si>
  <si>
    <t xml:space="preserve">Shoqeria : Ujesjelles Kanalizime  " Sh.a </t>
  </si>
  <si>
    <t>NIPT _:     J64228814D</t>
  </si>
  <si>
    <t xml:space="preserve"> Te ardhura nga  shitje  uji </t>
  </si>
  <si>
    <t>Te ardhura nga  tjatimi Ujrave te  ndotura</t>
  </si>
  <si>
    <t xml:space="preserve">Te Ardhura Tarife  sherbimi </t>
  </si>
  <si>
    <t xml:space="preserve">Te ardhura  nga pike  lidhje  &amp;  kontrata </t>
  </si>
  <si>
    <t xml:space="preserve">Te ardhura  shitje  me  shumice </t>
  </si>
  <si>
    <t>Te ardhura  nga  mbledhje taxa Agjent tat 5%</t>
  </si>
  <si>
    <t>Te ardhura nga  debitoret  Ksamil</t>
  </si>
  <si>
    <t>Te ardhura  nga Grandet  ( Amortiz)</t>
  </si>
  <si>
    <t>Te punesuar mesatarisht per vitin 2016</t>
  </si>
  <si>
    <t xml:space="preserve">   Te ardhura nga shitja e ujit </t>
  </si>
  <si>
    <t xml:space="preserve">Komisione  Int bankare  &amp; 5 % taxe % nga  debit </t>
  </si>
  <si>
    <t xml:space="preserve">Trajtime te pergjithshme  furnizim me qytetare me   bote </t>
  </si>
  <si>
    <t xml:space="preserve">Kerkim studime  shpensime auditimi </t>
  </si>
  <si>
    <t>Shpenzime per koncesione, patenta dhe licensa  Keshilli  bikqyres</t>
  </si>
  <si>
    <t>Sherbime të tjera(Trifa  ERU &amp; ABU)</t>
  </si>
  <si>
    <t>Shoqeria Ujesjelles Kanalizime</t>
  </si>
  <si>
    <t>NIPTI  J64228814D</t>
  </si>
  <si>
    <t>Emertimi</t>
  </si>
  <si>
    <t>Gjendje</t>
  </si>
  <si>
    <t>Shtesa</t>
  </si>
  <si>
    <t>Ndertime</t>
  </si>
  <si>
    <t>Makineri,paisje</t>
  </si>
  <si>
    <t>kompjuterike</t>
  </si>
  <si>
    <t>Zyre</t>
  </si>
  <si>
    <t>Rjeti ujesjellesit</t>
  </si>
  <si>
    <t>Studime projektime</t>
  </si>
  <si>
    <t>Ujesjelles Shelegar</t>
  </si>
  <si>
    <t xml:space="preserve">             TOTALI</t>
  </si>
  <si>
    <t>Makineri,paisje,vegla</t>
  </si>
  <si>
    <t>Rjeti I ujesjellesit</t>
  </si>
  <si>
    <t>Pakesimejp</t>
  </si>
  <si>
    <t>Rrjeti I ujesjellesit</t>
  </si>
  <si>
    <t>Studime  projektime</t>
  </si>
  <si>
    <t>Ujesjelles Shelegari</t>
  </si>
  <si>
    <t>Aktivet Afatgjata Materiale  me vlere fillestare  2016</t>
  </si>
  <si>
    <t>Amortizimi A.A.Materiale   2016</t>
  </si>
  <si>
    <t>Vlera Kontabel Neto e A.A.Materiale  2016</t>
  </si>
  <si>
    <t xml:space="preserve"> TVSH EXPERT Expert   nxjere  debitor </t>
  </si>
  <si>
    <t xml:space="preserve">fitimi para tatimit </t>
  </si>
  <si>
    <t>fitimi I korigj  me shp panjohura</t>
  </si>
  <si>
    <t>NIPT J64228814D</t>
  </si>
  <si>
    <t>SHEME LULO</t>
  </si>
</sst>
</file>

<file path=xl/styles.xml><?xml version="1.0" encoding="utf-8"?>
<styleSheet xmlns="http://schemas.openxmlformats.org/spreadsheetml/2006/main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&quot;Lek&quot;;\-#,##0&quot;Lek&quot;"/>
    <numFmt numFmtId="171" formatCode="_-* #,##0.00_L_e_k_-;\-* #,##0.00_L_e_k_-;_-* &quot;-&quot;??_L_e_k_-;_-@_-"/>
    <numFmt numFmtId="179" formatCode="_-* #,##0.00\ _€_-;\-* #,##0.00\ _€_-;_-* &quot;-&quot;??\ _€_-;_-@_-"/>
    <numFmt numFmtId="187" formatCode="_-* #,##0.00_-;\-* #,##0.00_-;_-* &quot;-&quot;??_-;_-@_-"/>
    <numFmt numFmtId="193" formatCode="_-* #,##0.0_L_e_k_-;\-* #,##0.0_L_e_k_-;_-* &quot;-&quot;??_L_e_k_-;_-@_-"/>
    <numFmt numFmtId="194" formatCode="#,##0.0_);\(#,##0.0\)"/>
    <numFmt numFmtId="195" formatCode="_(* #,##0.0_);_(* \(#,##0.0\);_(* &quot;-&quot;?_);_(@_)"/>
    <numFmt numFmtId="196" formatCode="_-* #,##0_L_e_k_-;\-* #,##0_L_e_k_-;_-* &quot;-&quot;??_L_e_k_-;_-@_-"/>
    <numFmt numFmtId="197" formatCode="0.0"/>
    <numFmt numFmtId="198" formatCode="_(* #,##0_);_(* \(#,##0\);_(* &quot;-&quot;??_);_(@_)"/>
    <numFmt numFmtId="200" formatCode="_-* #,##0_-;\-* #,##0_-;_-* &quot;-&quot;??_-;_-@_-"/>
    <numFmt numFmtId="201" formatCode="#,##0.00_ ;[Red]\-#,##0.00\ "/>
    <numFmt numFmtId="202" formatCode="_(* #,##0.0_);_(* \(#,##0.0\);_(* &quot;-&quot;??_);_(@_)"/>
    <numFmt numFmtId="203" formatCode="#,##0.0_);[Red]\(#,##0.0\)"/>
  </numFmts>
  <fonts count="12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MS Sans Serif"/>
      <family val="2"/>
    </font>
    <font>
      <b/>
      <i/>
      <sz val="10"/>
      <name val="Garamond"/>
      <family val="1"/>
    </font>
    <font>
      <b/>
      <i/>
      <sz val="10"/>
      <name val="CG Times"/>
      <family val="1"/>
    </font>
    <font>
      <b/>
      <i/>
      <sz val="10"/>
      <color indexed="8"/>
      <name val="MS Sans Serif"/>
      <family val="2"/>
    </font>
    <font>
      <sz val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u/>
      <sz val="10"/>
      <name val="Times New Roman"/>
      <family val="1"/>
    </font>
    <font>
      <b/>
      <sz val="10"/>
      <name val="Bookman Old Style"/>
      <family val="1"/>
    </font>
    <font>
      <sz val="10"/>
      <name val="Arial Narrow"/>
      <family val="2"/>
    </font>
    <font>
      <b/>
      <sz val="10"/>
      <color indexed="12"/>
      <name val="Bookman Old Style"/>
      <family val="1"/>
    </font>
    <font>
      <b/>
      <sz val="10"/>
      <color indexed="12"/>
      <name val="Copperplate Gothic Bold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u/>
      <sz val="14"/>
      <name val="Arial Narrow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6"/>
      <name val="Times New Roman"/>
      <family val="1"/>
    </font>
    <font>
      <b/>
      <sz val="11"/>
      <name val="Times New Roman"/>
      <family val="1"/>
    </font>
    <font>
      <b/>
      <i/>
      <sz val="12"/>
      <name val="Garamond"/>
      <family val="1"/>
    </font>
    <font>
      <b/>
      <i/>
      <u/>
      <sz val="22"/>
      <name val="Times New Roman"/>
      <family val="1"/>
    </font>
    <font>
      <b/>
      <i/>
      <u/>
      <sz val="14"/>
      <name val="Arial"/>
      <family val="2"/>
    </font>
    <font>
      <b/>
      <i/>
      <u val="singleAccounting"/>
      <sz val="10"/>
      <name val="Arial"/>
      <family val="2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u/>
      <sz val="10"/>
      <name val="Gill Sans MT"/>
      <family val="2"/>
      <charset val="238"/>
    </font>
    <font>
      <sz val="10"/>
      <name val="Gill Sans MT"/>
      <family val="2"/>
      <charset val="238"/>
    </font>
    <font>
      <sz val="10"/>
      <name val="Arial CE"/>
    </font>
    <font>
      <b/>
      <i/>
      <u/>
      <sz val="10"/>
      <name val="Arial"/>
      <family val="2"/>
    </font>
    <font>
      <i/>
      <u/>
      <sz val="10"/>
      <name val="Arial"/>
      <family val="2"/>
    </font>
    <font>
      <sz val="11"/>
      <color indexed="8"/>
      <name val="Calibri"/>
      <family val="2"/>
    </font>
    <font>
      <sz val="10"/>
      <name val="Bookman Old Style"/>
      <family val="1"/>
    </font>
    <font>
      <b/>
      <sz val="10"/>
      <name val="Copperplate Gothic Bold"/>
      <family val="2"/>
    </font>
    <font>
      <b/>
      <sz val="11"/>
      <name val="Copperplate Gothic Bold"/>
      <family val="2"/>
    </font>
    <font>
      <b/>
      <sz val="12"/>
      <name val="Copperplate Gothic Bold"/>
      <family val="2"/>
    </font>
    <font>
      <b/>
      <sz val="12"/>
      <name val="Arial Narrow"/>
      <family val="2"/>
    </font>
    <font>
      <sz val="12"/>
      <color indexed="8"/>
      <name val="Book Antiqua"/>
      <family val="1"/>
    </font>
    <font>
      <b/>
      <u val="double"/>
      <sz val="12"/>
      <color indexed="8"/>
      <name val="Book Antiqua"/>
      <family val="1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.85"/>
      <color indexed="8"/>
      <name val="Times New Roman"/>
      <family val="1"/>
    </font>
    <font>
      <b/>
      <sz val="8"/>
      <name val="Arial"/>
      <family val="2"/>
    </font>
    <font>
      <b/>
      <u/>
      <sz val="8"/>
      <name val="Garamond"/>
      <family val="1"/>
    </font>
    <font>
      <b/>
      <u/>
      <sz val="8"/>
      <name val="Arial"/>
      <family val="2"/>
    </font>
    <font>
      <sz val="8"/>
      <name val="Garamond"/>
      <family val="1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Times New Roman"/>
      <family val="1"/>
    </font>
    <font>
      <i/>
      <sz val="8"/>
      <name val="Arial"/>
      <family val="2"/>
    </font>
    <font>
      <b/>
      <i/>
      <sz val="8"/>
      <name val="Garamond"/>
      <family val="1"/>
    </font>
    <font>
      <b/>
      <i/>
      <sz val="8"/>
      <name val="CG Times"/>
      <family val="1"/>
    </font>
    <font>
      <b/>
      <i/>
      <sz val="8"/>
      <color indexed="8"/>
      <name val="MS Sans Serif"/>
      <family val="2"/>
    </font>
    <font>
      <b/>
      <i/>
      <sz val="8"/>
      <name val="Arial"/>
      <family val="2"/>
    </font>
    <font>
      <b/>
      <u/>
      <sz val="12"/>
      <color indexed="8"/>
      <name val="Book Antiqua"/>
      <family val="1"/>
    </font>
    <font>
      <sz val="10"/>
      <name val="Arial"/>
      <family val="2"/>
    </font>
    <font>
      <b/>
      <sz val="12"/>
      <color indexed="8"/>
      <name val="Book Antiqua"/>
      <family val="1"/>
    </font>
    <font>
      <b/>
      <sz val="12"/>
      <name val="Book Antiqua"/>
      <family val="1"/>
    </font>
    <font>
      <b/>
      <i/>
      <u/>
      <sz val="24"/>
      <name val="Arial"/>
      <family val="2"/>
    </font>
    <font>
      <b/>
      <sz val="14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Copperplate Gothic Bold"/>
      <family val="2"/>
    </font>
    <font>
      <sz val="10"/>
      <color indexed="10"/>
      <name val="Arial Narrow"/>
      <family val="2"/>
    </font>
    <font>
      <b/>
      <i/>
      <sz val="12"/>
      <name val="CG Times"/>
      <family val="1"/>
    </font>
    <font>
      <b/>
      <i/>
      <sz val="12"/>
      <color indexed="8"/>
      <name val="MS Sans Serif"/>
      <family val="2"/>
    </font>
    <font>
      <b/>
      <i/>
      <sz val="11"/>
      <name val="Garamond"/>
      <family val="1"/>
    </font>
    <font>
      <b/>
      <i/>
      <sz val="11"/>
      <name val="CG Times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8.5"/>
      <color theme="10"/>
      <name val="Arial"/>
      <family val="2"/>
    </font>
    <font>
      <b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10"/>
      <color rgb="FFFF0000"/>
      <name val="Bookman Old Style"/>
      <family val="1"/>
    </font>
    <font>
      <sz val="12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171" fontId="1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" fillId="0" borderId="0" applyFont="0" applyFill="0" applyBorder="0" applyAlignment="0" applyProtection="0"/>
    <xf numFmtId="187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5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03" fillId="0" borderId="0"/>
    <xf numFmtId="0" fontId="103" fillId="0" borderId="0"/>
    <xf numFmtId="0" fontId="6" fillId="0" borderId="0"/>
    <xf numFmtId="0" fontId="20" fillId="0" borderId="0"/>
    <xf numFmtId="0" fontId="11" fillId="0" borderId="0"/>
    <xf numFmtId="0" fontId="4" fillId="0" borderId="0"/>
    <xf numFmtId="0" fontId="53" fillId="0" borderId="0"/>
    <xf numFmtId="0" fontId="11" fillId="0" borderId="0"/>
    <xf numFmtId="0" fontId="20" fillId="0" borderId="0"/>
    <xf numFmtId="0" fontId="56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193" fontId="7" fillId="0" borderId="5" xfId="1" applyNumberFormat="1" applyFont="1" applyBorder="1" applyAlignment="1">
      <alignment horizontal="center" vertical="center"/>
    </xf>
    <xf numFmtId="194" fontId="4" fillId="0" borderId="0" xfId="0" applyNumberFormat="1" applyFont="1" applyAlignment="1">
      <alignment vertical="center"/>
    </xf>
    <xf numFmtId="193" fontId="4" fillId="0" borderId="5" xfId="1" applyNumberFormat="1" applyFont="1" applyBorder="1" applyAlignment="1">
      <alignment horizontal="center"/>
    </xf>
    <xf numFmtId="193" fontId="4" fillId="0" borderId="5" xfId="1" applyNumberFormat="1" applyFont="1" applyFill="1" applyBorder="1" applyAlignment="1">
      <alignment vertical="center" shrinkToFit="1"/>
    </xf>
    <xf numFmtId="0" fontId="11" fillId="0" borderId="0" xfId="37"/>
    <xf numFmtId="0" fontId="24" fillId="0" borderId="0" xfId="37" applyFont="1"/>
    <xf numFmtId="0" fontId="25" fillId="0" borderId="0" xfId="37" applyFont="1"/>
    <xf numFmtId="0" fontId="19" fillId="0" borderId="0" xfId="37" applyFont="1"/>
    <xf numFmtId="0" fontId="24" fillId="0" borderId="0" xfId="37" applyFont="1" applyAlignment="1">
      <alignment horizontal="left"/>
    </xf>
    <xf numFmtId="0" fontId="15" fillId="0" borderId="0" xfId="37" applyFont="1" applyBorder="1" applyAlignment="1">
      <alignment shrinkToFit="1"/>
    </xf>
    <xf numFmtId="0" fontId="28" fillId="0" borderId="0" xfId="37" applyFont="1"/>
    <xf numFmtId="0" fontId="25" fillId="0" borderId="9" xfId="37" applyFont="1" applyBorder="1"/>
    <xf numFmtId="0" fontId="29" fillId="0" borderId="0" xfId="0" applyFont="1"/>
    <xf numFmtId="0" fontId="30" fillId="0" borderId="0" xfId="0" applyFont="1"/>
    <xf numFmtId="1" fontId="30" fillId="0" borderId="0" xfId="0" applyNumberFormat="1" applyFont="1"/>
    <xf numFmtId="0" fontId="0" fillId="0" borderId="0" xfId="0" applyAlignment="1">
      <alignment shrinkToFit="1"/>
    </xf>
    <xf numFmtId="3" fontId="30" fillId="0" borderId="0" xfId="0" applyNumberFormat="1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Border="1"/>
    <xf numFmtId="1" fontId="30" fillId="0" borderId="0" xfId="0" applyNumberFormat="1" applyFont="1" applyAlignment="1">
      <alignment horizontal="center"/>
    </xf>
    <xf numFmtId="0" fontId="0" fillId="0" borderId="9" xfId="0" applyBorder="1"/>
    <xf numFmtId="0" fontId="30" fillId="2" borderId="5" xfId="0" applyFont="1" applyFill="1" applyBorder="1"/>
    <xf numFmtId="0" fontId="33" fillId="2" borderId="3" xfId="0" applyFont="1" applyFill="1" applyBorder="1" applyAlignment="1">
      <alignment horizontal="center"/>
    </xf>
    <xf numFmtId="1" fontId="33" fillId="2" borderId="2" xfId="0" applyNumberFormat="1" applyFont="1" applyFill="1" applyBorder="1" applyAlignment="1">
      <alignment horizontal="center"/>
    </xf>
    <xf numFmtId="1" fontId="33" fillId="2" borderId="1" xfId="0" applyNumberFormat="1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0" fillId="0" borderId="6" xfId="0" applyFont="1" applyBorder="1"/>
    <xf numFmtId="0" fontId="30" fillId="0" borderId="3" xfId="0" applyFont="1" applyBorder="1"/>
    <xf numFmtId="0" fontId="30" fillId="0" borderId="1" xfId="0" applyFont="1" applyBorder="1"/>
    <xf numFmtId="0" fontId="34" fillId="0" borderId="6" xfId="0" applyFont="1" applyBorder="1"/>
    <xf numFmtId="1" fontId="30" fillId="0" borderId="3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4" xfId="0" applyFont="1" applyBorder="1"/>
    <xf numFmtId="0" fontId="0" fillId="0" borderId="7" xfId="0" applyBorder="1"/>
    <xf numFmtId="0" fontId="30" fillId="0" borderId="11" xfId="0" applyFont="1" applyBorder="1" applyAlignment="1">
      <alignment horizontal="justify" vertical="center"/>
    </xf>
    <xf numFmtId="0" fontId="33" fillId="0" borderId="11" xfId="0" applyFont="1" applyBorder="1" applyAlignment="1">
      <alignment horizontal="center" vertical="center" textRotation="90"/>
    </xf>
    <xf numFmtId="0" fontId="30" fillId="0" borderId="11" xfId="0" applyFont="1" applyBorder="1" applyAlignment="1">
      <alignment horizontal="justify" vertical="center" textRotation="90"/>
    </xf>
    <xf numFmtId="0" fontId="30" fillId="0" borderId="11" xfId="0" applyFont="1" applyBorder="1" applyAlignment="1">
      <alignment horizontal="center" vertical="center" textRotation="90"/>
    </xf>
    <xf numFmtId="0" fontId="34" fillId="0" borderId="10" xfId="0" applyFont="1" applyBorder="1" applyAlignment="1">
      <alignment horizontal="justify" vertical="center"/>
    </xf>
    <xf numFmtId="0" fontId="30" fillId="0" borderId="12" xfId="0" applyFont="1" applyFill="1" applyBorder="1" applyAlignment="1">
      <alignment horizontal="justify" vertical="center" textRotation="90"/>
    </xf>
    <xf numFmtId="0" fontId="30" fillId="2" borderId="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0" fillId="0" borderId="13" xfId="0" applyFont="1" applyBorder="1"/>
    <xf numFmtId="0" fontId="0" fillId="0" borderId="0" xfId="0" applyFill="1" applyAlignment="1">
      <alignment shrinkToFit="1"/>
    </xf>
    <xf numFmtId="0" fontId="30" fillId="0" borderId="14" xfId="0" applyFont="1" applyBorder="1"/>
    <xf numFmtId="0" fontId="30" fillId="0" borderId="15" xfId="0" applyFont="1" applyBorder="1"/>
    <xf numFmtId="1" fontId="34" fillId="2" borderId="5" xfId="0" applyNumberFormat="1" applyFont="1" applyFill="1" applyBorder="1" applyAlignment="1">
      <alignment vertical="center"/>
    </xf>
    <xf numFmtId="1" fontId="30" fillId="2" borderId="5" xfId="0" applyNumberFormat="1" applyFont="1" applyFill="1" applyBorder="1" applyAlignment="1">
      <alignment vertical="center" shrinkToFit="1"/>
    </xf>
    <xf numFmtId="196" fontId="30" fillId="2" borderId="5" xfId="1" applyNumberFormat="1" applyFont="1" applyFill="1" applyBorder="1" applyAlignment="1">
      <alignment vertical="center" shrinkToFit="1"/>
    </xf>
    <xf numFmtId="3" fontId="30" fillId="2" borderId="5" xfId="0" applyNumberFormat="1" applyFont="1" applyFill="1" applyBorder="1" applyAlignment="1">
      <alignment vertical="center" shrinkToFit="1"/>
    </xf>
    <xf numFmtId="171" fontId="30" fillId="0" borderId="0" xfId="1" applyNumberFormat="1" applyFont="1" applyAlignment="1">
      <alignment shrinkToFit="1"/>
    </xf>
    <xf numFmtId="0" fontId="33" fillId="0" borderId="0" xfId="0" applyFont="1" applyAlignment="1">
      <alignment horizontal="center"/>
    </xf>
    <xf numFmtId="197" fontId="30" fillId="0" borderId="0" xfId="0" applyNumberFormat="1" applyFont="1"/>
    <xf numFmtId="0" fontId="35" fillId="0" borderId="0" xfId="0" applyFont="1"/>
    <xf numFmtId="3" fontId="35" fillId="0" borderId="0" xfId="0" applyNumberFormat="1" applyFont="1"/>
    <xf numFmtId="9" fontId="4" fillId="0" borderId="0" xfId="48" applyFont="1"/>
    <xf numFmtId="0" fontId="105" fillId="0" borderId="16" xfId="0" applyFont="1" applyBorder="1" applyAlignment="1">
      <alignment horizontal="center"/>
    </xf>
    <xf numFmtId="0" fontId="105" fillId="0" borderId="17" xfId="0" applyFont="1" applyBorder="1" applyAlignment="1">
      <alignment horizontal="center"/>
    </xf>
    <xf numFmtId="0" fontId="105" fillId="0" borderId="18" xfId="0" applyFont="1" applyBorder="1" applyAlignment="1">
      <alignment horizontal="center"/>
    </xf>
    <xf numFmtId="0" fontId="105" fillId="0" borderId="19" xfId="0" applyFont="1" applyBorder="1" applyAlignment="1">
      <alignment horizontal="center"/>
    </xf>
    <xf numFmtId="0" fontId="105" fillId="0" borderId="20" xfId="0" applyFont="1" applyBorder="1" applyAlignment="1">
      <alignment horizontal="center"/>
    </xf>
    <xf numFmtId="0" fontId="105" fillId="0" borderId="21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06" fillId="0" borderId="17" xfId="0" applyFont="1" applyBorder="1"/>
    <xf numFmtId="0" fontId="0" fillId="0" borderId="18" xfId="0" applyBorder="1"/>
    <xf numFmtId="0" fontId="7" fillId="0" borderId="22" xfId="0" applyFont="1" applyBorder="1"/>
    <xf numFmtId="0" fontId="7" fillId="0" borderId="0" xfId="0" applyFont="1" applyBorder="1"/>
    <xf numFmtId="0" fontId="107" fillId="0" borderId="0" xfId="0" applyFont="1" applyBorder="1"/>
    <xf numFmtId="0" fontId="107" fillId="0" borderId="23" xfId="0" applyFont="1" applyBorder="1" applyAlignment="1">
      <alignment horizontal="left"/>
    </xf>
    <xf numFmtId="0" fontId="0" fillId="0" borderId="22" xfId="0" applyBorder="1"/>
    <xf numFmtId="0" fontId="108" fillId="0" borderId="0" xfId="0" applyFont="1" applyBorder="1"/>
    <xf numFmtId="0" fontId="108" fillId="0" borderId="23" xfId="0" applyFont="1" applyBorder="1"/>
    <xf numFmtId="3" fontId="103" fillId="0" borderId="22" xfId="1" applyNumberFormat="1" applyFont="1" applyBorder="1" applyAlignment="1">
      <alignment shrinkToFit="1"/>
    </xf>
    <xf numFmtId="3" fontId="103" fillId="0" borderId="0" xfId="1" applyNumberFormat="1" applyFont="1" applyBorder="1" applyAlignment="1">
      <alignment shrinkToFit="1"/>
    </xf>
    <xf numFmtId="3" fontId="103" fillId="0" borderId="23" xfId="1" applyNumberFormat="1" applyFont="1" applyBorder="1" applyAlignment="1">
      <alignment shrinkToFit="1"/>
    </xf>
    <xf numFmtId="3" fontId="103" fillId="0" borderId="0" xfId="1" applyNumberFormat="1" applyFont="1" applyAlignment="1">
      <alignment shrinkToFit="1"/>
    </xf>
    <xf numFmtId="3" fontId="7" fillId="0" borderId="22" xfId="1" applyNumberFormat="1" applyFont="1" applyBorder="1" applyAlignment="1">
      <alignment shrinkToFit="1"/>
    </xf>
    <xf numFmtId="3" fontId="7" fillId="0" borderId="0" xfId="1" applyNumberFormat="1" applyFont="1" applyBorder="1" applyAlignment="1">
      <alignment shrinkToFit="1"/>
    </xf>
    <xf numFmtId="3" fontId="107" fillId="0" borderId="0" xfId="1" applyNumberFormat="1" applyFont="1" applyBorder="1" applyAlignment="1">
      <alignment shrinkToFit="1"/>
    </xf>
    <xf numFmtId="3" fontId="107" fillId="0" borderId="23" xfId="1" applyNumberFormat="1" applyFont="1" applyBorder="1" applyAlignment="1">
      <alignment shrinkToFit="1"/>
    </xf>
    <xf numFmtId="3" fontId="7" fillId="0" borderId="0" xfId="1" applyNumberFormat="1" applyFont="1" applyAlignment="1">
      <alignment shrinkToFit="1"/>
    </xf>
    <xf numFmtId="3" fontId="103" fillId="0" borderId="22" xfId="1" applyNumberFormat="1" applyFont="1" applyBorder="1" applyAlignment="1">
      <alignment wrapText="1" shrinkToFit="1"/>
    </xf>
    <xf numFmtId="3" fontId="4" fillId="0" borderId="0" xfId="1" applyNumberFormat="1" applyFont="1" applyBorder="1" applyAlignment="1">
      <alignment wrapText="1" shrinkToFit="1"/>
    </xf>
    <xf numFmtId="3" fontId="103" fillId="0" borderId="0" xfId="1" applyNumberFormat="1" applyFont="1" applyBorder="1" applyAlignment="1">
      <alignment wrapText="1" shrinkToFit="1"/>
    </xf>
    <xf numFmtId="3" fontId="103" fillId="0" borderId="23" xfId="1" applyNumberFormat="1" applyFont="1" applyBorder="1" applyAlignment="1">
      <alignment wrapText="1" shrinkToFit="1"/>
    </xf>
    <xf numFmtId="3" fontId="103" fillId="0" borderId="0" xfId="1" applyNumberFormat="1" applyFont="1" applyAlignment="1">
      <alignment wrapText="1" shrinkToFit="1"/>
    </xf>
    <xf numFmtId="3" fontId="108" fillId="0" borderId="0" xfId="1" applyNumberFormat="1" applyFont="1" applyBorder="1" applyAlignment="1">
      <alignment wrapText="1" shrinkToFit="1"/>
    </xf>
    <xf numFmtId="3" fontId="7" fillId="0" borderId="19" xfId="1" applyNumberFormat="1" applyFont="1" applyBorder="1" applyAlignment="1">
      <alignment shrinkToFit="1"/>
    </xf>
    <xf numFmtId="3" fontId="7" fillId="0" borderId="20" xfId="1" applyNumberFormat="1" applyFont="1" applyBorder="1" applyAlignment="1">
      <alignment shrinkToFit="1"/>
    </xf>
    <xf numFmtId="3" fontId="107" fillId="0" borderId="20" xfId="1" applyNumberFormat="1" applyFont="1" applyBorder="1" applyAlignment="1">
      <alignment shrinkToFit="1"/>
    </xf>
    <xf numFmtId="3" fontId="7" fillId="0" borderId="21" xfId="1" applyNumberFormat="1" applyFont="1" applyBorder="1" applyAlignment="1">
      <alignment shrinkToFit="1"/>
    </xf>
    <xf numFmtId="3" fontId="103" fillId="0" borderId="16" xfId="1" applyNumberFormat="1" applyFont="1" applyBorder="1" applyAlignment="1">
      <alignment shrinkToFit="1"/>
    </xf>
    <xf numFmtId="3" fontId="103" fillId="0" borderId="17" xfId="1" applyNumberFormat="1" applyFont="1" applyBorder="1" applyAlignment="1">
      <alignment shrinkToFit="1"/>
    </xf>
    <xf numFmtId="3" fontId="106" fillId="0" borderId="17" xfId="1" applyNumberFormat="1" applyFont="1" applyBorder="1" applyAlignment="1">
      <alignment shrinkToFit="1"/>
    </xf>
    <xf numFmtId="3" fontId="103" fillId="0" borderId="18" xfId="1" applyNumberFormat="1" applyFont="1" applyBorder="1" applyAlignment="1">
      <alignment shrinkToFit="1"/>
    </xf>
    <xf numFmtId="3" fontId="4" fillId="0" borderId="0" xfId="1" applyNumberFormat="1" applyFont="1" applyBorder="1" applyAlignment="1">
      <alignment shrinkToFit="1"/>
    </xf>
    <xf numFmtId="3" fontId="103" fillId="0" borderId="19" xfId="1" applyNumberFormat="1" applyFont="1" applyBorder="1" applyAlignment="1">
      <alignment shrinkToFit="1"/>
    </xf>
    <xf numFmtId="3" fontId="103" fillId="0" borderId="20" xfId="1" applyNumberFormat="1" applyFont="1" applyBorder="1" applyAlignment="1">
      <alignment shrinkToFit="1"/>
    </xf>
    <xf numFmtId="3" fontId="103" fillId="0" borderId="21" xfId="1" applyNumberFormat="1" applyFont="1" applyBorder="1" applyAlignment="1">
      <alignment shrinkToFit="1"/>
    </xf>
    <xf numFmtId="3" fontId="108" fillId="0" borderId="0" xfId="1" applyNumberFormat="1" applyFont="1" applyBorder="1" applyAlignment="1">
      <alignment shrinkToFit="1"/>
    </xf>
    <xf numFmtId="3" fontId="108" fillId="0" borderId="20" xfId="1" applyNumberFormat="1" applyFont="1" applyBorder="1" applyAlignment="1">
      <alignment shrinkToFit="1"/>
    </xf>
    <xf numFmtId="3" fontId="7" fillId="0" borderId="23" xfId="1" applyNumberFormat="1" applyFont="1" applyBorder="1" applyAlignment="1">
      <alignment shrinkToFit="1"/>
    </xf>
    <xf numFmtId="3" fontId="109" fillId="0" borderId="24" xfId="1" applyNumberFormat="1" applyFont="1" applyBorder="1" applyAlignment="1">
      <alignment shrinkToFit="1"/>
    </xf>
    <xf numFmtId="3" fontId="109" fillId="0" borderId="25" xfId="1" applyNumberFormat="1" applyFont="1" applyBorder="1" applyAlignment="1">
      <alignment shrinkToFit="1"/>
    </xf>
    <xf numFmtId="3" fontId="109" fillId="0" borderId="26" xfId="1" applyNumberFormat="1" applyFont="1" applyBorder="1" applyAlignment="1">
      <alignment shrinkToFit="1"/>
    </xf>
    <xf numFmtId="3" fontId="109" fillId="0" borderId="0" xfId="1" applyNumberFormat="1" applyFont="1" applyAlignment="1">
      <alignment shrinkToFit="1"/>
    </xf>
    <xf numFmtId="0" fontId="15" fillId="0" borderId="0" xfId="0" applyFont="1"/>
    <xf numFmtId="0" fontId="19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39" fillId="0" borderId="8" xfId="0" applyFont="1" applyBorder="1" applyAlignment="1">
      <alignment horizontal="center" vertical="top"/>
    </xf>
    <xf numFmtId="0" fontId="39" fillId="0" borderId="10" xfId="0" applyFont="1" applyBorder="1" applyAlignment="1">
      <alignment horizontal="center" vertical="top"/>
    </xf>
    <xf numFmtId="0" fontId="25" fillId="0" borderId="0" xfId="0" applyFont="1"/>
    <xf numFmtId="0" fontId="25" fillId="0" borderId="7" xfId="0" applyFont="1" applyBorder="1"/>
    <xf numFmtId="0" fontId="25" fillId="0" borderId="6" xfId="0" applyFont="1" applyBorder="1"/>
    <xf numFmtId="0" fontId="30" fillId="0" borderId="27" xfId="0" applyFont="1" applyBorder="1"/>
    <xf numFmtId="0" fontId="30" fillId="0" borderId="0" xfId="0" applyFont="1" applyFill="1"/>
    <xf numFmtId="0" fontId="25" fillId="0" borderId="8" xfId="0" applyFont="1" applyBorder="1"/>
    <xf numFmtId="0" fontId="25" fillId="0" borderId="11" xfId="0" applyFont="1" applyBorder="1"/>
    <xf numFmtId="0" fontId="40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/>
    <xf numFmtId="49" fontId="25" fillId="3" borderId="5" xfId="0" applyNumberFormat="1" applyFont="1" applyFill="1" applyBorder="1"/>
    <xf numFmtId="49" fontId="25" fillId="0" borderId="5" xfId="0" applyNumberFormat="1" applyFont="1" applyBorder="1"/>
    <xf numFmtId="0" fontId="25" fillId="0" borderId="0" xfId="0" applyFont="1" applyAlignment="1">
      <alignment horizontal="justify"/>
    </xf>
    <xf numFmtId="49" fontId="25" fillId="0" borderId="5" xfId="0" applyNumberFormat="1" applyFont="1" applyBorder="1" applyAlignment="1">
      <alignment horizontal="center"/>
    </xf>
    <xf numFmtId="0" fontId="19" fillId="0" borderId="0" xfId="0" applyFont="1" applyBorder="1"/>
    <xf numFmtId="49" fontId="25" fillId="0" borderId="2" xfId="0" applyNumberFormat="1" applyFont="1" applyBorder="1"/>
    <xf numFmtId="49" fontId="25" fillId="0" borderId="1" xfId="0" applyNumberFormat="1" applyFont="1" applyBorder="1"/>
    <xf numFmtId="49" fontId="25" fillId="0" borderId="0" xfId="0" applyNumberFormat="1" applyFont="1"/>
    <xf numFmtId="0" fontId="25" fillId="0" borderId="0" xfId="0" applyFont="1" applyAlignment="1">
      <alignment horizontal="center"/>
    </xf>
    <xf numFmtId="0" fontId="19" fillId="0" borderId="0" xfId="0" applyFont="1" applyFill="1" applyBorder="1"/>
    <xf numFmtId="0" fontId="42" fillId="0" borderId="0" xfId="0" applyFont="1" applyAlignment="1">
      <alignment horizontal="center"/>
    </xf>
    <xf numFmtId="0" fontId="43" fillId="0" borderId="0" xfId="0" applyFont="1"/>
    <xf numFmtId="0" fontId="44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12" fillId="0" borderId="0" xfId="0" applyFont="1"/>
    <xf numFmtId="43" fontId="7" fillId="0" borderId="0" xfId="0" applyNumberFormat="1" applyFont="1"/>
    <xf numFmtId="0" fontId="0" fillId="0" borderId="0" xfId="0" applyFill="1"/>
    <xf numFmtId="0" fontId="45" fillId="0" borderId="0" xfId="0" applyFont="1" applyFill="1" applyAlignment="1"/>
    <xf numFmtId="0" fontId="45" fillId="0" borderId="0" xfId="0" applyFont="1" applyFill="1"/>
    <xf numFmtId="0" fontId="45" fillId="0" borderId="0" xfId="0" applyFont="1" applyFill="1" applyAlignment="1">
      <alignment shrinkToFit="1"/>
    </xf>
    <xf numFmtId="0" fontId="19" fillId="0" borderId="5" xfId="0" applyFont="1" applyFill="1" applyBorder="1"/>
    <xf numFmtId="0" fontId="19" fillId="0" borderId="0" xfId="0" applyFont="1" applyFill="1"/>
    <xf numFmtId="0" fontId="19" fillId="0" borderId="0" xfId="0" applyFont="1" applyFill="1" applyAlignment="1">
      <alignment shrinkToFit="1"/>
    </xf>
    <xf numFmtId="0" fontId="25" fillId="0" borderId="0" xfId="0" applyFont="1" applyFill="1"/>
    <xf numFmtId="0" fontId="25" fillId="0" borderId="0" xfId="0" applyFont="1" applyFill="1" applyAlignment="1">
      <alignment shrinkToFit="1"/>
    </xf>
    <xf numFmtId="0" fontId="19" fillId="0" borderId="28" xfId="0" applyFont="1" applyFill="1" applyBorder="1" applyAlignment="1">
      <alignment textRotation="90"/>
    </xf>
    <xf numFmtId="0" fontId="47" fillId="0" borderId="0" xfId="0" applyNumberFormat="1" applyFont="1" applyFill="1" applyBorder="1" applyAlignment="1" applyProtection="1"/>
    <xf numFmtId="0" fontId="47" fillId="0" borderId="0" xfId="0" applyNumberFormat="1" applyFont="1" applyFill="1" applyBorder="1" applyAlignment="1" applyProtection="1">
      <alignment shrinkToFit="1"/>
    </xf>
    <xf numFmtId="0" fontId="49" fillId="0" borderId="29" xfId="0" applyNumberFormat="1" applyFont="1" applyFill="1" applyBorder="1" applyAlignment="1" applyProtection="1"/>
    <xf numFmtId="0" fontId="49" fillId="0" borderId="11" xfId="0" applyNumberFormat="1" applyFont="1" applyFill="1" applyBorder="1" applyAlignment="1" applyProtection="1">
      <alignment shrinkToFit="1"/>
    </xf>
    <xf numFmtId="0" fontId="49" fillId="0" borderId="11" xfId="0" applyNumberFormat="1" applyFont="1" applyFill="1" applyBorder="1" applyAlignment="1" applyProtection="1"/>
    <xf numFmtId="198" fontId="49" fillId="0" borderId="11" xfId="1" applyNumberFormat="1" applyFont="1" applyFill="1" applyBorder="1" applyAlignment="1" applyProtection="1">
      <alignment shrinkToFit="1"/>
    </xf>
    <xf numFmtId="198" fontId="49" fillId="0" borderId="5" xfId="1" applyNumberFormat="1" applyFont="1" applyFill="1" applyBorder="1" applyAlignment="1" applyProtection="1">
      <alignment shrinkToFit="1"/>
    </xf>
    <xf numFmtId="198" fontId="49" fillId="0" borderId="0" xfId="0" applyNumberFormat="1" applyFont="1" applyFill="1" applyBorder="1" applyAlignment="1" applyProtection="1">
      <alignment shrinkToFit="1"/>
    </xf>
    <xf numFmtId="43" fontId="49" fillId="0" borderId="0" xfId="0" applyNumberFormat="1" applyFont="1" applyFill="1" applyBorder="1" applyAlignment="1" applyProtection="1">
      <alignment shrinkToFit="1"/>
    </xf>
    <xf numFmtId="43" fontId="49" fillId="0" borderId="0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/>
    <xf numFmtId="0" fontId="49" fillId="0" borderId="30" xfId="0" applyNumberFormat="1" applyFont="1" applyFill="1" applyBorder="1" applyAlignment="1" applyProtection="1"/>
    <xf numFmtId="0" fontId="49" fillId="0" borderId="5" xfId="0" applyNumberFormat="1" applyFont="1" applyFill="1" applyBorder="1" applyAlignment="1" applyProtection="1">
      <alignment shrinkToFit="1"/>
    </xf>
    <xf numFmtId="0" fontId="49" fillId="0" borderId="0" xfId="0" applyNumberFormat="1" applyFont="1" applyFill="1" applyBorder="1" applyAlignment="1" applyProtection="1">
      <alignment shrinkToFit="1"/>
    </xf>
    <xf numFmtId="0" fontId="49" fillId="0" borderId="5" xfId="0" applyNumberFormat="1" applyFont="1" applyFill="1" applyBorder="1" applyAlignment="1" applyProtection="1"/>
    <xf numFmtId="198" fontId="49" fillId="0" borderId="5" xfId="0" applyNumberFormat="1" applyFont="1" applyFill="1" applyBorder="1" applyAlignment="1" applyProtection="1"/>
    <xf numFmtId="0" fontId="48" fillId="0" borderId="31" xfId="0" applyNumberFormat="1" applyFont="1" applyFill="1" applyBorder="1" applyAlignment="1" applyProtection="1"/>
    <xf numFmtId="0" fontId="48" fillId="0" borderId="28" xfId="0" applyNumberFormat="1" applyFont="1" applyFill="1" applyBorder="1" applyAlignment="1" applyProtection="1">
      <alignment shrinkToFit="1"/>
    </xf>
    <xf numFmtId="1" fontId="48" fillId="0" borderId="28" xfId="0" applyNumberFormat="1" applyFont="1" applyFill="1" applyBorder="1" applyAlignment="1" applyProtection="1">
      <alignment shrinkToFit="1"/>
    </xf>
    <xf numFmtId="198" fontId="48" fillId="0" borderId="28" xfId="1" applyNumberFormat="1" applyFont="1" applyFill="1" applyBorder="1" applyAlignment="1" applyProtection="1">
      <alignment shrinkToFit="1"/>
    </xf>
    <xf numFmtId="198" fontId="48" fillId="0" borderId="32" xfId="1" applyNumberFormat="1" applyFont="1" applyFill="1" applyBorder="1" applyAlignment="1" applyProtection="1">
      <alignment shrinkToFit="1"/>
    </xf>
    <xf numFmtId="198" fontId="48" fillId="0" borderId="0" xfId="0" applyNumberFormat="1" applyFont="1" applyFill="1" applyBorder="1" applyAlignment="1" applyProtection="1">
      <alignment shrinkToFit="1"/>
    </xf>
    <xf numFmtId="0" fontId="48" fillId="0" borderId="0" xfId="0" applyNumberFormat="1" applyFont="1" applyFill="1" applyBorder="1" applyAlignment="1" applyProtection="1">
      <alignment shrinkToFit="1"/>
    </xf>
    <xf numFmtId="0" fontId="48" fillId="0" borderId="0" xfId="0" applyNumberFormat="1" applyFont="1" applyFill="1" applyBorder="1" applyAlignment="1" applyProtection="1"/>
    <xf numFmtId="43" fontId="49" fillId="0" borderId="0" xfId="1" applyNumberFormat="1" applyFont="1" applyFill="1" applyBorder="1" applyAlignment="1" applyProtection="1">
      <alignment shrinkToFit="1"/>
    </xf>
    <xf numFmtId="1" fontId="49" fillId="0" borderId="0" xfId="0" applyNumberFormat="1" applyFont="1" applyFill="1" applyBorder="1" applyAlignment="1" applyProtection="1">
      <alignment shrinkToFit="1"/>
    </xf>
    <xf numFmtId="0" fontId="110" fillId="0" borderId="0" xfId="0" applyNumberFormat="1" applyFont="1" applyFill="1" applyBorder="1" applyAlignment="1" applyProtection="1"/>
    <xf numFmtId="198" fontId="25" fillId="0" borderId="0" xfId="0" applyNumberFormat="1" applyFont="1" applyFill="1" applyAlignment="1">
      <alignment shrinkToFit="1"/>
    </xf>
    <xf numFmtId="198" fontId="49" fillId="0" borderId="0" xfId="1" applyNumberFormat="1" applyFont="1" applyFill="1" applyBorder="1" applyAlignment="1" applyProtection="1">
      <alignment shrinkToFit="1"/>
    </xf>
    <xf numFmtId="198" fontId="25" fillId="0" borderId="0" xfId="1" applyNumberFormat="1" applyFont="1" applyFill="1" applyAlignment="1">
      <alignment shrinkToFit="1"/>
    </xf>
    <xf numFmtId="43" fontId="25" fillId="0" borderId="0" xfId="0" applyNumberFormat="1" applyFont="1" applyFill="1" applyAlignment="1">
      <alignment shrinkToFit="1"/>
    </xf>
    <xf numFmtId="195" fontId="25" fillId="0" borderId="0" xfId="0" applyNumberFormat="1" applyFont="1" applyFill="1"/>
    <xf numFmtId="195" fontId="25" fillId="0" borderId="0" xfId="0" applyNumberFormat="1" applyFont="1" applyFill="1" applyAlignment="1">
      <alignment shrinkToFit="1"/>
    </xf>
    <xf numFmtId="43" fontId="25" fillId="0" borderId="0" xfId="0" applyNumberFormat="1" applyFont="1" applyFill="1"/>
    <xf numFmtId="0" fontId="4" fillId="0" borderId="0" xfId="0" applyFont="1" applyAlignment="1">
      <alignment shrinkToFit="1"/>
    </xf>
    <xf numFmtId="0" fontId="53" fillId="0" borderId="0" xfId="39"/>
    <xf numFmtId="0" fontId="53" fillId="0" borderId="0" xfId="39" applyBorder="1"/>
    <xf numFmtId="0" fontId="53" fillId="0" borderId="0" xfId="39" applyAlignment="1">
      <alignment vertical="center"/>
    </xf>
    <xf numFmtId="0" fontId="8" fillId="0" borderId="33" xfId="39" applyFont="1" applyBorder="1" applyAlignment="1">
      <alignment horizontal="center"/>
    </xf>
    <xf numFmtId="0" fontId="11" fillId="0" borderId="34" xfId="39" applyFont="1" applyBorder="1"/>
    <xf numFmtId="0" fontId="11" fillId="0" borderId="34" xfId="39" applyFont="1" applyBorder="1" applyAlignment="1"/>
    <xf numFmtId="0" fontId="11" fillId="0" borderId="35" xfId="39" applyFont="1" applyBorder="1"/>
    <xf numFmtId="0" fontId="11" fillId="0" borderId="0" xfId="39" applyFont="1"/>
    <xf numFmtId="0" fontId="11" fillId="0" borderId="36" xfId="39" applyFont="1" applyBorder="1"/>
    <xf numFmtId="0" fontId="11" fillId="0" borderId="0" xfId="39" applyFont="1" applyBorder="1"/>
    <xf numFmtId="0" fontId="11" fillId="0" borderId="37" xfId="39" applyFont="1" applyBorder="1"/>
    <xf numFmtId="0" fontId="11" fillId="0" borderId="0" xfId="39" applyFont="1" applyBorder="1" applyAlignment="1"/>
    <xf numFmtId="0" fontId="11" fillId="0" borderId="36" xfId="39" applyFont="1" applyFill="1" applyBorder="1"/>
    <xf numFmtId="0" fontId="11" fillId="0" borderId="0" xfId="39" applyFont="1" applyFill="1" applyBorder="1"/>
    <xf numFmtId="0" fontId="11" fillId="0" borderId="38" xfId="39" applyFont="1" applyBorder="1"/>
    <xf numFmtId="0" fontId="11" fillId="0" borderId="39" xfId="39" applyFont="1" applyBorder="1"/>
    <xf numFmtId="0" fontId="11" fillId="0" borderId="40" xfId="39" applyFont="1" applyBorder="1"/>
    <xf numFmtId="0" fontId="54" fillId="0" borderId="0" xfId="39" applyFont="1" applyBorder="1" applyAlignment="1">
      <alignment vertical="center"/>
    </xf>
    <xf numFmtId="0" fontId="55" fillId="0" borderId="0" xfId="39" applyFont="1" applyFill="1" applyBorder="1"/>
    <xf numFmtId="0" fontId="11" fillId="0" borderId="0" xfId="39" applyFont="1" applyBorder="1" applyAlignment="1">
      <alignment vertical="center"/>
    </xf>
    <xf numFmtId="0" fontId="11" fillId="0" borderId="0" xfId="39" applyFont="1" applyBorder="1" applyAlignment="1">
      <alignment horizontal="center"/>
    </xf>
    <xf numFmtId="0" fontId="55" fillId="0" borderId="0" xfId="39" applyFont="1" applyBorder="1"/>
    <xf numFmtId="0" fontId="53" fillId="0" borderId="0" xfId="39" applyFill="1"/>
    <xf numFmtId="0" fontId="4" fillId="0" borderId="0" xfId="39" applyFont="1" applyBorder="1"/>
    <xf numFmtId="0" fontId="4" fillId="0" borderId="0" xfId="39" applyFont="1"/>
    <xf numFmtId="0" fontId="2" fillId="0" borderId="0" xfId="39" applyFont="1" applyBorder="1"/>
    <xf numFmtId="0" fontId="4" fillId="0" borderId="0" xfId="39" applyFont="1" applyFill="1" applyBorder="1"/>
    <xf numFmtId="0" fontId="2" fillId="0" borderId="0" xfId="39" applyFont="1" applyFill="1" applyBorder="1"/>
    <xf numFmtId="0" fontId="57" fillId="0" borderId="0" xfId="39" applyFont="1"/>
    <xf numFmtId="0" fontId="58" fillId="0" borderId="0" xfId="39" applyFont="1"/>
    <xf numFmtId="0" fontId="7" fillId="0" borderId="0" xfId="39" applyFont="1"/>
    <xf numFmtId="0" fontId="36" fillId="0" borderId="0" xfId="39" applyFont="1"/>
    <xf numFmtId="0" fontId="4" fillId="0" borderId="5" xfId="39" applyFont="1" applyBorder="1"/>
    <xf numFmtId="0" fontId="7" fillId="0" borderId="5" xfId="39" applyFont="1" applyBorder="1"/>
    <xf numFmtId="43" fontId="4" fillId="0" borderId="5" xfId="16" applyFont="1" applyBorder="1"/>
    <xf numFmtId="43" fontId="7" fillId="0" borderId="5" xfId="16" applyFont="1" applyBorder="1"/>
    <xf numFmtId="0" fontId="4" fillId="0" borderId="27" xfId="39" applyFont="1" applyFill="1" applyBorder="1"/>
    <xf numFmtId="0" fontId="4" fillId="0" borderId="5" xfId="39" applyFont="1" applyFill="1" applyBorder="1"/>
    <xf numFmtId="43" fontId="4" fillId="0" borderId="0" xfId="39" applyNumberFormat="1" applyFont="1"/>
    <xf numFmtId="0" fontId="7" fillId="0" borderId="6" xfId="39" applyFont="1" applyBorder="1"/>
    <xf numFmtId="0" fontId="4" fillId="0" borderId="6" xfId="39" applyFont="1" applyBorder="1"/>
    <xf numFmtId="0" fontId="4" fillId="0" borderId="3" xfId="39" applyFont="1" applyBorder="1"/>
    <xf numFmtId="0" fontId="4" fillId="0" borderId="1" xfId="39" applyFont="1" applyBorder="1"/>
    <xf numFmtId="0" fontId="4" fillId="0" borderId="11" xfId="39" applyFont="1" applyBorder="1"/>
    <xf numFmtId="0" fontId="7" fillId="0" borderId="3" xfId="39" applyFont="1" applyBorder="1"/>
    <xf numFmtId="0" fontId="7" fillId="0" borderId="1" xfId="39" applyFont="1" applyBorder="1"/>
    <xf numFmtId="0" fontId="36" fillId="0" borderId="0" xfId="39" applyFont="1" applyBorder="1" applyAlignment="1"/>
    <xf numFmtId="0" fontId="30" fillId="0" borderId="41" xfId="0" applyFont="1" applyBorder="1"/>
    <xf numFmtId="0" fontId="30" fillId="0" borderId="42" xfId="0" applyFont="1" applyBorder="1"/>
    <xf numFmtId="0" fontId="111" fillId="0" borderId="0" xfId="0" applyFont="1"/>
    <xf numFmtId="0" fontId="60" fillId="0" borderId="0" xfId="0" applyFont="1"/>
    <xf numFmtId="0" fontId="61" fillId="0" borderId="0" xfId="0" applyFont="1"/>
    <xf numFmtId="0" fontId="30" fillId="4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30" fillId="0" borderId="13" xfId="0" applyNumberFormat="1" applyFont="1" applyBorder="1"/>
    <xf numFmtId="3" fontId="30" fillId="0" borderId="43" xfId="0" applyNumberFormat="1" applyFont="1" applyBorder="1"/>
    <xf numFmtId="3" fontId="30" fillId="0" borderId="14" xfId="0" applyNumberFormat="1" applyFont="1" applyBorder="1"/>
    <xf numFmtId="3" fontId="30" fillId="0" borderId="44" xfId="0" applyNumberFormat="1" applyFont="1" applyBorder="1"/>
    <xf numFmtId="0" fontId="30" fillId="0" borderId="44" xfId="0" applyFont="1" applyBorder="1"/>
    <xf numFmtId="0" fontId="30" fillId="0" borderId="45" xfId="0" applyFont="1" applyBorder="1"/>
    <xf numFmtId="0" fontId="30" fillId="0" borderId="5" xfId="0" applyFont="1" applyBorder="1"/>
    <xf numFmtId="0" fontId="30" fillId="0" borderId="2" xfId="0" applyFont="1" applyBorder="1"/>
    <xf numFmtId="0" fontId="30" fillId="0" borderId="0" xfId="0" applyFont="1" applyAlignment="1">
      <alignment vertical="center"/>
    </xf>
    <xf numFmtId="0" fontId="30" fillId="0" borderId="6" xfId="0" applyFont="1" applyBorder="1" applyAlignment="1">
      <alignment horizontal="justify" vertical="center"/>
    </xf>
    <xf numFmtId="0" fontId="30" fillId="0" borderId="27" xfId="0" applyFont="1" applyBorder="1" applyAlignment="1">
      <alignment horizontal="justify" vertical="center"/>
    </xf>
    <xf numFmtId="0" fontId="30" fillId="0" borderId="0" xfId="0" applyFont="1" applyBorder="1" applyAlignment="1">
      <alignment vertical="center"/>
    </xf>
    <xf numFmtId="171" fontId="30" fillId="0" borderId="14" xfId="19" applyFont="1" applyBorder="1" applyAlignment="1">
      <alignment shrinkToFit="1"/>
    </xf>
    <xf numFmtId="0" fontId="30" fillId="0" borderId="14" xfId="0" applyFont="1" applyBorder="1" applyAlignment="1">
      <alignment shrinkToFit="1"/>
    </xf>
    <xf numFmtId="0" fontId="0" fillId="0" borderId="42" xfId="0" applyBorder="1"/>
    <xf numFmtId="0" fontId="0" fillId="0" borderId="14" xfId="0" applyBorder="1"/>
    <xf numFmtId="0" fontId="30" fillId="0" borderId="14" xfId="0" applyFont="1" applyBorder="1" applyAlignment="1"/>
    <xf numFmtId="0" fontId="0" fillId="0" borderId="44" xfId="0" applyBorder="1"/>
    <xf numFmtId="0" fontId="0" fillId="0" borderId="46" xfId="0" applyBorder="1"/>
    <xf numFmtId="0" fontId="0" fillId="0" borderId="15" xfId="0" applyBorder="1"/>
    <xf numFmtId="0" fontId="0" fillId="0" borderId="45" xfId="0" applyBorder="1"/>
    <xf numFmtId="0" fontId="0" fillId="0" borderId="5" xfId="0" applyBorder="1"/>
    <xf numFmtId="171" fontId="0" fillId="0" borderId="5" xfId="0" applyNumberFormat="1" applyBorder="1" applyAlignment="1">
      <alignment shrinkToFit="1"/>
    </xf>
    <xf numFmtId="0" fontId="66" fillId="6" borderId="0" xfId="45" quotePrefix="1" applyFont="1" applyFill="1" applyAlignment="1">
      <alignment vertical="center"/>
    </xf>
    <xf numFmtId="0" fontId="66" fillId="6" borderId="0" xfId="45" quotePrefix="1" applyFont="1" applyFill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6" borderId="0" xfId="0" applyFont="1" applyFill="1" applyAlignment="1">
      <alignment vertical="center"/>
    </xf>
    <xf numFmtId="0" fontId="112" fillId="0" borderId="0" xfId="0" applyFont="1" applyFill="1"/>
    <xf numFmtId="0" fontId="113" fillId="0" borderId="0" xfId="0" applyFont="1" applyFill="1" applyAlignment="1"/>
    <xf numFmtId="0" fontId="114" fillId="6" borderId="0" xfId="0" applyFont="1" applyFill="1" applyBorder="1"/>
    <xf numFmtId="187" fontId="114" fillId="0" borderId="0" xfId="0" applyNumberFormat="1" applyFont="1" applyFill="1" applyBorder="1"/>
    <xf numFmtId="0" fontId="0" fillId="2" borderId="2" xfId="0" applyFill="1" applyBorder="1"/>
    <xf numFmtId="0" fontId="0" fillId="2" borderId="5" xfId="0" applyFill="1" applyBorder="1"/>
    <xf numFmtId="0" fontId="30" fillId="0" borderId="5" xfId="0" applyFont="1" applyFill="1" applyBorder="1" applyAlignment="1">
      <alignment horizontal="justify" vertical="center" textRotation="90"/>
    </xf>
    <xf numFmtId="3" fontId="30" fillId="0" borderId="5" xfId="0" applyNumberFormat="1" applyFont="1" applyBorder="1" applyAlignment="1">
      <alignment shrinkToFit="1"/>
    </xf>
    <xf numFmtId="43" fontId="110" fillId="0" borderId="0" xfId="0" applyNumberFormat="1" applyFont="1" applyFill="1" applyBorder="1" applyAlignment="1" applyProtection="1">
      <alignment shrinkToFit="1"/>
    </xf>
    <xf numFmtId="43" fontId="30" fillId="0" borderId="13" xfId="19" applyNumberFormat="1" applyFont="1" applyBorder="1" applyAlignment="1">
      <alignment shrinkToFit="1"/>
    </xf>
    <xf numFmtId="43" fontId="30" fillId="0" borderId="14" xfId="19" applyNumberFormat="1" applyFont="1" applyBorder="1" applyAlignment="1">
      <alignment shrinkToFit="1"/>
    </xf>
    <xf numFmtId="43" fontId="25" fillId="0" borderId="0" xfId="1" applyNumberFormat="1" applyFont="1" applyFill="1" applyAlignment="1">
      <alignment shrinkToFit="1"/>
    </xf>
    <xf numFmtId="3" fontId="33" fillId="4" borderId="5" xfId="0" applyNumberFormat="1" applyFont="1" applyFill="1" applyBorder="1" applyAlignment="1">
      <alignment vertical="center"/>
    </xf>
    <xf numFmtId="0" fontId="33" fillId="4" borderId="5" xfId="0" applyFont="1" applyFill="1" applyBorder="1" applyAlignment="1">
      <alignment vertical="center"/>
    </xf>
    <xf numFmtId="0" fontId="33" fillId="4" borderId="5" xfId="0" applyFont="1" applyFill="1" applyBorder="1" applyAlignment="1">
      <alignment horizontal="justify" vertical="center"/>
    </xf>
    <xf numFmtId="0" fontId="34" fillId="0" borderId="5" xfId="0" applyFont="1" applyBorder="1" applyAlignment="1">
      <alignment horizontal="center"/>
    </xf>
    <xf numFmtId="196" fontId="30" fillId="0" borderId="5" xfId="19" applyNumberFormat="1" applyFont="1" applyBorder="1" applyAlignment="1">
      <alignment shrinkToFit="1"/>
    </xf>
    <xf numFmtId="196" fontId="30" fillId="5" borderId="5" xfId="19" applyNumberFormat="1" applyFont="1" applyFill="1" applyBorder="1" applyAlignment="1">
      <alignment shrinkToFit="1"/>
    </xf>
    <xf numFmtId="196" fontId="30" fillId="0" borderId="5" xfId="19" applyNumberFormat="1" applyFont="1" applyFill="1" applyBorder="1" applyAlignment="1">
      <alignment shrinkToFit="1"/>
    </xf>
    <xf numFmtId="3" fontId="30" fillId="0" borderId="5" xfId="0" applyNumberFormat="1" applyFont="1" applyFill="1" applyBorder="1" applyAlignment="1">
      <alignment shrinkToFit="1"/>
    </xf>
    <xf numFmtId="198" fontId="49" fillId="0" borderId="11" xfId="16" applyNumberFormat="1" applyFont="1" applyFill="1" applyBorder="1" applyAlignment="1" applyProtection="1">
      <alignment shrinkToFit="1"/>
    </xf>
    <xf numFmtId="198" fontId="49" fillId="0" borderId="5" xfId="16" applyNumberFormat="1" applyFont="1" applyFill="1" applyBorder="1" applyAlignment="1" applyProtection="1">
      <alignment shrinkToFit="1"/>
    </xf>
    <xf numFmtId="198" fontId="49" fillId="0" borderId="47" xfId="16" applyNumberFormat="1" applyFont="1" applyFill="1" applyBorder="1" applyAlignment="1" applyProtection="1">
      <alignment shrinkToFit="1"/>
    </xf>
    <xf numFmtId="198" fontId="49" fillId="0" borderId="48" xfId="16" applyNumberFormat="1" applyFont="1" applyFill="1" applyBorder="1" applyAlignment="1" applyProtection="1">
      <alignment shrinkToFit="1"/>
    </xf>
    <xf numFmtId="14" fontId="64" fillId="0" borderId="0" xfId="0" applyNumberFormat="1" applyFont="1" applyFill="1" applyAlignment="1">
      <alignment horizontal="center"/>
    </xf>
    <xf numFmtId="43" fontId="0" fillId="0" borderId="0" xfId="0" applyNumberFormat="1"/>
    <xf numFmtId="3" fontId="4" fillId="0" borderId="0" xfId="0" applyNumberFormat="1" applyFont="1" applyFill="1"/>
    <xf numFmtId="0" fontId="4" fillId="0" borderId="0" xfId="0" applyFont="1" applyFill="1"/>
    <xf numFmtId="0" fontId="3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40" fontId="21" fillId="0" borderId="0" xfId="0" applyNumberFormat="1" applyFont="1" applyFill="1" applyAlignment="1">
      <alignment horizontal="center"/>
    </xf>
    <xf numFmtId="0" fontId="22" fillId="0" borderId="0" xfId="0" applyFont="1" applyFill="1"/>
    <xf numFmtId="40" fontId="21" fillId="0" borderId="0" xfId="0" applyNumberFormat="1" applyFont="1" applyFill="1" applyAlignment="1"/>
    <xf numFmtId="0" fontId="23" fillId="0" borderId="0" xfId="36" applyNumberFormat="1" applyFont="1" applyFill="1" applyBorder="1" applyAlignment="1" applyProtection="1">
      <alignment shrinkToFit="1"/>
    </xf>
    <xf numFmtId="0" fontId="12" fillId="0" borderId="0" xfId="38" applyFont="1" applyFill="1" applyAlignment="1">
      <alignment horizontal="center" shrinkToFit="1"/>
    </xf>
    <xf numFmtId="0" fontId="2" fillId="0" borderId="0" xfId="38" applyFont="1" applyFill="1" applyAlignment="1">
      <alignment shrinkToFit="1"/>
    </xf>
    <xf numFmtId="0" fontId="4" fillId="0" borderId="0" xfId="38" applyFill="1" applyAlignment="1">
      <alignment shrinkToFit="1"/>
    </xf>
    <xf numFmtId="202" fontId="0" fillId="0" borderId="0" xfId="22" applyNumberFormat="1" applyFont="1" applyFill="1" applyAlignment="1">
      <alignment shrinkToFit="1"/>
    </xf>
    <xf numFmtId="0" fontId="4" fillId="0" borderId="0" xfId="38" applyFill="1" applyBorder="1" applyAlignment="1">
      <alignment shrinkToFit="1"/>
    </xf>
    <xf numFmtId="0" fontId="4" fillId="0" borderId="0" xfId="38" applyFill="1"/>
    <xf numFmtId="0" fontId="2" fillId="0" borderId="0" xfId="38" applyFont="1" applyFill="1" applyBorder="1" applyAlignment="1">
      <alignment shrinkToFit="1"/>
    </xf>
    <xf numFmtId="2" fontId="4" fillId="0" borderId="0" xfId="38" applyNumberFormat="1" applyFill="1" applyBorder="1" applyAlignment="1">
      <alignment shrinkToFit="1"/>
    </xf>
    <xf numFmtId="202" fontId="0" fillId="0" borderId="0" xfId="22" applyNumberFormat="1" applyFont="1" applyFill="1" applyBorder="1" applyAlignment="1">
      <alignment shrinkToFit="1"/>
    </xf>
    <xf numFmtId="0" fontId="12" fillId="0" borderId="0" xfId="38" applyFont="1" applyFill="1" applyBorder="1" applyAlignment="1">
      <alignment shrinkToFit="1"/>
    </xf>
    <xf numFmtId="0" fontId="67" fillId="0" borderId="10" xfId="38" applyFont="1" applyFill="1" applyBorder="1" applyAlignment="1">
      <alignment horizontal="center" shrinkToFit="1"/>
    </xf>
    <xf numFmtId="43" fontId="67" fillId="0" borderId="10" xfId="17" applyFont="1" applyFill="1" applyBorder="1" applyAlignment="1">
      <alignment horizontal="center" shrinkToFit="1"/>
    </xf>
    <xf numFmtId="43" fontId="67" fillId="0" borderId="5" xfId="17" applyFont="1" applyFill="1" applyBorder="1" applyAlignment="1">
      <alignment shrinkToFit="1"/>
    </xf>
    <xf numFmtId="43" fontId="68" fillId="0" borderId="5" xfId="17" applyFont="1" applyFill="1" applyBorder="1" applyAlignment="1">
      <alignment shrinkToFit="1"/>
    </xf>
    <xf numFmtId="43" fontId="0" fillId="0" borderId="5" xfId="17" applyFont="1" applyFill="1" applyBorder="1" applyAlignment="1">
      <alignment shrinkToFit="1"/>
    </xf>
    <xf numFmtId="43" fontId="0" fillId="0" borderId="11" xfId="17" applyFont="1" applyFill="1" applyBorder="1" applyAlignment="1">
      <alignment shrinkToFit="1"/>
    </xf>
    <xf numFmtId="43" fontId="68" fillId="0" borderId="11" xfId="17" applyFont="1" applyFill="1" applyBorder="1" applyAlignment="1">
      <alignment horizontal="center" shrinkToFit="1"/>
    </xf>
    <xf numFmtId="43" fontId="0" fillId="0" borderId="8" xfId="17" applyFont="1" applyFill="1" applyBorder="1" applyAlignment="1">
      <alignment shrinkToFit="1"/>
    </xf>
    <xf numFmtId="202" fontId="67" fillId="0" borderId="49" xfId="22" applyNumberFormat="1" applyFont="1" applyFill="1" applyBorder="1" applyAlignment="1">
      <alignment shrinkToFit="1"/>
    </xf>
    <xf numFmtId="200" fontId="4" fillId="0" borderId="0" xfId="38" applyNumberFormat="1" applyFill="1" applyBorder="1" applyAlignment="1">
      <alignment shrinkToFit="1"/>
    </xf>
    <xf numFmtId="43" fontId="4" fillId="0" borderId="0" xfId="38" applyNumberFormat="1" applyFill="1"/>
    <xf numFmtId="0" fontId="67" fillId="0" borderId="30" xfId="38" applyFont="1" applyFill="1" applyBorder="1" applyAlignment="1">
      <alignment shrinkToFit="1"/>
    </xf>
    <xf numFmtId="43" fontId="67" fillId="0" borderId="1" xfId="17" applyFont="1" applyFill="1" applyBorder="1" applyAlignment="1">
      <alignment shrinkToFit="1"/>
    </xf>
    <xf numFmtId="43" fontId="67" fillId="0" borderId="3" xfId="17" applyFont="1" applyFill="1" applyBorder="1" applyAlignment="1">
      <alignment shrinkToFit="1"/>
    </xf>
    <xf numFmtId="0" fontId="68" fillId="0" borderId="30" xfId="38" applyFont="1" applyFill="1" applyBorder="1" applyAlignment="1">
      <alignment shrinkToFit="1"/>
    </xf>
    <xf numFmtId="43" fontId="68" fillId="0" borderId="1" xfId="17" applyFont="1" applyFill="1" applyBorder="1" applyAlignment="1">
      <alignment shrinkToFit="1"/>
    </xf>
    <xf numFmtId="0" fontId="68" fillId="0" borderId="50" xfId="38" applyFont="1" applyFill="1" applyBorder="1" applyAlignment="1">
      <alignment shrinkToFit="1"/>
    </xf>
    <xf numFmtId="43" fontId="68" fillId="0" borderId="4" xfId="17" applyFont="1" applyFill="1" applyBorder="1" applyAlignment="1">
      <alignment shrinkToFit="1"/>
    </xf>
    <xf numFmtId="0" fontId="67" fillId="0" borderId="31" xfId="38" applyFont="1" applyFill="1" applyBorder="1" applyAlignment="1">
      <alignment shrinkToFit="1"/>
    </xf>
    <xf numFmtId="0" fontId="67" fillId="0" borderId="5" xfId="38" applyFont="1" applyFill="1" applyBorder="1" applyAlignment="1">
      <alignment shrinkToFit="1"/>
    </xf>
    <xf numFmtId="0" fontId="68" fillId="0" borderId="5" xfId="38" applyFont="1" applyFill="1" applyBorder="1" applyAlignment="1">
      <alignment shrinkToFit="1"/>
    </xf>
    <xf numFmtId="43" fontId="67" fillId="0" borderId="51" xfId="17" applyFont="1" applyFill="1" applyBorder="1" applyAlignment="1">
      <alignment shrinkToFit="1"/>
    </xf>
    <xf numFmtId="0" fontId="69" fillId="0" borderId="52" xfId="38" applyFont="1" applyFill="1" applyBorder="1" applyAlignment="1">
      <alignment shrinkToFit="1"/>
    </xf>
    <xf numFmtId="41" fontId="4" fillId="0" borderId="0" xfId="38" applyNumberFormat="1" applyFill="1" applyAlignment="1">
      <alignment shrinkToFit="1"/>
    </xf>
    <xf numFmtId="43" fontId="4" fillId="0" borderId="0" xfId="38" applyNumberFormat="1" applyFill="1" applyAlignment="1">
      <alignment shrinkToFit="1"/>
    </xf>
    <xf numFmtId="202" fontId="0" fillId="0" borderId="0" xfId="22" applyNumberFormat="1" applyFont="1" applyFill="1"/>
    <xf numFmtId="0" fontId="12" fillId="0" borderId="0" xfId="38" applyFont="1" applyFill="1" applyAlignment="1">
      <alignment shrinkToFit="1"/>
    </xf>
    <xf numFmtId="0" fontId="12" fillId="0" borderId="0" xfId="38" applyFont="1" applyFill="1"/>
    <xf numFmtId="43" fontId="12" fillId="0" borderId="0" xfId="38" applyNumberFormat="1" applyFont="1" applyFill="1" applyAlignment="1">
      <alignment shrinkToFit="1"/>
    </xf>
    <xf numFmtId="1" fontId="12" fillId="0" borderId="0" xfId="38" applyNumberFormat="1" applyFont="1" applyFill="1" applyAlignment="1">
      <alignment shrinkToFit="1"/>
    </xf>
    <xf numFmtId="43" fontId="12" fillId="0" borderId="0" xfId="38" applyNumberFormat="1" applyFont="1" applyFill="1"/>
    <xf numFmtId="202" fontId="12" fillId="0" borderId="0" xfId="22" applyNumberFormat="1" applyFont="1" applyFill="1" applyAlignment="1">
      <alignment shrinkToFit="1"/>
    </xf>
    <xf numFmtId="43" fontId="4" fillId="0" borderId="0" xfId="38" applyNumberFormat="1" applyFill="1" applyBorder="1" applyAlignment="1">
      <alignment shrinkToFit="1"/>
    </xf>
    <xf numFmtId="200" fontId="12" fillId="0" borderId="0" xfId="38" applyNumberFormat="1" applyFont="1" applyFill="1" applyAlignment="1">
      <alignment shrinkToFit="1"/>
    </xf>
    <xf numFmtId="1" fontId="115" fillId="0" borderId="0" xfId="38" applyNumberFormat="1" applyFont="1" applyFill="1" applyAlignment="1">
      <alignment shrinkToFit="1"/>
    </xf>
    <xf numFmtId="0" fontId="7" fillId="0" borderId="0" xfId="38" applyFont="1" applyFill="1" applyAlignment="1">
      <alignment shrinkToFit="1"/>
    </xf>
    <xf numFmtId="1" fontId="12" fillId="0" borderId="0" xfId="38" applyNumberFormat="1" applyFont="1" applyFill="1"/>
    <xf numFmtId="1" fontId="7" fillId="0" borderId="0" xfId="38" applyNumberFormat="1" applyFont="1" applyFill="1"/>
    <xf numFmtId="0" fontId="7" fillId="0" borderId="0" xfId="38" applyFont="1" applyFill="1"/>
    <xf numFmtId="202" fontId="7" fillId="0" borderId="0" xfId="22" applyNumberFormat="1" applyFont="1" applyFill="1" applyAlignment="1">
      <alignment shrinkToFit="1"/>
    </xf>
    <xf numFmtId="0" fontId="7" fillId="0" borderId="0" xfId="38" applyFont="1" applyFill="1" applyBorder="1" applyAlignment="1">
      <alignment shrinkToFit="1"/>
    </xf>
    <xf numFmtId="1" fontId="7" fillId="0" borderId="0" xfId="38" applyNumberFormat="1" applyFont="1" applyFill="1" applyAlignment="1">
      <alignment shrinkToFit="1"/>
    </xf>
    <xf numFmtId="0" fontId="12" fillId="0" borderId="0" xfId="38" applyFont="1"/>
    <xf numFmtId="41" fontId="2" fillId="0" borderId="0" xfId="38" applyNumberFormat="1" applyFont="1"/>
    <xf numFmtId="0" fontId="2" fillId="0" borderId="0" xfId="38" applyFont="1"/>
    <xf numFmtId="43" fontId="2" fillId="0" borderId="0" xfId="17" applyFont="1"/>
    <xf numFmtId="43" fontId="7" fillId="0" borderId="0" xfId="38" applyNumberFormat="1" applyFont="1" applyFill="1"/>
    <xf numFmtId="43" fontId="2" fillId="0" borderId="0" xfId="17" applyFont="1" applyAlignment="1">
      <alignment shrinkToFit="1"/>
    </xf>
    <xf numFmtId="202" fontId="7" fillId="0" borderId="0" xfId="22" applyNumberFormat="1" applyFont="1" applyFill="1"/>
    <xf numFmtId="0" fontId="2" fillId="0" borderId="0" xfId="38" applyFont="1" applyAlignment="1">
      <alignment shrinkToFit="1"/>
    </xf>
    <xf numFmtId="43" fontId="7" fillId="0" borderId="0" xfId="17" applyFont="1" applyFill="1" applyAlignment="1">
      <alignment shrinkToFit="1"/>
    </xf>
    <xf numFmtId="0" fontId="2" fillId="0" borderId="0" xfId="38" applyFont="1" applyFill="1"/>
    <xf numFmtId="0" fontId="7" fillId="0" borderId="0" xfId="38" applyFont="1"/>
    <xf numFmtId="0" fontId="4" fillId="0" borderId="0" xfId="38"/>
    <xf numFmtId="202" fontId="0" fillId="0" borderId="0" xfId="22" applyNumberFormat="1" applyFont="1"/>
    <xf numFmtId="0" fontId="4" fillId="0" borderId="0" xfId="38" applyBorder="1" applyAlignment="1">
      <alignment shrinkToFit="1"/>
    </xf>
    <xf numFmtId="0" fontId="8" fillId="0" borderId="0" xfId="38" applyFont="1"/>
    <xf numFmtId="0" fontId="4" fillId="0" borderId="0" xfId="38" applyAlignment="1">
      <alignment shrinkToFit="1"/>
    </xf>
    <xf numFmtId="0" fontId="4" fillId="0" borderId="0" xfId="38" applyFont="1"/>
    <xf numFmtId="43" fontId="7" fillId="0" borderId="0" xfId="17" applyFont="1" applyAlignment="1">
      <alignment shrinkToFit="1"/>
    </xf>
    <xf numFmtId="0" fontId="4" fillId="0" borderId="0" xfId="38" applyFont="1" applyAlignment="1">
      <alignment shrinkToFit="1"/>
    </xf>
    <xf numFmtId="43" fontId="4" fillId="0" borderId="0" xfId="17" applyFont="1"/>
    <xf numFmtId="0" fontId="71" fillId="0" borderId="0" xfId="37" applyFont="1"/>
    <xf numFmtId="0" fontId="11" fillId="0" borderId="0" xfId="37" applyFont="1"/>
    <xf numFmtId="0" fontId="73" fillId="0" borderId="0" xfId="37" applyFont="1"/>
    <xf numFmtId="38" fontId="74" fillId="0" borderId="0" xfId="37" applyNumberFormat="1" applyFont="1"/>
    <xf numFmtId="40" fontId="74" fillId="0" borderId="0" xfId="37" applyNumberFormat="1" applyFont="1"/>
    <xf numFmtId="38" fontId="75" fillId="0" borderId="0" xfId="37" applyNumberFormat="1" applyFont="1" applyBorder="1" applyAlignment="1">
      <alignment horizontal="center" vertical="center"/>
    </xf>
    <xf numFmtId="40" fontId="75" fillId="0" borderId="0" xfId="37" applyNumberFormat="1" applyFont="1" applyBorder="1" applyAlignment="1">
      <alignment horizontal="center" vertical="center" wrapText="1"/>
    </xf>
    <xf numFmtId="38" fontId="76" fillId="0" borderId="0" xfId="37" applyNumberFormat="1" applyFont="1" applyBorder="1"/>
    <xf numFmtId="202" fontId="75" fillId="0" borderId="0" xfId="37" applyNumberFormat="1" applyFont="1" applyBorder="1"/>
    <xf numFmtId="38" fontId="75" fillId="0" borderId="0" xfId="37" applyNumberFormat="1" applyFont="1" applyBorder="1"/>
    <xf numFmtId="202" fontId="75" fillId="0" borderId="0" xfId="37" applyNumberFormat="1" applyFont="1" applyBorder="1" applyAlignment="1">
      <alignment shrinkToFit="1"/>
    </xf>
    <xf numFmtId="202" fontId="75" fillId="0" borderId="0" xfId="13" applyNumberFormat="1" applyFont="1" applyBorder="1" applyAlignment="1">
      <alignment shrinkToFit="1"/>
    </xf>
    <xf numFmtId="202" fontId="77" fillId="0" borderId="53" xfId="37" applyNumberFormat="1" applyFont="1" applyBorder="1" applyAlignment="1">
      <alignment shrinkToFit="1"/>
    </xf>
    <xf numFmtId="202" fontId="77" fillId="0" borderId="0" xfId="37" applyNumberFormat="1" applyFont="1" applyBorder="1" applyAlignment="1">
      <alignment shrinkToFit="1"/>
    </xf>
    <xf numFmtId="43" fontId="71" fillId="0" borderId="5" xfId="17" applyFont="1" applyFill="1" applyBorder="1" applyAlignment="1">
      <alignment shrinkToFit="1"/>
    </xf>
    <xf numFmtId="43" fontId="11" fillId="0" borderId="0" xfId="37" applyNumberFormat="1" applyFont="1"/>
    <xf numFmtId="202" fontId="77" fillId="0" borderId="53" xfId="13" applyNumberFormat="1" applyFont="1" applyBorder="1" applyAlignment="1">
      <alignment shrinkToFit="1"/>
    </xf>
    <xf numFmtId="202" fontId="77" fillId="0" borderId="0" xfId="13" applyNumberFormat="1" applyFont="1" applyBorder="1" applyAlignment="1">
      <alignment shrinkToFit="1"/>
    </xf>
    <xf numFmtId="203" fontId="11" fillId="0" borderId="0" xfId="37" applyNumberFormat="1" applyFont="1"/>
    <xf numFmtId="9" fontId="11" fillId="0" borderId="0" xfId="50" applyFont="1"/>
    <xf numFmtId="40" fontId="11" fillId="0" borderId="0" xfId="37" applyNumberFormat="1" applyFont="1"/>
    <xf numFmtId="202" fontId="11" fillId="0" borderId="0" xfId="37" applyNumberFormat="1" applyFont="1"/>
    <xf numFmtId="40" fontId="80" fillId="0" borderId="0" xfId="0" applyNumberFormat="1" applyFont="1" applyAlignment="1">
      <alignment horizontal="center"/>
    </xf>
    <xf numFmtId="40" fontId="80" fillId="0" borderId="0" xfId="0" applyNumberFormat="1" applyFont="1" applyAlignment="1"/>
    <xf numFmtId="0" fontId="81" fillId="0" borderId="0" xfId="0" applyFont="1"/>
    <xf numFmtId="0" fontId="116" fillId="0" borderId="0" xfId="33" applyFont="1"/>
    <xf numFmtId="0" fontId="116" fillId="0" borderId="5" xfId="33" applyFont="1" applyBorder="1"/>
    <xf numFmtId="0" fontId="24" fillId="0" borderId="5" xfId="33" applyFont="1" applyBorder="1" applyAlignment="1">
      <alignment vertical="center" textRotation="90" wrapText="1"/>
    </xf>
    <xf numFmtId="0" fontId="78" fillId="0" borderId="5" xfId="33" applyFont="1" applyBorder="1" applyAlignment="1">
      <alignment horizontal="center" vertical="center" textRotation="90" wrapText="1" shrinkToFit="1"/>
    </xf>
    <xf numFmtId="0" fontId="78" fillId="0" borderId="5" xfId="33" applyFont="1" applyBorder="1" applyAlignment="1">
      <alignment horizontal="center" vertical="center" textRotation="90" shrinkToFit="1"/>
    </xf>
    <xf numFmtId="0" fontId="78" fillId="0" borderId="5" xfId="0" applyFont="1" applyBorder="1" applyAlignment="1">
      <alignment horizontal="center" vertical="center"/>
    </xf>
    <xf numFmtId="0" fontId="78" fillId="0" borderId="5" xfId="33" applyFont="1" applyBorder="1" applyAlignment="1">
      <alignment vertical="center" wrapText="1"/>
    </xf>
    <xf numFmtId="3" fontId="78" fillId="0" borderId="5" xfId="33" applyNumberFormat="1" applyFont="1" applyBorder="1" applyAlignment="1">
      <alignment horizontal="center" vertical="center" shrinkToFit="1"/>
    </xf>
    <xf numFmtId="37" fontId="78" fillId="0" borderId="5" xfId="33" applyNumberFormat="1" applyFont="1" applyBorder="1" applyAlignment="1">
      <alignment horizontal="center" vertical="center" shrinkToFit="1"/>
    </xf>
    <xf numFmtId="0" fontId="24" fillId="0" borderId="5" xfId="33" applyFont="1" applyBorder="1" applyAlignment="1">
      <alignment vertical="center" wrapText="1"/>
    </xf>
    <xf numFmtId="3" fontId="24" fillId="0" borderId="5" xfId="33" applyNumberFormat="1" applyFont="1" applyBorder="1" applyAlignment="1">
      <alignment horizontal="center" vertical="center" shrinkToFit="1"/>
    </xf>
    <xf numFmtId="37" fontId="24" fillId="0" borderId="5" xfId="33" applyNumberFormat="1" applyFont="1" applyBorder="1" applyAlignment="1">
      <alignment horizontal="center" vertical="center" shrinkToFit="1"/>
    </xf>
    <xf numFmtId="0" fontId="116" fillId="0" borderId="0" xfId="33" applyFont="1" applyAlignment="1">
      <alignment vertical="center"/>
    </xf>
    <xf numFmtId="0" fontId="82" fillId="0" borderId="0" xfId="36" applyNumberFormat="1" applyFont="1" applyFill="1" applyBorder="1" applyAlignment="1" applyProtection="1"/>
    <xf numFmtId="0" fontId="11" fillId="0" borderId="0" xfId="39" applyFont="1" applyFill="1"/>
    <xf numFmtId="0" fontId="71" fillId="0" borderId="0" xfId="39" applyFont="1" applyFill="1"/>
    <xf numFmtId="0" fontId="83" fillId="0" borderId="0" xfId="39" applyFont="1" applyFill="1" applyBorder="1"/>
    <xf numFmtId="0" fontId="83" fillId="0" borderId="0" xfId="39" applyFont="1" applyFill="1" applyBorder="1" applyAlignment="1">
      <alignment horizontal="right"/>
    </xf>
    <xf numFmtId="2" fontId="78" fillId="0" borderId="0" xfId="42" applyNumberFormat="1" applyFont="1" applyFill="1" applyBorder="1" applyAlignment="1">
      <alignment wrapText="1"/>
    </xf>
    <xf numFmtId="0" fontId="71" fillId="0" borderId="6" xfId="42" applyFont="1" applyFill="1" applyBorder="1" applyAlignment="1">
      <alignment horizontal="center"/>
    </xf>
    <xf numFmtId="2" fontId="83" fillId="0" borderId="52" xfId="42" applyNumberFormat="1" applyFont="1" applyFill="1" applyBorder="1" applyAlignment="1">
      <alignment horizontal="center" wrapText="1"/>
    </xf>
    <xf numFmtId="0" fontId="71" fillId="0" borderId="27" xfId="42" applyFont="1" applyFill="1" applyBorder="1" applyAlignment="1">
      <alignment horizontal="center" vertical="center" wrapText="1"/>
    </xf>
    <xf numFmtId="0" fontId="71" fillId="0" borderId="54" xfId="42" applyFont="1" applyFill="1" applyBorder="1" applyAlignment="1">
      <alignment horizontal="center"/>
    </xf>
    <xf numFmtId="0" fontId="71" fillId="0" borderId="55" xfId="42" applyFont="1" applyFill="1" applyBorder="1" applyAlignment="1">
      <alignment horizontal="left" wrapText="1"/>
    </xf>
    <xf numFmtId="43" fontId="71" fillId="0" borderId="55" xfId="16" applyFont="1" applyFill="1" applyBorder="1" applyAlignment="1">
      <alignment horizontal="left" shrinkToFit="1"/>
    </xf>
    <xf numFmtId="43" fontId="11" fillId="0" borderId="0" xfId="39" applyNumberFormat="1" applyFont="1" applyFill="1"/>
    <xf numFmtId="0" fontId="11" fillId="0" borderId="50" xfId="42" applyFont="1" applyFill="1" applyBorder="1" applyAlignment="1">
      <alignment horizontal="center"/>
    </xf>
    <xf numFmtId="0" fontId="11" fillId="0" borderId="1" xfId="42" applyFont="1" applyFill="1" applyBorder="1" applyAlignment="1">
      <alignment horizontal="left" wrapText="1"/>
    </xf>
    <xf numFmtId="43" fontId="71" fillId="0" borderId="5" xfId="16" applyFont="1" applyFill="1" applyBorder="1" applyAlignment="1">
      <alignment horizontal="left" shrinkToFit="1"/>
    </xf>
    <xf numFmtId="0" fontId="11" fillId="0" borderId="56" xfId="42" applyFont="1" applyFill="1" applyBorder="1" applyAlignment="1">
      <alignment horizontal="center"/>
    </xf>
    <xf numFmtId="43" fontId="11" fillId="0" borderId="5" xfId="16" applyFont="1" applyFill="1" applyBorder="1" applyAlignment="1">
      <alignment horizontal="left" shrinkToFit="1"/>
    </xf>
    <xf numFmtId="0" fontId="79" fillId="0" borderId="1" xfId="42" applyFont="1" applyFill="1" applyBorder="1" applyAlignment="1">
      <alignment horizontal="left" wrapText="1"/>
    </xf>
    <xf numFmtId="0" fontId="71" fillId="0" borderId="30" xfId="42" applyFont="1" applyFill="1" applyBorder="1" applyAlignment="1">
      <alignment horizontal="center"/>
    </xf>
    <xf numFmtId="0" fontId="71" fillId="0" borderId="1" xfId="42" applyFont="1" applyFill="1" applyBorder="1" applyAlignment="1">
      <alignment horizontal="left" wrapText="1"/>
    </xf>
    <xf numFmtId="0" fontId="11" fillId="0" borderId="11" xfId="42" applyFont="1" applyFill="1" applyBorder="1" applyAlignment="1">
      <alignment horizontal="left" wrapText="1"/>
    </xf>
    <xf numFmtId="0" fontId="11" fillId="0" borderId="29" xfId="42" applyFont="1" applyFill="1" applyBorder="1" applyAlignment="1">
      <alignment horizontal="center"/>
    </xf>
    <xf numFmtId="0" fontId="11" fillId="0" borderId="10" xfId="42" applyFont="1" applyFill="1" applyBorder="1" applyAlignment="1">
      <alignment horizontal="left" wrapText="1"/>
    </xf>
    <xf numFmtId="0" fontId="71" fillId="0" borderId="30" xfId="42" applyFont="1" applyFill="1" applyBorder="1" applyAlignment="1">
      <alignment horizontal="center" vertical="center"/>
    </xf>
    <xf numFmtId="0" fontId="71" fillId="0" borderId="56" xfId="42" applyFont="1" applyFill="1" applyBorder="1" applyAlignment="1">
      <alignment horizontal="center" vertical="center"/>
    </xf>
    <xf numFmtId="0" fontId="11" fillId="0" borderId="1" xfId="42" applyFont="1" applyFill="1" applyBorder="1" applyAlignment="1">
      <alignment horizontal="center" wrapText="1"/>
    </xf>
    <xf numFmtId="0" fontId="71" fillId="0" borderId="50" xfId="42" applyFont="1" applyFill="1" applyBorder="1" applyAlignment="1">
      <alignment horizontal="center"/>
    </xf>
    <xf numFmtId="0" fontId="83" fillId="0" borderId="5" xfId="42" applyFont="1" applyFill="1" applyBorder="1" applyAlignment="1">
      <alignment horizontal="left" wrapText="1"/>
    </xf>
    <xf numFmtId="0" fontId="71" fillId="0" borderId="5" xfId="39" applyFont="1" applyFill="1" applyBorder="1" applyAlignment="1">
      <alignment horizontal="left"/>
    </xf>
    <xf numFmtId="0" fontId="71" fillId="0" borderId="5" xfId="39" applyFont="1" applyFill="1" applyBorder="1"/>
    <xf numFmtId="0" fontId="11" fillId="0" borderId="5" xfId="39" applyFont="1" applyFill="1" applyBorder="1" applyAlignment="1">
      <alignment horizontal="left"/>
    </xf>
    <xf numFmtId="0" fontId="71" fillId="0" borderId="56" xfId="42" applyFont="1" applyFill="1" applyBorder="1" applyAlignment="1">
      <alignment horizontal="center"/>
    </xf>
    <xf numFmtId="0" fontId="71" fillId="0" borderId="5" xfId="42" applyFont="1" applyFill="1" applyBorder="1" applyAlignment="1">
      <alignment horizontal="left" wrapText="1"/>
    </xf>
    <xf numFmtId="0" fontId="71" fillId="0" borderId="29" xfId="42" applyFont="1" applyFill="1" applyBorder="1" applyAlignment="1">
      <alignment horizontal="center"/>
    </xf>
    <xf numFmtId="0" fontId="71" fillId="0" borderId="11" xfId="42" applyFont="1" applyFill="1" applyBorder="1" applyAlignment="1">
      <alignment horizontal="left" wrapText="1"/>
    </xf>
    <xf numFmtId="0" fontId="71" fillId="0" borderId="31" xfId="42" applyFont="1" applyFill="1" applyBorder="1" applyAlignment="1">
      <alignment horizontal="center"/>
    </xf>
    <xf numFmtId="0" fontId="71" fillId="0" borderId="28" xfId="42" applyFont="1" applyFill="1" applyBorder="1" applyAlignment="1">
      <alignment horizontal="left" wrapText="1"/>
    </xf>
    <xf numFmtId="43" fontId="71" fillId="0" borderId="28" xfId="16" applyFont="1" applyFill="1" applyBorder="1" applyAlignment="1">
      <alignment horizontal="left" shrinkToFit="1"/>
    </xf>
    <xf numFmtId="0" fontId="71" fillId="0" borderId="0" xfId="42" applyFont="1" applyFill="1" applyBorder="1" applyAlignment="1">
      <alignment horizontal="center"/>
    </xf>
    <xf numFmtId="0" fontId="71" fillId="0" borderId="0" xfId="42" applyFont="1" applyFill="1" applyBorder="1" applyAlignment="1">
      <alignment horizontal="left" wrapText="1"/>
    </xf>
    <xf numFmtId="0" fontId="71" fillId="0" borderId="0" xfId="42" applyFont="1" applyFill="1" applyBorder="1" applyAlignment="1">
      <alignment horizontal="left"/>
    </xf>
    <xf numFmtId="43" fontId="71" fillId="0" borderId="0" xfId="42" applyNumberFormat="1" applyFont="1" applyFill="1" applyBorder="1" applyAlignment="1">
      <alignment horizontal="left"/>
    </xf>
    <xf numFmtId="40" fontId="80" fillId="0" borderId="0" xfId="39" applyNumberFormat="1" applyFont="1" applyAlignment="1"/>
    <xf numFmtId="0" fontId="11" fillId="0" borderId="6" xfId="42" applyFont="1" applyFill="1" applyBorder="1"/>
    <xf numFmtId="2" fontId="83" fillId="0" borderId="6" xfId="42" applyNumberFormat="1" applyFont="1" applyFill="1" applyBorder="1" applyAlignment="1">
      <alignment horizontal="center" wrapText="1"/>
    </xf>
    <xf numFmtId="0" fontId="71" fillId="0" borderId="6" xfId="42" applyFont="1" applyFill="1" applyBorder="1" applyAlignment="1">
      <alignment horizontal="center" vertical="center" wrapText="1"/>
    </xf>
    <xf numFmtId="0" fontId="71" fillId="0" borderId="57" xfId="42" applyFont="1" applyFill="1" applyBorder="1" applyAlignment="1">
      <alignment horizontal="center"/>
    </xf>
    <xf numFmtId="0" fontId="11" fillId="0" borderId="30" xfId="42" applyFont="1" applyFill="1" applyBorder="1" applyAlignment="1">
      <alignment horizontal="left"/>
    </xf>
    <xf numFmtId="0" fontId="11" fillId="0" borderId="5" xfId="44" applyFont="1" applyFill="1" applyBorder="1" applyAlignment="1">
      <alignment horizontal="left" wrapText="1"/>
    </xf>
    <xf numFmtId="0" fontId="11" fillId="0" borderId="5" xfId="42" applyFont="1" applyFill="1" applyBorder="1" applyAlignment="1">
      <alignment horizontal="left" wrapText="1"/>
    </xf>
    <xf numFmtId="0" fontId="11" fillId="0" borderId="30" xfId="42" applyFont="1" applyFill="1" applyBorder="1" applyAlignment="1">
      <alignment horizontal="center"/>
    </xf>
    <xf numFmtId="0" fontId="11" fillId="0" borderId="5" xfId="42" applyFont="1" applyFill="1" applyBorder="1" applyAlignment="1">
      <alignment horizontal="left"/>
    </xf>
    <xf numFmtId="0" fontId="71" fillId="0" borderId="5" xfId="42" applyFont="1" applyFill="1" applyBorder="1" applyAlignment="1">
      <alignment horizontal="left"/>
    </xf>
    <xf numFmtId="0" fontId="11" fillId="0" borderId="22" xfId="39" applyFont="1" applyFill="1" applyBorder="1"/>
    <xf numFmtId="0" fontId="71" fillId="0" borderId="0" xfId="39" applyFont="1" applyFill="1" applyBorder="1"/>
    <xf numFmtId="0" fontId="71" fillId="0" borderId="30" xfId="42" applyFont="1" applyFill="1" applyBorder="1"/>
    <xf numFmtId="0" fontId="11" fillId="0" borderId="30" xfId="39" applyFont="1" applyFill="1" applyBorder="1"/>
    <xf numFmtId="0" fontId="11" fillId="0" borderId="30" xfId="42" applyFont="1" applyFill="1" applyBorder="1"/>
    <xf numFmtId="0" fontId="11" fillId="0" borderId="31" xfId="42" applyFont="1" applyFill="1" applyBorder="1"/>
    <xf numFmtId="0" fontId="71" fillId="0" borderId="28" xfId="42" applyFont="1" applyFill="1" applyBorder="1" applyAlignment="1">
      <alignment horizontal="left"/>
    </xf>
    <xf numFmtId="0" fontId="11" fillId="0" borderId="28" xfId="42" applyFont="1" applyFill="1" applyBorder="1" applyAlignment="1">
      <alignment horizontal="left"/>
    </xf>
    <xf numFmtId="4" fontId="71" fillId="0" borderId="28" xfId="42" applyNumberFormat="1" applyFont="1" applyFill="1" applyBorder="1" applyAlignment="1">
      <alignment horizontal="center"/>
    </xf>
    <xf numFmtId="0" fontId="11" fillId="0" borderId="0" xfId="42" applyFont="1" applyFill="1" applyBorder="1"/>
    <xf numFmtId="0" fontId="79" fillId="0" borderId="0" xfId="42" applyFont="1" applyFill="1" applyBorder="1" applyAlignment="1">
      <alignment horizontal="left"/>
    </xf>
    <xf numFmtId="0" fontId="11" fillId="0" borderId="0" xfId="42" applyFont="1" applyFill="1" applyBorder="1" applyAlignment="1">
      <alignment horizontal="left"/>
    </xf>
    <xf numFmtId="0" fontId="11" fillId="0" borderId="0" xfId="42" applyFont="1" applyFill="1"/>
    <xf numFmtId="0" fontId="84" fillId="5" borderId="0" xfId="45" applyFont="1" applyFill="1" applyAlignment="1">
      <alignment vertical="center"/>
    </xf>
    <xf numFmtId="193" fontId="65" fillId="0" borderId="0" xfId="23" applyNumberFormat="1" applyFont="1" applyFill="1" applyAlignment="1">
      <alignment horizontal="center" vertical="center"/>
    </xf>
    <xf numFmtId="0" fontId="86" fillId="5" borderId="58" xfId="45" applyFont="1" applyFill="1" applyBorder="1" applyAlignment="1">
      <alignment horizontal="center" vertical="center"/>
    </xf>
    <xf numFmtId="193" fontId="86" fillId="0" borderId="58" xfId="23" applyNumberFormat="1" applyFont="1" applyFill="1" applyBorder="1" applyAlignment="1">
      <alignment horizontal="center" vertical="center"/>
    </xf>
    <xf numFmtId="0" fontId="65" fillId="0" borderId="59" xfId="0" applyFont="1" applyBorder="1" applyAlignment="1">
      <alignment vertical="center"/>
    </xf>
    <xf numFmtId="193" fontId="65" fillId="0" borderId="59" xfId="23" applyNumberFormat="1" applyFont="1" applyFill="1" applyBorder="1" applyAlignment="1">
      <alignment horizontal="center" vertical="center"/>
    </xf>
    <xf numFmtId="0" fontId="86" fillId="6" borderId="59" xfId="0" applyFont="1" applyFill="1" applyBorder="1" applyAlignment="1">
      <alignment horizontal="center" vertical="center"/>
    </xf>
    <xf numFmtId="0" fontId="86" fillId="5" borderId="59" xfId="0" applyFont="1" applyFill="1" applyBorder="1" applyAlignment="1">
      <alignment horizontal="left" vertical="center"/>
    </xf>
    <xf numFmtId="193" fontId="86" fillId="0" borderId="59" xfId="23" applyNumberFormat="1" applyFont="1" applyFill="1" applyBorder="1" applyAlignment="1">
      <alignment horizontal="center" vertical="center"/>
    </xf>
    <xf numFmtId="201" fontId="86" fillId="5" borderId="59" xfId="21" applyNumberFormat="1" applyFont="1" applyFill="1" applyBorder="1" applyAlignment="1">
      <alignment horizontal="right" vertical="center"/>
    </xf>
    <xf numFmtId="0" fontId="86" fillId="5" borderId="59" xfId="45" applyFont="1" applyFill="1" applyBorder="1" applyAlignment="1">
      <alignment horizontal="center" vertical="center"/>
    </xf>
    <xf numFmtId="201" fontId="86" fillId="5" borderId="59" xfId="45" applyNumberFormat="1" applyFont="1" applyFill="1" applyBorder="1" applyAlignment="1">
      <alignment horizontal="right" vertical="center"/>
    </xf>
    <xf numFmtId="4" fontId="65" fillId="0" borderId="0" xfId="0" applyNumberFormat="1" applyFont="1" applyAlignment="1">
      <alignment vertical="center"/>
    </xf>
    <xf numFmtId="0" fontId="86" fillId="6" borderId="60" xfId="45" applyFont="1" applyFill="1" applyBorder="1" applyAlignment="1">
      <alignment horizontal="center" vertical="center"/>
    </xf>
    <xf numFmtId="193" fontId="86" fillId="0" borderId="58" xfId="23" applyNumberFormat="1" applyFont="1" applyFill="1" applyBorder="1" applyAlignment="1">
      <alignment horizontal="center" vertical="center" shrinkToFit="1"/>
    </xf>
    <xf numFmtId="201" fontId="86" fillId="5" borderId="58" xfId="0" applyNumberFormat="1" applyFont="1" applyFill="1" applyBorder="1" applyAlignment="1">
      <alignment horizontal="right" vertical="center"/>
    </xf>
    <xf numFmtId="171" fontId="65" fillId="0" borderId="0" xfId="23" applyFont="1" applyAlignment="1">
      <alignment vertical="center"/>
    </xf>
    <xf numFmtId="0" fontId="65" fillId="0" borderId="58" xfId="0" applyFont="1" applyBorder="1" applyAlignment="1">
      <alignment vertical="center"/>
    </xf>
    <xf numFmtId="0" fontId="66" fillId="5" borderId="0" xfId="45" quotePrefix="1" applyFont="1" applyFill="1" applyBorder="1" applyAlignment="1">
      <alignment horizontal="center" vertical="center"/>
    </xf>
    <xf numFmtId="0" fontId="66" fillId="5" borderId="0" xfId="45" quotePrefix="1" applyFont="1" applyFill="1" applyBorder="1" applyAlignment="1">
      <alignment vertical="center"/>
    </xf>
    <xf numFmtId="0" fontId="65" fillId="0" borderId="0" xfId="33" applyFont="1" applyBorder="1" applyAlignment="1">
      <alignment vertical="center"/>
    </xf>
    <xf numFmtId="193" fontId="86" fillId="0" borderId="0" xfId="23" applyNumberFormat="1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193" fontId="112" fillId="0" borderId="0" xfId="23" applyNumberFormat="1" applyFont="1" applyFill="1" applyAlignment="1">
      <alignment horizontal="center"/>
    </xf>
    <xf numFmtId="0" fontId="65" fillId="0" borderId="0" xfId="33" applyFont="1"/>
    <xf numFmtId="0" fontId="87" fillId="5" borderId="59" xfId="0" applyFont="1" applyFill="1" applyBorder="1"/>
    <xf numFmtId="4" fontId="86" fillId="0" borderId="59" xfId="0" applyNumberFormat="1" applyFont="1" applyFill="1" applyBorder="1" applyAlignment="1">
      <alignment horizontal="right" vertical="center"/>
    </xf>
    <xf numFmtId="194" fontId="86" fillId="0" borderId="59" xfId="23" applyNumberFormat="1" applyFont="1" applyFill="1" applyBorder="1" applyAlignment="1">
      <alignment horizontal="center" vertical="center"/>
    </xf>
    <xf numFmtId="0" fontId="87" fillId="5" borderId="60" xfId="0" applyFont="1" applyFill="1" applyBorder="1"/>
    <xf numFmtId="0" fontId="114" fillId="6" borderId="58" xfId="0" applyFont="1" applyFill="1" applyBorder="1"/>
    <xf numFmtId="0" fontId="114" fillId="6" borderId="25" xfId="0" applyFont="1" applyFill="1" applyBorder="1"/>
    <xf numFmtId="193" fontId="114" fillId="0" borderId="58" xfId="23" applyNumberFormat="1" applyFont="1" applyFill="1" applyBorder="1" applyAlignment="1">
      <alignment horizontal="center"/>
    </xf>
    <xf numFmtId="187" fontId="114" fillId="0" borderId="58" xfId="0" applyNumberFormat="1" applyFont="1" applyFill="1" applyBorder="1"/>
    <xf numFmtId="193" fontId="66" fillId="5" borderId="0" xfId="23" quotePrefix="1" applyNumberFormat="1" applyFont="1" applyFill="1" applyBorder="1" applyAlignment="1">
      <alignment horizontal="center" vertical="center"/>
    </xf>
    <xf numFmtId="187" fontId="65" fillId="0" borderId="0" xfId="0" applyNumberFormat="1" applyFont="1" applyAlignment="1">
      <alignment vertical="center"/>
    </xf>
    <xf numFmtId="0" fontId="65" fillId="0" borderId="59" xfId="0" applyFont="1" applyFill="1" applyBorder="1" applyAlignment="1">
      <alignment vertical="center"/>
    </xf>
    <xf numFmtId="187" fontId="86" fillId="0" borderId="59" xfId="21" applyFont="1" applyFill="1" applyBorder="1" applyAlignment="1">
      <alignment horizontal="right" vertical="center"/>
    </xf>
    <xf numFmtId="201" fontId="86" fillId="0" borderId="58" xfId="0" applyNumberFormat="1" applyFont="1" applyFill="1" applyBorder="1" applyAlignment="1">
      <alignment horizontal="right" vertical="center"/>
    </xf>
    <xf numFmtId="193" fontId="86" fillId="0" borderId="61" xfId="23" applyNumberFormat="1" applyFont="1" applyFill="1" applyBorder="1" applyAlignment="1">
      <alignment horizontal="center" vertical="center"/>
    </xf>
    <xf numFmtId="0" fontId="65" fillId="0" borderId="62" xfId="0" applyFont="1" applyFill="1" applyBorder="1" applyAlignment="1">
      <alignment vertical="center"/>
    </xf>
    <xf numFmtId="0" fontId="65" fillId="6" borderId="0" xfId="0" applyFont="1" applyFill="1" applyAlignment="1">
      <alignment vertical="center" shrinkToFit="1"/>
    </xf>
    <xf numFmtId="193" fontId="65" fillId="6" borderId="0" xfId="23" applyNumberFormat="1" applyFont="1" applyFill="1" applyAlignment="1">
      <alignment horizontal="center" vertical="center"/>
    </xf>
    <xf numFmtId="0" fontId="65" fillId="6" borderId="63" xfId="0" applyFont="1" applyFill="1" applyBorder="1" applyAlignment="1">
      <alignment vertical="center"/>
    </xf>
    <xf numFmtId="0" fontId="65" fillId="6" borderId="59" xfId="0" applyFont="1" applyFill="1" applyBorder="1" applyAlignment="1">
      <alignment vertical="center" shrinkToFit="1"/>
    </xf>
    <xf numFmtId="0" fontId="65" fillId="6" borderId="59" xfId="0" applyFont="1" applyFill="1" applyBorder="1" applyAlignment="1">
      <alignment vertical="center"/>
    </xf>
    <xf numFmtId="0" fontId="86" fillId="6" borderId="59" xfId="0" applyFont="1" applyFill="1" applyBorder="1" applyAlignment="1">
      <alignment horizontal="left" vertical="center" shrinkToFit="1"/>
    </xf>
    <xf numFmtId="193" fontId="87" fillId="0" borderId="59" xfId="23" applyNumberFormat="1" applyFont="1" applyBorder="1" applyAlignment="1">
      <alignment horizontal="center"/>
    </xf>
    <xf numFmtId="4" fontId="86" fillId="6" borderId="59" xfId="0" applyNumberFormat="1" applyFont="1" applyFill="1" applyBorder="1" applyAlignment="1">
      <alignment horizontal="right" vertical="center" shrinkToFit="1"/>
    </xf>
    <xf numFmtId="0" fontId="86" fillId="6" borderId="59" xfId="45" applyFont="1" applyFill="1" applyBorder="1" applyAlignment="1">
      <alignment horizontal="center" vertical="center"/>
    </xf>
    <xf numFmtId="0" fontId="86" fillId="6" borderId="59" xfId="0" applyFont="1" applyFill="1" applyBorder="1" applyAlignment="1">
      <alignment horizontal="center" vertical="center" shrinkToFit="1"/>
    </xf>
    <xf numFmtId="193" fontId="86" fillId="6" borderId="59" xfId="23" applyNumberFormat="1" applyFont="1" applyFill="1" applyBorder="1" applyAlignment="1">
      <alignment horizontal="center" vertical="center" shrinkToFit="1"/>
    </xf>
    <xf numFmtId="193" fontId="86" fillId="6" borderId="58" xfId="23" applyNumberFormat="1" applyFont="1" applyFill="1" applyBorder="1" applyAlignment="1">
      <alignment horizontal="center" vertical="center"/>
    </xf>
    <xf numFmtId="4" fontId="86" fillId="6" borderId="58" xfId="0" applyNumberFormat="1" applyFont="1" applyFill="1" applyBorder="1" applyAlignment="1">
      <alignment horizontal="right" vertical="center" shrinkToFit="1"/>
    </xf>
    <xf numFmtId="4" fontId="86" fillId="6" borderId="0" xfId="0" applyNumberFormat="1" applyFont="1" applyFill="1" applyBorder="1" applyAlignment="1">
      <alignment horizontal="right" vertical="center" shrinkToFit="1"/>
    </xf>
    <xf numFmtId="193" fontId="65" fillId="0" borderId="0" xfId="23" applyNumberFormat="1" applyFont="1" applyFill="1" applyAlignment="1">
      <alignment horizontal="center"/>
    </xf>
    <xf numFmtId="0" fontId="65" fillId="0" borderId="0" xfId="33" applyFont="1" applyFill="1"/>
    <xf numFmtId="4" fontId="65" fillId="0" borderId="0" xfId="33" applyNumberFormat="1" applyFont="1"/>
    <xf numFmtId="193" fontId="86" fillId="0" borderId="59" xfId="23" applyNumberFormat="1" applyFont="1" applyFill="1" applyBorder="1" applyAlignment="1">
      <alignment horizontal="center" vertical="center" shrinkToFit="1"/>
    </xf>
    <xf numFmtId="0" fontId="86" fillId="6" borderId="0" xfId="45" applyFont="1" applyFill="1" applyBorder="1" applyAlignment="1">
      <alignment horizontal="center" vertical="center"/>
    </xf>
    <xf numFmtId="193" fontId="86" fillId="6" borderId="0" xfId="23" applyNumberFormat="1" applyFont="1" applyFill="1" applyBorder="1" applyAlignment="1">
      <alignment horizontal="center" vertical="center"/>
    </xf>
    <xf numFmtId="193" fontId="65" fillId="0" borderId="0" xfId="23" applyNumberFormat="1" applyFont="1" applyAlignment="1">
      <alignment horizontal="center" vertical="center"/>
    </xf>
    <xf numFmtId="201" fontId="86" fillId="0" borderId="59" xfId="0" applyNumberFormat="1" applyFont="1" applyFill="1" applyBorder="1" applyAlignment="1">
      <alignment horizontal="right" vertical="center"/>
    </xf>
    <xf numFmtId="171" fontId="86" fillId="0" borderId="59" xfId="23" applyFont="1" applyFill="1" applyBorder="1" applyAlignment="1">
      <alignment horizontal="right" vertical="center"/>
    </xf>
    <xf numFmtId="195" fontId="65" fillId="0" borderId="0" xfId="0" applyNumberFormat="1" applyFont="1" applyAlignment="1">
      <alignment vertical="center"/>
    </xf>
    <xf numFmtId="43" fontId="65" fillId="0" borderId="0" xfId="0" applyNumberFormat="1" applyFont="1" applyAlignment="1">
      <alignment vertical="center"/>
    </xf>
    <xf numFmtId="0" fontId="86" fillId="0" borderId="59" xfId="0" applyFont="1" applyBorder="1" applyAlignment="1">
      <alignment vertical="center"/>
    </xf>
    <xf numFmtId="0" fontId="86" fillId="6" borderId="59" xfId="33" applyFont="1" applyFill="1" applyBorder="1" applyAlignment="1">
      <alignment horizontal="center" vertical="center"/>
    </xf>
    <xf numFmtId="0" fontId="86" fillId="5" borderId="59" xfId="33" applyFont="1" applyFill="1" applyBorder="1" applyAlignment="1">
      <alignment vertical="center" shrinkToFit="1"/>
    </xf>
    <xf numFmtId="0" fontId="86" fillId="5" borderId="59" xfId="45" applyFont="1" applyFill="1" applyBorder="1" applyAlignment="1">
      <alignment vertical="center" shrinkToFit="1"/>
    </xf>
    <xf numFmtId="0" fontId="86" fillId="0" borderId="59" xfId="33" applyFont="1" applyBorder="1" applyAlignment="1">
      <alignment vertical="center" shrinkToFit="1"/>
    </xf>
    <xf numFmtId="0" fontId="86" fillId="6" borderId="60" xfId="0" applyFont="1" applyFill="1" applyBorder="1" applyAlignment="1">
      <alignment horizontal="center" vertical="center"/>
    </xf>
    <xf numFmtId="201" fontId="86" fillId="0" borderId="0" xfId="0" applyNumberFormat="1" applyFont="1" applyFill="1" applyBorder="1" applyAlignment="1">
      <alignment horizontal="right" vertical="center"/>
    </xf>
    <xf numFmtId="201" fontId="65" fillId="0" borderId="0" xfId="0" applyNumberFormat="1" applyFont="1" applyFill="1" applyAlignment="1">
      <alignment vertical="center"/>
    </xf>
    <xf numFmtId="193" fontId="113" fillId="6" borderId="0" xfId="23" applyNumberFormat="1" applyFont="1" applyFill="1" applyAlignment="1">
      <alignment horizontal="center"/>
    </xf>
    <xf numFmtId="0" fontId="113" fillId="6" borderId="63" xfId="0" applyFont="1" applyFill="1" applyBorder="1"/>
    <xf numFmtId="0" fontId="117" fillId="6" borderId="17" xfId="0" applyFont="1" applyFill="1" applyBorder="1"/>
    <xf numFmtId="193" fontId="117" fillId="6" borderId="63" xfId="23" applyNumberFormat="1" applyFont="1" applyFill="1" applyBorder="1" applyAlignment="1">
      <alignment horizontal="center"/>
    </xf>
    <xf numFmtId="187" fontId="117" fillId="0" borderId="18" xfId="21" applyFont="1" applyFill="1" applyBorder="1" applyAlignment="1"/>
    <xf numFmtId="0" fontId="117" fillId="6" borderId="59" xfId="0" applyFont="1" applyFill="1" applyBorder="1"/>
    <xf numFmtId="0" fontId="86" fillId="5" borderId="22" xfId="0" applyFont="1" applyFill="1" applyBorder="1" applyAlignment="1">
      <alignment horizontal="left" vertical="center"/>
    </xf>
    <xf numFmtId="193" fontId="86" fillId="6" borderId="59" xfId="23" applyNumberFormat="1" applyFont="1" applyFill="1" applyBorder="1" applyAlignment="1">
      <alignment horizontal="center" vertical="center"/>
    </xf>
    <xf numFmtId="43" fontId="86" fillId="0" borderId="59" xfId="20" applyNumberFormat="1" applyFont="1" applyFill="1" applyBorder="1" applyAlignment="1">
      <alignment horizontal="center" vertical="center"/>
    </xf>
    <xf numFmtId="43" fontId="65" fillId="0" borderId="0" xfId="33" applyNumberFormat="1" applyFont="1"/>
    <xf numFmtId="0" fontId="86" fillId="5" borderId="0" xfId="0" applyFont="1" applyFill="1" applyBorder="1" applyAlignment="1">
      <alignment horizontal="left" vertical="center"/>
    </xf>
    <xf numFmtId="0" fontId="117" fillId="6" borderId="60" xfId="0" applyFont="1" applyFill="1" applyBorder="1"/>
    <xf numFmtId="0" fontId="117" fillId="6" borderId="58" xfId="0" applyFont="1" applyFill="1" applyBorder="1"/>
    <xf numFmtId="0" fontId="117" fillId="6" borderId="25" xfId="0" applyFont="1" applyFill="1" applyBorder="1"/>
    <xf numFmtId="193" fontId="117" fillId="6" borderId="58" xfId="23" applyNumberFormat="1" applyFont="1" applyFill="1" applyBorder="1" applyAlignment="1">
      <alignment horizontal="center"/>
    </xf>
    <xf numFmtId="187" fontId="117" fillId="0" borderId="58" xfId="0" applyNumberFormat="1" applyFont="1" applyFill="1" applyBorder="1" applyAlignment="1"/>
    <xf numFmtId="193" fontId="65" fillId="0" borderId="0" xfId="33" applyNumberFormat="1" applyFont="1"/>
    <xf numFmtId="0" fontId="65" fillId="0" borderId="24" xfId="33" applyFont="1" applyBorder="1"/>
    <xf numFmtId="0" fontId="65" fillId="0" borderId="25" xfId="33" applyFont="1" applyBorder="1"/>
    <xf numFmtId="193" fontId="86" fillId="0" borderId="24" xfId="23" applyNumberFormat="1" applyFont="1" applyFill="1" applyBorder="1" applyAlignment="1">
      <alignment horizontal="center"/>
    </xf>
    <xf numFmtId="201" fontId="86" fillId="0" borderId="58" xfId="33" applyNumberFormat="1" applyFont="1" applyFill="1" applyBorder="1"/>
    <xf numFmtId="193" fontId="114" fillId="0" borderId="0" xfId="23" applyNumberFormat="1" applyFont="1" applyFill="1" applyBorder="1" applyAlignment="1">
      <alignment horizontal="center"/>
    </xf>
    <xf numFmtId="171" fontId="25" fillId="0" borderId="5" xfId="6" applyNumberFormat="1" applyFont="1" applyBorder="1" applyAlignment="1">
      <alignment horizontal="center"/>
    </xf>
    <xf numFmtId="49" fontId="0" fillId="0" borderId="0" xfId="0" applyNumberFormat="1"/>
    <xf numFmtId="171" fontId="25" fillId="0" borderId="5" xfId="6" applyNumberFormat="1" applyFont="1" applyFill="1" applyBorder="1"/>
    <xf numFmtId="40" fontId="19" fillId="0" borderId="5" xfId="6" applyNumberFormat="1" applyFont="1" applyBorder="1" applyAlignment="1"/>
    <xf numFmtId="40" fontId="19" fillId="0" borderId="5" xfId="6" applyNumberFormat="1" applyFont="1" applyBorder="1"/>
    <xf numFmtId="171" fontId="0" fillId="0" borderId="0" xfId="0" applyNumberFormat="1"/>
    <xf numFmtId="39" fontId="25" fillId="0" borderId="5" xfId="6" applyNumberFormat="1" applyFont="1" applyBorder="1"/>
    <xf numFmtId="43" fontId="25" fillId="0" borderId="5" xfId="6" applyFont="1" applyFill="1" applyBorder="1" applyAlignment="1">
      <alignment horizontal="right"/>
    </xf>
    <xf numFmtId="43" fontId="25" fillId="0" borderId="5" xfId="6" applyFont="1" applyBorder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/>
    <xf numFmtId="171" fontId="19" fillId="0" borderId="5" xfId="6" applyNumberFormat="1" applyFont="1" applyBorder="1" applyAlignment="1">
      <alignment horizontal="center"/>
    </xf>
    <xf numFmtId="43" fontId="19" fillId="0" borderId="5" xfId="6" applyFont="1" applyBorder="1" applyAlignment="1">
      <alignment horizontal="left"/>
    </xf>
    <xf numFmtId="171" fontId="25" fillId="0" borderId="5" xfId="6" applyNumberFormat="1" applyFont="1" applyFill="1" applyBorder="1" applyAlignment="1">
      <alignment horizontal="center"/>
    </xf>
    <xf numFmtId="171" fontId="0" fillId="0" borderId="0" xfId="6" applyNumberFormat="1" applyFont="1"/>
    <xf numFmtId="171" fontId="44" fillId="0" borderId="0" xfId="6" applyNumberFormat="1" applyFont="1" applyAlignment="1">
      <alignment horizontal="center"/>
    </xf>
    <xf numFmtId="171" fontId="2" fillId="7" borderId="0" xfId="6" applyNumberFormat="1" applyFont="1" applyFill="1" applyAlignment="1">
      <alignment shrinkToFit="1"/>
    </xf>
    <xf numFmtId="171" fontId="2" fillId="8" borderId="0" xfId="6" applyNumberFormat="1" applyFont="1" applyFill="1" applyAlignment="1">
      <alignment shrinkToFit="1"/>
    </xf>
    <xf numFmtId="171" fontId="2" fillId="0" borderId="0" xfId="6" applyNumberFormat="1" applyFont="1" applyFill="1" applyAlignment="1">
      <alignment shrinkToFit="1"/>
    </xf>
    <xf numFmtId="171" fontId="2" fillId="0" borderId="0" xfId="6" applyNumberFormat="1" applyFont="1" applyAlignment="1">
      <alignment shrinkToFit="1"/>
    </xf>
    <xf numFmtId="171" fontId="0" fillId="0" borderId="0" xfId="6" applyNumberFormat="1" applyFont="1" applyAlignment="1">
      <alignment shrinkToFit="1"/>
    </xf>
    <xf numFmtId="171" fontId="7" fillId="0" borderId="0" xfId="6" applyNumberFormat="1" applyFont="1"/>
    <xf numFmtId="0" fontId="88" fillId="0" borderId="0" xfId="0" applyFont="1" applyFill="1"/>
    <xf numFmtId="171" fontId="4" fillId="0" borderId="0" xfId="6" applyNumberFormat="1" applyFont="1" applyFill="1"/>
    <xf numFmtId="171" fontId="0" fillId="0" borderId="0" xfId="6" applyNumberFormat="1" applyFont="1" applyFill="1"/>
    <xf numFmtId="43" fontId="4" fillId="0" borderId="0" xfId="6" applyFont="1" applyFill="1" applyAlignment="1">
      <alignment shrinkToFit="1"/>
    </xf>
    <xf numFmtId="39" fontId="4" fillId="0" borderId="0" xfId="6" applyNumberFormat="1" applyFont="1" applyFill="1" applyBorder="1" applyAlignment="1">
      <alignment horizontal="center" shrinkToFit="1"/>
    </xf>
    <xf numFmtId="43" fontId="0" fillId="0" borderId="0" xfId="0" applyNumberFormat="1" applyAlignment="1">
      <alignment horizontal="center"/>
    </xf>
    <xf numFmtId="44" fontId="4" fillId="0" borderId="0" xfId="28" applyFont="1" applyFill="1" applyAlignment="1">
      <alignment shrinkToFit="1"/>
    </xf>
    <xf numFmtId="171" fontId="0" fillId="0" borderId="0" xfId="6" applyNumberFormat="1" applyFont="1" applyBorder="1" applyAlignment="1">
      <alignment horizontal="right"/>
    </xf>
    <xf numFmtId="0" fontId="89" fillId="9" borderId="0" xfId="0" applyFont="1" applyFill="1"/>
    <xf numFmtId="171" fontId="89" fillId="9" borderId="0" xfId="6" applyNumberFormat="1" applyFont="1" applyFill="1" applyAlignment="1">
      <alignment shrinkToFit="1"/>
    </xf>
    <xf numFmtId="0" fontId="89" fillId="0" borderId="0" xfId="0" applyFont="1"/>
    <xf numFmtId="0" fontId="115" fillId="0" borderId="0" xfId="38" applyFont="1" applyFill="1" applyAlignment="1">
      <alignment shrinkToFit="1"/>
    </xf>
    <xf numFmtId="14" fontId="0" fillId="0" borderId="30" xfId="0" applyNumberFormat="1" applyFill="1" applyBorder="1" applyAlignment="1">
      <alignment shrinkToFit="1"/>
    </xf>
    <xf numFmtId="0" fontId="0" fillId="0" borderId="5" xfId="0" applyFill="1" applyBorder="1" applyAlignment="1">
      <alignment shrinkToFit="1"/>
    </xf>
    <xf numFmtId="171" fontId="93" fillId="10" borderId="5" xfId="1" applyFont="1" applyFill="1" applyBorder="1" applyAlignment="1">
      <alignment shrinkToFit="1"/>
    </xf>
    <xf numFmtId="171" fontId="0" fillId="0" borderId="5" xfId="1" applyFont="1" applyFill="1" applyBorder="1" applyAlignment="1">
      <alignment shrinkToFit="1"/>
    </xf>
    <xf numFmtId="171" fontId="103" fillId="0" borderId="5" xfId="1" applyFont="1" applyFill="1" applyBorder="1" applyAlignment="1">
      <alignment shrinkToFit="1"/>
    </xf>
    <xf numFmtId="171" fontId="0" fillId="0" borderId="48" xfId="1" applyFont="1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0" borderId="3" xfId="0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171" fontId="4" fillId="10" borderId="5" xfId="1" applyFont="1" applyFill="1" applyBorder="1" applyAlignment="1">
      <alignment shrinkToFit="1"/>
    </xf>
    <xf numFmtId="14" fontId="4" fillId="0" borderId="30" xfId="0" applyNumberFormat="1" applyFont="1" applyFill="1" applyBorder="1" applyAlignment="1">
      <alignment shrinkToFit="1"/>
    </xf>
    <xf numFmtId="171" fontId="7" fillId="0" borderId="0" xfId="38" applyNumberFormat="1" applyFont="1" applyFill="1" applyAlignment="1">
      <alignment shrinkToFit="1"/>
    </xf>
    <xf numFmtId="171" fontId="105" fillId="0" borderId="0" xfId="38" applyNumberFormat="1" applyFont="1" applyFill="1" applyAlignment="1">
      <alignment shrinkToFit="1"/>
    </xf>
    <xf numFmtId="0" fontId="109" fillId="0" borderId="0" xfId="38" applyFont="1" applyAlignment="1">
      <alignment shrinkToFit="1"/>
    </xf>
    <xf numFmtId="171" fontId="105" fillId="0" borderId="0" xfId="38" applyNumberFormat="1" applyFont="1" applyAlignment="1">
      <alignment shrinkToFit="1"/>
    </xf>
    <xf numFmtId="0" fontId="105" fillId="0" borderId="0" xfId="38" applyFont="1" applyAlignment="1">
      <alignment shrinkToFit="1"/>
    </xf>
    <xf numFmtId="43" fontId="7" fillId="10" borderId="0" xfId="38" applyNumberFormat="1" applyFont="1" applyFill="1" applyAlignment="1">
      <alignment shrinkToFit="1"/>
    </xf>
    <xf numFmtId="43" fontId="4" fillId="0" borderId="0" xfId="17" applyFont="1" applyAlignment="1">
      <alignment shrinkToFit="1"/>
    </xf>
    <xf numFmtId="41" fontId="7" fillId="0" borderId="0" xfId="4" applyFont="1" applyAlignment="1">
      <alignment horizontal="center" wrapText="1"/>
    </xf>
    <xf numFmtId="0" fontId="4" fillId="0" borderId="6" xfId="38" applyFont="1" applyBorder="1" applyAlignment="1">
      <alignment horizontal="center"/>
    </xf>
    <xf numFmtId="41" fontId="4" fillId="0" borderId="6" xfId="4" applyFont="1" applyBorder="1" applyAlignment="1">
      <alignment horizontal="center" vertical="center" wrapText="1"/>
    </xf>
    <xf numFmtId="41" fontId="4" fillId="0" borderId="0" xfId="4" applyFont="1" applyBorder="1" applyAlignment="1">
      <alignment horizontal="center" vertical="center" wrapText="1"/>
    </xf>
    <xf numFmtId="0" fontId="4" fillId="0" borderId="27" xfId="38" applyFont="1" applyBorder="1" applyAlignment="1">
      <alignment horizontal="center"/>
    </xf>
    <xf numFmtId="41" fontId="4" fillId="0" borderId="4" xfId="4" applyFont="1" applyBorder="1" applyAlignment="1">
      <alignment horizontal="center" vertical="center" wrapText="1"/>
    </xf>
    <xf numFmtId="41" fontId="4" fillId="0" borderId="6" xfId="4" applyFont="1" applyBorder="1" applyAlignment="1">
      <alignment horizontal="center" vertical="center"/>
    </xf>
    <xf numFmtId="0" fontId="7" fillId="0" borderId="5" xfId="38" applyFont="1" applyBorder="1"/>
    <xf numFmtId="43" fontId="7" fillId="0" borderId="5" xfId="17" applyFont="1" applyBorder="1" applyAlignment="1">
      <alignment shrinkToFit="1"/>
    </xf>
    <xf numFmtId="41" fontId="7" fillId="0" borderId="0" xfId="4" applyFont="1" applyBorder="1" applyAlignment="1">
      <alignment shrinkToFit="1"/>
    </xf>
    <xf numFmtId="43" fontId="90" fillId="0" borderId="0" xfId="38" applyNumberFormat="1" applyFont="1"/>
    <xf numFmtId="43" fontId="7" fillId="0" borderId="0" xfId="38" applyNumberFormat="1" applyFont="1"/>
    <xf numFmtId="0" fontId="4" fillId="0" borderId="5" xfId="38" applyFont="1" applyBorder="1"/>
    <xf numFmtId="43" fontId="4" fillId="0" borderId="5" xfId="17" applyFont="1" applyBorder="1" applyAlignment="1">
      <alignment shrinkToFit="1"/>
    </xf>
    <xf numFmtId="41" fontId="4" fillId="0" borderId="0" xfId="4" applyFont="1" applyBorder="1" applyAlignment="1">
      <alignment shrinkToFit="1"/>
    </xf>
    <xf numFmtId="43" fontId="4" fillId="0" borderId="0" xfId="38" applyNumberFormat="1" applyFont="1"/>
    <xf numFmtId="0" fontId="4" fillId="0" borderId="7" xfId="38" applyFont="1" applyBorder="1" applyAlignment="1">
      <alignment wrapText="1"/>
    </xf>
    <xf numFmtId="43" fontId="4" fillId="0" borderId="6" xfId="17" applyFont="1" applyBorder="1" applyAlignment="1">
      <alignment shrinkToFit="1"/>
    </xf>
    <xf numFmtId="0" fontId="4" fillId="0" borderId="6" xfId="38" applyFont="1" applyBorder="1" applyAlignment="1">
      <alignment wrapText="1"/>
    </xf>
    <xf numFmtId="0" fontId="7" fillId="0" borderId="27" xfId="38" applyFont="1" applyBorder="1"/>
    <xf numFmtId="43" fontId="7" fillId="0" borderId="52" xfId="17" applyFont="1" applyBorder="1" applyAlignment="1">
      <alignment shrinkToFit="1"/>
    </xf>
    <xf numFmtId="43" fontId="91" fillId="0" borderId="0" xfId="38" applyNumberFormat="1" applyFont="1"/>
    <xf numFmtId="43" fontId="4" fillId="0" borderId="0" xfId="17" applyFont="1" applyBorder="1" applyAlignment="1">
      <alignment shrinkToFit="1"/>
    </xf>
    <xf numFmtId="0" fontId="4" fillId="0" borderId="30" xfId="38" applyFont="1" applyFill="1" applyBorder="1" applyAlignment="1">
      <alignment shrinkToFit="1"/>
    </xf>
    <xf numFmtId="43" fontId="8" fillId="0" borderId="5" xfId="17" applyFont="1" applyBorder="1" applyAlignment="1">
      <alignment shrinkToFit="1"/>
    </xf>
    <xf numFmtId="43" fontId="4" fillId="0" borderId="1" xfId="17" applyFont="1" applyBorder="1" applyAlignment="1">
      <alignment shrinkToFit="1"/>
    </xf>
    <xf numFmtId="43" fontId="92" fillId="0" borderId="0" xfId="38" applyNumberFormat="1" applyFont="1"/>
    <xf numFmtId="0" fontId="57" fillId="0" borderId="0" xfId="38" applyFont="1" applyFill="1" applyBorder="1"/>
    <xf numFmtId="0" fontId="57" fillId="0" borderId="0" xfId="38" applyFont="1" applyAlignment="1">
      <alignment shrinkToFit="1"/>
    </xf>
    <xf numFmtId="0" fontId="57" fillId="0" borderId="0" xfId="38" applyFont="1"/>
    <xf numFmtId="43" fontId="57" fillId="0" borderId="0" xfId="17" applyFont="1" applyAlignment="1">
      <alignment shrinkToFit="1"/>
    </xf>
    <xf numFmtId="43" fontId="4" fillId="0" borderId="0" xfId="38" applyNumberFormat="1" applyFont="1" applyAlignment="1">
      <alignment shrinkToFit="1"/>
    </xf>
    <xf numFmtId="41" fontId="4" fillId="0" borderId="0" xfId="38" applyNumberFormat="1" applyFont="1"/>
    <xf numFmtId="171" fontId="4" fillId="0" borderId="5" xfId="1" applyFont="1" applyFill="1" applyBorder="1" applyAlignment="1">
      <alignment shrinkToFit="1"/>
    </xf>
    <xf numFmtId="171" fontId="118" fillId="0" borderId="5" xfId="1" applyFont="1" applyFill="1" applyBorder="1" applyAlignment="1">
      <alignment shrinkToFit="1"/>
    </xf>
    <xf numFmtId="171" fontId="4" fillId="0" borderId="48" xfId="1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Fill="1" applyAlignment="1">
      <alignment shrinkToFit="1"/>
    </xf>
    <xf numFmtId="0" fontId="4" fillId="0" borderId="0" xfId="38" applyFont="1" applyFill="1" applyBorder="1" applyAlignment="1">
      <alignment shrinkToFit="1"/>
    </xf>
    <xf numFmtId="0" fontId="4" fillId="0" borderId="0" xfId="38" applyFont="1" applyFill="1"/>
    <xf numFmtId="202" fontId="4" fillId="0" borderId="0" xfId="22" applyNumberFormat="1" applyFont="1"/>
    <xf numFmtId="0" fontId="4" fillId="0" borderId="0" xfId="38" applyFont="1" applyBorder="1" applyAlignment="1">
      <alignment shrinkToFit="1"/>
    </xf>
    <xf numFmtId="0" fontId="36" fillId="0" borderId="0" xfId="38" applyFont="1"/>
    <xf numFmtId="171" fontId="4" fillId="0" borderId="0" xfId="38" applyNumberFormat="1" applyFont="1" applyAlignment="1">
      <alignment shrinkToFit="1"/>
    </xf>
    <xf numFmtId="0" fontId="0" fillId="0" borderId="64" xfId="0" applyFill="1" applyBorder="1" applyAlignment="1">
      <alignment shrinkToFit="1"/>
    </xf>
    <xf numFmtId="14" fontId="0" fillId="0" borderId="31" xfId="0" applyNumberFormat="1" applyFill="1" applyBorder="1" applyAlignment="1">
      <alignment shrinkToFit="1"/>
    </xf>
    <xf numFmtId="0" fontId="0" fillId="0" borderId="28" xfId="0" applyFill="1" applyBorder="1" applyAlignment="1">
      <alignment shrinkToFit="1"/>
    </xf>
    <xf numFmtId="171" fontId="0" fillId="0" borderId="28" xfId="1" applyFont="1" applyFill="1" applyBorder="1" applyAlignment="1">
      <alignment shrinkToFit="1"/>
    </xf>
    <xf numFmtId="171" fontId="103" fillId="0" borderId="28" xfId="1" applyFont="1" applyFill="1" applyBorder="1" applyAlignment="1">
      <alignment shrinkToFit="1"/>
    </xf>
    <xf numFmtId="171" fontId="0" fillId="0" borderId="32" xfId="1" applyFont="1" applyFill="1" applyBorder="1" applyAlignment="1">
      <alignment shrinkToFit="1"/>
    </xf>
    <xf numFmtId="171" fontId="0" fillId="0" borderId="0" xfId="1" applyFont="1" applyFill="1" applyBorder="1" applyAlignment="1">
      <alignment shrinkToFit="1"/>
    </xf>
    <xf numFmtId="14" fontId="0" fillId="0" borderId="0" xfId="0" applyNumberFormat="1" applyFill="1" applyBorder="1" applyAlignment="1">
      <alignment shrinkToFit="1"/>
    </xf>
    <xf numFmtId="171" fontId="103" fillId="0" borderId="0" xfId="1" applyFont="1" applyFill="1" applyBorder="1" applyAlignment="1">
      <alignment shrinkToFit="1"/>
    </xf>
    <xf numFmtId="43" fontId="7" fillId="0" borderId="0" xfId="38" applyNumberFormat="1" applyFont="1" applyAlignment="1">
      <alignment shrinkToFit="1"/>
    </xf>
    <xf numFmtId="171" fontId="7" fillId="0" borderId="0" xfId="38" applyNumberFormat="1" applyFont="1" applyAlignment="1">
      <alignment shrinkToFit="1"/>
    </xf>
    <xf numFmtId="171" fontId="93" fillId="10" borderId="28" xfId="1" applyFont="1" applyFill="1" applyBorder="1" applyAlignment="1">
      <alignment shrinkToFit="1"/>
    </xf>
    <xf numFmtId="196" fontId="0" fillId="0" borderId="0" xfId="0" applyNumberFormat="1"/>
    <xf numFmtId="196" fontId="0" fillId="11" borderId="0" xfId="0" applyNumberFormat="1" applyFill="1"/>
    <xf numFmtId="14" fontId="4" fillId="0" borderId="0" xfId="0" applyNumberFormat="1" applyFont="1" applyFill="1" applyBorder="1" applyAlignment="1">
      <alignment shrinkToFit="1"/>
    </xf>
    <xf numFmtId="171" fontId="4" fillId="10" borderId="0" xfId="1" applyFont="1" applyFill="1" applyBorder="1" applyAlignment="1">
      <alignment shrinkToFit="1"/>
    </xf>
    <xf numFmtId="171" fontId="4" fillId="0" borderId="0" xfId="1" applyFont="1" applyFill="1" applyBorder="1" applyAlignment="1">
      <alignment shrinkToFit="1"/>
    </xf>
    <xf numFmtId="171" fontId="118" fillId="0" borderId="0" xfId="1" applyFont="1" applyFill="1" applyBorder="1" applyAlignment="1">
      <alignment shrinkToFit="1"/>
    </xf>
    <xf numFmtId="0" fontId="0" fillId="0" borderId="0" xfId="1" applyNumberFormat="1" applyFont="1" applyAlignment="1">
      <alignment shrinkToFit="1"/>
    </xf>
    <xf numFmtId="0" fontId="30" fillId="0" borderId="0" xfId="1" applyNumberFormat="1" applyFont="1" applyAlignment="1">
      <alignment shrinkToFit="1"/>
    </xf>
    <xf numFmtId="196" fontId="30" fillId="0" borderId="0" xfId="0" applyNumberFormat="1" applyFont="1" applyAlignment="1">
      <alignment shrinkToFit="1"/>
    </xf>
    <xf numFmtId="0" fontId="30" fillId="0" borderId="0" xfId="0" applyFont="1" applyAlignment="1">
      <alignment shrinkToFit="1"/>
    </xf>
    <xf numFmtId="43" fontId="30" fillId="0" borderId="0" xfId="0" applyNumberFormat="1" applyFont="1" applyAlignment="1">
      <alignment shrinkToFit="1"/>
    </xf>
    <xf numFmtId="0" fontId="94" fillId="0" borderId="0" xfId="0" applyFont="1"/>
    <xf numFmtId="0" fontId="4" fillId="0" borderId="0" xfId="0" applyNumberFormat="1" applyFont="1" applyBorder="1"/>
    <xf numFmtId="193" fontId="7" fillId="0" borderId="5" xfId="19" applyNumberFormat="1" applyFont="1" applyBorder="1" applyAlignment="1">
      <alignment horizontal="center" vertical="center" shrinkToFit="1"/>
    </xf>
    <xf numFmtId="194" fontId="7" fillId="0" borderId="5" xfId="19" applyNumberFormat="1" applyFont="1" applyBorder="1" applyAlignment="1">
      <alignment horizontal="center" vertical="center" shrinkToFit="1"/>
    </xf>
    <xf numFmtId="194" fontId="4" fillId="0" borderId="5" xfId="19" applyNumberFormat="1" applyFont="1" applyBorder="1" applyAlignment="1">
      <alignment horizontal="center" vertical="center" shrinkToFit="1"/>
    </xf>
    <xf numFmtId="193" fontId="4" fillId="0" borderId="5" xfId="19" applyNumberFormat="1" applyFont="1" applyBorder="1" applyAlignment="1">
      <alignment horizontal="center" vertical="center" shrinkToFit="1"/>
    </xf>
    <xf numFmtId="193" fontId="7" fillId="0" borderId="5" xfId="1" applyNumberFormat="1" applyFont="1" applyBorder="1" applyAlignment="1">
      <alignment horizontal="center" vertical="center" shrinkToFit="1"/>
    </xf>
    <xf numFmtId="193" fontId="4" fillId="0" borderId="5" xfId="1" applyNumberFormat="1" applyFont="1" applyBorder="1" applyAlignment="1">
      <alignment horizontal="center" vertical="center" shrinkToFit="1"/>
    </xf>
    <xf numFmtId="194" fontId="7" fillId="0" borderId="5" xfId="1" applyNumberFormat="1" applyFont="1" applyBorder="1" applyAlignment="1">
      <alignment horizontal="center" vertical="center" shrinkToFit="1"/>
    </xf>
    <xf numFmtId="195" fontId="4" fillId="0" borderId="0" xfId="0" applyNumberFormat="1" applyFont="1" applyAlignment="1">
      <alignment vertical="center"/>
    </xf>
    <xf numFmtId="3" fontId="4" fillId="0" borderId="5" xfId="0" applyNumberFormat="1" applyFont="1" applyFill="1" applyBorder="1" applyAlignment="1">
      <alignment vertical="center" shrinkToFit="1"/>
    </xf>
    <xf numFmtId="37" fontId="4" fillId="0" borderId="5" xfId="0" applyNumberFormat="1" applyFont="1" applyFill="1" applyBorder="1" applyAlignment="1">
      <alignment horizontal="center" vertical="center" shrinkToFit="1"/>
    </xf>
    <xf numFmtId="39" fontId="4" fillId="0" borderId="5" xfId="1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171" fontId="4" fillId="0" borderId="5" xfId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171" fontId="4" fillId="0" borderId="5" xfId="1" applyFont="1" applyFill="1" applyBorder="1" applyAlignment="1">
      <alignment vertical="center" shrinkToFit="1"/>
    </xf>
    <xf numFmtId="37" fontId="7" fillId="0" borderId="5" xfId="0" applyNumberFormat="1" applyFont="1" applyFill="1" applyBorder="1" applyAlignment="1">
      <alignment horizontal="center" vertical="center" shrinkToFit="1"/>
    </xf>
    <xf numFmtId="39" fontId="7" fillId="0" borderId="5" xfId="1" applyNumberFormat="1" applyFont="1" applyFill="1" applyBorder="1" applyAlignment="1">
      <alignment horizontal="center" vertical="center" shrinkToFit="1"/>
    </xf>
    <xf numFmtId="39" fontId="4" fillId="0" borderId="5" xfId="1" applyNumberFormat="1" applyFont="1" applyFill="1" applyBorder="1" applyAlignment="1">
      <alignment vertical="center" shrinkToFit="1"/>
    </xf>
    <xf numFmtId="43" fontId="4" fillId="0" borderId="0" xfId="0" applyNumberFormat="1" applyFont="1" applyAlignment="1">
      <alignment vertical="center"/>
    </xf>
    <xf numFmtId="171" fontId="4" fillId="0" borderId="0" xfId="1" applyFont="1" applyFill="1" applyAlignment="1">
      <alignment vertical="center"/>
    </xf>
    <xf numFmtId="171" fontId="4" fillId="0" borderId="0" xfId="1" applyFont="1" applyFill="1"/>
    <xf numFmtId="44" fontId="4" fillId="0" borderId="0" xfId="29" applyFont="1" applyFill="1" applyAlignment="1">
      <alignment shrinkToFit="1"/>
    </xf>
    <xf numFmtId="171" fontId="4" fillId="0" borderId="0" xfId="1" applyFont="1"/>
    <xf numFmtId="171" fontId="4" fillId="0" borderId="0" xfId="1" applyFont="1" applyAlignment="1">
      <alignment vertical="center"/>
    </xf>
    <xf numFmtId="44" fontId="95" fillId="0" borderId="5" xfId="29" applyFont="1" applyFill="1" applyBorder="1" applyAlignment="1">
      <alignment horizontal="center" vertical="center"/>
    </xf>
    <xf numFmtId="0" fontId="95" fillId="0" borderId="5" xfId="29" applyNumberFormat="1" applyFont="1" applyFill="1" applyBorder="1" applyAlignment="1">
      <alignment horizontal="center" vertical="center" wrapText="1"/>
    </xf>
    <xf numFmtId="44" fontId="30" fillId="0" borderId="5" xfId="29" applyFont="1" applyFill="1" applyBorder="1" applyAlignment="1">
      <alignment horizontal="justify" vertical="center"/>
    </xf>
    <xf numFmtId="44" fontId="30" fillId="0" borderId="5" xfId="29" applyFont="1" applyFill="1" applyBorder="1" applyAlignment="1">
      <alignment shrinkToFit="1"/>
    </xf>
    <xf numFmtId="39" fontId="30" fillId="0" borderId="5" xfId="29" applyNumberFormat="1" applyFont="1" applyFill="1" applyBorder="1" applyAlignment="1">
      <alignment horizontal="center" shrinkToFit="1"/>
    </xf>
    <xf numFmtId="2" fontId="30" fillId="0" borderId="5" xfId="29" applyNumberFormat="1" applyFont="1" applyFill="1" applyBorder="1" applyAlignment="1">
      <alignment shrinkToFit="1"/>
    </xf>
    <xf numFmtId="171" fontId="30" fillId="0" borderId="5" xfId="1" applyFont="1" applyFill="1" applyBorder="1" applyAlignment="1">
      <alignment shrinkToFit="1"/>
    </xf>
    <xf numFmtId="193" fontId="7" fillId="0" borderId="5" xfId="19" applyNumberFormat="1" applyFont="1" applyFill="1" applyBorder="1" applyAlignment="1">
      <alignment horizontal="center" vertical="center" shrinkToFit="1"/>
    </xf>
    <xf numFmtId="194" fontId="7" fillId="0" borderId="5" xfId="19" applyNumberFormat="1" applyFont="1" applyFill="1" applyBorder="1" applyAlignment="1">
      <alignment horizontal="center" vertical="center" shrinkToFit="1"/>
    </xf>
    <xf numFmtId="194" fontId="4" fillId="0" borderId="6" xfId="19" applyNumberFormat="1" applyFont="1" applyFill="1" applyBorder="1" applyAlignment="1">
      <alignment horizontal="center" vertical="center" shrinkToFit="1"/>
    </xf>
    <xf numFmtId="43" fontId="4" fillId="12" borderId="0" xfId="0" applyNumberFormat="1" applyFont="1" applyFill="1" applyAlignment="1">
      <alignment vertical="center"/>
    </xf>
    <xf numFmtId="171" fontId="4" fillId="12" borderId="0" xfId="0" applyNumberFormat="1" applyFont="1" applyFill="1" applyAlignment="1">
      <alignment vertical="center"/>
    </xf>
    <xf numFmtId="171" fontId="0" fillId="0" borderId="5" xfId="1" applyFont="1" applyFill="1" applyBorder="1"/>
    <xf numFmtId="40" fontId="41" fillId="0" borderId="0" xfId="0" applyNumberFormat="1" applyFont="1" applyAlignment="1">
      <alignment horizontal="center"/>
    </xf>
    <xf numFmtId="171" fontId="7" fillId="0" borderId="5" xfId="1" applyFont="1" applyFill="1" applyBorder="1" applyAlignment="1">
      <alignment horizontal="center" vertical="center" shrinkToFit="1"/>
    </xf>
    <xf numFmtId="171" fontId="4" fillId="0" borderId="0" xfId="0" applyNumberFormat="1" applyFont="1" applyAlignment="1">
      <alignment vertical="center"/>
    </xf>
    <xf numFmtId="43" fontId="4" fillId="0" borderId="0" xfId="0" applyNumberFormat="1" applyFont="1"/>
    <xf numFmtId="39" fontId="29" fillId="0" borderId="16" xfId="29" applyNumberFormat="1" applyFont="1" applyFill="1" applyBorder="1"/>
    <xf numFmtId="44" fontId="30" fillId="0" borderId="17" xfId="29" applyFont="1" applyFill="1" applyBorder="1"/>
    <xf numFmtId="44" fontId="30" fillId="0" borderId="18" xfId="29" applyFont="1" applyFill="1" applyBorder="1"/>
    <xf numFmtId="39" fontId="29" fillId="0" borderId="22" xfId="29" applyNumberFormat="1" applyFont="1" applyFill="1" applyBorder="1"/>
    <xf numFmtId="44" fontId="30" fillId="0" borderId="0" xfId="29" applyFont="1" applyFill="1" applyBorder="1"/>
    <xf numFmtId="44" fontId="30" fillId="0" borderId="23" xfId="29" applyFont="1" applyFill="1" applyBorder="1"/>
    <xf numFmtId="39" fontId="31" fillId="0" borderId="22" xfId="29" applyNumberFormat="1" applyFont="1" applyFill="1" applyBorder="1" applyAlignment="1">
      <alignment horizontal="left"/>
    </xf>
    <xf numFmtId="39" fontId="95" fillId="0" borderId="30" xfId="29" applyNumberFormat="1" applyFont="1" applyFill="1" applyBorder="1" applyAlignment="1">
      <alignment horizontal="center" vertical="center"/>
    </xf>
    <xf numFmtId="44" fontId="30" fillId="0" borderId="48" xfId="29" applyFont="1" applyFill="1" applyBorder="1" applyAlignment="1">
      <alignment horizontal="justify" vertical="center"/>
    </xf>
    <xf numFmtId="37" fontId="30" fillId="0" borderId="30" xfId="29" applyNumberFormat="1" applyFont="1" applyFill="1" applyBorder="1" applyAlignment="1">
      <alignment shrinkToFit="1"/>
    </xf>
    <xf numFmtId="171" fontId="30" fillId="0" borderId="48" xfId="1" applyFont="1" applyFill="1" applyBorder="1" applyAlignment="1">
      <alignment shrinkToFit="1"/>
    </xf>
    <xf numFmtId="171" fontId="0" fillId="0" borderId="48" xfId="1" applyFont="1" applyBorder="1"/>
    <xf numFmtId="0" fontId="0" fillId="0" borderId="30" xfId="0" applyBorder="1"/>
    <xf numFmtId="0" fontId="0" fillId="0" borderId="31" xfId="0" applyBorder="1"/>
    <xf numFmtId="0" fontId="7" fillId="0" borderId="28" xfId="0" applyFont="1" applyBorder="1"/>
    <xf numFmtId="39" fontId="7" fillId="0" borderId="28" xfId="0" applyNumberFormat="1" applyFont="1" applyBorder="1"/>
    <xf numFmtId="0" fontId="0" fillId="0" borderId="28" xfId="0" applyBorder="1"/>
    <xf numFmtId="171" fontId="0" fillId="0" borderId="32" xfId="0" applyNumberFormat="1" applyBorder="1"/>
    <xf numFmtId="3" fontId="4" fillId="0" borderId="0" xfId="0" applyNumberFormat="1" applyFont="1" applyFill="1" applyAlignment="1">
      <alignment shrinkToFit="1"/>
    </xf>
    <xf numFmtId="0" fontId="11" fillId="0" borderId="22" xfId="39" applyFont="1" applyBorder="1"/>
    <xf numFmtId="0" fontId="11" fillId="0" borderId="23" xfId="39" applyFont="1" applyBorder="1"/>
    <xf numFmtId="0" fontId="54" fillId="0" borderId="22" xfId="39" applyFont="1" applyBorder="1" applyAlignment="1">
      <alignment horizontal="right" vertical="center"/>
    </xf>
    <xf numFmtId="0" fontId="53" fillId="0" borderId="23" xfId="39" applyBorder="1"/>
    <xf numFmtId="0" fontId="55" fillId="0" borderId="22" xfId="39" applyFont="1" applyBorder="1" applyAlignment="1">
      <alignment horizontal="right"/>
    </xf>
    <xf numFmtId="0" fontId="55" fillId="0" borderId="22" xfId="39" applyFont="1" applyBorder="1"/>
    <xf numFmtId="0" fontId="55" fillId="0" borderId="22" xfId="39" applyFont="1" applyFill="1" applyBorder="1"/>
    <xf numFmtId="0" fontId="4" fillId="0" borderId="23" xfId="39" applyFont="1" applyBorder="1"/>
    <xf numFmtId="0" fontId="53" fillId="0" borderId="22" xfId="39" applyBorder="1"/>
    <xf numFmtId="0" fontId="53" fillId="0" borderId="19" xfId="39" applyBorder="1"/>
    <xf numFmtId="0" fontId="53" fillId="0" borderId="20" xfId="39" applyBorder="1"/>
    <xf numFmtId="0" fontId="53" fillId="0" borderId="21" xfId="39" applyBorder="1"/>
    <xf numFmtId="1" fontId="34" fillId="2" borderId="0" xfId="0" applyNumberFormat="1" applyFont="1" applyFill="1" applyBorder="1" applyAlignment="1">
      <alignment vertical="center"/>
    </xf>
    <xf numFmtId="1" fontId="30" fillId="2" borderId="0" xfId="0" applyNumberFormat="1" applyFont="1" applyFill="1" applyBorder="1" applyAlignment="1">
      <alignment vertical="center" shrinkToFit="1"/>
    </xf>
    <xf numFmtId="196" fontId="30" fillId="2" borderId="0" xfId="1" applyNumberFormat="1" applyFont="1" applyFill="1" applyBorder="1" applyAlignment="1">
      <alignment vertical="center" shrinkToFit="1"/>
    </xf>
    <xf numFmtId="3" fontId="30" fillId="2" borderId="0" xfId="0" applyNumberFormat="1" applyFont="1" applyFill="1" applyBorder="1" applyAlignment="1">
      <alignment vertical="center" shrinkToFit="1"/>
    </xf>
    <xf numFmtId="40" fontId="21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37" fontId="4" fillId="0" borderId="0" xfId="0" applyNumberFormat="1" applyFont="1" applyFill="1" applyAlignment="1">
      <alignment vertical="center"/>
    </xf>
    <xf numFmtId="43" fontId="4" fillId="0" borderId="0" xfId="0" applyNumberFormat="1" applyFont="1" applyFill="1" applyAlignment="1">
      <alignment vertical="center"/>
    </xf>
    <xf numFmtId="43" fontId="4" fillId="0" borderId="0" xfId="0" applyNumberFormat="1" applyFont="1" applyFill="1"/>
    <xf numFmtId="39" fontId="4" fillId="0" borderId="0" xfId="0" applyNumberFormat="1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shrinkToFit="1"/>
    </xf>
    <xf numFmtId="0" fontId="7" fillId="0" borderId="0" xfId="0" applyFont="1" applyFill="1"/>
    <xf numFmtId="0" fontId="7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93" fontId="7" fillId="0" borderId="5" xfId="1" applyNumberFormat="1" applyFont="1" applyFill="1" applyBorder="1" applyAlignment="1">
      <alignment vertical="center" shrinkToFit="1"/>
    </xf>
    <xf numFmtId="193" fontId="4" fillId="0" borderId="0" xfId="0" applyNumberFormat="1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93" fontId="7" fillId="0" borderId="5" xfId="1" applyNumberFormat="1" applyFont="1" applyFill="1" applyBorder="1" applyAlignment="1">
      <alignment horizontal="right" vertical="center" shrinkToFit="1"/>
    </xf>
    <xf numFmtId="193" fontId="4" fillId="0" borderId="5" xfId="1" applyNumberFormat="1" applyFont="1" applyFill="1" applyBorder="1" applyAlignment="1">
      <alignment horizontal="right" vertical="center" shrinkToFit="1"/>
    </xf>
    <xf numFmtId="194" fontId="4" fillId="0" borderId="5" xfId="1" applyNumberFormat="1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 shrinkToFit="1"/>
    </xf>
    <xf numFmtId="194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1" fontId="4" fillId="0" borderId="0" xfId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40" fontId="41" fillId="0" borderId="0" xfId="0" applyNumberFormat="1" applyFont="1" applyAlignment="1"/>
    <xf numFmtId="0" fontId="97" fillId="0" borderId="0" xfId="0" applyFont="1"/>
    <xf numFmtId="0" fontId="98" fillId="0" borderId="0" xfId="36" applyNumberFormat="1" applyFont="1" applyFill="1" applyBorder="1" applyAlignment="1" applyProtection="1">
      <alignment shrinkToFit="1"/>
    </xf>
    <xf numFmtId="3" fontId="2" fillId="0" borderId="0" xfId="0" applyNumberFormat="1" applyFont="1" applyAlignment="1">
      <alignment shrinkToFit="1"/>
    </xf>
    <xf numFmtId="0" fontId="119" fillId="0" borderId="0" xfId="33" applyFont="1"/>
    <xf numFmtId="40" fontId="99" fillId="0" borderId="0" xfId="0" applyNumberFormat="1" applyFont="1" applyAlignment="1">
      <alignment horizontal="center"/>
    </xf>
    <xf numFmtId="0" fontId="119" fillId="0" borderId="0" xfId="33" applyFont="1" applyAlignment="1">
      <alignment vertical="center"/>
    </xf>
    <xf numFmtId="40" fontId="99" fillId="0" borderId="0" xfId="0" applyNumberFormat="1" applyFont="1" applyAlignment="1"/>
    <xf numFmtId="0" fontId="100" fillId="0" borderId="0" xfId="0" applyFont="1"/>
    <xf numFmtId="0" fontId="100" fillId="0" borderId="0" xfId="0" applyFont="1" applyAlignment="1">
      <alignment horizontal="center"/>
    </xf>
    <xf numFmtId="0" fontId="120" fillId="0" borderId="65" xfId="0" applyFont="1" applyFill="1" applyBorder="1" applyAlignment="1">
      <alignment shrinkToFit="1"/>
    </xf>
    <xf numFmtId="0" fontId="120" fillId="6" borderId="65" xfId="0" applyFont="1" applyFill="1" applyBorder="1" applyAlignment="1">
      <alignment shrinkToFit="1"/>
    </xf>
    <xf numFmtId="198" fontId="120" fillId="6" borderId="65" xfId="1" applyNumberFormat="1" applyFont="1" applyFill="1" applyBorder="1" applyAlignment="1">
      <alignment shrinkToFit="1"/>
    </xf>
    <xf numFmtId="198" fontId="120" fillId="0" borderId="65" xfId="1" applyNumberFormat="1" applyFont="1" applyFill="1" applyBorder="1" applyAlignment="1">
      <alignment shrinkToFit="1"/>
    </xf>
    <xf numFmtId="0" fontId="30" fillId="4" borderId="11" xfId="0" applyFont="1" applyFill="1" applyBorder="1" applyAlignment="1">
      <alignment vertical="center"/>
    </xf>
    <xf numFmtId="0" fontId="30" fillId="0" borderId="0" xfId="0" applyFont="1" applyBorder="1"/>
    <xf numFmtId="3" fontId="11" fillId="0" borderId="0" xfId="43" applyNumberFormat="1" applyFont="1" applyBorder="1"/>
    <xf numFmtId="0" fontId="11" fillId="0" borderId="0" xfId="43" applyFont="1" applyBorder="1"/>
    <xf numFmtId="171" fontId="4" fillId="0" borderId="0" xfId="0" applyNumberFormat="1" applyFont="1"/>
    <xf numFmtId="0" fontId="11" fillId="0" borderId="5" xfId="43" applyFont="1" applyBorder="1" applyAlignment="1">
      <alignment shrinkToFit="1"/>
    </xf>
    <xf numFmtId="0" fontId="11" fillId="0" borderId="0" xfId="43" applyFont="1" applyBorder="1" applyAlignment="1">
      <alignment shrinkToFit="1"/>
    </xf>
    <xf numFmtId="0" fontId="11" fillId="0" borderId="0" xfId="43" applyFont="1"/>
    <xf numFmtId="0" fontId="83" fillId="0" borderId="0" xfId="43" applyFont="1" applyAlignment="1">
      <alignment horizontal="left" vertical="center"/>
    </xf>
    <xf numFmtId="0" fontId="83" fillId="0" borderId="0" xfId="43" applyFont="1"/>
    <xf numFmtId="0" fontId="11" fillId="0" borderId="66" xfId="43" applyFont="1" applyBorder="1" applyAlignment="1">
      <alignment horizontal="center"/>
    </xf>
    <xf numFmtId="0" fontId="11" fillId="0" borderId="67" xfId="43" applyFont="1" applyBorder="1" applyAlignment="1">
      <alignment horizontal="center"/>
    </xf>
    <xf numFmtId="14" fontId="11" fillId="0" borderId="11" xfId="43" applyNumberFormat="1" applyFont="1" applyBorder="1" applyAlignment="1">
      <alignment horizontal="center" shrinkToFit="1"/>
    </xf>
    <xf numFmtId="0" fontId="11" fillId="0" borderId="30" xfId="43" applyFont="1" applyBorder="1" applyAlignment="1">
      <alignment horizontal="center"/>
    </xf>
    <xf numFmtId="0" fontId="11" fillId="0" borderId="5" xfId="43" applyFont="1" applyBorder="1" applyAlignment="1">
      <alignment horizontal="center" shrinkToFit="1"/>
    </xf>
    <xf numFmtId="3" fontId="11" fillId="0" borderId="5" xfId="25" applyNumberFormat="1" applyFont="1" applyBorder="1" applyAlignment="1">
      <alignment shrinkToFit="1"/>
    </xf>
    <xf numFmtId="3" fontId="11" fillId="0" borderId="48" xfId="25" applyNumberFormat="1" applyFont="1" applyBorder="1" applyAlignment="1">
      <alignment shrinkToFit="1"/>
    </xf>
    <xf numFmtId="0" fontId="11" fillId="0" borderId="5" xfId="43" applyFont="1" applyFill="1" applyBorder="1" applyAlignment="1">
      <alignment shrinkToFit="1"/>
    </xf>
    <xf numFmtId="0" fontId="11" fillId="0" borderId="31" xfId="43" applyFont="1" applyBorder="1" applyAlignment="1">
      <alignment horizontal="center"/>
    </xf>
    <xf numFmtId="0" fontId="11" fillId="0" borderId="28" xfId="43" applyFont="1" applyBorder="1" applyAlignment="1">
      <alignment shrinkToFit="1"/>
    </xf>
    <xf numFmtId="0" fontId="11" fillId="0" borderId="28" xfId="43" applyFont="1" applyBorder="1" applyAlignment="1">
      <alignment horizontal="center" shrinkToFit="1"/>
    </xf>
    <xf numFmtId="3" fontId="11" fillId="0" borderId="28" xfId="25" applyNumberFormat="1" applyFont="1" applyBorder="1" applyAlignment="1">
      <alignment shrinkToFit="1"/>
    </xf>
    <xf numFmtId="3" fontId="11" fillId="0" borderId="32" xfId="25" applyNumberFormat="1" applyFont="1" applyBorder="1" applyAlignment="1">
      <alignment shrinkToFit="1"/>
    </xf>
    <xf numFmtId="0" fontId="11" fillId="0" borderId="68" xfId="43" applyFont="1" applyBorder="1" applyAlignment="1">
      <alignment vertical="center"/>
    </xf>
    <xf numFmtId="0" fontId="79" fillId="0" borderId="61" xfId="43" applyFont="1" applyBorder="1" applyAlignment="1">
      <alignment vertical="center" shrinkToFit="1"/>
    </xf>
    <xf numFmtId="0" fontId="79" fillId="0" borderId="61" xfId="43" applyFont="1" applyBorder="1" applyAlignment="1">
      <alignment horizontal="center" vertical="center" shrinkToFit="1"/>
    </xf>
    <xf numFmtId="3" fontId="79" fillId="0" borderId="61" xfId="25" applyNumberFormat="1" applyFont="1" applyBorder="1" applyAlignment="1">
      <alignment vertical="center" shrinkToFit="1"/>
    </xf>
    <xf numFmtId="3" fontId="11" fillId="0" borderId="0" xfId="43" applyNumberFormat="1" applyFont="1"/>
    <xf numFmtId="14" fontId="11" fillId="0" borderId="11" xfId="43" applyNumberFormat="1" applyFont="1" applyBorder="1" applyAlignment="1">
      <alignment horizontal="center"/>
    </xf>
    <xf numFmtId="3" fontId="79" fillId="0" borderId="62" xfId="25" applyNumberFormat="1" applyFont="1" applyBorder="1" applyAlignment="1">
      <alignment vertical="center" shrinkToFit="1"/>
    </xf>
    <xf numFmtId="1" fontId="11" fillId="0" borderId="0" xfId="43" applyNumberFormat="1" applyFont="1"/>
    <xf numFmtId="0" fontId="11" fillId="0" borderId="67" xfId="43" applyFont="1" applyBorder="1" applyAlignment="1">
      <alignment horizontal="center" shrinkToFit="1"/>
    </xf>
    <xf numFmtId="0" fontId="11" fillId="0" borderId="30" xfId="43" applyFont="1" applyBorder="1" applyAlignment="1">
      <alignment horizontal="center" shrinkToFit="1"/>
    </xf>
    <xf numFmtId="3" fontId="11" fillId="0" borderId="48" xfId="25" applyNumberFormat="1" applyFont="1" applyFill="1" applyBorder="1" applyAlignment="1">
      <alignment shrinkToFit="1"/>
    </xf>
    <xf numFmtId="3" fontId="71" fillId="0" borderId="0" xfId="43" applyNumberFormat="1" applyFont="1"/>
    <xf numFmtId="0" fontId="11" fillId="0" borderId="50" xfId="43" applyFont="1" applyBorder="1" applyAlignment="1">
      <alignment horizontal="center" shrinkToFit="1"/>
    </xf>
    <xf numFmtId="0" fontId="11" fillId="0" borderId="6" xfId="43" applyFont="1" applyBorder="1" applyAlignment="1">
      <alignment shrinkToFit="1"/>
    </xf>
    <xf numFmtId="0" fontId="11" fillId="0" borderId="6" xfId="43" applyFont="1" applyBorder="1" applyAlignment="1">
      <alignment horizontal="center" shrinkToFit="1"/>
    </xf>
    <xf numFmtId="3" fontId="79" fillId="0" borderId="0" xfId="25" applyNumberFormat="1" applyFont="1" applyBorder="1" applyAlignment="1">
      <alignment vertical="center"/>
    </xf>
    <xf numFmtId="0" fontId="71" fillId="0" borderId="0" xfId="43" applyFont="1" applyBorder="1"/>
    <xf numFmtId="0" fontId="71" fillId="0" borderId="0" xfId="43" applyFont="1"/>
    <xf numFmtId="0" fontId="71" fillId="0" borderId="11" xfId="42" applyFont="1" applyFill="1" applyBorder="1" applyAlignment="1">
      <alignment horizontal="center" vertical="center" shrinkToFit="1"/>
    </xf>
    <xf numFmtId="0" fontId="71" fillId="0" borderId="5" xfId="42" applyFont="1" applyFill="1" applyBorder="1" applyAlignment="1">
      <alignment horizontal="center" shrinkToFit="1"/>
    </xf>
    <xf numFmtId="43" fontId="71" fillId="0" borderId="5" xfId="16" applyFont="1" applyFill="1" applyBorder="1" applyAlignment="1">
      <alignment horizontal="right" shrinkToFit="1"/>
    </xf>
    <xf numFmtId="43" fontId="11" fillId="0" borderId="5" xfId="16" applyFont="1" applyFill="1" applyBorder="1" applyAlignment="1">
      <alignment horizontal="right" shrinkToFit="1"/>
    </xf>
    <xf numFmtId="43" fontId="11" fillId="0" borderId="5" xfId="42" applyNumberFormat="1" applyFont="1" applyFill="1" applyBorder="1" applyAlignment="1">
      <alignment horizontal="right" shrinkToFit="1"/>
    </xf>
    <xf numFmtId="4" fontId="71" fillId="0" borderId="5" xfId="42" applyNumberFormat="1" applyFont="1" applyFill="1" applyBorder="1" applyAlignment="1">
      <alignment horizontal="center" shrinkToFit="1"/>
    </xf>
    <xf numFmtId="171" fontId="4" fillId="0" borderId="5" xfId="1" applyFont="1" applyFill="1" applyBorder="1" applyAlignment="1">
      <alignment horizontal="left" vertical="center" shrinkToFit="1"/>
    </xf>
    <xf numFmtId="193" fontId="4" fillId="0" borderId="0" xfId="0" applyNumberFormat="1" applyFont="1"/>
    <xf numFmtId="171" fontId="109" fillId="0" borderId="0" xfId="0" applyNumberFormat="1" applyFont="1" applyAlignment="1">
      <alignment vertical="center"/>
    </xf>
    <xf numFmtId="43" fontId="25" fillId="0" borderId="5" xfId="6" applyFont="1" applyBorder="1" applyAlignment="1">
      <alignment horizontal="center"/>
    </xf>
    <xf numFmtId="0" fontId="71" fillId="0" borderId="0" xfId="43" applyFont="1" applyAlignment="1">
      <alignment horizontal="center"/>
    </xf>
    <xf numFmtId="0" fontId="83" fillId="0" borderId="16" xfId="43" applyFont="1" applyBorder="1" applyAlignment="1">
      <alignment horizontal="center" vertical="center" shrinkToFit="1"/>
    </xf>
    <xf numFmtId="0" fontId="83" fillId="0" borderId="17" xfId="43" applyFont="1" applyBorder="1" applyAlignment="1">
      <alignment horizontal="center" vertical="center" shrinkToFit="1"/>
    </xf>
    <xf numFmtId="0" fontId="83" fillId="0" borderId="69" xfId="43" applyFont="1" applyBorder="1" applyAlignment="1">
      <alignment horizontal="center" vertical="center" shrinkToFit="1"/>
    </xf>
    <xf numFmtId="0" fontId="83" fillId="0" borderId="19" xfId="43" applyFont="1" applyBorder="1" applyAlignment="1">
      <alignment horizontal="center" vertical="center" shrinkToFit="1"/>
    </xf>
    <xf numFmtId="0" fontId="83" fillId="0" borderId="20" xfId="43" applyFont="1" applyBorder="1" applyAlignment="1">
      <alignment horizontal="center" vertical="center" shrinkToFit="1"/>
    </xf>
    <xf numFmtId="0" fontId="83" fillId="0" borderId="70" xfId="43" applyFont="1" applyBorder="1" applyAlignment="1">
      <alignment horizontal="center" vertical="center" shrinkToFit="1"/>
    </xf>
    <xf numFmtId="3" fontId="83" fillId="0" borderId="6" xfId="25" applyNumberFormat="1" applyFont="1" applyBorder="1" applyAlignment="1">
      <alignment horizontal="center" vertical="center" shrinkToFit="1"/>
    </xf>
    <xf numFmtId="3" fontId="83" fillId="0" borderId="71" xfId="25" applyNumberFormat="1" applyFont="1" applyBorder="1" applyAlignment="1">
      <alignment horizontal="center" vertical="center" shrinkToFit="1"/>
    </xf>
    <xf numFmtId="0" fontId="73" fillId="0" borderId="0" xfId="43" applyFont="1" applyAlignment="1">
      <alignment horizontal="center"/>
    </xf>
    <xf numFmtId="0" fontId="11" fillId="0" borderId="54" xfId="43" applyFont="1" applyBorder="1" applyAlignment="1">
      <alignment horizontal="center" vertical="center"/>
    </xf>
    <xf numFmtId="0" fontId="11" fillId="0" borderId="29" xfId="43" applyFont="1" applyBorder="1" applyAlignment="1">
      <alignment horizontal="center" vertical="center"/>
    </xf>
    <xf numFmtId="0" fontId="11" fillId="0" borderId="66" xfId="43" applyFont="1" applyBorder="1" applyAlignment="1">
      <alignment horizontal="center" vertical="center"/>
    </xf>
    <xf numFmtId="0" fontId="11" fillId="0" borderId="11" xfId="43" applyFont="1" applyBorder="1" applyAlignment="1">
      <alignment horizontal="center" vertical="center"/>
    </xf>
    <xf numFmtId="40" fontId="41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6" borderId="24" xfId="45" applyFont="1" applyFill="1" applyBorder="1" applyAlignment="1">
      <alignment horizontal="center" vertical="center"/>
    </xf>
    <xf numFmtId="0" fontId="86" fillId="6" borderId="26" xfId="45" applyFont="1" applyFill="1" applyBorder="1" applyAlignment="1">
      <alignment horizontal="center" vertical="center"/>
    </xf>
    <xf numFmtId="0" fontId="66" fillId="6" borderId="0" xfId="45" applyFont="1" applyFill="1" applyAlignment="1">
      <alignment horizontal="center" vertical="center"/>
    </xf>
    <xf numFmtId="0" fontId="66" fillId="6" borderId="0" xfId="45" quotePrefix="1" applyFont="1" applyFill="1" applyAlignment="1">
      <alignment horizontal="center" vertical="center"/>
    </xf>
    <xf numFmtId="0" fontId="86" fillId="6" borderId="58" xfId="45" applyFont="1" applyFill="1" applyBorder="1" applyAlignment="1">
      <alignment horizontal="center" vertical="center"/>
    </xf>
    <xf numFmtId="0" fontId="66" fillId="5" borderId="0" xfId="45" quotePrefix="1" applyFont="1" applyFill="1" applyBorder="1" applyAlignment="1">
      <alignment horizontal="center" vertical="center"/>
    </xf>
    <xf numFmtId="0" fontId="86" fillId="5" borderId="68" xfId="45" applyFont="1" applyFill="1" applyBorder="1" applyAlignment="1">
      <alignment horizontal="center" vertical="center"/>
    </xf>
    <xf numFmtId="0" fontId="86" fillId="5" borderId="61" xfId="45" applyFont="1" applyFill="1" applyBorder="1" applyAlignment="1">
      <alignment horizontal="center" vertical="center"/>
    </xf>
    <xf numFmtId="41" fontId="7" fillId="0" borderId="0" xfId="4" applyFont="1" applyAlignment="1">
      <alignment horizontal="center" wrapText="1"/>
    </xf>
    <xf numFmtId="41" fontId="4" fillId="0" borderId="6" xfId="4" applyFont="1" applyBorder="1" applyAlignment="1">
      <alignment horizontal="center" vertical="center" wrapText="1"/>
    </xf>
    <xf numFmtId="41" fontId="4" fillId="0" borderId="11" xfId="4" applyFont="1" applyBorder="1" applyAlignment="1">
      <alignment horizontal="center" vertical="center" wrapText="1"/>
    </xf>
    <xf numFmtId="41" fontId="4" fillId="0" borderId="3" xfId="4" applyFont="1" applyBorder="1" applyAlignment="1">
      <alignment horizontal="center" vertical="center" wrapText="1"/>
    </xf>
    <xf numFmtId="41" fontId="4" fillId="0" borderId="2" xfId="4" applyFont="1" applyBorder="1" applyAlignment="1">
      <alignment horizontal="center" vertical="center" wrapText="1"/>
    </xf>
    <xf numFmtId="41" fontId="4" fillId="0" borderId="1" xfId="4" applyFont="1" applyBorder="1" applyAlignment="1">
      <alignment horizontal="center" vertical="center" wrapText="1"/>
    </xf>
    <xf numFmtId="202" fontId="12" fillId="0" borderId="63" xfId="22" applyNumberFormat="1" applyFont="1" applyFill="1" applyBorder="1" applyAlignment="1">
      <alignment horizontal="center" wrapText="1" shrinkToFit="1"/>
    </xf>
    <xf numFmtId="202" fontId="12" fillId="0" borderId="59" xfId="22" applyNumberFormat="1" applyFont="1" applyFill="1" applyBorder="1" applyAlignment="1">
      <alignment horizontal="center" wrapText="1" shrinkToFit="1"/>
    </xf>
    <xf numFmtId="202" fontId="12" fillId="0" borderId="73" xfId="22" applyNumberFormat="1" applyFont="1" applyFill="1" applyBorder="1" applyAlignment="1">
      <alignment horizontal="center" wrapText="1" shrinkToFit="1"/>
    </xf>
    <xf numFmtId="0" fontId="67" fillId="0" borderId="6" xfId="38" applyFont="1" applyFill="1" applyBorder="1" applyAlignment="1">
      <alignment wrapText="1" shrinkToFit="1"/>
    </xf>
    <xf numFmtId="0" fontId="7" fillId="0" borderId="27" xfId="38" applyFont="1" applyFill="1" applyBorder="1" applyAlignment="1">
      <alignment wrapText="1" shrinkToFit="1"/>
    </xf>
    <xf numFmtId="0" fontId="7" fillId="0" borderId="11" xfId="38" applyFont="1" applyFill="1" applyBorder="1" applyAlignment="1">
      <alignment wrapText="1" shrinkToFit="1"/>
    </xf>
    <xf numFmtId="0" fontId="68" fillId="0" borderId="6" xfId="38" applyFont="1" applyFill="1" applyBorder="1" applyAlignment="1">
      <alignment horizontal="center" wrapText="1" shrinkToFit="1"/>
    </xf>
    <xf numFmtId="0" fontId="68" fillId="0" borderId="27" xfId="38" applyFont="1" applyFill="1" applyBorder="1" applyAlignment="1">
      <alignment horizontal="center" wrapText="1" shrinkToFit="1"/>
    </xf>
    <xf numFmtId="0" fontId="68" fillId="0" borderId="11" xfId="38" applyFont="1" applyFill="1" applyBorder="1" applyAlignment="1">
      <alignment horizontal="center" wrapText="1" shrinkToFit="1"/>
    </xf>
    <xf numFmtId="0" fontId="68" fillId="0" borderId="6" xfId="38" applyFont="1" applyFill="1" applyBorder="1" applyAlignment="1">
      <alignment wrapText="1" shrinkToFit="1"/>
    </xf>
    <xf numFmtId="0" fontId="4" fillId="0" borderId="27" xfId="38" applyFill="1" applyBorder="1" applyAlignment="1">
      <alignment wrapText="1" shrinkToFit="1"/>
    </xf>
    <xf numFmtId="0" fontId="4" fillId="0" borderId="11" xfId="38" applyFill="1" applyBorder="1" applyAlignment="1">
      <alignment wrapText="1" shrinkToFit="1"/>
    </xf>
    <xf numFmtId="0" fontId="68" fillId="0" borderId="6" xfId="38" applyFont="1" applyFill="1" applyBorder="1" applyAlignment="1">
      <alignment wrapText="1"/>
    </xf>
    <xf numFmtId="0" fontId="4" fillId="0" borderId="27" xfId="38" applyFill="1" applyBorder="1" applyAlignment="1">
      <alignment wrapText="1"/>
    </xf>
    <xf numFmtId="0" fontId="4" fillId="0" borderId="11" xfId="38" applyFill="1" applyBorder="1" applyAlignment="1">
      <alignment wrapText="1"/>
    </xf>
    <xf numFmtId="2" fontId="68" fillId="0" borderId="7" xfId="38" applyNumberFormat="1" applyFont="1" applyFill="1" applyBorder="1" applyAlignment="1">
      <alignment wrapText="1" shrinkToFit="1"/>
    </xf>
    <xf numFmtId="0" fontId="4" fillId="0" borderId="12" xfId="38" applyFill="1" applyBorder="1" applyAlignment="1">
      <alignment wrapText="1" shrinkToFit="1"/>
    </xf>
    <xf numFmtId="0" fontId="4" fillId="0" borderId="8" xfId="38" applyFill="1" applyBorder="1" applyAlignment="1">
      <alignment wrapText="1" shrinkToFit="1"/>
    </xf>
    <xf numFmtId="0" fontId="12" fillId="0" borderId="0" xfId="38" applyFont="1" applyFill="1" applyAlignment="1">
      <alignment horizontal="center" shrinkToFit="1"/>
    </xf>
    <xf numFmtId="0" fontId="12" fillId="0" borderId="9" xfId="38" applyFont="1" applyFill="1" applyBorder="1" applyAlignment="1">
      <alignment horizontal="center" shrinkToFit="1"/>
    </xf>
    <xf numFmtId="0" fontId="67" fillId="0" borderId="6" xfId="38" applyFont="1" applyFill="1" applyBorder="1" applyAlignment="1">
      <alignment horizontal="center" shrinkToFit="1"/>
    </xf>
    <xf numFmtId="0" fontId="67" fillId="0" borderId="27" xfId="38" applyFont="1" applyFill="1" applyBorder="1" applyAlignment="1">
      <alignment horizontal="center" shrinkToFit="1"/>
    </xf>
    <xf numFmtId="0" fontId="67" fillId="0" borderId="11" xfId="38" applyFont="1" applyFill="1" applyBorder="1" applyAlignment="1">
      <alignment horizontal="center" shrinkToFit="1"/>
    </xf>
    <xf numFmtId="0" fontId="67" fillId="0" borderId="6" xfId="38" applyFont="1" applyFill="1" applyBorder="1" applyAlignment="1">
      <alignment horizontal="center" wrapText="1" shrinkToFit="1"/>
    </xf>
    <xf numFmtId="0" fontId="67" fillId="0" borderId="27" xfId="38" applyFont="1" applyFill="1" applyBorder="1" applyAlignment="1">
      <alignment horizontal="center" wrapText="1" shrinkToFit="1"/>
    </xf>
    <xf numFmtId="0" fontId="67" fillId="0" borderId="11" xfId="38" applyFont="1" applyFill="1" applyBorder="1" applyAlignment="1">
      <alignment horizontal="center" wrapText="1" shrinkToFit="1"/>
    </xf>
    <xf numFmtId="0" fontId="67" fillId="0" borderId="7" xfId="38" applyFont="1" applyFill="1" applyBorder="1" applyAlignment="1">
      <alignment horizontal="center" shrinkToFit="1"/>
    </xf>
    <xf numFmtId="0" fontId="67" fillId="0" borderId="72" xfId="38" applyFont="1" applyFill="1" applyBorder="1" applyAlignment="1">
      <alignment horizontal="center" shrinkToFit="1"/>
    </xf>
    <xf numFmtId="0" fontId="4" fillId="0" borderId="72" xfId="38" applyFill="1" applyBorder="1" applyAlignment="1">
      <alignment shrinkToFit="1"/>
    </xf>
    <xf numFmtId="0" fontId="4" fillId="0" borderId="4" xfId="38" applyFill="1" applyBorder="1" applyAlignment="1">
      <alignment shrinkToFit="1"/>
    </xf>
    <xf numFmtId="0" fontId="4" fillId="0" borderId="8" xfId="38" applyFill="1" applyBorder="1" applyAlignment="1">
      <alignment shrinkToFit="1"/>
    </xf>
    <xf numFmtId="0" fontId="4" fillId="0" borderId="9" xfId="38" applyFill="1" applyBorder="1" applyAlignment="1">
      <alignment shrinkToFit="1"/>
    </xf>
    <xf numFmtId="0" fontId="4" fillId="0" borderId="10" xfId="38" applyFill="1" applyBorder="1" applyAlignment="1">
      <alignment shrinkToFit="1"/>
    </xf>
    <xf numFmtId="38" fontId="72" fillId="0" borderId="0" xfId="37" applyNumberFormat="1" applyFont="1" applyAlignment="1">
      <alignment horizontal="center"/>
    </xf>
    <xf numFmtId="0" fontId="24" fillId="0" borderId="0" xfId="37" applyFont="1" applyAlignment="1">
      <alignment horizontal="center"/>
    </xf>
    <xf numFmtId="0" fontId="27" fillId="0" borderId="0" xfId="37" applyFont="1" applyAlignment="1">
      <alignment horizontal="center"/>
    </xf>
    <xf numFmtId="0" fontId="15" fillId="0" borderId="0" xfId="37" applyFont="1" applyBorder="1" applyAlignment="1">
      <alignment horizontal="center" shrinkToFit="1"/>
    </xf>
    <xf numFmtId="40" fontId="21" fillId="0" borderId="0" xfId="0" applyNumberFormat="1" applyFont="1" applyFill="1" applyAlignment="1">
      <alignment horizont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93" fontId="7" fillId="0" borderId="6" xfId="19" applyNumberFormat="1" applyFont="1" applyBorder="1" applyAlignment="1">
      <alignment horizontal="center" vertical="center" shrinkToFit="1"/>
    </xf>
    <xf numFmtId="193" fontId="7" fillId="0" borderId="11" xfId="19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94" fontId="4" fillId="0" borderId="6" xfId="19" applyNumberFormat="1" applyFont="1" applyFill="1" applyBorder="1" applyAlignment="1">
      <alignment horizontal="center" vertical="center" shrinkToFit="1"/>
    </xf>
    <xf numFmtId="194" fontId="4" fillId="0" borderId="11" xfId="19" applyNumberFormat="1" applyFont="1" applyFill="1" applyBorder="1" applyAlignment="1">
      <alignment horizontal="center" vertical="center" shrinkToFit="1"/>
    </xf>
    <xf numFmtId="193" fontId="4" fillId="0" borderId="6" xfId="19" applyNumberFormat="1" applyFont="1" applyFill="1" applyBorder="1" applyAlignment="1">
      <alignment horizontal="center" vertical="center" shrinkToFit="1"/>
    </xf>
    <xf numFmtId="193" fontId="4" fillId="0" borderId="11" xfId="19" applyNumberFormat="1" applyFont="1" applyFill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94" fontId="4" fillId="0" borderId="6" xfId="19" applyNumberFormat="1" applyFont="1" applyBorder="1" applyAlignment="1">
      <alignment horizontal="center" vertical="center" shrinkToFit="1"/>
    </xf>
    <xf numFmtId="194" fontId="4" fillId="0" borderId="11" xfId="19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7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40" fontId="41" fillId="0" borderId="0" xfId="0" applyNumberFormat="1" applyFont="1" applyAlignment="1">
      <alignment horizontal="center" shrinkToFit="1"/>
    </xf>
    <xf numFmtId="0" fontId="1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29" fillId="0" borderId="22" xfId="29" applyFont="1" applyFill="1" applyBorder="1" applyAlignment="1">
      <alignment horizontal="center"/>
    </xf>
    <xf numFmtId="44" fontId="29" fillId="0" borderId="0" xfId="29" applyFont="1" applyFill="1" applyBorder="1" applyAlignment="1">
      <alignment horizontal="center"/>
    </xf>
    <xf numFmtId="44" fontId="29" fillId="0" borderId="23" xfId="29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1" fillId="0" borderId="0" xfId="33" applyFont="1" applyAlignment="1">
      <alignment horizontal="center"/>
    </xf>
    <xf numFmtId="0" fontId="119" fillId="0" borderId="0" xfId="33" applyFont="1" applyAlignment="1">
      <alignment horizontal="center" vertical="center"/>
    </xf>
    <xf numFmtId="0" fontId="5" fillId="0" borderId="16" xfId="39" applyFont="1" applyBorder="1" applyAlignment="1">
      <alignment horizontal="center" vertical="center"/>
    </xf>
    <xf numFmtId="0" fontId="5" fillId="0" borderId="17" xfId="39" applyFont="1" applyBorder="1" applyAlignment="1">
      <alignment horizontal="center" vertical="center"/>
    </xf>
    <xf numFmtId="0" fontId="5" fillId="0" borderId="18" xfId="39" applyFont="1" applyBorder="1" applyAlignment="1">
      <alignment horizontal="center" vertical="center"/>
    </xf>
    <xf numFmtId="0" fontId="51" fillId="0" borderId="0" xfId="39" applyFont="1" applyBorder="1" applyAlignment="1">
      <alignment horizontal="center"/>
    </xf>
    <xf numFmtId="0" fontId="52" fillId="0" borderId="0" xfId="39" applyFont="1" applyBorder="1" applyAlignment="1">
      <alignment horizontal="center"/>
    </xf>
    <xf numFmtId="0" fontId="32" fillId="0" borderId="0" xfId="0" applyFont="1" applyAlignment="1">
      <alignment horizontal="center"/>
    </xf>
    <xf numFmtId="0" fontId="46" fillId="0" borderId="0" xfId="0" applyFont="1" applyFill="1" applyBorder="1" applyAlignment="1">
      <alignment horizontal="center" shrinkToFit="1"/>
    </xf>
    <xf numFmtId="0" fontId="49" fillId="0" borderId="0" xfId="0" applyNumberFormat="1" applyFont="1" applyFill="1" applyBorder="1" applyAlignment="1" applyProtection="1">
      <alignment shrinkToFit="1"/>
    </xf>
    <xf numFmtId="0" fontId="0" fillId="0" borderId="0" xfId="0" applyFill="1" applyAlignment="1">
      <alignment shrinkToFit="1"/>
    </xf>
    <xf numFmtId="0" fontId="25" fillId="0" borderId="0" xfId="0" applyFont="1" applyFill="1" applyAlignment="1">
      <alignment horizontal="center" shrinkToFit="1"/>
    </xf>
    <xf numFmtId="0" fontId="47" fillId="0" borderId="66" xfId="0" applyNumberFormat="1" applyFont="1" applyFill="1" applyBorder="1" applyAlignment="1" applyProtection="1">
      <alignment horizontal="center" wrapText="1"/>
    </xf>
    <xf numFmtId="0" fontId="47" fillId="0" borderId="27" xfId="0" applyNumberFormat="1" applyFont="1" applyFill="1" applyBorder="1" applyAlignment="1" applyProtection="1">
      <alignment horizontal="center" wrapText="1"/>
    </xf>
    <xf numFmtId="0" fontId="47" fillId="0" borderId="71" xfId="0" applyNumberFormat="1" applyFont="1" applyFill="1" applyBorder="1" applyAlignment="1" applyProtection="1">
      <alignment horizontal="center" wrapText="1"/>
    </xf>
    <xf numFmtId="10" fontId="47" fillId="0" borderId="67" xfId="0" applyNumberFormat="1" applyFont="1" applyFill="1" applyBorder="1" applyAlignment="1" applyProtection="1">
      <alignment horizontal="center" wrapText="1"/>
    </xf>
    <xf numFmtId="10" fontId="47" fillId="0" borderId="76" xfId="0" applyNumberFormat="1" applyFont="1" applyFill="1" applyBorder="1" applyAlignment="1" applyProtection="1">
      <alignment horizontal="center" wrapText="1"/>
    </xf>
    <xf numFmtId="10" fontId="47" fillId="0" borderId="77" xfId="0" applyNumberFormat="1" applyFont="1" applyFill="1" applyBorder="1" applyAlignment="1" applyProtection="1">
      <alignment horizontal="center" wrapText="1"/>
    </xf>
    <xf numFmtId="0" fontId="19" fillId="0" borderId="5" xfId="0" applyFont="1" applyFill="1" applyBorder="1" applyAlignment="1">
      <alignment horizontal="center"/>
    </xf>
    <xf numFmtId="10" fontId="48" fillId="0" borderId="5" xfId="0" applyNumberFormat="1" applyFont="1" applyFill="1" applyBorder="1" applyAlignment="1" applyProtection="1">
      <alignment horizontal="center" textRotation="90" shrinkToFit="1"/>
    </xf>
    <xf numFmtId="10" fontId="48" fillId="0" borderId="28" xfId="0" applyNumberFormat="1" applyFont="1" applyFill="1" applyBorder="1" applyAlignment="1" applyProtection="1">
      <alignment horizontal="center" textRotation="90" shrinkToFit="1"/>
    </xf>
    <xf numFmtId="10" fontId="47" fillId="0" borderId="5" xfId="0" applyNumberFormat="1" applyFont="1" applyFill="1" applyBorder="1" applyAlignment="1" applyProtection="1">
      <alignment horizontal="center" textRotation="90" shrinkToFit="1"/>
    </xf>
    <xf numFmtId="10" fontId="47" fillId="0" borderId="28" xfId="0" applyNumberFormat="1" applyFont="1" applyFill="1" applyBorder="1" applyAlignment="1" applyProtection="1">
      <alignment horizontal="center" textRotation="90" shrinkToFit="1"/>
    </xf>
    <xf numFmtId="0" fontId="47" fillId="0" borderId="5" xfId="0" applyNumberFormat="1" applyFont="1" applyFill="1" applyBorder="1" applyAlignment="1" applyProtection="1">
      <alignment horizontal="center" textRotation="90" wrapText="1"/>
    </xf>
    <xf numFmtId="0" fontId="47" fillId="0" borderId="28" xfId="0" applyNumberFormat="1" applyFont="1" applyFill="1" applyBorder="1" applyAlignment="1" applyProtection="1">
      <alignment horizontal="center" textRotation="90" wrapText="1"/>
    </xf>
    <xf numFmtId="0" fontId="47" fillId="0" borderId="5" xfId="0" applyNumberFormat="1" applyFont="1" applyFill="1" applyBorder="1" applyAlignment="1" applyProtection="1">
      <alignment horizontal="center" wrapText="1"/>
    </xf>
    <xf numFmtId="0" fontId="47" fillId="0" borderId="28" xfId="0" applyNumberFormat="1" applyFont="1" applyFill="1" applyBorder="1" applyAlignment="1" applyProtection="1">
      <alignment horizontal="center" wrapText="1"/>
    </xf>
    <xf numFmtId="0" fontId="19" fillId="0" borderId="5" xfId="0" applyFont="1" applyFill="1" applyBorder="1" applyAlignment="1">
      <alignment horizontal="center" textRotation="90"/>
    </xf>
    <xf numFmtId="0" fontId="19" fillId="0" borderId="28" xfId="0" applyFont="1" applyFill="1" applyBorder="1" applyAlignment="1">
      <alignment horizontal="center" textRotation="90"/>
    </xf>
    <xf numFmtId="9" fontId="47" fillId="0" borderId="5" xfId="0" applyNumberFormat="1" applyFont="1" applyFill="1" applyBorder="1" applyAlignment="1" applyProtection="1">
      <alignment horizontal="center" textRotation="90" shrinkToFit="1"/>
    </xf>
    <xf numFmtId="9" fontId="47" fillId="0" borderId="28" xfId="0" applyNumberFormat="1" applyFont="1" applyFill="1" applyBorder="1" applyAlignment="1" applyProtection="1">
      <alignment horizontal="center" textRotation="90" shrinkToFit="1"/>
    </xf>
    <xf numFmtId="0" fontId="19" fillId="0" borderId="57" xfId="0" applyFont="1" applyFill="1" applyBorder="1" applyAlignment="1">
      <alignment horizontal="center" textRotation="90"/>
    </xf>
    <xf numFmtId="0" fontId="19" fillId="0" borderId="30" xfId="0" applyFont="1" applyFill="1" applyBorder="1" applyAlignment="1">
      <alignment horizontal="center" textRotation="90"/>
    </xf>
    <xf numFmtId="0" fontId="19" fillId="0" borderId="31" xfId="0" applyFont="1" applyFill="1" applyBorder="1" applyAlignment="1">
      <alignment horizontal="center" textRotation="90"/>
    </xf>
    <xf numFmtId="0" fontId="19" fillId="0" borderId="55" xfId="0" applyFont="1" applyFill="1" applyBorder="1" applyAlignment="1">
      <alignment horizontal="center" textRotation="90"/>
    </xf>
    <xf numFmtId="0" fontId="19" fillId="0" borderId="55" xfId="0" applyFont="1" applyFill="1" applyBorder="1" applyAlignment="1">
      <alignment horizontal="center"/>
    </xf>
    <xf numFmtId="0" fontId="46" fillId="0" borderId="74" xfId="0" applyFont="1" applyFill="1" applyBorder="1" applyAlignment="1">
      <alignment horizontal="center" shrinkToFit="1"/>
    </xf>
    <xf numFmtId="0" fontId="46" fillId="0" borderId="75" xfId="0" applyFont="1" applyFill="1" applyBorder="1" applyAlignment="1">
      <alignment horizontal="center" shrinkToFit="1"/>
    </xf>
    <xf numFmtId="40" fontId="71" fillId="0" borderId="0" xfId="42" applyNumberFormat="1" applyFont="1" applyFill="1" applyBorder="1" applyAlignment="1">
      <alignment horizontal="center"/>
    </xf>
    <xf numFmtId="0" fontId="71" fillId="0" borderId="0" xfId="42" applyFont="1" applyFill="1" applyBorder="1" applyAlignment="1">
      <alignment horizontal="center"/>
    </xf>
    <xf numFmtId="40" fontId="80" fillId="0" borderId="0" xfId="39" applyNumberFormat="1" applyFont="1" applyAlignment="1">
      <alignment horizontal="center"/>
    </xf>
    <xf numFmtId="0" fontId="71" fillId="0" borderId="5" xfId="42" applyFont="1" applyFill="1" applyBorder="1" applyAlignment="1">
      <alignment horizontal="left"/>
    </xf>
    <xf numFmtId="0" fontId="11" fillId="0" borderId="5" xfId="42" applyFont="1" applyFill="1" applyBorder="1" applyAlignment="1">
      <alignment horizontal="left"/>
    </xf>
    <xf numFmtId="0" fontId="79" fillId="0" borderId="5" xfId="42" applyFont="1" applyFill="1" applyBorder="1" applyAlignment="1">
      <alignment horizontal="left"/>
    </xf>
    <xf numFmtId="0" fontId="79" fillId="0" borderId="28" xfId="42" applyFont="1" applyFill="1" applyBorder="1" applyAlignment="1">
      <alignment horizontal="left"/>
    </xf>
    <xf numFmtId="0" fontId="71" fillId="0" borderId="5" xfId="44" applyFont="1" applyFill="1" applyBorder="1" applyAlignment="1">
      <alignment horizontal="left" wrapText="1"/>
    </xf>
    <xf numFmtId="0" fontId="11" fillId="0" borderId="5" xfId="44" applyFont="1" applyFill="1" applyBorder="1" applyAlignment="1">
      <alignment horizontal="left" wrapText="1"/>
    </xf>
    <xf numFmtId="0" fontId="71" fillId="0" borderId="5" xfId="42" applyFont="1" applyFill="1" applyBorder="1" applyAlignment="1">
      <alignment horizontal="left" wrapText="1"/>
    </xf>
    <xf numFmtId="0" fontId="79" fillId="0" borderId="5" xfId="44" applyFont="1" applyFill="1" applyBorder="1" applyAlignment="1">
      <alignment horizontal="left" wrapText="1"/>
    </xf>
    <xf numFmtId="0" fontId="11" fillId="0" borderId="5" xfId="42" applyFont="1" applyFill="1" applyBorder="1" applyAlignment="1">
      <alignment horizontal="left" wrapText="1"/>
    </xf>
    <xf numFmtId="0" fontId="71" fillId="0" borderId="28" xfId="42" applyFont="1" applyFill="1" applyBorder="1" applyAlignment="1">
      <alignment horizontal="left" wrapText="1"/>
    </xf>
    <xf numFmtId="40" fontId="83" fillId="0" borderId="0" xfId="42" applyNumberFormat="1" applyFont="1" applyFill="1" applyBorder="1" applyAlignment="1">
      <alignment horizontal="center"/>
    </xf>
    <xf numFmtId="2" fontId="71" fillId="0" borderId="3" xfId="42" applyNumberFormat="1" applyFont="1" applyFill="1" applyBorder="1" applyAlignment="1">
      <alignment horizontal="center" wrapText="1"/>
    </xf>
    <xf numFmtId="2" fontId="71" fillId="0" borderId="2" xfId="42" applyNumberFormat="1" applyFont="1" applyFill="1" applyBorder="1" applyAlignment="1">
      <alignment horizontal="center" wrapText="1"/>
    </xf>
    <xf numFmtId="2" fontId="71" fillId="0" borderId="1" xfId="42" applyNumberFormat="1" applyFont="1" applyFill="1" applyBorder="1" applyAlignment="1">
      <alignment horizontal="center" wrapText="1"/>
    </xf>
    <xf numFmtId="0" fontId="83" fillId="0" borderId="7" xfId="42" applyFont="1" applyFill="1" applyBorder="1" applyAlignment="1">
      <alignment horizontal="center" wrapText="1"/>
    </xf>
    <xf numFmtId="0" fontId="83" fillId="0" borderId="72" xfId="42" applyFont="1" applyFill="1" applyBorder="1" applyAlignment="1">
      <alignment horizontal="center" wrapText="1"/>
    </xf>
    <xf numFmtId="0" fontId="83" fillId="0" borderId="4" xfId="42" applyFont="1" applyFill="1" applyBorder="1" applyAlignment="1">
      <alignment horizontal="center" wrapText="1"/>
    </xf>
    <xf numFmtId="0" fontId="71" fillId="0" borderId="78" xfId="42" applyFont="1" applyFill="1" applyBorder="1" applyAlignment="1">
      <alignment horizontal="left" wrapText="1"/>
    </xf>
    <xf numFmtId="0" fontId="71" fillId="0" borderId="55" xfId="42" applyFont="1" applyFill="1" applyBorder="1" applyAlignment="1">
      <alignment horizontal="left" wrapText="1"/>
    </xf>
    <xf numFmtId="0" fontId="11" fillId="0" borderId="2" xfId="42" applyFont="1" applyFill="1" applyBorder="1" applyAlignment="1">
      <alignment horizontal="center" wrapText="1"/>
    </xf>
    <xf numFmtId="0" fontId="11" fillId="0" borderId="1" xfId="42" applyFont="1" applyFill="1" applyBorder="1" applyAlignment="1">
      <alignment horizontal="center" wrapText="1"/>
    </xf>
    <xf numFmtId="0" fontId="71" fillId="0" borderId="2" xfId="42" applyFont="1" applyFill="1" applyBorder="1" applyAlignment="1">
      <alignment horizontal="left" wrapText="1"/>
    </xf>
    <xf numFmtId="0" fontId="71" fillId="0" borderId="1" xfId="42" applyFont="1" applyFill="1" applyBorder="1" applyAlignment="1">
      <alignment horizontal="left" wrapText="1"/>
    </xf>
    <xf numFmtId="0" fontId="79" fillId="0" borderId="1" xfId="42" applyFont="1" applyFill="1" applyBorder="1" applyAlignment="1">
      <alignment horizontal="left" wrapText="1"/>
    </xf>
    <xf numFmtId="0" fontId="79" fillId="0" borderId="5" xfId="42" applyFont="1" applyFill="1" applyBorder="1" applyAlignment="1">
      <alignment horizontal="left" wrapText="1"/>
    </xf>
    <xf numFmtId="0" fontId="11" fillId="0" borderId="2" xfId="42" applyFont="1" applyFill="1" applyBorder="1" applyAlignment="1">
      <alignment horizontal="left" wrapText="1"/>
    </xf>
    <xf numFmtId="0" fontId="11" fillId="0" borderId="1" xfId="42" applyFont="1" applyFill="1" applyBorder="1" applyAlignment="1">
      <alignment horizontal="left" wrapText="1"/>
    </xf>
    <xf numFmtId="2" fontId="83" fillId="0" borderId="0" xfId="42" applyNumberFormat="1" applyFont="1" applyFill="1" applyBorder="1" applyAlignment="1">
      <alignment horizontal="center" wrapText="1"/>
    </xf>
    <xf numFmtId="2" fontId="83" fillId="0" borderId="52" xfId="42" applyNumberFormat="1" applyFont="1" applyFill="1" applyBorder="1" applyAlignment="1">
      <alignment horizontal="center" wrapText="1"/>
    </xf>
    <xf numFmtId="40" fontId="36" fillId="0" borderId="0" xfId="42" applyNumberFormat="1" applyFont="1" applyBorder="1" applyAlignment="1">
      <alignment horizontal="center"/>
    </xf>
    <xf numFmtId="0" fontId="36" fillId="0" borderId="0" xfId="42" applyFont="1" applyBorder="1" applyAlignment="1">
      <alignment horizontal="center"/>
    </xf>
    <xf numFmtId="40" fontId="21" fillId="0" borderId="0" xfId="39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2" fillId="0" borderId="0" xfId="0" applyFont="1" applyAlignment="1">
      <alignment horizontal="center"/>
    </xf>
  </cellXfs>
  <cellStyles count="51">
    <cellStyle name="Comma" xfId="1" builtinId="3"/>
    <cellStyle name="Comma [0] 2" xfId="2"/>
    <cellStyle name="Comma [0] 2 2" xfId="3"/>
    <cellStyle name="Comma [0] 3" xfId="4"/>
    <cellStyle name="Comma 10" xfId="5"/>
    <cellStyle name="Comma 11" xfId="6"/>
    <cellStyle name="Comma 11 2" xfId="7"/>
    <cellStyle name="Comma 12" xfId="8"/>
    <cellStyle name="Comma 13" xfId="9"/>
    <cellStyle name="Comma 2" xfId="10"/>
    <cellStyle name="Comma 3" xfId="11"/>
    <cellStyle name="Comma 3 2" xfId="12"/>
    <cellStyle name="Comma 4" xfId="13"/>
    <cellStyle name="Comma 5" xfId="14"/>
    <cellStyle name="Comma 5 2" xfId="15"/>
    <cellStyle name="Comma 6" xfId="16"/>
    <cellStyle name="Comma 6 2" xfId="17"/>
    <cellStyle name="Comma 6 3" xfId="18"/>
    <cellStyle name="Comma 7" xfId="19"/>
    <cellStyle name="Comma 7 2" xfId="20"/>
    <cellStyle name="Comma 8" xfId="21"/>
    <cellStyle name="Comma 9" xfId="22"/>
    <cellStyle name="Comma 9 2" xfId="23"/>
    <cellStyle name="Comma 9 2 2" xfId="24"/>
    <cellStyle name="Comma_21.Aktivet Afatgjata Materiale  09" xfId="25"/>
    <cellStyle name="Currency 2" xfId="26"/>
    <cellStyle name="Currency 2 2" xfId="27"/>
    <cellStyle name="Currency 3" xfId="28"/>
    <cellStyle name="Currency 3 2" xfId="29"/>
    <cellStyle name="Hyperlink 2" xfId="30"/>
    <cellStyle name="Migliaia 2" xfId="31"/>
    <cellStyle name="Migliaia 2 2" xfId="32"/>
    <cellStyle name="Normal" xfId="0" builtinId="0"/>
    <cellStyle name="Normal 2" xfId="33"/>
    <cellStyle name="Normal 2 2" xfId="34"/>
    <cellStyle name="Normal 3" xfId="35"/>
    <cellStyle name="Normal 4" xfId="36"/>
    <cellStyle name="Normal 5" xfId="37"/>
    <cellStyle name="Normal 6" xfId="38"/>
    <cellStyle name="Normal 7" xfId="39"/>
    <cellStyle name="Normal 7 2" xfId="40"/>
    <cellStyle name="Normal 8" xfId="41"/>
    <cellStyle name="Normal_asn_2009 Propozimet" xfId="42"/>
    <cellStyle name="Normal_FLORI" xfId="43"/>
    <cellStyle name="Normal_Sheet2" xfId="44"/>
    <cellStyle name="Normal_Staff Loan 2001" xfId="45"/>
    <cellStyle name="Normale 2" xfId="46"/>
    <cellStyle name="Normale_BILANCIO FKT 1997" xfId="47"/>
    <cellStyle name="Percent" xfId="48" builtinId="5"/>
    <cellStyle name="Percent 2" xfId="49"/>
    <cellStyle name="Percent 3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1" name="Line 227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2" name="Line 268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3" name="Line 309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4" name="Line 350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5" name="Line 391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6" name="Line 432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7" name="Line 473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8" name="Line 514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49" name="Line 227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0" name="Line 268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1" name="Line 309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2" name="Line 350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3" name="Line 391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4" name="Line 432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5" name="Line 473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6" name="Line 514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7" name="Line 227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8" name="Line 268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59" name="Line 309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0" name="Line 350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1" name="Line 391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2" name="Line 432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3" name="Line 473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4" name="Line 514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5" name="Line 227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6" name="Line 268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7" name="Line 309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8" name="Line 350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69" name="Line 391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70" name="Line 432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71" name="Line 473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62</xdr:row>
      <xdr:rowOff>0</xdr:rowOff>
    </xdr:from>
    <xdr:to>
      <xdr:col>5</xdr:col>
      <xdr:colOff>419100</xdr:colOff>
      <xdr:row>62</xdr:row>
      <xdr:rowOff>0</xdr:rowOff>
    </xdr:to>
    <xdr:sp macro="" textlink="">
      <xdr:nvSpPr>
        <xdr:cNvPr id="82272" name="Line 514"/>
        <xdr:cNvSpPr>
          <a:spLocks noChangeShapeType="1"/>
        </xdr:cNvSpPr>
      </xdr:nvSpPr>
      <xdr:spPr bwMode="auto">
        <a:xfrm flipH="1">
          <a:off x="8724900" y="16716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3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4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5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6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7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8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79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0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1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2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3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4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5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6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7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8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89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0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1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2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3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4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5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6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7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8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299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0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1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2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3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4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5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6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7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8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09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0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1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2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3" name="Line 227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4" name="Line 268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5" name="Line 309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6" name="Line 350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7" name="Line 391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8" name="Line 432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19" name="Line 473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136</xdr:row>
      <xdr:rowOff>0</xdr:rowOff>
    </xdr:from>
    <xdr:to>
      <xdr:col>5</xdr:col>
      <xdr:colOff>419100</xdr:colOff>
      <xdr:row>136</xdr:row>
      <xdr:rowOff>0</xdr:rowOff>
    </xdr:to>
    <xdr:sp macro="" textlink="">
      <xdr:nvSpPr>
        <xdr:cNvPr id="82320" name="Line 514"/>
        <xdr:cNvSpPr>
          <a:spLocks noChangeShapeType="1"/>
        </xdr:cNvSpPr>
      </xdr:nvSpPr>
      <xdr:spPr bwMode="auto">
        <a:xfrm flipH="1">
          <a:off x="8724900" y="365283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1" name="Line 227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2" name="Line 268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3" name="Line 309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4" name="Line 350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5" name="Line 391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6" name="Line 432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7" name="Line 473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8" name="Line 514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29" name="Line 227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0" name="Line 268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1" name="Line 309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2" name="Line 350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3" name="Line 391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4" name="Line 432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5" name="Line 473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10</xdr:row>
      <xdr:rowOff>0</xdr:rowOff>
    </xdr:from>
    <xdr:to>
      <xdr:col>5</xdr:col>
      <xdr:colOff>419100</xdr:colOff>
      <xdr:row>10</xdr:row>
      <xdr:rowOff>0</xdr:rowOff>
    </xdr:to>
    <xdr:sp macro="" textlink="">
      <xdr:nvSpPr>
        <xdr:cNvPr id="82336" name="Line 514"/>
        <xdr:cNvSpPr>
          <a:spLocks noChangeShapeType="1"/>
        </xdr:cNvSpPr>
      </xdr:nvSpPr>
      <xdr:spPr bwMode="auto">
        <a:xfrm flipH="1">
          <a:off x="8724900" y="257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37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38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39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0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1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2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3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4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5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6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7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8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49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0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1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2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3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4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5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6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7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8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59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0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1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2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3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4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5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6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7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8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69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0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1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2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3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4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5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6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7" name="Line 227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8" name="Line 268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79" name="Line 309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80" name="Line 350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81" name="Line 391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82" name="Line 432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83" name="Line 473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419100</xdr:colOff>
      <xdr:row>94</xdr:row>
      <xdr:rowOff>0</xdr:rowOff>
    </xdr:from>
    <xdr:to>
      <xdr:col>5</xdr:col>
      <xdr:colOff>419100</xdr:colOff>
      <xdr:row>94</xdr:row>
      <xdr:rowOff>0</xdr:rowOff>
    </xdr:to>
    <xdr:sp macro="" textlink="">
      <xdr:nvSpPr>
        <xdr:cNvPr id="82384" name="Line 514"/>
        <xdr:cNvSpPr>
          <a:spLocks noChangeShapeType="1"/>
        </xdr:cNvSpPr>
      </xdr:nvSpPr>
      <xdr:spPr bwMode="auto">
        <a:xfrm flipH="1">
          <a:off x="872490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85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86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87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88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89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0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1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2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3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4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5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6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7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8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399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0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1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2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3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4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5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6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7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8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09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0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1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2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3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4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5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6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7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8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19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0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1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2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3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4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5" name="Line 227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6" name="Line 268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7" name="Line 309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8" name="Line 350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29" name="Line 391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30" name="Line 432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31" name="Line 473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419100</xdr:colOff>
      <xdr:row>94</xdr:row>
      <xdr:rowOff>0</xdr:rowOff>
    </xdr:from>
    <xdr:to>
      <xdr:col>4</xdr:col>
      <xdr:colOff>419100</xdr:colOff>
      <xdr:row>94</xdr:row>
      <xdr:rowOff>0</xdr:rowOff>
    </xdr:to>
    <xdr:sp macro="" textlink="">
      <xdr:nvSpPr>
        <xdr:cNvPr id="82432" name="Line 514"/>
        <xdr:cNvSpPr>
          <a:spLocks noChangeShapeType="1"/>
        </xdr:cNvSpPr>
      </xdr:nvSpPr>
      <xdr:spPr bwMode="auto">
        <a:xfrm flipH="1">
          <a:off x="7372350" y="249078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11</xdr:col>
      <xdr:colOff>85725</xdr:colOff>
      <xdr:row>54</xdr:row>
      <xdr:rowOff>104775</xdr:rowOff>
    </xdr:to>
    <xdr:sp macro="" textlink="">
      <xdr:nvSpPr>
        <xdr:cNvPr id="2" name="Bevel 1"/>
        <xdr:cNvSpPr/>
      </xdr:nvSpPr>
      <xdr:spPr>
        <a:xfrm>
          <a:off x="447675" y="152400"/>
          <a:ext cx="6048375" cy="901065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%20HB-%2031.12.2016%20Taxa%20Forma%20Vjeter%20%20-%20Cop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%20Alfa/Downloads/BILANCI%20%20%20%20%20VERIFIKUES%20%20VITI%202016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%20Alfa/Downloads/OK%20%20ASSETE%20%202016%20%20SIPAS%20%20GRUPE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%20Alfa/Downloads/ZHANI/SHPENZIME%20-CENTRALIZATOR%20-%202016/OK%20DHJETOR%20%20%20SHPENZIME%20%20-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%20Alfa/Downloads/OK%20DHJETOR%20%20%20SHPENZIME%20%20-%202016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jendja e llog 31.12.16"/>
      <sheetName val="Amortizimi (2)"/>
      <sheetName val="Assets  (2)"/>
      <sheetName val="Soc.Insur (OK )"/>
      <sheetName val="Aktiv"/>
      <sheetName val="Pasiv "/>
      <sheetName val="shpenzime"/>
      <sheetName val="Ardhura "/>
      <sheetName val="sherbime"/>
      <sheetName val="Deklar.Tatim Fitimit "/>
      <sheetName val="Assets "/>
      <sheetName val="Amortizimi"/>
      <sheetName val="Dekl .TVSH"/>
      <sheetName val="Bank&amp; cash "/>
    </sheetNames>
    <sheetDataSet>
      <sheetData sheetId="0" refreshError="1"/>
      <sheetData sheetId="1" refreshError="1">
        <row r="18">
          <cell r="L18">
            <v>-1.999999993131496E-3</v>
          </cell>
        </row>
        <row r="20">
          <cell r="L20">
            <v>0</v>
          </cell>
        </row>
      </sheetData>
      <sheetData sheetId="2" refreshError="1">
        <row r="20">
          <cell r="K20">
            <v>0</v>
          </cell>
        </row>
        <row r="22">
          <cell r="K22">
            <v>0</v>
          </cell>
        </row>
      </sheetData>
      <sheetData sheetId="3" refreshError="1">
        <row r="27">
          <cell r="E27">
            <v>28579</v>
          </cell>
        </row>
        <row r="28">
          <cell r="E28">
            <v>4841306</v>
          </cell>
        </row>
      </sheetData>
      <sheetData sheetId="4" refreshError="1"/>
      <sheetData sheetId="5" refreshError="1">
        <row r="14">
          <cell r="H14">
            <v>-419621668.24000001</v>
          </cell>
        </row>
        <row r="15">
          <cell r="H15">
            <v>-11092756.799999982</v>
          </cell>
        </row>
      </sheetData>
      <sheetData sheetId="6" refreshError="1">
        <row r="47">
          <cell r="H47">
            <v>-14054014.5</v>
          </cell>
        </row>
      </sheetData>
      <sheetData sheetId="7" refreshError="1"/>
      <sheetData sheetId="8" refreshError="1"/>
      <sheetData sheetId="9" refreshError="1"/>
      <sheetData sheetId="10" refreshError="1">
        <row r="16">
          <cell r="K16">
            <v>26723688</v>
          </cell>
        </row>
        <row r="17">
          <cell r="K17">
            <v>47836198.799999997</v>
          </cell>
        </row>
        <row r="18">
          <cell r="K18">
            <v>2583334</v>
          </cell>
        </row>
        <row r="19">
          <cell r="K19">
            <v>16482076</v>
          </cell>
        </row>
        <row r="21">
          <cell r="K21">
            <v>987000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entraliz  (3)"/>
      <sheetName val="centraliz  (2)"/>
      <sheetName val="5%Taxe Bashkia-16"/>
    </sheetNames>
    <sheetDataSet>
      <sheetData sheetId="0" refreshError="1"/>
      <sheetData sheetId="1">
        <row r="6">
          <cell r="N6">
            <v>1820800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ssete   &amp; Amort per dosje)"/>
      <sheetName val="Amortizimi"/>
      <sheetName val="Assets "/>
      <sheetName val="2016 (3)"/>
      <sheetName val="OK LLOG Assete   &amp; Amort -16"/>
      <sheetName val="Sheet1"/>
      <sheetName val="AAGJ Materiale - 2015"/>
      <sheetName val="pasqyra 4 2015"/>
      <sheetName val="2016"/>
      <sheetName val="Jashte Perdorimit "/>
    </sheetNames>
    <sheetDataSet>
      <sheetData sheetId="0">
        <row r="144">
          <cell r="H144">
            <v>44059</v>
          </cell>
        </row>
        <row r="200">
          <cell r="H200">
            <v>62318.75</v>
          </cell>
        </row>
      </sheetData>
      <sheetData sheetId="1">
        <row r="21">
          <cell r="M21">
            <v>283264279.13683343</v>
          </cell>
        </row>
      </sheetData>
      <sheetData sheetId="2"/>
      <sheetData sheetId="3"/>
      <sheetData sheetId="4">
        <row r="18">
          <cell r="H18">
            <v>415493.4</v>
          </cell>
        </row>
        <row r="53">
          <cell r="H53">
            <v>26846.999999999993</v>
          </cell>
        </row>
        <row r="108">
          <cell r="H108"/>
        </row>
        <row r="136">
          <cell r="H136">
            <v>265829.2</v>
          </cell>
        </row>
        <row r="190">
          <cell r="H190">
            <v>0</v>
          </cell>
        </row>
        <row r="220">
          <cell r="F220">
            <v>56160</v>
          </cell>
        </row>
        <row r="222">
          <cell r="H222"/>
        </row>
      </sheetData>
      <sheetData sheetId="5"/>
      <sheetData sheetId="6"/>
      <sheetData sheetId="7">
        <row r="8">
          <cell r="G8">
            <v>8189829</v>
          </cell>
        </row>
        <row r="9">
          <cell r="G9">
            <v>10731903</v>
          </cell>
        </row>
        <row r="10">
          <cell r="G10">
            <v>208013934</v>
          </cell>
        </row>
        <row r="11">
          <cell r="G11">
            <v>20085995</v>
          </cell>
        </row>
        <row r="12">
          <cell r="G12">
            <v>6499184</v>
          </cell>
        </row>
        <row r="13">
          <cell r="G13">
            <v>1780029</v>
          </cell>
        </row>
        <row r="14">
          <cell r="G14">
            <v>631258364</v>
          </cell>
        </row>
        <row r="16">
          <cell r="G16">
            <v>12897618</v>
          </cell>
        </row>
        <row r="25">
          <cell r="G25">
            <v>5171560</v>
          </cell>
        </row>
        <row r="26">
          <cell r="G26">
            <v>148128826</v>
          </cell>
        </row>
        <row r="27">
          <cell r="G27">
            <v>18008529</v>
          </cell>
        </row>
        <row r="28">
          <cell r="G28">
            <v>5326329</v>
          </cell>
        </row>
        <row r="29">
          <cell r="G29">
            <v>1598234</v>
          </cell>
        </row>
        <row r="30">
          <cell r="G30">
            <v>398984088</v>
          </cell>
        </row>
        <row r="31">
          <cell r="G31">
            <v>915996</v>
          </cell>
        </row>
        <row r="32">
          <cell r="G32">
            <v>7093715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t -9 Ok "/>
      <sheetName val="Ardh Analit "/>
      <sheetName val="Shp Analitik"/>
      <sheetName val="sig shoq"/>
      <sheetName val="pasqyre tvsh "/>
      <sheetName val="Shpenz Panjorura"/>
      <sheetName val="Llog Amortiz "/>
    </sheetNames>
    <sheetDataSet>
      <sheetData sheetId="0"/>
      <sheetData sheetId="1">
        <row r="11">
          <cell r="E11">
            <v>8654733</v>
          </cell>
        </row>
        <row r="24">
          <cell r="E24">
            <v>9058974</v>
          </cell>
        </row>
        <row r="36">
          <cell r="E36">
            <v>9247309.7400000002</v>
          </cell>
        </row>
        <row r="48">
          <cell r="E48">
            <v>11102518</v>
          </cell>
        </row>
        <row r="62">
          <cell r="E62">
            <v>13546246</v>
          </cell>
        </row>
        <row r="75">
          <cell r="E75">
            <v>11438865.029999999</v>
          </cell>
        </row>
        <row r="88">
          <cell r="E88">
            <v>16397787</v>
          </cell>
        </row>
        <row r="101">
          <cell r="E101">
            <v>18680516</v>
          </cell>
        </row>
        <row r="115">
          <cell r="E115">
            <v>16388639.51</v>
          </cell>
        </row>
        <row r="129">
          <cell r="E129">
            <v>11158292.73</v>
          </cell>
        </row>
        <row r="143">
          <cell r="E143">
            <v>11084410</v>
          </cell>
        </row>
        <row r="157">
          <cell r="E157">
            <v>33061461.640000001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it -9 Ok "/>
      <sheetName val="Ardh Analit "/>
      <sheetName val="Shp Analitik"/>
      <sheetName val="sig shoq"/>
      <sheetName val="pasqyre tvsh "/>
      <sheetName val="Shpenz Panjorura"/>
      <sheetName val="Llog Amortiz "/>
    </sheetNames>
    <sheetDataSet>
      <sheetData sheetId="0"/>
      <sheetData sheetId="1">
        <row r="158">
          <cell r="E158">
            <v>169819752.65000004</v>
          </cell>
        </row>
      </sheetData>
      <sheetData sheetId="2">
        <row r="151">
          <cell r="D151">
            <v>166727788.48000002</v>
          </cell>
          <cell r="DA151">
            <v>591311.30000000005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opLeftCell="A19" workbookViewId="0">
      <selection activeCell="J34" sqref="J34"/>
    </sheetView>
  </sheetViews>
  <sheetFormatPr defaultRowHeight="11.25"/>
  <cols>
    <col min="1" max="1" width="5.140625" style="909" customWidth="1"/>
    <col min="2" max="2" width="12.5703125" style="909" customWidth="1"/>
    <col min="3" max="3" width="9.42578125" style="909" customWidth="1"/>
    <col min="4" max="4" width="10.28515625" style="909" customWidth="1"/>
    <col min="5" max="7" width="9.42578125" style="909" customWidth="1"/>
    <col min="8" max="8" width="11.140625" style="909" bestFit="1" customWidth="1"/>
    <col min="9" max="10" width="10.140625" style="909" bestFit="1" customWidth="1"/>
    <col min="11" max="12" width="9.140625" style="909"/>
    <col min="13" max="13" width="12.28515625" style="909" customWidth="1"/>
    <col min="14" max="16384" width="9.140625" style="909"/>
  </cols>
  <sheetData>
    <row r="1" spans="1:9">
      <c r="B1" s="910" t="s">
        <v>1010</v>
      </c>
    </row>
    <row r="2" spans="1:9">
      <c r="B2" s="911" t="s">
        <v>1011</v>
      </c>
    </row>
    <row r="3" spans="1:9">
      <c r="B3" s="911"/>
    </row>
    <row r="4" spans="1:9">
      <c r="B4" s="962" t="s">
        <v>1029</v>
      </c>
      <c r="C4" s="962"/>
      <c r="D4" s="962"/>
      <c r="E4" s="962"/>
      <c r="F4" s="962"/>
      <c r="G4" s="962"/>
    </row>
    <row r="5" spans="1:9" ht="12" thickBot="1"/>
    <row r="6" spans="1:9">
      <c r="A6" s="963" t="s">
        <v>0</v>
      </c>
      <c r="B6" s="965" t="s">
        <v>1012</v>
      </c>
      <c r="C6" s="965" t="s">
        <v>670</v>
      </c>
      <c r="D6" s="912" t="s">
        <v>1013</v>
      </c>
      <c r="E6" s="965" t="s">
        <v>1014</v>
      </c>
      <c r="F6" s="965" t="s">
        <v>737</v>
      </c>
      <c r="G6" s="913" t="s">
        <v>1013</v>
      </c>
    </row>
    <row r="7" spans="1:9">
      <c r="A7" s="964"/>
      <c r="B7" s="966"/>
      <c r="C7" s="966"/>
      <c r="D7" s="914">
        <v>42370</v>
      </c>
      <c r="E7" s="966"/>
      <c r="F7" s="966"/>
      <c r="G7" s="914">
        <v>42370</v>
      </c>
      <c r="H7" s="905"/>
      <c r="I7" s="905"/>
    </row>
    <row r="8" spans="1:9">
      <c r="A8" s="915">
        <v>1</v>
      </c>
      <c r="B8" s="907" t="s">
        <v>671</v>
      </c>
      <c r="C8" s="916"/>
      <c r="D8" s="917">
        <v>8189829</v>
      </c>
      <c r="E8" s="917"/>
      <c r="F8" s="917"/>
      <c r="G8" s="918">
        <f t="shared" ref="G8:G16" si="0">D8+E8-F8</f>
        <v>8189829</v>
      </c>
      <c r="H8" s="905"/>
      <c r="I8" s="905"/>
    </row>
    <row r="9" spans="1:9">
      <c r="A9" s="915">
        <v>2</v>
      </c>
      <c r="B9" s="907" t="s">
        <v>1015</v>
      </c>
      <c r="C9" s="916"/>
      <c r="D9" s="917">
        <v>10731903</v>
      </c>
      <c r="E9" s="917">
        <v>196000</v>
      </c>
      <c r="F9" s="917"/>
      <c r="G9" s="918">
        <f t="shared" si="0"/>
        <v>10927903</v>
      </c>
      <c r="H9" s="904"/>
      <c r="I9" s="904"/>
    </row>
    <row r="10" spans="1:9">
      <c r="A10" s="915">
        <v>3</v>
      </c>
      <c r="B10" s="907" t="s">
        <v>1016</v>
      </c>
      <c r="C10" s="916"/>
      <c r="D10" s="917">
        <v>208013934</v>
      </c>
      <c r="E10" s="917">
        <v>743050</v>
      </c>
      <c r="F10" s="917"/>
      <c r="G10" s="918">
        <f t="shared" si="0"/>
        <v>208756984</v>
      </c>
      <c r="H10" s="904"/>
      <c r="I10" s="904"/>
    </row>
    <row r="11" spans="1:9">
      <c r="A11" s="915">
        <v>4</v>
      </c>
      <c r="B11" s="907" t="s">
        <v>733</v>
      </c>
      <c r="C11" s="916"/>
      <c r="D11" s="917">
        <v>20085995</v>
      </c>
      <c r="E11" s="917"/>
      <c r="F11" s="917"/>
      <c r="G11" s="918">
        <f t="shared" si="0"/>
        <v>20085995</v>
      </c>
      <c r="H11" s="904"/>
      <c r="I11" s="904"/>
    </row>
    <row r="12" spans="1:9">
      <c r="A12" s="915">
        <v>5</v>
      </c>
      <c r="B12" s="907" t="s">
        <v>1017</v>
      </c>
      <c r="C12" s="916"/>
      <c r="D12" s="917">
        <v>6499184</v>
      </c>
      <c r="E12" s="919">
        <v>790000</v>
      </c>
      <c r="F12" s="917"/>
      <c r="G12" s="918">
        <f t="shared" si="0"/>
        <v>7289184</v>
      </c>
      <c r="H12" s="904"/>
      <c r="I12" s="904"/>
    </row>
    <row r="13" spans="1:9">
      <c r="A13" s="915">
        <v>1</v>
      </c>
      <c r="B13" s="907" t="s">
        <v>1018</v>
      </c>
      <c r="C13" s="916"/>
      <c r="D13" s="917">
        <v>1780029</v>
      </c>
      <c r="E13" s="917"/>
      <c r="F13" s="917"/>
      <c r="G13" s="918">
        <f t="shared" si="0"/>
        <v>1780029</v>
      </c>
      <c r="H13" s="904"/>
      <c r="I13" s="904"/>
    </row>
    <row r="14" spans="1:9">
      <c r="A14" s="915">
        <v>2</v>
      </c>
      <c r="B14" s="907" t="s">
        <v>1019</v>
      </c>
      <c r="C14" s="916"/>
      <c r="D14" s="917">
        <v>631258364</v>
      </c>
      <c r="E14" s="917">
        <v>5996296.3200000003</v>
      </c>
      <c r="F14" s="917"/>
      <c r="G14" s="918">
        <f t="shared" si="0"/>
        <v>637254660.32000005</v>
      </c>
      <c r="H14" s="905"/>
      <c r="I14" s="905"/>
    </row>
    <row r="15" spans="1:9">
      <c r="A15" s="915">
        <v>3</v>
      </c>
      <c r="B15" s="907" t="s">
        <v>1020</v>
      </c>
      <c r="C15" s="916"/>
      <c r="D15" s="917">
        <v>1820800</v>
      </c>
      <c r="E15" s="917"/>
      <c r="F15" s="917"/>
      <c r="G15" s="918">
        <f>D15+E15-F15</f>
        <v>1820800</v>
      </c>
      <c r="H15" s="905"/>
      <c r="I15" s="905"/>
    </row>
    <row r="16" spans="1:9" ht="12" thickBot="1">
      <c r="A16" s="920">
        <v>4</v>
      </c>
      <c r="B16" s="921" t="s">
        <v>1021</v>
      </c>
      <c r="C16" s="922"/>
      <c r="D16" s="923">
        <v>12897618</v>
      </c>
      <c r="E16" s="923"/>
      <c r="F16" s="923"/>
      <c r="G16" s="924">
        <f t="shared" si="0"/>
        <v>12897618</v>
      </c>
      <c r="H16" s="905"/>
      <c r="I16" s="905"/>
    </row>
    <row r="17" spans="1:9" ht="12" thickBot="1">
      <c r="A17" s="925"/>
      <c r="B17" s="926" t="s">
        <v>1022</v>
      </c>
      <c r="C17" s="927"/>
      <c r="D17" s="928">
        <f>SUM(D8:D16)</f>
        <v>901277656</v>
      </c>
      <c r="E17" s="928">
        <f>SUM(E8:E16)</f>
        <v>7725346.3200000003</v>
      </c>
      <c r="F17" s="928">
        <f>SUM(F8:F16)</f>
        <v>0</v>
      </c>
      <c r="G17" s="928">
        <f>SUM(G8:G16)</f>
        <v>909003002.32000005</v>
      </c>
      <c r="H17" s="929"/>
      <c r="I17" s="929"/>
    </row>
    <row r="20" spans="1:9">
      <c r="B20" s="962" t="s">
        <v>1030</v>
      </c>
      <c r="C20" s="962"/>
      <c r="D20" s="962"/>
      <c r="E20" s="962"/>
      <c r="F20" s="962"/>
      <c r="G20" s="962"/>
      <c r="I20" s="929"/>
    </row>
    <row r="21" spans="1:9" ht="12" thickBot="1"/>
    <row r="22" spans="1:9">
      <c r="A22" s="963" t="s">
        <v>0</v>
      </c>
      <c r="B22" s="965" t="s">
        <v>1012</v>
      </c>
      <c r="C22" s="965" t="s">
        <v>670</v>
      </c>
      <c r="D22" s="912" t="s">
        <v>1013</v>
      </c>
      <c r="E22" s="965" t="s">
        <v>1014</v>
      </c>
      <c r="F22" s="965" t="s">
        <v>737</v>
      </c>
      <c r="G22" s="913" t="s">
        <v>1013</v>
      </c>
    </row>
    <row r="23" spans="1:9">
      <c r="A23" s="964"/>
      <c r="B23" s="966"/>
      <c r="C23" s="966"/>
      <c r="D23" s="930">
        <v>42370</v>
      </c>
      <c r="E23" s="966"/>
      <c r="F23" s="966"/>
      <c r="G23" s="914">
        <v>42370</v>
      </c>
    </row>
    <row r="24" spans="1:9">
      <c r="A24" s="915">
        <v>1</v>
      </c>
      <c r="B24" s="908" t="s">
        <v>671</v>
      </c>
      <c r="C24" s="916"/>
      <c r="D24" s="917"/>
      <c r="E24" s="917">
        <f>E8</f>
        <v>0</v>
      </c>
      <c r="F24" s="917">
        <f>F8</f>
        <v>0</v>
      </c>
      <c r="G24" s="918">
        <f t="shared" ref="G24:G32" si="1">D24+E24-F24</f>
        <v>0</v>
      </c>
    </row>
    <row r="25" spans="1:9">
      <c r="A25" s="915">
        <v>2</v>
      </c>
      <c r="B25" s="908" t="s">
        <v>1015</v>
      </c>
      <c r="C25" s="916"/>
      <c r="D25" s="917">
        <v>5171560</v>
      </c>
      <c r="E25" s="917">
        <v>277208.71999999997</v>
      </c>
      <c r="F25" s="917"/>
      <c r="G25" s="918">
        <f t="shared" si="1"/>
        <v>5448768.7199999997</v>
      </c>
    </row>
    <row r="26" spans="1:9">
      <c r="A26" s="915">
        <v>3</v>
      </c>
      <c r="B26" s="907" t="s">
        <v>1023</v>
      </c>
      <c r="C26" s="916"/>
      <c r="D26" s="917">
        <v>148128826</v>
      </c>
      <c r="E26" s="917">
        <v>2525757.6</v>
      </c>
      <c r="F26" s="917"/>
      <c r="G26" s="918">
        <f t="shared" si="1"/>
        <v>150654583.59999999</v>
      </c>
    </row>
    <row r="27" spans="1:9">
      <c r="A27" s="915">
        <v>4</v>
      </c>
      <c r="B27" s="907" t="s">
        <v>733</v>
      </c>
      <c r="C27" s="916"/>
      <c r="D27" s="917">
        <v>18008529</v>
      </c>
      <c r="E27" s="917">
        <v>415493.4</v>
      </c>
      <c r="F27" s="917"/>
      <c r="G27" s="918">
        <f t="shared" si="1"/>
        <v>18424022.399999999</v>
      </c>
    </row>
    <row r="28" spans="1:9">
      <c r="A28" s="915">
        <v>5</v>
      </c>
      <c r="B28" s="907" t="s">
        <v>1017</v>
      </c>
      <c r="C28" s="916"/>
      <c r="D28" s="917">
        <v>5326329</v>
      </c>
      <c r="E28" s="917">
        <v>307825.75</v>
      </c>
      <c r="F28" s="917"/>
      <c r="G28" s="918">
        <f t="shared" si="1"/>
        <v>5634154.75</v>
      </c>
    </row>
    <row r="29" spans="1:9">
      <c r="A29" s="915">
        <v>1</v>
      </c>
      <c r="B29" s="907" t="s">
        <v>1018</v>
      </c>
      <c r="C29" s="916"/>
      <c r="D29" s="917">
        <v>1598234</v>
      </c>
      <c r="E29" s="917">
        <v>26847</v>
      </c>
      <c r="F29" s="917"/>
      <c r="G29" s="918">
        <f t="shared" si="1"/>
        <v>1625081</v>
      </c>
    </row>
    <row r="30" spans="1:9">
      <c r="A30" s="915">
        <v>2</v>
      </c>
      <c r="B30" s="907" t="s">
        <v>1024</v>
      </c>
      <c r="C30" s="916"/>
      <c r="D30" s="917">
        <v>398984088</v>
      </c>
      <c r="E30" s="917">
        <f>36053509.72-644881</f>
        <v>35408628.719999999</v>
      </c>
      <c r="F30" s="917"/>
      <c r="G30" s="918">
        <f t="shared" si="1"/>
        <v>434392716.72000003</v>
      </c>
    </row>
    <row r="31" spans="1:9">
      <c r="A31" s="915">
        <v>3</v>
      </c>
      <c r="B31" s="907" t="s">
        <v>1020</v>
      </c>
      <c r="C31" s="916"/>
      <c r="D31" s="917">
        <v>915996</v>
      </c>
      <c r="E31" s="917">
        <v>62318.75</v>
      </c>
      <c r="F31" s="917"/>
      <c r="G31" s="918">
        <f t="shared" si="1"/>
        <v>978314.75</v>
      </c>
    </row>
    <row r="32" spans="1:9" ht="12" thickBot="1">
      <c r="A32" s="920">
        <v>4</v>
      </c>
      <c r="B32" s="921" t="s">
        <v>1021</v>
      </c>
      <c r="C32" s="922"/>
      <c r="D32" s="923">
        <v>7093715</v>
      </c>
      <c r="E32" s="923">
        <v>644881</v>
      </c>
      <c r="F32" s="923"/>
      <c r="G32" s="924">
        <f t="shared" si="1"/>
        <v>7738596</v>
      </c>
    </row>
    <row r="33" spans="1:14" ht="12" thickBot="1">
      <c r="A33" s="925"/>
      <c r="B33" s="926" t="s">
        <v>1022</v>
      </c>
      <c r="C33" s="927"/>
      <c r="D33" s="931">
        <f>SUM(D24:D32)</f>
        <v>585227277</v>
      </c>
      <c r="E33" s="931">
        <f>SUM(E24:E32)</f>
        <v>39668960.939999998</v>
      </c>
      <c r="F33" s="931">
        <f>SUM(F24:F32)</f>
        <v>0</v>
      </c>
      <c r="G33" s="931">
        <f>SUM(G24:G32)</f>
        <v>624896237.94000006</v>
      </c>
      <c r="H33" s="932"/>
      <c r="I33" s="929"/>
      <c r="J33" s="929"/>
    </row>
    <row r="34" spans="1:14">
      <c r="G34" s="932"/>
    </row>
    <row r="36" spans="1:14">
      <c r="B36" s="962" t="s">
        <v>1031</v>
      </c>
      <c r="C36" s="962"/>
      <c r="D36" s="962"/>
      <c r="E36" s="962"/>
      <c r="F36" s="962"/>
      <c r="G36" s="962"/>
    </row>
    <row r="37" spans="1:14" ht="12" thickBot="1"/>
    <row r="38" spans="1:14">
      <c r="A38" s="963" t="s">
        <v>0</v>
      </c>
      <c r="B38" s="965" t="s">
        <v>1012</v>
      </c>
      <c r="C38" s="965" t="s">
        <v>670</v>
      </c>
      <c r="D38" s="912" t="s">
        <v>1013</v>
      </c>
      <c r="E38" s="965" t="s">
        <v>1014</v>
      </c>
      <c r="F38" s="965" t="s">
        <v>1025</v>
      </c>
      <c r="G38" s="933" t="s">
        <v>1013</v>
      </c>
    </row>
    <row r="39" spans="1:14">
      <c r="A39" s="964"/>
      <c r="B39" s="966"/>
      <c r="C39" s="966"/>
      <c r="D39" s="930">
        <v>42370</v>
      </c>
      <c r="E39" s="966"/>
      <c r="F39" s="966"/>
      <c r="G39" s="914">
        <v>42370</v>
      </c>
    </row>
    <row r="40" spans="1:14">
      <c r="A40" s="934">
        <v>1</v>
      </c>
      <c r="B40" s="908" t="s">
        <v>671</v>
      </c>
      <c r="C40" s="916">
        <v>16</v>
      </c>
      <c r="D40" s="917">
        <f t="shared" ref="D40:D48" si="2">D8-D24</f>
        <v>8189829</v>
      </c>
      <c r="E40" s="917">
        <f>E8</f>
        <v>0</v>
      </c>
      <c r="F40" s="917">
        <f t="shared" ref="F40:F48" si="3">E24+F24</f>
        <v>0</v>
      </c>
      <c r="G40" s="935">
        <f>G8-G24</f>
        <v>8189829</v>
      </c>
      <c r="H40" s="929"/>
    </row>
    <row r="41" spans="1:14">
      <c r="A41" s="934">
        <v>2</v>
      </c>
      <c r="B41" s="907" t="s">
        <v>1015</v>
      </c>
      <c r="C41" s="916"/>
      <c r="D41" s="917">
        <f t="shared" si="2"/>
        <v>5560343</v>
      </c>
      <c r="E41" s="917">
        <f t="shared" ref="E41:E48" si="4">E9</f>
        <v>196000</v>
      </c>
      <c r="F41" s="917">
        <f t="shared" si="3"/>
        <v>277208.71999999997</v>
      </c>
      <c r="G41" s="935">
        <f t="shared" ref="G41:G48" si="5">G9-G25</f>
        <v>5479134.2800000003</v>
      </c>
      <c r="H41" s="929"/>
      <c r="M41" s="905"/>
      <c r="N41" s="905"/>
    </row>
    <row r="42" spans="1:14">
      <c r="A42" s="934">
        <v>3</v>
      </c>
      <c r="B42" s="907" t="s">
        <v>1023</v>
      </c>
      <c r="C42" s="916"/>
      <c r="D42" s="917">
        <f t="shared" si="2"/>
        <v>59885108</v>
      </c>
      <c r="E42" s="917">
        <f t="shared" si="4"/>
        <v>743050</v>
      </c>
      <c r="F42" s="917">
        <f t="shared" si="3"/>
        <v>2525757.6</v>
      </c>
      <c r="G42" s="935">
        <f t="shared" si="5"/>
        <v>58102400.400000006</v>
      </c>
      <c r="H42" s="929"/>
      <c r="M42" s="905"/>
      <c r="N42" s="905"/>
    </row>
    <row r="43" spans="1:14">
      <c r="A43" s="934">
        <v>4</v>
      </c>
      <c r="B43" s="907" t="s">
        <v>733</v>
      </c>
      <c r="C43" s="916"/>
      <c r="D43" s="917">
        <f t="shared" si="2"/>
        <v>2077466</v>
      </c>
      <c r="E43" s="917">
        <f t="shared" si="4"/>
        <v>0</v>
      </c>
      <c r="F43" s="917">
        <f t="shared" si="3"/>
        <v>415493.4</v>
      </c>
      <c r="G43" s="935">
        <f t="shared" si="5"/>
        <v>1661972.6000000015</v>
      </c>
      <c r="H43" s="929"/>
      <c r="J43" s="929"/>
      <c r="M43" s="905"/>
      <c r="N43" s="905"/>
    </row>
    <row r="44" spans="1:14">
      <c r="A44" s="934">
        <v>5</v>
      </c>
      <c r="B44" s="907" t="s">
        <v>1017</v>
      </c>
      <c r="C44" s="916"/>
      <c r="D44" s="917">
        <f t="shared" si="2"/>
        <v>1172855</v>
      </c>
      <c r="E44" s="917">
        <f t="shared" si="4"/>
        <v>790000</v>
      </c>
      <c r="F44" s="917">
        <f t="shared" si="3"/>
        <v>307825.75</v>
      </c>
      <c r="G44" s="935">
        <f t="shared" si="5"/>
        <v>1655029.25</v>
      </c>
      <c r="H44" s="929"/>
      <c r="J44" s="936"/>
      <c r="M44" s="905"/>
      <c r="N44" s="905"/>
    </row>
    <row r="45" spans="1:14">
      <c r="A45" s="934">
        <v>6</v>
      </c>
      <c r="B45" s="907" t="s">
        <v>1018</v>
      </c>
      <c r="C45" s="916"/>
      <c r="D45" s="917">
        <f t="shared" si="2"/>
        <v>181795</v>
      </c>
      <c r="E45" s="917">
        <f t="shared" si="4"/>
        <v>0</v>
      </c>
      <c r="F45" s="917">
        <f t="shared" si="3"/>
        <v>26847</v>
      </c>
      <c r="G45" s="935">
        <f t="shared" si="5"/>
        <v>154948</v>
      </c>
      <c r="H45" s="929"/>
      <c r="J45" s="929"/>
      <c r="M45" s="905"/>
      <c r="N45" s="905"/>
    </row>
    <row r="46" spans="1:14">
      <c r="A46" s="934">
        <v>7</v>
      </c>
      <c r="B46" s="907" t="s">
        <v>1026</v>
      </c>
      <c r="C46" s="916"/>
      <c r="D46" s="917">
        <f t="shared" si="2"/>
        <v>232274276</v>
      </c>
      <c r="E46" s="917">
        <f t="shared" si="4"/>
        <v>5996296.3200000003</v>
      </c>
      <c r="F46" s="917">
        <f t="shared" si="3"/>
        <v>35408628.719999999</v>
      </c>
      <c r="G46" s="935">
        <f t="shared" si="5"/>
        <v>202861943.60000002</v>
      </c>
      <c r="H46" s="929"/>
      <c r="J46" s="929"/>
      <c r="M46" s="905"/>
      <c r="N46" s="905"/>
    </row>
    <row r="47" spans="1:14">
      <c r="A47" s="934">
        <v>8</v>
      </c>
      <c r="B47" s="907" t="s">
        <v>1027</v>
      </c>
      <c r="C47" s="916"/>
      <c r="D47" s="917">
        <f t="shared" si="2"/>
        <v>904804</v>
      </c>
      <c r="E47" s="917">
        <f t="shared" si="4"/>
        <v>0</v>
      </c>
      <c r="F47" s="917">
        <f t="shared" si="3"/>
        <v>62318.75</v>
      </c>
      <c r="G47" s="935">
        <f t="shared" si="5"/>
        <v>842485.25</v>
      </c>
      <c r="H47" s="929"/>
      <c r="M47" s="905"/>
      <c r="N47" s="905"/>
    </row>
    <row r="48" spans="1:14" ht="12" thickBot="1">
      <c r="A48" s="937">
        <v>9</v>
      </c>
      <c r="B48" s="938" t="s">
        <v>1028</v>
      </c>
      <c r="C48" s="939"/>
      <c r="D48" s="917">
        <f t="shared" si="2"/>
        <v>5803903</v>
      </c>
      <c r="E48" s="917">
        <f t="shared" si="4"/>
        <v>0</v>
      </c>
      <c r="F48" s="917">
        <f t="shared" si="3"/>
        <v>644881</v>
      </c>
      <c r="G48" s="935">
        <f t="shared" si="5"/>
        <v>5159022</v>
      </c>
      <c r="H48" s="929"/>
      <c r="M48" s="905"/>
      <c r="N48" s="905"/>
    </row>
    <row r="49" spans="1:14" ht="15.75" customHeight="1">
      <c r="A49" s="954" t="s">
        <v>1022</v>
      </c>
      <c r="B49" s="955"/>
      <c r="C49" s="956"/>
      <c r="D49" s="960">
        <f ca="1">SUM(D40:D49)</f>
        <v>354599540</v>
      </c>
      <c r="E49" s="960">
        <f>SUM(E40:E48)</f>
        <v>7725346.3200000003</v>
      </c>
      <c r="F49" s="960">
        <f>SUM(F40:F48)</f>
        <v>39668960.939999998</v>
      </c>
      <c r="G49" s="960">
        <f>SUM(G40:G48)</f>
        <v>284106764.38</v>
      </c>
      <c r="M49" s="905"/>
      <c r="N49" s="905"/>
    </row>
    <row r="50" spans="1:14" ht="12" thickBot="1">
      <c r="A50" s="957"/>
      <c r="B50" s="958"/>
      <c r="C50" s="959"/>
      <c r="D50" s="961"/>
      <c r="E50" s="961"/>
      <c r="F50" s="961"/>
      <c r="G50" s="961"/>
      <c r="H50" s="940"/>
      <c r="I50" s="932"/>
      <c r="J50" s="929"/>
      <c r="M50" s="941"/>
      <c r="N50" s="905"/>
    </row>
    <row r="51" spans="1:14">
      <c r="D51" s="929"/>
      <c r="G51" s="929"/>
      <c r="I51" s="932"/>
      <c r="M51" s="905"/>
      <c r="N51" s="905"/>
    </row>
    <row r="52" spans="1:14">
      <c r="E52" s="953"/>
      <c r="F52" s="953"/>
      <c r="G52" s="953"/>
      <c r="M52" s="905"/>
      <c r="N52" s="905"/>
    </row>
    <row r="53" spans="1:14">
      <c r="E53" s="953"/>
      <c r="F53" s="953"/>
      <c r="G53" s="953"/>
    </row>
    <row r="54" spans="1:14">
      <c r="E54" s="942"/>
      <c r="F54" s="942"/>
    </row>
    <row r="67" spans="2:4">
      <c r="B67" s="909">
        <v>200376</v>
      </c>
    </row>
    <row r="68" spans="2:4">
      <c r="B68" s="909">
        <v>64584</v>
      </c>
      <c r="D68" s="909">
        <v>6686</v>
      </c>
    </row>
    <row r="69" spans="2:4">
      <c r="B69" s="909">
        <v>259992</v>
      </c>
      <c r="D69" s="909">
        <v>2155</v>
      </c>
    </row>
    <row r="70" spans="2:4">
      <c r="B70" s="909">
        <v>39744</v>
      </c>
      <c r="D70" s="909">
        <v>8676</v>
      </c>
    </row>
    <row r="71" spans="2:4">
      <c r="B71" s="909">
        <v>113439</v>
      </c>
      <c r="D71" s="909">
        <v>1326</v>
      </c>
    </row>
    <row r="72" spans="2:4">
      <c r="B72" s="909">
        <v>39680</v>
      </c>
      <c r="D72" s="909">
        <v>5047</v>
      </c>
    </row>
    <row r="73" spans="2:4">
      <c r="B73" s="909">
        <v>68603</v>
      </c>
      <c r="D73" s="909">
        <v>1765</v>
      </c>
    </row>
    <row r="74" spans="2:4">
      <c r="B74" s="909">
        <v>78097</v>
      </c>
      <c r="D74" s="909">
        <v>3052</v>
      </c>
    </row>
    <row r="75" spans="2:4">
      <c r="B75" s="909">
        <v>220816</v>
      </c>
      <c r="D75" s="909">
        <v>2780</v>
      </c>
    </row>
    <row r="76" spans="2:4">
      <c r="B76" s="909">
        <v>146551</v>
      </c>
      <c r="D76" s="909">
        <v>7860</v>
      </c>
    </row>
    <row r="77" spans="2:4">
      <c r="B77" s="909">
        <v>39680</v>
      </c>
      <c r="D77" s="909">
        <v>5217</v>
      </c>
    </row>
    <row r="78" spans="2:4">
      <c r="B78" s="909">
        <v>301648</v>
      </c>
      <c r="D78" s="909">
        <v>1412</v>
      </c>
    </row>
    <row r="79" spans="2:4">
      <c r="B79" s="909">
        <v>875808</v>
      </c>
      <c r="D79" s="909">
        <v>10737</v>
      </c>
    </row>
    <row r="80" spans="2:4">
      <c r="B80" s="909">
        <v>603684</v>
      </c>
      <c r="D80" s="909">
        <v>69278</v>
      </c>
    </row>
    <row r="81" spans="2:4">
      <c r="B81" s="909">
        <v>51534</v>
      </c>
      <c r="D81" s="909">
        <v>47752</v>
      </c>
    </row>
    <row r="82" spans="2:4">
      <c r="B82" s="909">
        <v>210553</v>
      </c>
      <c r="D82" s="909">
        <v>4076</v>
      </c>
    </row>
    <row r="83" spans="2:4">
      <c r="B83" s="909">
        <v>546000</v>
      </c>
      <c r="D83" s="909">
        <v>16655</v>
      </c>
    </row>
    <row r="84" spans="2:4">
      <c r="B84" s="909">
        <v>290850</v>
      </c>
      <c r="D84" s="909">
        <v>43189</v>
      </c>
    </row>
    <row r="85" spans="2:4">
      <c r="B85" s="909">
        <v>175500</v>
      </c>
      <c r="D85" s="909">
        <v>23006</v>
      </c>
    </row>
    <row r="86" spans="2:4">
      <c r="B86" s="909">
        <v>33000</v>
      </c>
      <c r="D86" s="909">
        <v>13882</v>
      </c>
    </row>
    <row r="87" spans="2:4">
      <c r="B87" s="909">
        <v>13500</v>
      </c>
      <c r="D87" s="909">
        <v>2610</v>
      </c>
    </row>
    <row r="88" spans="2:4">
      <c r="B88" s="909">
        <v>255000</v>
      </c>
      <c r="D88" s="909">
        <v>1068</v>
      </c>
    </row>
    <row r="89" spans="2:4">
      <c r="B89" s="909">
        <v>2342502</v>
      </c>
      <c r="D89" s="909">
        <v>20171</v>
      </c>
    </row>
    <row r="90" spans="2:4">
      <c r="B90" s="909">
        <v>400000</v>
      </c>
      <c r="D90" s="909">
        <v>236765</v>
      </c>
    </row>
    <row r="91" spans="2:4">
      <c r="B91" s="909">
        <v>20000</v>
      </c>
      <c r="D91" s="909">
        <v>81251</v>
      </c>
    </row>
    <row r="92" spans="2:4">
      <c r="B92" s="909">
        <v>2750</v>
      </c>
      <c r="D92" s="909">
        <v>4168</v>
      </c>
    </row>
    <row r="93" spans="2:4">
      <c r="B93" s="909">
        <v>65000</v>
      </c>
      <c r="D93" s="909">
        <v>687</v>
      </c>
    </row>
    <row r="94" spans="2:4">
      <c r="B94" s="909">
        <v>183000</v>
      </c>
      <c r="D94" s="909">
        <v>14557</v>
      </c>
    </row>
    <row r="95" spans="2:4">
      <c r="B95" s="909" t="s">
        <v>773</v>
      </c>
      <c r="D95" s="909">
        <v>22875</v>
      </c>
    </row>
    <row r="96" spans="2:4">
      <c r="B96" s="909">
        <f>SUM(B66:B95)</f>
        <v>7641891</v>
      </c>
    </row>
    <row r="97" spans="4:4">
      <c r="D97" s="909">
        <f>SUM(D67:D96)</f>
        <v>658703</v>
      </c>
    </row>
  </sheetData>
  <mergeCells count="25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B36:G36"/>
    <mergeCell ref="A38:A39"/>
    <mergeCell ref="B38:B39"/>
    <mergeCell ref="C38:C39"/>
    <mergeCell ref="E38:E39"/>
    <mergeCell ref="F38:F39"/>
    <mergeCell ref="E53:G53"/>
    <mergeCell ref="A49:C50"/>
    <mergeCell ref="D49:D50"/>
    <mergeCell ref="E49:E50"/>
    <mergeCell ref="F49:F50"/>
    <mergeCell ref="G49:G50"/>
    <mergeCell ref="E52:G52"/>
  </mergeCells>
  <pageMargins left="0.55000000000000004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1:O64"/>
  <sheetViews>
    <sheetView tabSelected="1" topLeftCell="A28" workbookViewId="0">
      <selection activeCell="G35" sqref="G35:H35"/>
    </sheetView>
  </sheetViews>
  <sheetFormatPr defaultRowHeight="15"/>
  <cols>
    <col min="1" max="1" width="4.5703125" style="4" customWidth="1"/>
    <col min="2" max="2" width="3.7109375" style="35" customWidth="1"/>
    <col min="3" max="3" width="3.42578125" style="2" customWidth="1"/>
    <col min="4" max="4" width="2.7109375" style="2" customWidth="1"/>
    <col min="5" max="5" width="50.7109375" style="4" customWidth="1"/>
    <col min="6" max="6" width="9.7109375" style="2" bestFit="1" customWidth="1"/>
    <col min="7" max="8" width="16" style="50" customWidth="1"/>
    <col min="9" max="9" width="0.28515625" style="4" customWidth="1"/>
    <col min="10" max="11" width="1.42578125" style="4" hidden="1" customWidth="1"/>
    <col min="12" max="12" width="20.28515625" style="4" customWidth="1"/>
    <col min="13" max="13" width="14.42578125" style="4" customWidth="1"/>
    <col min="14" max="14" width="23.28515625" style="4" customWidth="1"/>
    <col min="15" max="15" width="17.85546875" style="4" customWidth="1"/>
    <col min="16" max="16384" width="9.140625" style="4"/>
  </cols>
  <sheetData>
    <row r="1" spans="2:15" s="14" customFormat="1" ht="7.5" customHeight="1">
      <c r="B1" s="15"/>
      <c r="C1" s="1"/>
      <c r="D1" s="11"/>
      <c r="E1" s="12"/>
      <c r="F1" s="43"/>
      <c r="G1" s="13"/>
      <c r="H1" s="13"/>
    </row>
    <row r="2" spans="2:15" s="14" customFormat="1" ht="17.25" customHeight="1">
      <c r="B2" s="1035" t="s">
        <v>96</v>
      </c>
      <c r="C2" s="1035"/>
      <c r="D2" s="1035"/>
      <c r="E2" s="1035"/>
      <c r="F2" s="1035"/>
      <c r="G2" s="1035"/>
      <c r="H2" s="1035"/>
    </row>
    <row r="3" spans="2:15" s="14" customFormat="1" ht="17.25" customHeight="1">
      <c r="B3" s="1035" t="s">
        <v>97</v>
      </c>
      <c r="C3" s="1035"/>
      <c r="D3" s="1035"/>
      <c r="E3" s="1035"/>
      <c r="F3" s="1035"/>
      <c r="G3" s="1035"/>
      <c r="H3" s="1035"/>
    </row>
    <row r="4" spans="2:15" s="14" customFormat="1" ht="17.25" customHeight="1">
      <c r="B4" s="1058" t="s">
        <v>98</v>
      </c>
      <c r="C4" s="1058"/>
      <c r="D4" s="1058"/>
      <c r="E4" s="1058"/>
      <c r="F4" s="1058"/>
      <c r="G4" s="1058"/>
      <c r="H4" s="1058"/>
    </row>
    <row r="5" spans="2:15" ht="7.5" customHeight="1"/>
    <row r="6" spans="2:15" s="14" customFormat="1" ht="15.95" customHeight="1">
      <c r="B6" s="18" t="s">
        <v>0</v>
      </c>
      <c r="C6" s="1059" t="s">
        <v>9</v>
      </c>
      <c r="D6" s="1060"/>
      <c r="E6" s="1061"/>
      <c r="F6" s="41" t="s">
        <v>217</v>
      </c>
      <c r="G6" s="16">
        <v>2016</v>
      </c>
      <c r="H6" s="16">
        <v>2015</v>
      </c>
    </row>
    <row r="7" spans="2:15" s="14" customFormat="1" ht="12.75" customHeight="1">
      <c r="B7" s="36" t="s">
        <v>79</v>
      </c>
      <c r="C7" s="9" t="s">
        <v>99</v>
      </c>
      <c r="D7" s="19"/>
      <c r="E7" s="20"/>
      <c r="F7" s="44">
        <v>29</v>
      </c>
      <c r="G7" s="787">
        <v>146411032</v>
      </c>
      <c r="H7" s="787">
        <v>117692567</v>
      </c>
      <c r="N7" s="779">
        <v>169819752.65000001</v>
      </c>
      <c r="O7" s="14" t="s">
        <v>954</v>
      </c>
    </row>
    <row r="8" spans="2:15" s="14" customFormat="1" ht="12.75" customHeight="1">
      <c r="B8" s="36" t="s">
        <v>79</v>
      </c>
      <c r="C8" s="1044" t="s">
        <v>100</v>
      </c>
      <c r="D8" s="1045"/>
      <c r="E8" s="1046"/>
      <c r="F8" s="44">
        <v>30</v>
      </c>
      <c r="G8" s="787"/>
      <c r="H8" s="788"/>
      <c r="N8" s="779">
        <f>-G7-G26</f>
        <v>-169819752.65000001</v>
      </c>
    </row>
    <row r="9" spans="2:15" s="14" customFormat="1" ht="12.75" customHeight="1">
      <c r="B9" s="36" t="s">
        <v>79</v>
      </c>
      <c r="C9" s="1047" t="s">
        <v>101</v>
      </c>
      <c r="D9" s="1048"/>
      <c r="E9" s="1049"/>
      <c r="F9" s="44">
        <v>31</v>
      </c>
      <c r="G9" s="787"/>
      <c r="H9" s="787"/>
      <c r="N9" s="779">
        <f>SUM(N7:N8)</f>
        <v>0</v>
      </c>
    </row>
    <row r="10" spans="2:15" s="14" customFormat="1" ht="12.75" customHeight="1">
      <c r="B10" s="36" t="s">
        <v>79</v>
      </c>
      <c r="C10" s="1047" t="s">
        <v>102</v>
      </c>
      <c r="D10" s="1048"/>
      <c r="E10" s="1049"/>
      <c r="F10" s="44">
        <v>32</v>
      </c>
      <c r="G10" s="787"/>
      <c r="H10" s="787">
        <v>82475387</v>
      </c>
    </row>
    <row r="11" spans="2:15" s="14" customFormat="1" ht="12.75" customHeight="1">
      <c r="B11" s="36" t="s">
        <v>79</v>
      </c>
      <c r="C11" s="1047" t="s">
        <v>103</v>
      </c>
      <c r="D11" s="1048"/>
      <c r="E11" s="1049"/>
      <c r="F11" s="44">
        <v>33</v>
      </c>
      <c r="G11" s="788">
        <f>G12+G13</f>
        <v>-63662548.25</v>
      </c>
      <c r="H11" s="788">
        <f>H12+H13</f>
        <v>-40990995</v>
      </c>
      <c r="N11" s="779"/>
    </row>
    <row r="12" spans="2:15" s="14" customFormat="1" ht="12.75" customHeight="1">
      <c r="B12" s="37"/>
      <c r="C12" s="21"/>
      <c r="D12" s="29">
        <v>1</v>
      </c>
      <c r="E12" s="30" t="s">
        <v>103</v>
      </c>
      <c r="F12" s="17">
        <v>33.1</v>
      </c>
      <c r="G12" s="789">
        <f>-8104986.1-908181.8-22505-3794.15</f>
        <v>-9039467.0500000007</v>
      </c>
      <c r="H12" s="789">
        <v>-8214102</v>
      </c>
      <c r="N12" s="779"/>
    </row>
    <row r="13" spans="2:15" s="14" customFormat="1" ht="12.75" customHeight="1">
      <c r="B13" s="38"/>
      <c r="C13" s="21"/>
      <c r="D13" s="14">
        <v>2</v>
      </c>
      <c r="E13" s="30" t="s">
        <v>104</v>
      </c>
      <c r="F13" s="17">
        <v>33.200000000000003</v>
      </c>
      <c r="G13" s="789">
        <f>-'SHERBIME '!C25</f>
        <v>-54623081.200000003</v>
      </c>
      <c r="H13" s="789">
        <v>-32776893</v>
      </c>
      <c r="N13" s="779"/>
    </row>
    <row r="14" spans="2:15" s="14" customFormat="1" ht="12.75" customHeight="1">
      <c r="B14" s="36" t="s">
        <v>79</v>
      </c>
      <c r="C14" s="9" t="s">
        <v>105</v>
      </c>
      <c r="D14" s="19"/>
      <c r="E14" s="20"/>
      <c r="F14" s="44">
        <v>34</v>
      </c>
      <c r="G14" s="788">
        <f>G15+G16</f>
        <v>-60989954</v>
      </c>
      <c r="H14" s="788">
        <f>H15+H16</f>
        <v>-47530563</v>
      </c>
      <c r="N14" s="779"/>
    </row>
    <row r="15" spans="2:15" s="14" customFormat="1" ht="12.75" customHeight="1">
      <c r="B15" s="38"/>
      <c r="C15" s="21"/>
      <c r="D15" s="22">
        <v>1</v>
      </c>
      <c r="E15" s="46" t="s">
        <v>106</v>
      </c>
      <c r="F15" s="44">
        <v>34.1</v>
      </c>
      <c r="G15" s="789">
        <f>-47305007-5658650-60000</f>
        <v>-53023657</v>
      </c>
      <c r="H15" s="789">
        <f>-40458125-320500</f>
        <v>-40778625</v>
      </c>
      <c r="N15" s="52"/>
    </row>
    <row r="16" spans="2:15" s="14" customFormat="1" ht="12.75" customHeight="1">
      <c r="B16" s="38"/>
      <c r="C16" s="21"/>
      <c r="D16" s="22">
        <v>2</v>
      </c>
      <c r="E16" s="46" t="s">
        <v>107</v>
      </c>
      <c r="F16" s="1036">
        <v>34.200000000000003</v>
      </c>
      <c r="G16" s="1038">
        <v>-7966297</v>
      </c>
      <c r="H16" s="1038">
        <v>-6751938</v>
      </c>
      <c r="N16" s="52"/>
    </row>
    <row r="17" spans="2:15" s="14" customFormat="1" ht="12.75" customHeight="1">
      <c r="B17" s="38"/>
      <c r="C17" s="21"/>
      <c r="D17" s="22"/>
      <c r="E17" s="8" t="s">
        <v>108</v>
      </c>
      <c r="F17" s="1037"/>
      <c r="G17" s="1039"/>
      <c r="H17" s="1039"/>
      <c r="N17" s="779">
        <v>165632477.25</v>
      </c>
      <c r="O17" s="14" t="s">
        <v>955</v>
      </c>
    </row>
    <row r="18" spans="2:15" s="14" customFormat="1" ht="12.75" customHeight="1">
      <c r="B18" s="36" t="s">
        <v>79</v>
      </c>
      <c r="C18" s="9" t="s">
        <v>109</v>
      </c>
      <c r="D18" s="19"/>
      <c r="E18" s="20"/>
      <c r="F18" s="44">
        <v>35</v>
      </c>
      <c r="G18" s="788"/>
      <c r="H18" s="788"/>
      <c r="N18" s="779">
        <f>G11+G14+G19+G20+G30</f>
        <v>-166136477.25</v>
      </c>
    </row>
    <row r="19" spans="2:15" s="14" customFormat="1" ht="12.75" customHeight="1">
      <c r="B19" s="36" t="s">
        <v>79</v>
      </c>
      <c r="C19" s="9" t="s">
        <v>110</v>
      </c>
      <c r="D19" s="19"/>
      <c r="E19" s="20"/>
      <c r="F19" s="44">
        <v>36</v>
      </c>
      <c r="G19" s="788">
        <v>-39668961</v>
      </c>
      <c r="H19" s="788">
        <v>-47600571</v>
      </c>
      <c r="N19" s="779">
        <f>SUM(N17:N18)</f>
        <v>-504000</v>
      </c>
    </row>
    <row r="20" spans="2:15" s="14" customFormat="1" ht="12.75" customHeight="1">
      <c r="B20" s="36" t="s">
        <v>79</v>
      </c>
      <c r="C20" s="9" t="s">
        <v>111</v>
      </c>
      <c r="D20" s="19"/>
      <c r="E20" s="20"/>
      <c r="F20" s="44">
        <v>37</v>
      </c>
      <c r="G20" s="788">
        <f>-(560260+184127+1036582)</f>
        <v>-1780969</v>
      </c>
      <c r="H20" s="788"/>
      <c r="N20" s="779">
        <f>N7-N17</f>
        <v>4187275.400000006</v>
      </c>
    </row>
    <row r="21" spans="2:15" s="14" customFormat="1" ht="12.75" customHeight="1">
      <c r="B21" s="36" t="s">
        <v>79</v>
      </c>
      <c r="C21" s="9" t="s">
        <v>112</v>
      </c>
      <c r="D21" s="19"/>
      <c r="E21" s="20"/>
      <c r="F21" s="44">
        <v>38</v>
      </c>
      <c r="G21" s="787">
        <f>G22+G24+G26</f>
        <v>23408720.649999999</v>
      </c>
      <c r="H21" s="787">
        <f>H22+H24+H26</f>
        <v>100358</v>
      </c>
      <c r="N21" s="52"/>
    </row>
    <row r="22" spans="2:15" s="14" customFormat="1" ht="12.75" customHeight="1">
      <c r="B22" s="38"/>
      <c r="C22" s="23"/>
      <c r="D22" s="1042">
        <v>1</v>
      </c>
      <c r="E22" s="47" t="s">
        <v>113</v>
      </c>
      <c r="F22" s="1036">
        <v>38.1</v>
      </c>
      <c r="G22" s="1040"/>
      <c r="H22" s="1040"/>
      <c r="N22" s="52"/>
    </row>
    <row r="23" spans="2:15" s="14" customFormat="1" ht="12.75" customHeight="1">
      <c r="B23" s="39"/>
      <c r="C23" s="24"/>
      <c r="D23" s="1043"/>
      <c r="E23" s="48" t="s">
        <v>114</v>
      </c>
      <c r="F23" s="1037"/>
      <c r="G23" s="1041"/>
      <c r="H23" s="1041"/>
    </row>
    <row r="24" spans="2:15" s="14" customFormat="1" ht="12.75" customHeight="1">
      <c r="B24" s="38"/>
      <c r="C24" s="23"/>
      <c r="D24" s="1042">
        <v>2</v>
      </c>
      <c r="E24" s="47" t="s">
        <v>115</v>
      </c>
      <c r="F24" s="1036">
        <v>38.200000000000003</v>
      </c>
      <c r="G24" s="1040"/>
      <c r="H24" s="1040"/>
      <c r="N24" s="54">
        <f>G11+G14+G19+G20+G30</f>
        <v>-166136477.25</v>
      </c>
    </row>
    <row r="25" spans="2:15" s="14" customFormat="1" ht="12.75" customHeight="1">
      <c r="B25" s="39"/>
      <c r="C25" s="24"/>
      <c r="D25" s="1043"/>
      <c r="E25" s="48" t="s">
        <v>118</v>
      </c>
      <c r="F25" s="1037"/>
      <c r="G25" s="1041"/>
      <c r="H25" s="1041"/>
      <c r="N25" s="790">
        <f>N7+N24</f>
        <v>3683275.400000006</v>
      </c>
    </row>
    <row r="26" spans="2:15" s="14" customFormat="1" ht="12.75" customHeight="1">
      <c r="B26" s="38"/>
      <c r="C26" s="23"/>
      <c r="D26" s="1042">
        <v>3</v>
      </c>
      <c r="E26" s="47" t="s">
        <v>116</v>
      </c>
      <c r="F26" s="1036">
        <v>38.299999999999997</v>
      </c>
      <c r="G26" s="1040">
        <v>23408720.649999999</v>
      </c>
      <c r="H26" s="1040">
        <v>100358</v>
      </c>
      <c r="N26" s="791">
        <f>-N47</f>
        <v>0</v>
      </c>
    </row>
    <row r="27" spans="2:15" s="14" customFormat="1" ht="12.75" customHeight="1">
      <c r="B27" s="39"/>
      <c r="C27" s="24"/>
      <c r="D27" s="1043"/>
      <c r="E27" s="48" t="s">
        <v>117</v>
      </c>
      <c r="F27" s="1037"/>
      <c r="G27" s="1041"/>
      <c r="H27" s="1041"/>
      <c r="N27" s="774">
        <f>SUM(N25:N26)</f>
        <v>3683275.400000006</v>
      </c>
    </row>
    <row r="28" spans="2:15" s="14" customFormat="1" ht="12.75" customHeight="1">
      <c r="B28" s="1052" t="s">
        <v>79</v>
      </c>
      <c r="C28" s="1054" t="s">
        <v>119</v>
      </c>
      <c r="D28" s="1055"/>
      <c r="E28" s="1056"/>
      <c r="F28" s="1036">
        <v>39</v>
      </c>
      <c r="G28" s="1033"/>
      <c r="H28" s="1033"/>
    </row>
    <row r="29" spans="2:15" s="14" customFormat="1" ht="12.75" customHeight="1">
      <c r="B29" s="1053"/>
      <c r="C29" s="25" t="s">
        <v>120</v>
      </c>
      <c r="D29" s="31"/>
      <c r="E29" s="32"/>
      <c r="F29" s="1037"/>
      <c r="G29" s="1034"/>
      <c r="H29" s="1034"/>
    </row>
    <row r="30" spans="2:15" s="14" customFormat="1" ht="12.75" customHeight="1">
      <c r="B30" s="36" t="s">
        <v>79</v>
      </c>
      <c r="C30" s="9" t="s">
        <v>121</v>
      </c>
      <c r="D30" s="19"/>
      <c r="E30" s="20"/>
      <c r="F30" s="44">
        <v>40</v>
      </c>
      <c r="G30" s="757">
        <f>G31+G33</f>
        <v>-34045</v>
      </c>
      <c r="H30" s="757">
        <f>H31+H33</f>
        <v>-237868</v>
      </c>
    </row>
    <row r="31" spans="2:15" s="14" customFormat="1" ht="12.75" customHeight="1">
      <c r="B31" s="38"/>
      <c r="C31" s="23"/>
      <c r="D31" s="1042">
        <v>1</v>
      </c>
      <c r="E31" s="47" t="s">
        <v>123</v>
      </c>
      <c r="F31" s="1036">
        <v>40.1</v>
      </c>
      <c r="G31" s="1050">
        <v>-34045</v>
      </c>
      <c r="H31" s="1050">
        <v>-31580</v>
      </c>
    </row>
    <row r="32" spans="2:15" s="14" customFormat="1" ht="12.75" customHeight="1">
      <c r="B32" s="39"/>
      <c r="C32" s="24"/>
      <c r="D32" s="1043"/>
      <c r="E32" s="48" t="s">
        <v>124</v>
      </c>
      <c r="F32" s="1037"/>
      <c r="G32" s="1051"/>
      <c r="H32" s="1051"/>
    </row>
    <row r="33" spans="2:15" s="14" customFormat="1" ht="12.75" customHeight="1">
      <c r="B33" s="37"/>
      <c r="C33" s="21"/>
      <c r="D33" s="26">
        <v>2</v>
      </c>
      <c r="E33" s="49" t="s">
        <v>122</v>
      </c>
      <c r="F33" s="44">
        <v>40.200000000000003</v>
      </c>
      <c r="G33" s="758"/>
      <c r="H33" s="758">
        <v>-206288</v>
      </c>
    </row>
    <row r="34" spans="2:15" s="14" customFormat="1" ht="12.75" customHeight="1">
      <c r="B34" s="36" t="s">
        <v>79</v>
      </c>
      <c r="C34" s="9" t="s">
        <v>125</v>
      </c>
      <c r="D34" s="19"/>
      <c r="E34" s="20"/>
      <c r="F34" s="44">
        <v>41</v>
      </c>
      <c r="G34" s="757"/>
      <c r="H34" s="756"/>
    </row>
    <row r="35" spans="2:15" s="14" customFormat="1" ht="12.75" customHeight="1">
      <c r="B35" s="36" t="s">
        <v>79</v>
      </c>
      <c r="C35" s="9" t="s">
        <v>126</v>
      </c>
      <c r="D35" s="19"/>
      <c r="E35" s="20"/>
      <c r="F35" s="44">
        <v>42</v>
      </c>
      <c r="G35" s="757">
        <f>G7+G8+G9+G10+G11+G14+G18+G19+G20+G21+G28+G30+G34</f>
        <v>3683275.3999999985</v>
      </c>
      <c r="H35" s="757">
        <f>H7+H8+H9+H10+H11+H14+H18+H19+H20+H21+H28+H30+H34</f>
        <v>63908315</v>
      </c>
      <c r="N35" s="763"/>
      <c r="O35" s="763"/>
    </row>
    <row r="36" spans="2:15" s="14" customFormat="1" ht="12.75" customHeight="1">
      <c r="B36" s="36" t="s">
        <v>79</v>
      </c>
      <c r="C36" s="9" t="s">
        <v>127</v>
      </c>
      <c r="D36" s="19"/>
      <c r="E36" s="20"/>
      <c r="F36" s="44">
        <v>43</v>
      </c>
      <c r="G36" s="757">
        <f>G37+G38+G39</f>
        <v>591311.30999999971</v>
      </c>
      <c r="H36" s="756">
        <f>H37+H38++++H39</f>
        <v>9617190.4499999993</v>
      </c>
      <c r="L36" s="14" t="s">
        <v>956</v>
      </c>
      <c r="N36" s="54"/>
    </row>
    <row r="37" spans="2:15" s="14" customFormat="1" ht="12.75" customHeight="1">
      <c r="B37" s="37"/>
      <c r="C37" s="21"/>
      <c r="D37" s="26">
        <v>1</v>
      </c>
      <c r="E37" s="10" t="s">
        <v>128</v>
      </c>
      <c r="F37" s="44">
        <v>43.1</v>
      </c>
      <c r="G37" s="759">
        <f>(G35+78000+180800)*15%</f>
        <v>591311.30999999971</v>
      </c>
      <c r="H37" s="759">
        <f>(H35+-H33)*15%</f>
        <v>9617190.4499999993</v>
      </c>
      <c r="L37" s="779">
        <f>'[6]Shp Analitik'!$D$151-'[6]Shp Analitik'!$DA$151</f>
        <v>166136477.18000001</v>
      </c>
      <c r="M37" s="774"/>
    </row>
    <row r="38" spans="2:15" s="14" customFormat="1" ht="12.75" customHeight="1">
      <c r="B38" s="37"/>
      <c r="C38" s="21"/>
      <c r="D38" s="26">
        <v>2</v>
      </c>
      <c r="E38" s="10" t="s">
        <v>129</v>
      </c>
      <c r="F38" s="44">
        <v>43.2</v>
      </c>
      <c r="G38" s="758"/>
      <c r="H38" s="759"/>
      <c r="L38" s="774">
        <f>-'[6]Ardh Analit '!$E$158</f>
        <v>-169819752.65000004</v>
      </c>
      <c r="O38" s="795">
        <f>L37</f>
        <v>166136477.18000001</v>
      </c>
    </row>
    <row r="39" spans="2:15" s="14" customFormat="1" ht="12.75" customHeight="1">
      <c r="B39" s="37"/>
      <c r="C39" s="21"/>
      <c r="D39" s="26">
        <v>3</v>
      </c>
      <c r="E39" s="10" t="s">
        <v>130</v>
      </c>
      <c r="F39" s="44">
        <v>43.3</v>
      </c>
      <c r="G39" s="758"/>
      <c r="H39" s="759"/>
      <c r="L39" s="951">
        <f>SUM(L37:L38)</f>
        <v>-3683275.4700000286</v>
      </c>
      <c r="M39" s="14" t="s">
        <v>1033</v>
      </c>
      <c r="O39" s="795">
        <f>L40</f>
        <v>-78000</v>
      </c>
    </row>
    <row r="40" spans="2:15" s="14" customFormat="1" ht="12.75" customHeight="1">
      <c r="B40" s="36" t="s">
        <v>79</v>
      </c>
      <c r="C40" s="9" t="s">
        <v>131</v>
      </c>
      <c r="D40" s="19"/>
      <c r="E40" s="20"/>
      <c r="F40" s="44">
        <v>44</v>
      </c>
      <c r="G40" s="756">
        <f>G35-G36</f>
        <v>3091964.0899999989</v>
      </c>
      <c r="H40" s="756">
        <f>H35-H36</f>
        <v>54291124.549999997</v>
      </c>
      <c r="L40" s="779">
        <v>-78000</v>
      </c>
      <c r="M40" s="14" t="s">
        <v>957</v>
      </c>
      <c r="O40" s="795">
        <f>L41</f>
        <v>0</v>
      </c>
    </row>
    <row r="41" spans="2:15" s="14" customFormat="1" ht="12.75" customHeight="1">
      <c r="B41" s="36" t="s">
        <v>79</v>
      </c>
      <c r="C41" s="9" t="s">
        <v>132</v>
      </c>
      <c r="D41" s="19"/>
      <c r="E41" s="20"/>
      <c r="F41" s="44">
        <v>45</v>
      </c>
      <c r="G41" s="756"/>
      <c r="H41" s="760"/>
      <c r="L41" s="779"/>
      <c r="M41" s="14" t="s">
        <v>1032</v>
      </c>
      <c r="O41" s="795">
        <f>L42</f>
        <v>-180800</v>
      </c>
    </row>
    <row r="42" spans="2:15" s="14" customFormat="1" ht="12.75" customHeight="1">
      <c r="B42" s="37"/>
      <c r="C42" s="21"/>
      <c r="D42" s="19"/>
      <c r="E42" s="10" t="s">
        <v>133</v>
      </c>
      <c r="F42" s="44">
        <v>45.1</v>
      </c>
      <c r="G42" s="759"/>
      <c r="H42" s="761"/>
      <c r="L42" s="779">
        <v>-180800</v>
      </c>
      <c r="M42" s="14" t="s">
        <v>958</v>
      </c>
      <c r="O42" s="795">
        <f>SUM(O38:O41)</f>
        <v>165877677.18000001</v>
      </c>
    </row>
    <row r="43" spans="2:15" s="14" customFormat="1" ht="12.75" customHeight="1">
      <c r="B43" s="37"/>
      <c r="C43" s="21"/>
      <c r="D43" s="19"/>
      <c r="E43" s="10" t="s">
        <v>134</v>
      </c>
      <c r="F43" s="44">
        <v>45.2</v>
      </c>
      <c r="G43" s="759"/>
      <c r="H43" s="761"/>
      <c r="L43" s="951">
        <f>SUM(L39:L42)</f>
        <v>-3942075.4700000286</v>
      </c>
      <c r="M43" s="14" t="s">
        <v>1034</v>
      </c>
      <c r="O43" s="774"/>
    </row>
    <row r="44" spans="2:15" ht="12.75" customHeight="1">
      <c r="L44" s="796">
        <f>L43*15%</f>
        <v>-591311.32050000422</v>
      </c>
      <c r="O44" s="796">
        <f>L38</f>
        <v>-169819752.65000004</v>
      </c>
    </row>
    <row r="45" spans="2:15" ht="12.75" customHeight="1">
      <c r="B45" s="1035" t="s">
        <v>135</v>
      </c>
      <c r="C45" s="1035"/>
      <c r="D45" s="1035"/>
      <c r="E45" s="1035"/>
      <c r="F45" s="1035"/>
      <c r="G45" s="1035"/>
      <c r="H45" s="1035"/>
      <c r="L45" s="795"/>
      <c r="M45" s="14"/>
      <c r="N45" s="14"/>
      <c r="O45" s="906">
        <f>SUM(O42:O44)</f>
        <v>-3942075.4700000286</v>
      </c>
    </row>
    <row r="46" spans="2:15" ht="6.75" customHeight="1">
      <c r="E46" s="2"/>
      <c r="G46" s="2"/>
      <c r="L46" s="795"/>
      <c r="M46" s="14"/>
      <c r="N46" s="14"/>
    </row>
    <row r="47" spans="2:15" ht="12.75" customHeight="1">
      <c r="B47" s="36" t="s">
        <v>0</v>
      </c>
      <c r="C47" s="1032" t="s">
        <v>9</v>
      </c>
      <c r="D47" s="1032"/>
      <c r="E47" s="1032"/>
      <c r="F47" s="27"/>
      <c r="G47" s="28">
        <v>2016</v>
      </c>
      <c r="H47" s="28">
        <v>2015</v>
      </c>
      <c r="L47" s="774"/>
      <c r="M47" s="14"/>
      <c r="N47" s="779"/>
      <c r="O47" s="796">
        <f>O45*15%</f>
        <v>-591311.32050000422</v>
      </c>
    </row>
    <row r="48" spans="2:15" ht="12.75" customHeight="1">
      <c r="B48" s="36" t="s">
        <v>79</v>
      </c>
      <c r="C48" s="7" t="s">
        <v>131</v>
      </c>
      <c r="D48" s="6"/>
      <c r="E48" s="5"/>
      <c r="F48" s="42">
        <v>46</v>
      </c>
      <c r="G48" s="762">
        <f>G40</f>
        <v>3091964.0899999989</v>
      </c>
      <c r="H48" s="762">
        <f>H40</f>
        <v>54291124.549999997</v>
      </c>
      <c r="L48" s="795"/>
      <c r="M48" s="14"/>
      <c r="N48" s="778"/>
      <c r="O48" s="950"/>
    </row>
    <row r="49" spans="2:14" ht="12.75" customHeight="1">
      <c r="B49" s="36"/>
      <c r="C49" s="7" t="s">
        <v>136</v>
      </c>
      <c r="D49" s="6"/>
      <c r="E49" s="5"/>
      <c r="F49" s="42">
        <v>46.1</v>
      </c>
      <c r="G49" s="760"/>
      <c r="H49" s="760"/>
      <c r="L49" s="796"/>
      <c r="M49" s="14"/>
      <c r="N49" s="778"/>
    </row>
    <row r="50" spans="2:14" ht="12.75" customHeight="1">
      <c r="B50" s="40"/>
      <c r="C50" s="7" t="s">
        <v>137</v>
      </c>
      <c r="D50" s="6"/>
      <c r="E50" s="5"/>
      <c r="F50" s="42">
        <v>46.2</v>
      </c>
      <c r="G50" s="760"/>
      <c r="H50" s="760"/>
    </row>
    <row r="51" spans="2:14" ht="12.75" customHeight="1">
      <c r="B51" s="40"/>
      <c r="C51" s="7" t="s">
        <v>138</v>
      </c>
      <c r="D51" s="6"/>
      <c r="E51" s="5"/>
      <c r="F51" s="42">
        <v>46.3</v>
      </c>
      <c r="G51" s="760"/>
      <c r="H51" s="760"/>
      <c r="L51" s="796"/>
      <c r="M51" s="14"/>
    </row>
    <row r="52" spans="2:14" ht="12.75" customHeight="1">
      <c r="B52" s="40"/>
      <c r="C52" s="7" t="s">
        <v>139</v>
      </c>
      <c r="D52" s="6"/>
      <c r="E52" s="5"/>
      <c r="F52" s="42">
        <v>46.4</v>
      </c>
      <c r="G52" s="760"/>
      <c r="H52" s="760"/>
    </row>
    <row r="53" spans="2:14" ht="12.75" customHeight="1">
      <c r="B53" s="40"/>
      <c r="C53" s="7" t="s">
        <v>140</v>
      </c>
      <c r="D53" s="6"/>
      <c r="E53" s="5"/>
      <c r="F53" s="42">
        <v>46.5</v>
      </c>
      <c r="G53" s="760"/>
      <c r="H53" s="760"/>
    </row>
    <row r="54" spans="2:14" ht="12.75" customHeight="1">
      <c r="B54" s="36" t="s">
        <v>79</v>
      </c>
      <c r="C54" s="7" t="s">
        <v>141</v>
      </c>
      <c r="D54" s="6"/>
      <c r="E54" s="5"/>
      <c r="F54" s="42">
        <v>47</v>
      </c>
      <c r="G54" s="760">
        <f>G50+G51+G52+G53</f>
        <v>0</v>
      </c>
      <c r="H54" s="760">
        <f>H50+H51+H52+H53</f>
        <v>0</v>
      </c>
    </row>
    <row r="55" spans="2:14" ht="12.75" customHeight="1">
      <c r="B55" s="36" t="s">
        <v>79</v>
      </c>
      <c r="C55" s="7" t="s">
        <v>142</v>
      </c>
      <c r="D55" s="6"/>
      <c r="E55" s="5"/>
      <c r="F55" s="42">
        <v>48</v>
      </c>
      <c r="G55" s="762">
        <f>G48+G54</f>
        <v>3091964.0899999989</v>
      </c>
      <c r="H55" s="762">
        <f>H48+H54</f>
        <v>54291124.549999997</v>
      </c>
    </row>
    <row r="56" spans="2:14" ht="12.75" customHeight="1">
      <c r="B56" s="36" t="s">
        <v>79</v>
      </c>
      <c r="C56" s="7" t="s">
        <v>143</v>
      </c>
      <c r="D56" s="6"/>
      <c r="E56" s="5"/>
      <c r="F56" s="42">
        <v>49</v>
      </c>
      <c r="G56" s="53"/>
      <c r="H56" s="53"/>
    </row>
    <row r="57" spans="2:14" ht="12.75" customHeight="1">
      <c r="B57" s="40"/>
      <c r="C57" s="7"/>
      <c r="D57" s="6"/>
      <c r="E57" s="10" t="s">
        <v>133</v>
      </c>
      <c r="F57" s="45">
        <v>49.1</v>
      </c>
      <c r="G57" s="55"/>
      <c r="H57" s="55"/>
    </row>
    <row r="58" spans="2:14" ht="12.75" customHeight="1">
      <c r="B58" s="40"/>
      <c r="C58" s="7"/>
      <c r="D58" s="6"/>
      <c r="E58" s="10" t="s">
        <v>134</v>
      </c>
      <c r="F58" s="45">
        <v>49.2</v>
      </c>
      <c r="G58" s="51"/>
      <c r="H58" s="51"/>
    </row>
    <row r="61" spans="2:14" ht="15.75">
      <c r="B61" s="2"/>
      <c r="E61" s="793" t="s">
        <v>960</v>
      </c>
      <c r="F61" s="888"/>
      <c r="G61" s="1057" t="s">
        <v>962</v>
      </c>
      <c r="H61" s="1057"/>
      <c r="I61" s="239"/>
      <c r="J61" s="239"/>
      <c r="K61" s="239"/>
    </row>
    <row r="62" spans="2:14" ht="15.75">
      <c r="B62" s="2"/>
      <c r="E62" s="889"/>
      <c r="F62" s="888"/>
      <c r="G62" s="890"/>
      <c r="H62" s="890"/>
      <c r="I62" s="239"/>
      <c r="J62" s="239"/>
      <c r="K62" s="239"/>
    </row>
    <row r="63" spans="2:14" ht="15.75">
      <c r="B63" s="2"/>
      <c r="E63" s="793" t="s">
        <v>242</v>
      </c>
      <c r="F63" s="888"/>
      <c r="G63" s="1057" t="s">
        <v>964</v>
      </c>
      <c r="H63" s="1057"/>
      <c r="I63" s="239"/>
      <c r="J63" s="239"/>
      <c r="K63" s="239"/>
    </row>
    <row r="64" spans="2:14">
      <c r="B64" s="2"/>
      <c r="E64" s="34"/>
      <c r="F64" s="35"/>
      <c r="G64" s="891"/>
      <c r="H64" s="891"/>
      <c r="I64" s="239"/>
      <c r="J64" s="239"/>
      <c r="K64" s="239"/>
    </row>
  </sheetData>
  <mergeCells count="36">
    <mergeCell ref="G61:H61"/>
    <mergeCell ref="G63:H63"/>
    <mergeCell ref="B2:H2"/>
    <mergeCell ref="D26:D27"/>
    <mergeCell ref="B4:H4"/>
    <mergeCell ref="B3:H3"/>
    <mergeCell ref="C6:E6"/>
    <mergeCell ref="G22:G23"/>
    <mergeCell ref="H22:H23"/>
    <mergeCell ref="D24:D25"/>
    <mergeCell ref="G26:G27"/>
    <mergeCell ref="B28:B29"/>
    <mergeCell ref="D31:D32"/>
    <mergeCell ref="F28:F29"/>
    <mergeCell ref="F31:F32"/>
    <mergeCell ref="C28:E28"/>
    <mergeCell ref="C8:E8"/>
    <mergeCell ref="C9:E9"/>
    <mergeCell ref="C10:E10"/>
    <mergeCell ref="C11:E11"/>
    <mergeCell ref="H31:H32"/>
    <mergeCell ref="G24:G25"/>
    <mergeCell ref="G31:G32"/>
    <mergeCell ref="H26:H27"/>
    <mergeCell ref="H28:H29"/>
    <mergeCell ref="F22:F23"/>
    <mergeCell ref="C47:E47"/>
    <mergeCell ref="G28:G29"/>
    <mergeCell ref="B45:H45"/>
    <mergeCell ref="F16:F17"/>
    <mergeCell ref="G16:G17"/>
    <mergeCell ref="H16:H17"/>
    <mergeCell ref="H24:H25"/>
    <mergeCell ref="F24:F25"/>
    <mergeCell ref="F26:F27"/>
    <mergeCell ref="D22:D2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sqref="A1:E25"/>
    </sheetView>
  </sheetViews>
  <sheetFormatPr defaultRowHeight="12.75"/>
  <cols>
    <col min="2" max="2" width="28" customWidth="1"/>
    <col min="3" max="3" width="15.28515625" customWidth="1"/>
    <col min="4" max="4" width="21" customWidth="1"/>
    <col min="5" max="5" width="16.85546875" customWidth="1"/>
  </cols>
  <sheetData>
    <row r="1" spans="1:5">
      <c r="A1" s="797" t="s">
        <v>967</v>
      </c>
      <c r="B1" s="798"/>
      <c r="C1" s="798"/>
      <c r="D1" s="798"/>
      <c r="E1" s="799"/>
    </row>
    <row r="2" spans="1:5">
      <c r="A2" s="800" t="s">
        <v>968</v>
      </c>
      <c r="B2" s="801"/>
      <c r="C2" s="801"/>
      <c r="D2" s="801"/>
      <c r="E2" s="802"/>
    </row>
    <row r="3" spans="1:5">
      <c r="A3" s="803" t="s">
        <v>256</v>
      </c>
      <c r="B3" s="801"/>
      <c r="C3" s="801"/>
      <c r="D3" s="801"/>
      <c r="E3" s="802"/>
    </row>
    <row r="4" spans="1:5">
      <c r="A4" s="1062" t="s">
        <v>929</v>
      </c>
      <c r="B4" s="1063"/>
      <c r="C4" s="1063"/>
      <c r="D4" s="1063"/>
      <c r="E4" s="1064"/>
    </row>
    <row r="5" spans="1:5" ht="25.5">
      <c r="A5" s="804" t="s">
        <v>0</v>
      </c>
      <c r="B5" s="780" t="s">
        <v>747</v>
      </c>
      <c r="C5" s="781" t="s">
        <v>930</v>
      </c>
      <c r="D5" s="782"/>
      <c r="E5" s="805"/>
    </row>
    <row r="6" spans="1:5">
      <c r="A6" s="806">
        <v>1</v>
      </c>
      <c r="B6" s="783" t="s">
        <v>931</v>
      </c>
      <c r="C6" s="784">
        <v>45254284</v>
      </c>
      <c r="D6" s="784"/>
      <c r="E6" s="807"/>
    </row>
    <row r="7" spans="1:5">
      <c r="A7" s="806">
        <v>2</v>
      </c>
      <c r="B7" s="783" t="s">
        <v>932</v>
      </c>
      <c r="C7" s="784"/>
      <c r="D7" s="784"/>
      <c r="E7" s="807"/>
    </row>
    <row r="8" spans="1:5">
      <c r="A8" s="806">
        <v>3</v>
      </c>
      <c r="B8" s="783" t="s">
        <v>933</v>
      </c>
      <c r="C8" s="784"/>
      <c r="D8" s="784"/>
      <c r="E8" s="807"/>
    </row>
    <row r="9" spans="1:5">
      <c r="A9" s="806">
        <v>4</v>
      </c>
      <c r="B9" s="783" t="s">
        <v>934</v>
      </c>
      <c r="C9" s="784">
        <v>3714945.2</v>
      </c>
      <c r="D9" s="784"/>
      <c r="E9" s="807"/>
    </row>
    <row r="10" spans="1:5">
      <c r="A10" s="806">
        <v>5</v>
      </c>
      <c r="B10" s="783" t="s">
        <v>935</v>
      </c>
      <c r="C10" s="784">
        <v>364971</v>
      </c>
      <c r="D10" s="784"/>
      <c r="E10" s="807"/>
    </row>
    <row r="11" spans="1:5">
      <c r="A11" s="806">
        <v>6</v>
      </c>
      <c r="B11" s="783" t="s">
        <v>936</v>
      </c>
      <c r="C11" s="720">
        <f>720100+30800+269300+1687300</f>
        <v>2707500</v>
      </c>
      <c r="D11" s="720"/>
      <c r="E11" s="807"/>
    </row>
    <row r="12" spans="1:5">
      <c r="A12" s="806">
        <v>7</v>
      </c>
      <c r="B12" s="783" t="s">
        <v>937</v>
      </c>
      <c r="C12" s="784"/>
      <c r="D12" s="784"/>
      <c r="E12" s="807"/>
    </row>
    <row r="13" spans="1:5">
      <c r="A13" s="806">
        <v>8</v>
      </c>
      <c r="B13" s="783" t="s">
        <v>949</v>
      </c>
      <c r="C13" s="784">
        <f>504000+186000</f>
        <v>690000</v>
      </c>
      <c r="D13" s="784"/>
      <c r="E13" s="807"/>
    </row>
    <row r="14" spans="1:5">
      <c r="A14" s="806">
        <v>9</v>
      </c>
      <c r="B14" s="783" t="s">
        <v>948</v>
      </c>
      <c r="C14" s="786">
        <v>755352</v>
      </c>
      <c r="D14" s="785"/>
      <c r="E14" s="807"/>
    </row>
    <row r="15" spans="1:5">
      <c r="A15" s="806">
        <v>10</v>
      </c>
      <c r="B15" s="783" t="s">
        <v>938</v>
      </c>
      <c r="C15" s="784"/>
      <c r="D15" s="784"/>
      <c r="E15" s="807"/>
    </row>
    <row r="16" spans="1:5">
      <c r="A16" s="806">
        <v>11</v>
      </c>
      <c r="B16" s="783" t="s">
        <v>939</v>
      </c>
      <c r="C16" s="784"/>
      <c r="D16" s="784"/>
      <c r="E16" s="807"/>
    </row>
    <row r="17" spans="1:5">
      <c r="A17" s="806">
        <v>12</v>
      </c>
      <c r="B17" s="783" t="s">
        <v>940</v>
      </c>
      <c r="C17" s="784">
        <v>107000</v>
      </c>
      <c r="D17" s="784"/>
      <c r="E17" s="808"/>
    </row>
    <row r="18" spans="1:5">
      <c r="A18" s="806">
        <v>13</v>
      </c>
      <c r="B18" s="783" t="s">
        <v>941</v>
      </c>
      <c r="C18" s="784">
        <f>467000+114000</f>
        <v>581000</v>
      </c>
      <c r="D18" s="784"/>
      <c r="E18" s="807"/>
    </row>
    <row r="19" spans="1:5">
      <c r="A19" s="806">
        <v>14</v>
      </c>
      <c r="B19" s="783" t="s">
        <v>942</v>
      </c>
      <c r="C19" s="784">
        <f>148667+7235</f>
        <v>155902</v>
      </c>
      <c r="D19" s="784"/>
      <c r="E19" s="807"/>
    </row>
    <row r="20" spans="1:5">
      <c r="A20" s="806">
        <v>15</v>
      </c>
      <c r="B20" s="783" t="s">
        <v>943</v>
      </c>
      <c r="C20" s="784"/>
      <c r="D20" s="784"/>
      <c r="E20" s="807"/>
    </row>
    <row r="21" spans="1:5">
      <c r="A21" s="806">
        <v>16</v>
      </c>
      <c r="B21" s="783" t="s">
        <v>944</v>
      </c>
      <c r="C21" s="784"/>
      <c r="D21" s="784"/>
      <c r="E21" s="807"/>
    </row>
    <row r="22" spans="1:5">
      <c r="A22" s="806">
        <v>17</v>
      </c>
      <c r="B22" s="783" t="s">
        <v>953</v>
      </c>
      <c r="C22" s="784">
        <v>166227</v>
      </c>
      <c r="D22" s="784"/>
      <c r="E22" s="807"/>
    </row>
    <row r="23" spans="1:5">
      <c r="A23" s="806">
        <v>18</v>
      </c>
      <c r="B23" s="783" t="s">
        <v>945</v>
      </c>
      <c r="C23" s="792">
        <v>125900</v>
      </c>
      <c r="D23" s="315"/>
      <c r="E23" s="807"/>
    </row>
    <row r="24" spans="1:5">
      <c r="A24" s="809">
        <v>19</v>
      </c>
      <c r="B24" s="315" t="s">
        <v>946</v>
      </c>
      <c r="C24" s="315"/>
      <c r="D24" s="315"/>
      <c r="E24" s="807"/>
    </row>
    <row r="25" spans="1:5" ht="23.25" customHeight="1" thickBot="1">
      <c r="A25" s="810"/>
      <c r="B25" s="811" t="s">
        <v>947</v>
      </c>
      <c r="C25" s="812">
        <f>SUM(C6:C24)</f>
        <v>54623081.200000003</v>
      </c>
      <c r="D25" s="813"/>
      <c r="E25" s="814">
        <f>SUM(E6:E24)</f>
        <v>0</v>
      </c>
    </row>
    <row r="28" spans="1:5">
      <c r="A28" s="426"/>
      <c r="B28" s="426"/>
      <c r="C28" s="426"/>
      <c r="D28" s="777"/>
      <c r="E28" s="426"/>
    </row>
    <row r="29" spans="1:5">
      <c r="A29" s="426"/>
      <c r="B29" s="426"/>
      <c r="C29" s="426"/>
      <c r="D29" s="777"/>
      <c r="E29" s="426"/>
    </row>
    <row r="30" spans="1:5">
      <c r="A30" s="426"/>
      <c r="B30" s="426"/>
      <c r="C30" s="426"/>
      <c r="D30" s="777"/>
      <c r="E30" s="426"/>
    </row>
    <row r="31" spans="1:5">
      <c r="A31" s="426"/>
      <c r="B31" s="426"/>
      <c r="C31" s="426"/>
      <c r="D31" s="777"/>
      <c r="E31" s="426"/>
    </row>
    <row r="32" spans="1:5">
      <c r="A32" s="426"/>
      <c r="B32" s="426"/>
      <c r="C32" s="426"/>
      <c r="D32" s="777"/>
      <c r="E32" s="426"/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2:I54"/>
  <sheetViews>
    <sheetView topLeftCell="A25" workbookViewId="0">
      <selection activeCell="E19" sqref="E19"/>
    </sheetView>
  </sheetViews>
  <sheetFormatPr defaultRowHeight="12.75"/>
  <cols>
    <col min="1" max="1" width="4.7109375" style="348" customWidth="1"/>
    <col min="2" max="3" width="3.7109375" style="358" customWidth="1"/>
    <col min="4" max="4" width="52.7109375" style="348" customWidth="1"/>
    <col min="5" max="6" width="17.140625" style="347" customWidth="1"/>
    <col min="7" max="7" width="16.28515625" style="348" customWidth="1"/>
    <col min="8" max="8" width="17" style="348" bestFit="1" customWidth="1"/>
    <col min="9" max="16384" width="9.140625" style="348"/>
  </cols>
  <sheetData>
    <row r="2" spans="2:8" ht="18">
      <c r="B2" s="1069" t="s">
        <v>144</v>
      </c>
      <c r="C2" s="1069"/>
      <c r="D2" s="1069"/>
      <c r="E2" s="1069"/>
    </row>
    <row r="3" spans="2:8" ht="18.75">
      <c r="B3" s="1070" t="s">
        <v>170</v>
      </c>
      <c r="C3" s="1070"/>
      <c r="D3" s="1070"/>
      <c r="E3" s="1070"/>
    </row>
    <row r="5" spans="2:8" s="353" customFormat="1" ht="15">
      <c r="B5" s="349"/>
      <c r="C5" s="350"/>
      <c r="D5" s="351"/>
      <c r="E5" s="352">
        <v>2016</v>
      </c>
      <c r="F5" s="352">
        <v>2015</v>
      </c>
    </row>
    <row r="6" spans="2:8" s="353" customFormat="1" ht="15.75" customHeight="1">
      <c r="B6" s="354" t="s">
        <v>79</v>
      </c>
      <c r="C6" s="1065" t="s">
        <v>145</v>
      </c>
      <c r="D6" s="1066"/>
      <c r="E6" s="764"/>
      <c r="F6" s="764"/>
    </row>
    <row r="7" spans="2:8" s="353" customFormat="1" ht="15.75" customHeight="1">
      <c r="B7" s="355"/>
      <c r="C7" s="350"/>
      <c r="D7" s="356" t="s">
        <v>492</v>
      </c>
      <c r="E7" s="765">
        <f>PASH!G35</f>
        <v>3683275.3999999985</v>
      </c>
      <c r="F7" s="766">
        <f>Pasivet!H49</f>
        <v>54291125</v>
      </c>
    </row>
    <row r="8" spans="2:8" s="353" customFormat="1" ht="15.75" customHeight="1">
      <c r="B8" s="355"/>
      <c r="C8" s="350"/>
      <c r="D8" s="356" t="s">
        <v>172</v>
      </c>
      <c r="E8" s="767"/>
      <c r="F8" s="768"/>
    </row>
    <row r="9" spans="2:8" s="353" customFormat="1" ht="15.75" customHeight="1">
      <c r="B9" s="355"/>
      <c r="C9" s="350"/>
      <c r="D9" s="356" t="s">
        <v>493</v>
      </c>
      <c r="E9" s="767"/>
      <c r="F9" s="768"/>
    </row>
    <row r="10" spans="2:8" s="353" customFormat="1" ht="15.75" customHeight="1">
      <c r="B10" s="355"/>
      <c r="C10" s="350"/>
      <c r="D10" s="356" t="s">
        <v>173</v>
      </c>
      <c r="E10" s="767">
        <f>PASH!G36</f>
        <v>591311.30999999971</v>
      </c>
      <c r="F10" s="768">
        <v>1407157</v>
      </c>
    </row>
    <row r="11" spans="2:8" s="353" customFormat="1" ht="15.75" customHeight="1">
      <c r="B11" s="355"/>
      <c r="C11" s="350"/>
      <c r="D11" s="356" t="s">
        <v>110</v>
      </c>
      <c r="E11" s="767">
        <f>-PASH!G19</f>
        <v>39668961</v>
      </c>
      <c r="F11" s="767">
        <f>-PASH!H19</f>
        <v>47600571</v>
      </c>
    </row>
    <row r="12" spans="2:8" s="353" customFormat="1" ht="15.75" customHeight="1">
      <c r="B12" s="355"/>
      <c r="C12" s="350"/>
      <c r="D12" s="356" t="s">
        <v>109</v>
      </c>
      <c r="E12" s="767"/>
      <c r="F12" s="768"/>
      <c r="H12" s="834">
        <f>E7-E10</f>
        <v>3091964.0899999989</v>
      </c>
    </row>
    <row r="13" spans="2:8" s="353" customFormat="1" ht="15.75" customHeight="1">
      <c r="B13" s="355"/>
      <c r="C13" s="350"/>
      <c r="D13" s="356" t="s">
        <v>174</v>
      </c>
      <c r="E13" s="767"/>
      <c r="F13" s="768"/>
    </row>
    <row r="14" spans="2:8" s="353" customFormat="1" ht="15.75" customHeight="1">
      <c r="B14" s="355"/>
      <c r="C14" s="350"/>
      <c r="D14" s="356" t="s">
        <v>175</v>
      </c>
      <c r="E14" s="767"/>
      <c r="F14" s="768"/>
    </row>
    <row r="15" spans="2:8" s="353" customFormat="1" ht="15.75" customHeight="1">
      <c r="B15" s="355"/>
      <c r="C15" s="350"/>
      <c r="D15" s="356" t="s">
        <v>176</v>
      </c>
      <c r="E15" s="767"/>
      <c r="F15" s="768"/>
    </row>
    <row r="16" spans="2:8" s="353" customFormat="1" ht="15.75" customHeight="1">
      <c r="B16" s="355"/>
      <c r="C16" s="350"/>
      <c r="D16" s="356" t="s">
        <v>177</v>
      </c>
      <c r="E16" s="765">
        <f>-Aktivet!G13+Aktivet!H13-Aktivet!G28+Aktivet!H28</f>
        <v>-46276737.99000001</v>
      </c>
      <c r="F16" s="765">
        <f>-Aktivet!H13+Aktivet!I13-Aktivet!H28+Aktivet!I28-2947043.48</f>
        <v>-188591500.48999998</v>
      </c>
    </row>
    <row r="17" spans="2:6" s="353" customFormat="1" ht="15.75" customHeight="1">
      <c r="B17" s="355"/>
      <c r="C17" s="350"/>
      <c r="D17" s="356" t="s">
        <v>178</v>
      </c>
      <c r="E17" s="765">
        <f>-Aktivet!G20+Aktivet!H20</f>
        <v>-6038463.4900000002</v>
      </c>
      <c r="F17" s="765">
        <f>-Aktivet!H20+Aktivet!I20</f>
        <v>-3034429.51</v>
      </c>
    </row>
    <row r="18" spans="2:6" s="353" customFormat="1" ht="15.75" customHeight="1">
      <c r="B18" s="355"/>
      <c r="C18" s="350"/>
      <c r="D18" s="356" t="s">
        <v>179</v>
      </c>
      <c r="E18" s="765">
        <f>Pasivet!G6-Pasivet!H6+Pasivet!I20-1485023</f>
        <v>-20592657.830000002</v>
      </c>
      <c r="F18" s="766">
        <v>1583161</v>
      </c>
    </row>
    <row r="19" spans="2:6" s="353" customFormat="1" ht="15.75" customHeight="1">
      <c r="B19" s="355"/>
      <c r="C19" s="350"/>
      <c r="D19" s="356" t="s">
        <v>180</v>
      </c>
      <c r="E19" s="767"/>
      <c r="F19" s="768"/>
    </row>
    <row r="20" spans="2:6" s="353" customFormat="1" ht="15.75" customHeight="1">
      <c r="B20" s="355"/>
      <c r="C20" s="1065" t="s">
        <v>147</v>
      </c>
      <c r="D20" s="1066"/>
      <c r="E20" s="769">
        <f>E7+E8+E9+E10+E11+E12+E13+E14+E15+E16+E17+E18+E19</f>
        <v>-28964311.600000009</v>
      </c>
      <c r="F20" s="769">
        <f>F7+F8+F9+F10+F11+F12+F13+F14+F15+F16+F17+F18+F19</f>
        <v>-86743915.999999985</v>
      </c>
    </row>
    <row r="21" spans="2:6" s="353" customFormat="1" ht="15.75" customHeight="1">
      <c r="B21" s="354" t="s">
        <v>79</v>
      </c>
      <c r="C21" s="1065" t="s">
        <v>148</v>
      </c>
      <c r="D21" s="1066"/>
      <c r="E21" s="764"/>
      <c r="F21" s="770"/>
    </row>
    <row r="22" spans="2:6" s="353" customFormat="1" ht="15.75" customHeight="1">
      <c r="B22" s="355"/>
      <c r="C22" s="350"/>
      <c r="D22" s="356" t="s">
        <v>149</v>
      </c>
      <c r="E22" s="767"/>
      <c r="F22" s="768"/>
    </row>
    <row r="23" spans="2:6" s="353" customFormat="1" ht="15.75" customHeight="1">
      <c r="B23" s="355"/>
      <c r="C23" s="350"/>
      <c r="D23" s="356" t="s">
        <v>150</v>
      </c>
      <c r="E23" s="767"/>
      <c r="F23" s="768"/>
    </row>
    <row r="24" spans="2:6" s="353" customFormat="1" ht="15.75" customHeight="1">
      <c r="B24" s="355"/>
      <c r="C24" s="350"/>
      <c r="D24" s="356" t="s">
        <v>151</v>
      </c>
      <c r="E24" s="765">
        <f>-(Aktivet!G39-Aktivet!H39+Aktivet!G45-Aktivet!H45+'Fluksi '!E11)</f>
        <v>-7725346</v>
      </c>
      <c r="F24" s="766">
        <f>-307500</f>
        <v>-307500</v>
      </c>
    </row>
    <row r="25" spans="2:6" s="353" customFormat="1" ht="15.75" customHeight="1">
      <c r="B25" s="355"/>
      <c r="C25" s="350"/>
      <c r="D25" s="356" t="s">
        <v>152</v>
      </c>
      <c r="E25" s="765"/>
      <c r="F25" s="766"/>
    </row>
    <row r="26" spans="2:6" s="353" customFormat="1" ht="15.75" customHeight="1">
      <c r="B26" s="355"/>
      <c r="C26" s="350"/>
      <c r="D26" s="356" t="s">
        <v>153</v>
      </c>
      <c r="E26" s="765"/>
      <c r="F26" s="766"/>
    </row>
    <row r="27" spans="2:6" s="353" customFormat="1" ht="15.75" customHeight="1">
      <c r="B27" s="355"/>
      <c r="C27" s="350"/>
      <c r="D27" s="356" t="s">
        <v>154</v>
      </c>
      <c r="E27" s="765"/>
      <c r="F27" s="766"/>
    </row>
    <row r="28" spans="2:6" s="353" customFormat="1" ht="15.75" customHeight="1">
      <c r="B28" s="355"/>
      <c r="C28" s="350"/>
      <c r="D28" s="356" t="s">
        <v>155</v>
      </c>
      <c r="E28" s="765"/>
      <c r="F28" s="766"/>
    </row>
    <row r="29" spans="2:6" s="353" customFormat="1" ht="15.75" customHeight="1">
      <c r="B29" s="355"/>
      <c r="C29" s="1067" t="s">
        <v>156</v>
      </c>
      <c r="D29" s="1068"/>
      <c r="E29" s="771">
        <f>E22+E23+E24+E25+E26+E27+E28</f>
        <v>-7725346</v>
      </c>
      <c r="F29" s="772">
        <f>F22+F23+F24+F25+F26+F27+F28</f>
        <v>-307500</v>
      </c>
    </row>
    <row r="30" spans="2:6" s="353" customFormat="1" ht="15.75" customHeight="1">
      <c r="B30" s="354" t="s">
        <v>79</v>
      </c>
      <c r="C30" s="1065" t="s">
        <v>157</v>
      </c>
      <c r="D30" s="1066"/>
      <c r="E30" s="764"/>
      <c r="F30" s="773"/>
    </row>
    <row r="31" spans="2:6" s="353" customFormat="1" ht="15.75" customHeight="1">
      <c r="B31" s="355"/>
      <c r="C31" s="350"/>
      <c r="D31" s="356" t="s">
        <v>158</v>
      </c>
      <c r="E31" s="767"/>
      <c r="F31" s="766"/>
    </row>
    <row r="32" spans="2:6" s="353" customFormat="1" ht="15.75" customHeight="1">
      <c r="B32" s="355"/>
      <c r="C32" s="350"/>
      <c r="D32" s="356" t="s">
        <v>159</v>
      </c>
      <c r="E32" s="767"/>
      <c r="F32" s="766"/>
    </row>
    <row r="33" spans="2:9" s="353" customFormat="1" ht="15.75" customHeight="1">
      <c r="B33" s="355"/>
      <c r="C33" s="350"/>
      <c r="D33" s="356" t="s">
        <v>160</v>
      </c>
      <c r="E33" s="767"/>
      <c r="F33" s="766"/>
    </row>
    <row r="34" spans="2:9" s="353" customFormat="1" ht="15.75" customHeight="1">
      <c r="B34" s="355"/>
      <c r="C34" s="350"/>
      <c r="D34" s="356" t="s">
        <v>161</v>
      </c>
      <c r="E34" s="767"/>
      <c r="F34" s="766"/>
    </row>
    <row r="35" spans="2:9" s="353" customFormat="1" ht="15.75" customHeight="1">
      <c r="B35" s="355"/>
      <c r="C35" s="350"/>
      <c r="D35" s="356" t="s">
        <v>162</v>
      </c>
      <c r="E35" s="767"/>
      <c r="F35" s="766"/>
    </row>
    <row r="36" spans="2:9" s="353" customFormat="1" ht="15.75" customHeight="1">
      <c r="B36" s="355"/>
      <c r="C36" s="350"/>
      <c r="D36" s="356" t="s">
        <v>163</v>
      </c>
      <c r="E36" s="767"/>
      <c r="F36" s="766"/>
    </row>
    <row r="37" spans="2:9" s="353" customFormat="1" ht="15.75" customHeight="1">
      <c r="B37" s="355"/>
      <c r="C37" s="350"/>
      <c r="D37" s="356" t="s">
        <v>164</v>
      </c>
      <c r="E37" s="765">
        <f>Pasivet!G23-Pasivet!H23</f>
        <v>0</v>
      </c>
      <c r="F37" s="765">
        <v>-6454753</v>
      </c>
    </row>
    <row r="38" spans="2:9" s="353" customFormat="1" ht="15.75" customHeight="1">
      <c r="B38" s="355"/>
      <c r="C38" s="350"/>
      <c r="D38" s="356" t="s">
        <v>165</v>
      </c>
      <c r="E38" s="767"/>
      <c r="F38" s="766"/>
    </row>
    <row r="39" spans="2:9" s="353" customFormat="1" ht="15.75" customHeight="1">
      <c r="B39" s="355"/>
      <c r="C39" s="350"/>
      <c r="D39" s="356" t="s">
        <v>146</v>
      </c>
      <c r="E39" s="767"/>
      <c r="F39" s="766"/>
    </row>
    <row r="40" spans="2:9" s="353" customFormat="1" ht="15.75" customHeight="1">
      <c r="B40" s="355"/>
      <c r="C40" s="350"/>
      <c r="D40" s="356" t="s">
        <v>166</v>
      </c>
      <c r="E40" s="767"/>
      <c r="F40" s="766"/>
    </row>
    <row r="41" spans="2:9" s="353" customFormat="1" ht="15.75" customHeight="1">
      <c r="B41" s="355"/>
      <c r="C41" s="1067" t="s">
        <v>167</v>
      </c>
      <c r="D41" s="1068"/>
      <c r="E41" s="771">
        <f>E31+E32+E33+E34+E35+E36+E37+E38+E39+E40</f>
        <v>0</v>
      </c>
      <c r="F41" s="772">
        <f>F31+F32+F33+F34+F35+F36+F37+F38+F39+F40</f>
        <v>-6454753</v>
      </c>
      <c r="G41" s="835"/>
      <c r="H41" s="835"/>
    </row>
    <row r="42" spans="2:9" s="353" customFormat="1" ht="15.75" customHeight="1">
      <c r="B42" s="355"/>
      <c r="C42" s="350"/>
      <c r="D42" s="357"/>
      <c r="E42" s="764"/>
      <c r="F42" s="773"/>
    </row>
    <row r="43" spans="2:9" s="353" customFormat="1" ht="15.75" customHeight="1">
      <c r="B43" s="355"/>
      <c r="C43" s="1067" t="s">
        <v>168</v>
      </c>
      <c r="D43" s="1068"/>
      <c r="E43" s="769">
        <f>E20+E29+E41</f>
        <v>-36689657.600000009</v>
      </c>
      <c r="F43" s="772">
        <f>F20+F29+F41</f>
        <v>-93506168.999999985</v>
      </c>
    </row>
    <row r="44" spans="2:9" s="353" customFormat="1" ht="15.75" customHeight="1">
      <c r="B44" s="355"/>
      <c r="C44" s="1065" t="s">
        <v>728</v>
      </c>
      <c r="D44" s="1066"/>
      <c r="E44" s="767">
        <f>F46</f>
        <v>57434900.999999985</v>
      </c>
      <c r="F44" s="768">
        <v>36071268</v>
      </c>
      <c r="H44" s="775"/>
    </row>
    <row r="45" spans="2:9" s="353" customFormat="1" ht="15.75" customHeight="1">
      <c r="B45" s="355"/>
      <c r="C45" s="350"/>
      <c r="D45" s="357" t="s">
        <v>169</v>
      </c>
      <c r="E45" s="767"/>
      <c r="F45" s="768"/>
      <c r="H45" s="775"/>
    </row>
    <row r="46" spans="2:9" s="353" customFormat="1" ht="15.75" customHeight="1">
      <c r="B46" s="355"/>
      <c r="C46" s="1065" t="s">
        <v>729</v>
      </c>
      <c r="D46" s="1066"/>
      <c r="E46" s="769">
        <f>SUM(E43:E45)</f>
        <v>20745243.399999976</v>
      </c>
      <c r="F46" s="794">
        <f>-SUM(F43:F45)</f>
        <v>57434900.999999985</v>
      </c>
      <c r="G46" s="835"/>
      <c r="H46" s="775"/>
    </row>
    <row r="47" spans="2:9">
      <c r="H47" s="776"/>
    </row>
    <row r="48" spans="2:9">
      <c r="D48" s="832" t="s">
        <v>960</v>
      </c>
      <c r="E48" s="1020" t="s">
        <v>962</v>
      </c>
      <c r="F48" s="1020"/>
      <c r="I48" s="724"/>
    </row>
    <row r="49" spans="4:9" ht="13.5">
      <c r="D49" s="833"/>
      <c r="E49" s="360"/>
      <c r="F49" s="361"/>
      <c r="G49" s="362"/>
      <c r="H49" s="362"/>
      <c r="I49" s="724"/>
    </row>
    <row r="50" spans="4:9">
      <c r="D50" s="832" t="s">
        <v>966</v>
      </c>
      <c r="E50" s="1020" t="s">
        <v>964</v>
      </c>
      <c r="F50" s="1020"/>
      <c r="I50" s="724"/>
    </row>
    <row r="51" spans="4:9">
      <c r="D51" s="358"/>
      <c r="E51" s="348"/>
      <c r="F51" s="358"/>
      <c r="G51" s="815"/>
      <c r="H51" s="815"/>
      <c r="I51" s="724"/>
    </row>
    <row r="52" spans="4:9">
      <c r="G52" s="836"/>
    </row>
    <row r="53" spans="4:9">
      <c r="G53" s="837"/>
      <c r="H53" s="347"/>
    </row>
    <row r="54" spans="4:9">
      <c r="G54" s="836"/>
    </row>
  </sheetData>
  <mergeCells count="13">
    <mergeCell ref="B2:E2"/>
    <mergeCell ref="B3:E3"/>
    <mergeCell ref="C6:D6"/>
    <mergeCell ref="C21:D21"/>
    <mergeCell ref="C30:D30"/>
    <mergeCell ref="C44:D44"/>
    <mergeCell ref="C46:D46"/>
    <mergeCell ref="C20:D20"/>
    <mergeCell ref="E48:F48"/>
    <mergeCell ref="E50:F50"/>
    <mergeCell ref="C41:D41"/>
    <mergeCell ref="C43:D43"/>
    <mergeCell ref="C29:D29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M36"/>
  <sheetViews>
    <sheetView topLeftCell="A10" workbookViewId="0">
      <selection activeCell="E26" sqref="E26"/>
    </sheetView>
  </sheetViews>
  <sheetFormatPr defaultRowHeight="11.25"/>
  <cols>
    <col min="1" max="1" width="4" style="460" customWidth="1"/>
    <col min="2" max="2" width="24.5703125" style="472" customWidth="1"/>
    <col min="3" max="9" width="9.28515625" style="472" customWidth="1"/>
    <col min="10" max="10" width="10.7109375" style="472" customWidth="1"/>
    <col min="11" max="13" width="9.28515625" style="472" customWidth="1"/>
    <col min="14" max="14" width="2.42578125" style="460" customWidth="1"/>
    <col min="15" max="16384" width="9.140625" style="460"/>
  </cols>
  <sheetData>
    <row r="1" spans="1:13">
      <c r="B1" s="1071" t="s">
        <v>959</v>
      </c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</row>
    <row r="2" spans="1:13" ht="56.25" customHeight="1">
      <c r="A2" s="461"/>
      <c r="B2" s="462"/>
      <c r="C2" s="463" t="s">
        <v>194</v>
      </c>
      <c r="D2" s="463" t="s">
        <v>87</v>
      </c>
      <c r="E2" s="463" t="s">
        <v>193</v>
      </c>
      <c r="F2" s="463" t="s">
        <v>192</v>
      </c>
      <c r="G2" s="463" t="s">
        <v>191</v>
      </c>
      <c r="H2" s="463" t="s">
        <v>89</v>
      </c>
      <c r="I2" s="463" t="s">
        <v>190</v>
      </c>
      <c r="J2" s="463" t="s">
        <v>171</v>
      </c>
      <c r="K2" s="463" t="s">
        <v>11</v>
      </c>
      <c r="L2" s="463" t="s">
        <v>189</v>
      </c>
      <c r="M2" s="464" t="s">
        <v>11</v>
      </c>
    </row>
    <row r="3" spans="1:13" ht="32.25" customHeight="1">
      <c r="A3" s="465" t="s">
        <v>79</v>
      </c>
      <c r="B3" s="466" t="s">
        <v>722</v>
      </c>
      <c r="C3" s="467">
        <v>222000000</v>
      </c>
      <c r="D3" s="467"/>
      <c r="E3" s="467"/>
      <c r="F3" s="467"/>
      <c r="G3" s="467"/>
      <c r="H3" s="467">
        <v>13351360</v>
      </c>
      <c r="I3" s="467"/>
      <c r="J3" s="468">
        <v>-69589876</v>
      </c>
      <c r="K3" s="467">
        <v>7939889</v>
      </c>
      <c r="L3" s="467"/>
      <c r="M3" s="467">
        <f>SUM(C3:L3)</f>
        <v>173701373</v>
      </c>
    </row>
    <row r="4" spans="1:13" ht="22.5">
      <c r="A4" s="461"/>
      <c r="B4" s="469" t="s">
        <v>188</v>
      </c>
      <c r="C4" s="470"/>
      <c r="D4" s="470"/>
      <c r="E4" s="470"/>
      <c r="F4" s="470"/>
      <c r="G4" s="470"/>
      <c r="H4" s="470"/>
      <c r="I4" s="470"/>
      <c r="J4" s="471"/>
      <c r="K4" s="470"/>
      <c r="L4" s="470"/>
      <c r="M4" s="467">
        <f t="shared" ref="M4:M26" si="0">SUM(C4:L4)</f>
        <v>0</v>
      </c>
    </row>
    <row r="5" spans="1:13" ht="21">
      <c r="A5" s="465" t="s">
        <v>79</v>
      </c>
      <c r="B5" s="466" t="s">
        <v>196</v>
      </c>
      <c r="C5" s="467">
        <f>SUM(C3:C4)</f>
        <v>222000000</v>
      </c>
      <c r="D5" s="467">
        <f t="shared" ref="D5:L5" si="1">SUM(D3:D4)</f>
        <v>0</v>
      </c>
      <c r="E5" s="467">
        <f t="shared" si="1"/>
        <v>0</v>
      </c>
      <c r="F5" s="467">
        <f t="shared" si="1"/>
        <v>0</v>
      </c>
      <c r="G5" s="467">
        <f t="shared" si="1"/>
        <v>0</v>
      </c>
      <c r="H5" s="467">
        <f t="shared" si="1"/>
        <v>13351360</v>
      </c>
      <c r="I5" s="467">
        <f t="shared" si="1"/>
        <v>0</v>
      </c>
      <c r="J5" s="468">
        <f t="shared" si="1"/>
        <v>-69589876</v>
      </c>
      <c r="K5" s="467">
        <f t="shared" si="1"/>
        <v>7939889</v>
      </c>
      <c r="L5" s="467">
        <f t="shared" si="1"/>
        <v>0</v>
      </c>
      <c r="M5" s="467">
        <f t="shared" si="0"/>
        <v>173701373</v>
      </c>
    </row>
    <row r="6" spans="1:13" ht="21">
      <c r="A6" s="461"/>
      <c r="B6" s="466" t="s">
        <v>184</v>
      </c>
      <c r="C6" s="470"/>
      <c r="D6" s="470"/>
      <c r="E6" s="470"/>
      <c r="F6" s="470"/>
      <c r="G6" s="470"/>
      <c r="H6" s="470"/>
      <c r="I6" s="470"/>
      <c r="J6" s="471"/>
      <c r="K6" s="470"/>
      <c r="L6" s="470"/>
      <c r="M6" s="467">
        <f t="shared" si="0"/>
        <v>0</v>
      </c>
    </row>
    <row r="7" spans="1:13">
      <c r="A7" s="461"/>
      <c r="B7" s="469" t="s">
        <v>186</v>
      </c>
      <c r="C7" s="470"/>
      <c r="D7" s="470"/>
      <c r="E7" s="470"/>
      <c r="F7" s="470"/>
      <c r="G7" s="470"/>
      <c r="H7" s="470"/>
      <c r="I7" s="470"/>
      <c r="J7" s="471">
        <v>54291125</v>
      </c>
      <c r="K7" s="470"/>
      <c r="L7" s="470"/>
      <c r="M7" s="468">
        <f t="shared" si="0"/>
        <v>54291125</v>
      </c>
    </row>
    <row r="8" spans="1:13" ht="21">
      <c r="A8" s="461"/>
      <c r="B8" s="466" t="s">
        <v>185</v>
      </c>
      <c r="C8" s="470"/>
      <c r="D8" s="470"/>
      <c r="E8" s="470"/>
      <c r="F8" s="470"/>
      <c r="G8" s="470"/>
      <c r="H8" s="470"/>
      <c r="I8" s="470"/>
      <c r="J8" s="471"/>
      <c r="K8" s="470"/>
      <c r="L8" s="470"/>
      <c r="M8" s="467">
        <f t="shared" si="0"/>
        <v>0</v>
      </c>
    </row>
    <row r="9" spans="1:13" ht="21">
      <c r="A9" s="461"/>
      <c r="B9" s="466" t="s">
        <v>187</v>
      </c>
      <c r="C9" s="467"/>
      <c r="D9" s="467"/>
      <c r="E9" s="467"/>
      <c r="F9" s="467"/>
      <c r="G9" s="467"/>
      <c r="H9" s="467"/>
      <c r="I9" s="467"/>
      <c r="J9" s="468"/>
      <c r="K9" s="467"/>
      <c r="L9" s="467"/>
      <c r="M9" s="467">
        <f t="shared" si="0"/>
        <v>0</v>
      </c>
    </row>
    <row r="10" spans="1:13" ht="31.5">
      <c r="A10" s="461"/>
      <c r="B10" s="466" t="s">
        <v>183</v>
      </c>
      <c r="C10" s="470"/>
      <c r="D10" s="470"/>
      <c r="E10" s="470"/>
      <c r="F10" s="470"/>
      <c r="G10" s="470"/>
      <c r="H10" s="470"/>
      <c r="I10" s="470"/>
      <c r="J10" s="471"/>
      <c r="K10" s="470"/>
      <c r="L10" s="470"/>
      <c r="M10" s="467">
        <f t="shared" si="0"/>
        <v>0</v>
      </c>
    </row>
    <row r="11" spans="1:13" ht="18.75" customHeight="1">
      <c r="A11" s="461"/>
      <c r="B11" s="469" t="s">
        <v>182</v>
      </c>
      <c r="C11" s="470"/>
      <c r="D11" s="470"/>
      <c r="E11" s="470"/>
      <c r="F11" s="470"/>
      <c r="G11" s="470"/>
      <c r="H11" s="470"/>
      <c r="I11" s="470"/>
      <c r="J11" s="471"/>
      <c r="K11" s="470"/>
      <c r="L11" s="470"/>
      <c r="M11" s="467">
        <f t="shared" si="0"/>
        <v>0</v>
      </c>
    </row>
    <row r="12" spans="1:13">
      <c r="A12" s="461"/>
      <c r="B12" s="469" t="s">
        <v>166</v>
      </c>
      <c r="C12" s="470"/>
      <c r="D12" s="470"/>
      <c r="E12" s="470"/>
      <c r="F12" s="470"/>
      <c r="G12" s="470"/>
      <c r="H12" s="470"/>
      <c r="I12" s="470"/>
      <c r="J12" s="471"/>
      <c r="K12" s="470"/>
      <c r="L12" s="470"/>
      <c r="M12" s="467">
        <f t="shared" si="0"/>
        <v>0</v>
      </c>
    </row>
    <row r="13" spans="1:13" ht="21">
      <c r="A13" s="461"/>
      <c r="B13" s="466" t="s">
        <v>181</v>
      </c>
      <c r="C13" s="467"/>
      <c r="D13" s="467"/>
      <c r="E13" s="467"/>
      <c r="F13" s="467"/>
      <c r="G13" s="467"/>
      <c r="H13" s="467"/>
      <c r="I13" s="467"/>
      <c r="J13" s="468"/>
      <c r="K13" s="467"/>
      <c r="L13" s="467"/>
      <c r="M13" s="467">
        <f t="shared" si="0"/>
        <v>0</v>
      </c>
    </row>
    <row r="14" spans="1:13">
      <c r="A14" s="461"/>
      <c r="B14" s="466"/>
      <c r="C14" s="467"/>
      <c r="D14" s="467"/>
      <c r="E14" s="467"/>
      <c r="F14" s="467"/>
      <c r="G14" s="467"/>
      <c r="H14" s="467"/>
      <c r="I14" s="467"/>
      <c r="J14" s="468"/>
      <c r="K14" s="467"/>
      <c r="L14" s="467"/>
      <c r="M14" s="467">
        <f t="shared" si="0"/>
        <v>0</v>
      </c>
    </row>
    <row r="15" spans="1:13" ht="31.5">
      <c r="A15" s="465" t="s">
        <v>79</v>
      </c>
      <c r="B15" s="466" t="s">
        <v>723</v>
      </c>
      <c r="C15" s="467">
        <f>SUM(C5:C14)</f>
        <v>222000000</v>
      </c>
      <c r="D15" s="467">
        <f t="shared" ref="D15:L15" si="2">SUM(D5:D14)</f>
        <v>0</v>
      </c>
      <c r="E15" s="467">
        <f t="shared" si="2"/>
        <v>0</v>
      </c>
      <c r="F15" s="467">
        <f t="shared" si="2"/>
        <v>0</v>
      </c>
      <c r="G15" s="467">
        <f t="shared" si="2"/>
        <v>0</v>
      </c>
      <c r="H15" s="467">
        <f t="shared" si="2"/>
        <v>13351360</v>
      </c>
      <c r="I15" s="467">
        <f t="shared" si="2"/>
        <v>0</v>
      </c>
      <c r="J15" s="468">
        <f t="shared" si="2"/>
        <v>-15298751</v>
      </c>
      <c r="K15" s="467">
        <f t="shared" si="2"/>
        <v>7939889</v>
      </c>
      <c r="L15" s="467">
        <f t="shared" si="2"/>
        <v>0</v>
      </c>
      <c r="M15" s="467">
        <f t="shared" si="0"/>
        <v>227992498</v>
      </c>
    </row>
    <row r="16" spans="1:13">
      <c r="A16" s="461"/>
      <c r="B16" s="469"/>
      <c r="C16" s="470"/>
      <c r="D16" s="470"/>
      <c r="E16" s="470"/>
      <c r="F16" s="470"/>
      <c r="G16" s="470"/>
      <c r="H16" s="470"/>
      <c r="I16" s="470"/>
      <c r="J16" s="471"/>
      <c r="K16" s="470"/>
      <c r="L16" s="470"/>
      <c r="M16" s="467">
        <f t="shared" si="0"/>
        <v>0</v>
      </c>
    </row>
    <row r="17" spans="1:13" ht="21">
      <c r="A17" s="465" t="s">
        <v>79</v>
      </c>
      <c r="B17" s="466" t="s">
        <v>724</v>
      </c>
      <c r="C17" s="467">
        <f>SUM(C15:C16)</f>
        <v>222000000</v>
      </c>
      <c r="D17" s="467">
        <f t="shared" ref="D17:L17" si="3">SUM(D15:D16)</f>
        <v>0</v>
      </c>
      <c r="E17" s="467">
        <f t="shared" si="3"/>
        <v>0</v>
      </c>
      <c r="F17" s="467">
        <f t="shared" si="3"/>
        <v>0</v>
      </c>
      <c r="G17" s="467">
        <f t="shared" si="3"/>
        <v>0</v>
      </c>
      <c r="H17" s="467">
        <f t="shared" si="3"/>
        <v>13351360</v>
      </c>
      <c r="I17" s="467">
        <f t="shared" si="3"/>
        <v>0</v>
      </c>
      <c r="J17" s="468">
        <f t="shared" si="3"/>
        <v>-15298751</v>
      </c>
      <c r="K17" s="467">
        <f t="shared" si="3"/>
        <v>7939889</v>
      </c>
      <c r="L17" s="467">
        <f t="shared" si="3"/>
        <v>0</v>
      </c>
      <c r="M17" s="467">
        <f t="shared" si="0"/>
        <v>227992498</v>
      </c>
    </row>
    <row r="18" spans="1:13" ht="21">
      <c r="A18" s="461"/>
      <c r="B18" s="466" t="s">
        <v>187</v>
      </c>
      <c r="C18" s="470"/>
      <c r="D18" s="470"/>
      <c r="E18" s="470"/>
      <c r="F18" s="470"/>
      <c r="G18" s="470"/>
      <c r="H18" s="470"/>
      <c r="I18" s="470"/>
      <c r="J18" s="471"/>
      <c r="K18" s="470"/>
      <c r="L18" s="470"/>
      <c r="M18" s="467">
        <f t="shared" si="0"/>
        <v>0</v>
      </c>
    </row>
    <row r="19" spans="1:13">
      <c r="A19" s="461"/>
      <c r="B19" s="469" t="s">
        <v>186</v>
      </c>
      <c r="C19" s="470"/>
      <c r="D19" s="470"/>
      <c r="E19" s="470"/>
      <c r="F19" s="470"/>
      <c r="G19" s="470"/>
      <c r="H19" s="470"/>
      <c r="I19" s="470"/>
      <c r="J19" s="471">
        <v>3444764.1</v>
      </c>
      <c r="K19" s="470"/>
      <c r="L19" s="470"/>
      <c r="M19" s="468">
        <f t="shared" si="0"/>
        <v>3444764.1</v>
      </c>
    </row>
    <row r="20" spans="1:13" ht="21">
      <c r="A20" s="461"/>
      <c r="B20" s="466" t="s">
        <v>185</v>
      </c>
      <c r="C20" s="470"/>
      <c r="D20" s="470"/>
      <c r="E20" s="470"/>
      <c r="F20" s="470"/>
      <c r="G20" s="470"/>
      <c r="H20" s="470"/>
      <c r="I20" s="470"/>
      <c r="J20" s="471"/>
      <c r="K20" s="470"/>
      <c r="L20" s="470"/>
      <c r="M20" s="467">
        <f t="shared" si="0"/>
        <v>0</v>
      </c>
    </row>
    <row r="21" spans="1:13" ht="21">
      <c r="A21" s="461"/>
      <c r="B21" s="466" t="s">
        <v>184</v>
      </c>
      <c r="C21" s="467"/>
      <c r="D21" s="467"/>
      <c r="E21" s="467"/>
      <c r="F21" s="467"/>
      <c r="G21" s="467"/>
      <c r="H21" s="467"/>
      <c r="I21" s="467"/>
      <c r="J21" s="468"/>
      <c r="K21" s="467"/>
      <c r="L21" s="467"/>
      <c r="M21" s="467">
        <f t="shared" si="0"/>
        <v>0</v>
      </c>
    </row>
    <row r="22" spans="1:13" ht="31.5">
      <c r="A22" s="461"/>
      <c r="B22" s="466" t="s">
        <v>183</v>
      </c>
      <c r="C22" s="470"/>
      <c r="D22" s="470"/>
      <c r="E22" s="470"/>
      <c r="F22" s="470"/>
      <c r="G22" s="470"/>
      <c r="H22" s="470"/>
      <c r="I22" s="470"/>
      <c r="J22" s="471"/>
      <c r="K22" s="470"/>
      <c r="L22" s="470"/>
      <c r="M22" s="467">
        <f t="shared" si="0"/>
        <v>0</v>
      </c>
    </row>
    <row r="23" spans="1:13">
      <c r="A23" s="461"/>
      <c r="B23" s="469" t="s">
        <v>182</v>
      </c>
      <c r="C23" s="470"/>
      <c r="D23" s="470"/>
      <c r="E23" s="470"/>
      <c r="F23" s="470"/>
      <c r="G23" s="470"/>
      <c r="H23" s="470"/>
      <c r="I23" s="470"/>
      <c r="J23" s="471"/>
      <c r="K23" s="470"/>
      <c r="L23" s="470"/>
      <c r="M23" s="467">
        <f t="shared" si="0"/>
        <v>0</v>
      </c>
    </row>
    <row r="24" spans="1:13">
      <c r="A24" s="461"/>
      <c r="B24" s="469" t="s">
        <v>166</v>
      </c>
      <c r="C24" s="470"/>
      <c r="D24" s="470"/>
      <c r="E24" s="470"/>
      <c r="F24" s="470"/>
      <c r="G24" s="470"/>
      <c r="H24" s="470"/>
      <c r="I24" s="470"/>
      <c r="J24" s="471"/>
      <c r="K24" s="470"/>
      <c r="L24" s="470"/>
      <c r="M24" s="467">
        <f t="shared" si="0"/>
        <v>0</v>
      </c>
    </row>
    <row r="25" spans="1:13" ht="21">
      <c r="A25" s="461"/>
      <c r="B25" s="466" t="s">
        <v>181</v>
      </c>
      <c r="C25" s="467"/>
      <c r="D25" s="467"/>
      <c r="E25" s="467"/>
      <c r="F25" s="467"/>
      <c r="G25" s="467"/>
      <c r="H25" s="467"/>
      <c r="I25" s="467"/>
      <c r="J25" s="468"/>
      <c r="K25" s="467"/>
      <c r="L25" s="467"/>
      <c r="M25" s="467">
        <f t="shared" si="0"/>
        <v>0</v>
      </c>
    </row>
    <row r="26" spans="1:13" ht="21">
      <c r="A26" s="465" t="s">
        <v>79</v>
      </c>
      <c r="B26" s="466" t="s">
        <v>725</v>
      </c>
      <c r="C26" s="467">
        <f>SUM(C17:C25)</f>
        <v>222000000</v>
      </c>
      <c r="D26" s="467">
        <f t="shared" ref="D26:L26" si="4">SUM(D17:D25)</f>
        <v>0</v>
      </c>
      <c r="E26" s="467">
        <f t="shared" si="4"/>
        <v>0</v>
      </c>
      <c r="F26" s="467">
        <f t="shared" si="4"/>
        <v>0</v>
      </c>
      <c r="G26" s="467">
        <f t="shared" si="4"/>
        <v>0</v>
      </c>
      <c r="H26" s="467">
        <f t="shared" si="4"/>
        <v>13351360</v>
      </c>
      <c r="I26" s="467">
        <f t="shared" si="4"/>
        <v>0</v>
      </c>
      <c r="J26" s="468">
        <f t="shared" si="4"/>
        <v>-11853986.9</v>
      </c>
      <c r="K26" s="467">
        <f t="shared" si="4"/>
        <v>7939889</v>
      </c>
      <c r="L26" s="467">
        <f t="shared" si="4"/>
        <v>0</v>
      </c>
      <c r="M26" s="467">
        <f t="shared" si="0"/>
        <v>231437262.09999999</v>
      </c>
    </row>
    <row r="27" spans="1:13" s="892" customFormat="1" ht="27" customHeight="1">
      <c r="B27" s="893" t="s">
        <v>960</v>
      </c>
      <c r="C27" s="894"/>
      <c r="D27" s="894"/>
      <c r="E27" s="894"/>
      <c r="F27" s="895" t="s">
        <v>962</v>
      </c>
      <c r="G27" s="894"/>
      <c r="H27" s="894"/>
      <c r="I27" s="894"/>
      <c r="J27" s="894"/>
      <c r="K27" s="894"/>
      <c r="L27" s="894"/>
      <c r="M27" s="894"/>
    </row>
    <row r="28" spans="1:13" s="892" customFormat="1" ht="15">
      <c r="B28" s="896"/>
      <c r="C28" s="894"/>
      <c r="D28" s="894"/>
      <c r="E28" s="894"/>
      <c r="F28" s="894"/>
      <c r="G28" s="894"/>
      <c r="H28" s="894"/>
      <c r="I28" s="894"/>
      <c r="J28" s="894"/>
      <c r="K28" s="894"/>
      <c r="L28" s="894"/>
      <c r="M28" s="894"/>
    </row>
    <row r="29" spans="1:13" s="892" customFormat="1" ht="15">
      <c r="B29" s="897" t="s">
        <v>961</v>
      </c>
      <c r="C29" s="894"/>
      <c r="D29" s="894"/>
      <c r="E29" s="894"/>
      <c r="F29" s="1072" t="s">
        <v>965</v>
      </c>
      <c r="G29" s="1072"/>
      <c r="H29" s="894"/>
      <c r="I29" s="894"/>
      <c r="J29" s="894"/>
      <c r="K29" s="894"/>
      <c r="L29" s="894"/>
      <c r="M29" s="894"/>
    </row>
    <row r="30" spans="1:13">
      <c r="B30" s="459"/>
    </row>
    <row r="31" spans="1:13">
      <c r="B31" s="459"/>
    </row>
    <row r="32" spans="1:13">
      <c r="B32" s="459"/>
    </row>
    <row r="33" spans="2:7">
      <c r="B33" s="459"/>
    </row>
    <row r="34" spans="2:7">
      <c r="B34" s="457"/>
      <c r="F34" s="458"/>
      <c r="G34" s="458"/>
    </row>
    <row r="35" spans="2:7">
      <c r="B35" s="459"/>
      <c r="F35" s="473"/>
      <c r="G35" s="473"/>
    </row>
    <row r="36" spans="2:7">
      <c r="B36" s="457"/>
      <c r="F36" s="458"/>
      <c r="G36" s="458"/>
    </row>
  </sheetData>
  <mergeCells count="2">
    <mergeCell ref="B1:M1"/>
    <mergeCell ref="F29:G29"/>
  </mergeCells>
  <printOptions horizontalCentered="1"/>
  <pageMargins left="0" right="0" top="0.25" bottom="0.25" header="0.31496062992126" footer="0.31496062992126"/>
  <pageSetup scale="8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</sheetPr>
  <dimension ref="B1:L52"/>
  <sheetViews>
    <sheetView topLeftCell="A26" workbookViewId="0">
      <selection activeCell="Q51" sqref="Q51"/>
    </sheetView>
  </sheetViews>
  <sheetFormatPr defaultColWidth="4.7109375" defaultRowHeight="11.25"/>
  <cols>
    <col min="1" max="1" width="4.42578125" style="240" customWidth="1"/>
    <col min="2" max="2" width="4.5703125" style="240" customWidth="1"/>
    <col min="3" max="3" width="8.5703125" style="240" customWidth="1"/>
    <col min="4" max="4" width="3.5703125" style="240" customWidth="1"/>
    <col min="5" max="5" width="13.7109375" style="240" customWidth="1"/>
    <col min="6" max="7" width="8.7109375" style="240" customWidth="1"/>
    <col min="8" max="8" width="9.28515625" style="240" customWidth="1"/>
    <col min="9" max="9" width="29" style="240" customWidth="1"/>
    <col min="10" max="10" width="6" style="240" hidden="1" customWidth="1"/>
    <col min="11" max="11" width="10.42578125" style="240" hidden="1" customWidth="1"/>
    <col min="12" max="16384" width="4.7109375" style="240"/>
  </cols>
  <sheetData>
    <row r="1" spans="2:10" ht="9.75" customHeight="1" thickBot="1"/>
    <row r="2" spans="2:10" s="242" customFormat="1" ht="16.5" customHeight="1">
      <c r="B2" s="1073" t="s">
        <v>7</v>
      </c>
      <c r="C2" s="1074"/>
      <c r="D2" s="1074"/>
      <c r="E2" s="1074"/>
      <c r="F2" s="1074"/>
      <c r="G2" s="1074"/>
      <c r="H2" s="1074"/>
      <c r="I2" s="1074"/>
      <c r="J2" s="1075"/>
    </row>
    <row r="3" spans="2:10" s="247" customFormat="1" ht="16.5" customHeight="1">
      <c r="B3" s="816"/>
      <c r="C3" s="243" t="s">
        <v>10</v>
      </c>
      <c r="D3" s="244"/>
      <c r="E3" s="244"/>
      <c r="F3" s="244"/>
      <c r="G3" s="245"/>
      <c r="H3" s="245"/>
      <c r="I3" s="246"/>
      <c r="J3" s="817"/>
    </row>
    <row r="4" spans="2:10" s="247" customFormat="1">
      <c r="B4" s="816"/>
      <c r="C4" s="248"/>
      <c r="D4" s="249" t="s">
        <v>495</v>
      </c>
      <c r="E4" s="249"/>
      <c r="F4" s="249"/>
      <c r="G4" s="249"/>
      <c r="H4" s="249"/>
      <c r="I4" s="250"/>
      <c r="J4" s="817"/>
    </row>
    <row r="5" spans="2:10" s="247" customFormat="1">
      <c r="B5" s="816"/>
      <c r="C5" s="248"/>
      <c r="D5" s="249" t="s">
        <v>496</v>
      </c>
      <c r="E5" s="249"/>
      <c r="F5" s="249"/>
      <c r="G5" s="249"/>
      <c r="H5" s="249"/>
      <c r="I5" s="250"/>
      <c r="J5" s="817"/>
    </row>
    <row r="6" spans="2:10" s="247" customFormat="1">
      <c r="B6" s="816"/>
      <c r="C6" s="248" t="s">
        <v>497</v>
      </c>
      <c r="D6" s="251"/>
      <c r="E6" s="251"/>
      <c r="F6" s="251"/>
      <c r="G6" s="251"/>
      <c r="H6" s="251"/>
      <c r="I6" s="250"/>
      <c r="J6" s="817"/>
    </row>
    <row r="7" spans="2:10" s="247" customFormat="1">
      <c r="B7" s="816"/>
      <c r="C7" s="248"/>
      <c r="D7" s="249"/>
      <c r="E7" s="249" t="s">
        <v>498</v>
      </c>
      <c r="F7" s="249"/>
      <c r="G7" s="251"/>
      <c r="H7" s="251"/>
      <c r="I7" s="250"/>
      <c r="J7" s="817"/>
    </row>
    <row r="8" spans="2:10" s="247" customFormat="1">
      <c r="B8" s="816"/>
      <c r="C8" s="252"/>
      <c r="D8" s="253"/>
      <c r="E8" s="249" t="s">
        <v>499</v>
      </c>
      <c r="F8" s="249"/>
      <c r="G8" s="251"/>
      <c r="H8" s="251"/>
      <c r="I8" s="250"/>
      <c r="J8" s="817"/>
    </row>
    <row r="9" spans="2:10" s="247" customFormat="1">
      <c r="B9" s="816"/>
      <c r="C9" s="254"/>
      <c r="D9" s="255"/>
      <c r="E9" s="255" t="s">
        <v>500</v>
      </c>
      <c r="F9" s="255"/>
      <c r="G9" s="255"/>
      <c r="H9" s="255"/>
      <c r="I9" s="256"/>
      <c r="J9" s="817"/>
    </row>
    <row r="10" spans="2:10" ht="15">
      <c r="B10" s="818" t="s">
        <v>12</v>
      </c>
      <c r="C10" s="257" t="s">
        <v>13</v>
      </c>
      <c r="D10" s="241"/>
      <c r="E10" s="241"/>
      <c r="F10" s="241"/>
      <c r="G10" s="241"/>
      <c r="H10" s="241"/>
      <c r="I10" s="241"/>
      <c r="J10" s="819"/>
    </row>
    <row r="11" spans="2:10" ht="15">
      <c r="B11" s="820">
        <v>1</v>
      </c>
      <c r="C11" s="258" t="s">
        <v>197</v>
      </c>
      <c r="D11" s="259"/>
      <c r="E11" s="259"/>
      <c r="F11" s="260"/>
      <c r="G11" s="260"/>
      <c r="H11" s="260"/>
      <c r="I11" s="260"/>
      <c r="J11" s="819"/>
    </row>
    <row r="12" spans="2:10" ht="15">
      <c r="B12" s="820">
        <v>2</v>
      </c>
      <c r="C12" s="261" t="s">
        <v>501</v>
      </c>
      <c r="D12" s="249"/>
      <c r="E12" s="249"/>
      <c r="F12" s="249"/>
      <c r="G12" s="249"/>
      <c r="H12" s="249"/>
      <c r="I12" s="249"/>
      <c r="J12" s="819"/>
    </row>
    <row r="13" spans="2:10" ht="15">
      <c r="B13" s="821">
        <v>3</v>
      </c>
      <c r="C13" s="261" t="s">
        <v>502</v>
      </c>
      <c r="D13" s="249"/>
      <c r="E13" s="249"/>
      <c r="F13" s="249"/>
      <c r="G13" s="249"/>
      <c r="H13" s="249"/>
      <c r="I13" s="249"/>
      <c r="J13" s="819"/>
    </row>
    <row r="14" spans="2:10" ht="15">
      <c r="B14" s="821">
        <v>4</v>
      </c>
      <c r="C14" s="261" t="s">
        <v>503</v>
      </c>
      <c r="D14" s="249"/>
      <c r="E14" s="249"/>
      <c r="F14" s="249"/>
      <c r="G14" s="249"/>
      <c r="H14" s="249"/>
      <c r="I14" s="249"/>
      <c r="J14" s="819"/>
    </row>
    <row r="15" spans="2:10" ht="15">
      <c r="B15" s="821"/>
      <c r="C15" s="258" t="s">
        <v>504</v>
      </c>
      <c r="D15" s="241"/>
      <c r="E15" s="241"/>
      <c r="F15" s="241"/>
      <c r="G15" s="241"/>
      <c r="H15" s="241"/>
      <c r="I15" s="241"/>
      <c r="J15" s="819"/>
    </row>
    <row r="16" spans="2:10" ht="15">
      <c r="B16" s="821" t="s">
        <v>198</v>
      </c>
      <c r="C16" s="261"/>
      <c r="D16" s="241"/>
      <c r="E16" s="241"/>
      <c r="F16" s="241"/>
      <c r="G16" s="241"/>
      <c r="H16" s="241"/>
      <c r="I16" s="241"/>
      <c r="J16" s="819"/>
    </row>
    <row r="17" spans="2:10" ht="15">
      <c r="B17" s="821"/>
      <c r="C17" s="258" t="s">
        <v>505</v>
      </c>
      <c r="D17" s="241"/>
      <c r="E17" s="241"/>
      <c r="F17" s="241"/>
      <c r="G17" s="241"/>
      <c r="H17" s="241"/>
      <c r="I17" s="241"/>
      <c r="J17" s="819"/>
    </row>
    <row r="18" spans="2:10" ht="15">
      <c r="B18" s="821" t="s">
        <v>506</v>
      </c>
      <c r="C18" s="261"/>
      <c r="D18" s="241"/>
      <c r="E18" s="241"/>
      <c r="F18" s="241"/>
      <c r="G18" s="241"/>
      <c r="H18" s="241"/>
      <c r="I18" s="241"/>
      <c r="J18" s="819"/>
    </row>
    <row r="19" spans="2:10" ht="15">
      <c r="B19" s="821"/>
      <c r="C19" s="258" t="s">
        <v>507</v>
      </c>
      <c r="D19" s="241"/>
      <c r="E19" s="241"/>
      <c r="F19" s="241"/>
      <c r="G19" s="241"/>
      <c r="H19" s="241"/>
      <c r="I19" s="241"/>
      <c r="J19" s="819"/>
    </row>
    <row r="20" spans="2:10" ht="15">
      <c r="B20" s="821" t="s">
        <v>199</v>
      </c>
      <c r="C20" s="261"/>
      <c r="D20" s="241"/>
      <c r="E20" s="241"/>
      <c r="F20" s="241"/>
      <c r="G20" s="241"/>
      <c r="H20" s="241"/>
      <c r="I20" s="241"/>
      <c r="J20" s="819"/>
    </row>
    <row r="21" spans="2:10" ht="15">
      <c r="B21" s="821"/>
      <c r="C21" s="261" t="s">
        <v>508</v>
      </c>
      <c r="D21" s="241"/>
      <c r="E21" s="241"/>
      <c r="F21" s="241"/>
      <c r="G21" s="241"/>
      <c r="H21" s="241"/>
      <c r="I21" s="241"/>
      <c r="J21" s="819"/>
    </row>
    <row r="22" spans="2:10" ht="15">
      <c r="B22" s="821" t="s">
        <v>200</v>
      </c>
      <c r="C22" s="261"/>
      <c r="D22" s="241"/>
      <c r="E22" s="241"/>
      <c r="F22" s="241"/>
      <c r="G22" s="241"/>
      <c r="H22" s="241"/>
      <c r="I22" s="241"/>
      <c r="J22" s="819"/>
    </row>
    <row r="23" spans="2:10" ht="15">
      <c r="B23" s="822" t="s">
        <v>201</v>
      </c>
      <c r="C23" s="261"/>
      <c r="D23" s="241"/>
      <c r="E23" s="241"/>
      <c r="F23" s="241"/>
      <c r="G23" s="241"/>
      <c r="H23" s="241"/>
      <c r="I23" s="241"/>
      <c r="J23" s="819"/>
    </row>
    <row r="24" spans="2:10" ht="15">
      <c r="B24" s="821"/>
      <c r="C24" s="261" t="s">
        <v>509</v>
      </c>
      <c r="D24" s="241"/>
      <c r="E24" s="241"/>
      <c r="F24" s="241"/>
      <c r="G24" s="241"/>
      <c r="H24" s="241"/>
      <c r="I24" s="241"/>
      <c r="J24" s="819"/>
    </row>
    <row r="25" spans="2:10" ht="15">
      <c r="B25" s="822" t="s">
        <v>202</v>
      </c>
      <c r="C25" s="261"/>
      <c r="D25" s="241"/>
      <c r="E25" s="241"/>
      <c r="F25" s="241"/>
      <c r="G25" s="241"/>
      <c r="H25" s="241"/>
      <c r="I25" s="241"/>
      <c r="J25" s="819"/>
    </row>
    <row r="26" spans="2:10" ht="15">
      <c r="B26" s="821"/>
      <c r="C26" s="261" t="s">
        <v>510</v>
      </c>
      <c r="D26" s="241"/>
      <c r="E26" s="241"/>
      <c r="F26" s="241"/>
      <c r="G26" s="241"/>
      <c r="H26" s="241"/>
      <c r="I26" s="241"/>
      <c r="J26" s="819"/>
    </row>
    <row r="27" spans="2:10" ht="15">
      <c r="B27" s="822" t="s">
        <v>203</v>
      </c>
      <c r="C27" s="261"/>
      <c r="D27" s="241"/>
      <c r="E27" s="241"/>
      <c r="F27" s="241"/>
      <c r="G27" s="241"/>
      <c r="H27" s="241"/>
      <c r="I27" s="241"/>
      <c r="J27" s="819"/>
    </row>
    <row r="28" spans="2:10" ht="15">
      <c r="B28" s="821" t="s">
        <v>204</v>
      </c>
      <c r="C28" s="261" t="s">
        <v>205</v>
      </c>
      <c r="D28" s="241"/>
      <c r="E28" s="241"/>
      <c r="F28" s="241"/>
      <c r="G28" s="241"/>
      <c r="H28" s="241"/>
      <c r="I28" s="241"/>
      <c r="J28" s="819"/>
    </row>
    <row r="29" spans="2:10" ht="15">
      <c r="B29" s="821"/>
      <c r="C29" s="258" t="s">
        <v>206</v>
      </c>
      <c r="D29" s="241"/>
      <c r="E29" s="241"/>
      <c r="F29" s="241"/>
      <c r="G29" s="241"/>
      <c r="H29" s="241"/>
      <c r="I29" s="241"/>
      <c r="J29" s="819"/>
    </row>
    <row r="30" spans="2:10" ht="15">
      <c r="B30" s="821"/>
      <c r="C30" s="258" t="s">
        <v>207</v>
      </c>
      <c r="D30" s="241"/>
      <c r="E30" s="241"/>
      <c r="F30" s="241"/>
      <c r="G30" s="241"/>
      <c r="H30" s="241"/>
      <c r="I30" s="241"/>
      <c r="J30" s="819"/>
    </row>
    <row r="31" spans="2:10" ht="15">
      <c r="B31" s="821"/>
      <c r="C31" s="258" t="s">
        <v>208</v>
      </c>
      <c r="D31" s="241"/>
      <c r="E31" s="241"/>
      <c r="F31" s="241"/>
      <c r="G31" s="241"/>
      <c r="H31" s="241"/>
      <c r="I31" s="241"/>
      <c r="J31" s="819"/>
    </row>
    <row r="32" spans="2:10" ht="15">
      <c r="B32" s="821"/>
      <c r="C32" s="258" t="s">
        <v>209</v>
      </c>
      <c r="D32" s="241"/>
      <c r="E32" s="241"/>
      <c r="F32" s="241"/>
      <c r="G32" s="241"/>
      <c r="H32" s="241"/>
      <c r="I32" s="241"/>
      <c r="J32" s="819"/>
    </row>
    <row r="33" spans="2:12" ht="15">
      <c r="B33" s="821"/>
      <c r="C33" s="258" t="s">
        <v>210</v>
      </c>
      <c r="D33" s="241"/>
      <c r="E33" s="241"/>
      <c r="F33" s="241"/>
      <c r="G33" s="241"/>
      <c r="H33" s="241"/>
      <c r="I33" s="241"/>
      <c r="J33" s="819"/>
    </row>
    <row r="34" spans="2:12" ht="15">
      <c r="B34" s="821"/>
      <c r="C34" s="258" t="s">
        <v>211</v>
      </c>
      <c r="D34" s="241"/>
      <c r="E34" s="241"/>
      <c r="F34" s="241"/>
      <c r="G34" s="241"/>
      <c r="H34" s="241"/>
      <c r="I34" s="241"/>
      <c r="J34" s="819"/>
    </row>
    <row r="35" spans="2:12" ht="15">
      <c r="B35" s="818" t="s">
        <v>14</v>
      </c>
      <c r="C35" s="257" t="s">
        <v>15</v>
      </c>
      <c r="D35" s="241"/>
      <c r="E35" s="241"/>
      <c r="F35" s="241"/>
      <c r="G35" s="241"/>
      <c r="H35" s="241"/>
      <c r="I35" s="241"/>
      <c r="J35" s="819"/>
    </row>
    <row r="36" spans="2:12" ht="15">
      <c r="B36" s="821"/>
      <c r="C36" s="261"/>
      <c r="D36" s="241"/>
      <c r="E36" s="241"/>
      <c r="F36" s="241"/>
      <c r="G36" s="241"/>
      <c r="H36" s="241"/>
      <c r="I36" s="241"/>
      <c r="J36" s="819"/>
    </row>
    <row r="37" spans="2:12" ht="15">
      <c r="B37" s="821"/>
      <c r="C37" s="258" t="s">
        <v>511</v>
      </c>
      <c r="D37" s="241"/>
      <c r="E37" s="241"/>
      <c r="F37" s="241"/>
      <c r="G37" s="241"/>
      <c r="H37" s="241"/>
      <c r="I37" s="241"/>
      <c r="J37" s="819"/>
      <c r="L37" s="262"/>
    </row>
    <row r="38" spans="2:12" ht="15">
      <c r="B38" s="821" t="s">
        <v>512</v>
      </c>
      <c r="C38" s="261"/>
      <c r="D38" s="241"/>
      <c r="E38" s="241"/>
      <c r="F38" s="241"/>
      <c r="G38" s="241"/>
      <c r="H38" s="241"/>
      <c r="I38" s="241"/>
      <c r="J38" s="819"/>
    </row>
    <row r="39" spans="2:12" ht="15">
      <c r="B39" s="821"/>
      <c r="C39" s="261" t="s">
        <v>212</v>
      </c>
      <c r="D39" s="241"/>
      <c r="E39" s="241"/>
      <c r="F39" s="241"/>
      <c r="G39" s="241"/>
      <c r="H39" s="241"/>
      <c r="I39" s="241"/>
      <c r="J39" s="819"/>
    </row>
    <row r="40" spans="2:12" ht="15">
      <c r="B40" s="821" t="s">
        <v>513</v>
      </c>
      <c r="C40" s="261"/>
      <c r="D40" s="241"/>
      <c r="E40" s="241"/>
      <c r="F40" s="241"/>
      <c r="G40" s="241"/>
      <c r="H40" s="241"/>
      <c r="I40" s="241"/>
      <c r="J40" s="819"/>
    </row>
    <row r="41" spans="2:12" ht="15">
      <c r="B41" s="821"/>
      <c r="C41" s="261" t="s">
        <v>213</v>
      </c>
      <c r="D41" s="241"/>
      <c r="E41" s="241"/>
      <c r="F41" s="241"/>
      <c r="G41" s="241"/>
      <c r="H41" s="241"/>
      <c r="I41" s="241"/>
      <c r="J41" s="819"/>
    </row>
    <row r="42" spans="2:12" ht="15">
      <c r="B42" s="821" t="s">
        <v>514</v>
      </c>
      <c r="C42" s="261"/>
      <c r="D42" s="241"/>
      <c r="E42" s="241"/>
      <c r="F42" s="241"/>
      <c r="G42" s="241"/>
      <c r="H42" s="241"/>
      <c r="I42" s="241"/>
      <c r="J42" s="819"/>
    </row>
    <row r="43" spans="2:12" ht="15">
      <c r="B43" s="821"/>
      <c r="C43" s="261" t="s">
        <v>214</v>
      </c>
      <c r="D43" s="241"/>
      <c r="E43" s="241"/>
      <c r="F43" s="241"/>
      <c r="G43" s="241"/>
      <c r="H43" s="241"/>
      <c r="I43" s="241"/>
      <c r="J43" s="819"/>
    </row>
    <row r="44" spans="2:12" s="264" customFormat="1" ht="15">
      <c r="B44" s="821" t="s">
        <v>515</v>
      </c>
      <c r="C44" s="261"/>
      <c r="D44" s="263"/>
      <c r="E44" s="263"/>
      <c r="F44" s="263"/>
      <c r="G44" s="263"/>
      <c r="H44" s="263"/>
      <c r="I44" s="263"/>
      <c r="J44" s="823"/>
    </row>
    <row r="45" spans="2:12" s="264" customFormat="1" ht="16.5">
      <c r="B45" s="821"/>
      <c r="C45" s="261" t="s">
        <v>516</v>
      </c>
      <c r="D45" s="263"/>
      <c r="E45" s="265"/>
      <c r="F45" s="265"/>
      <c r="G45" s="265"/>
      <c r="H45" s="265"/>
      <c r="I45" s="265"/>
      <c r="J45" s="823"/>
    </row>
    <row r="46" spans="2:12" s="264" customFormat="1" ht="16.5">
      <c r="B46" s="821" t="s">
        <v>517</v>
      </c>
      <c r="C46" s="261"/>
      <c r="D46" s="263"/>
      <c r="E46" s="265"/>
      <c r="F46" s="265"/>
      <c r="G46" s="265"/>
      <c r="H46" s="265"/>
      <c r="I46" s="265"/>
      <c r="J46" s="823"/>
    </row>
    <row r="47" spans="2:12" s="264" customFormat="1" ht="16.5">
      <c r="B47" s="821" t="s">
        <v>518</v>
      </c>
      <c r="C47" s="261"/>
      <c r="D47" s="263"/>
      <c r="E47" s="265"/>
      <c r="F47" s="265"/>
      <c r="G47" s="265"/>
      <c r="H47" s="265"/>
      <c r="I47" s="265"/>
      <c r="J47" s="823"/>
    </row>
    <row r="48" spans="2:12" s="264" customFormat="1" ht="16.5">
      <c r="B48" s="821" t="s">
        <v>519</v>
      </c>
      <c r="C48" s="261"/>
      <c r="D48" s="263"/>
      <c r="E48" s="265"/>
      <c r="F48" s="265"/>
      <c r="G48" s="265"/>
      <c r="H48" s="265"/>
      <c r="I48" s="265"/>
      <c r="J48" s="823"/>
    </row>
    <row r="49" spans="2:10" s="264" customFormat="1" ht="12" customHeight="1">
      <c r="B49" s="821"/>
      <c r="C49" s="261" t="s">
        <v>520</v>
      </c>
      <c r="D49" s="266"/>
      <c r="E49" s="267"/>
      <c r="F49" s="267"/>
      <c r="G49" s="266"/>
      <c r="H49" s="266"/>
      <c r="I49" s="266"/>
      <c r="J49" s="823"/>
    </row>
    <row r="50" spans="2:10" ht="15">
      <c r="B50" s="824"/>
      <c r="C50" s="241"/>
      <c r="D50" s="241"/>
      <c r="E50" s="241"/>
      <c r="F50" s="241"/>
      <c r="G50" s="1076" t="s">
        <v>8</v>
      </c>
      <c r="H50" s="1076"/>
      <c r="I50" s="1076"/>
      <c r="J50" s="819"/>
    </row>
    <row r="51" spans="2:10" ht="15">
      <c r="B51" s="824"/>
      <c r="C51" s="241"/>
      <c r="D51" s="241"/>
      <c r="E51" s="241"/>
      <c r="F51" s="241"/>
      <c r="G51" s="1077" t="s">
        <v>963</v>
      </c>
      <c r="H51" s="1077"/>
      <c r="I51" s="1077"/>
      <c r="J51" s="819"/>
    </row>
    <row r="52" spans="2:10" ht="12" thickBot="1">
      <c r="B52" s="825"/>
      <c r="C52" s="826"/>
      <c r="D52" s="826"/>
      <c r="E52" s="826"/>
      <c r="F52" s="826"/>
      <c r="G52" s="826"/>
      <c r="H52" s="826"/>
      <c r="I52" s="826"/>
      <c r="J52" s="827"/>
    </row>
  </sheetData>
  <mergeCells count="3">
    <mergeCell ref="B2:J2"/>
    <mergeCell ref="G50:I50"/>
    <mergeCell ref="G51:I51"/>
  </mergeCells>
  <printOptions horizontalCentered="1"/>
  <pageMargins left="0.25" right="0.25" top="0.5" bottom="0.2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W299"/>
  <sheetViews>
    <sheetView topLeftCell="A5" workbookViewId="0">
      <selection activeCell="P36" sqref="P36"/>
    </sheetView>
  </sheetViews>
  <sheetFormatPr defaultColWidth="6" defaultRowHeight="12.75"/>
  <cols>
    <col min="2" max="2" width="7.5703125" customWidth="1"/>
    <col min="3" max="3" width="12.140625" customWidth="1"/>
    <col min="4" max="4" width="4.7109375" customWidth="1"/>
    <col min="5" max="5" width="12.28515625" customWidth="1"/>
    <col min="6" max="6" width="12" customWidth="1"/>
    <col min="7" max="7" width="9.28515625" customWidth="1"/>
    <col min="8" max="9" width="9.28515625" hidden="1" customWidth="1"/>
    <col min="10" max="11" width="9.28515625" customWidth="1"/>
    <col min="12" max="12" width="6.85546875" customWidth="1"/>
    <col min="13" max="13" width="6" customWidth="1"/>
    <col min="14" max="14" width="7.28515625" customWidth="1"/>
    <col min="15" max="15" width="5.5703125" customWidth="1"/>
    <col min="16" max="16" width="9.28515625" customWidth="1"/>
    <col min="17" max="18" width="5.42578125" customWidth="1"/>
    <col min="19" max="19" width="8" customWidth="1"/>
    <col min="20" max="20" width="6.7109375" customWidth="1"/>
    <col min="21" max="21" width="15.5703125" customWidth="1"/>
    <col min="22" max="22" width="15.7109375" customWidth="1"/>
  </cols>
  <sheetData>
    <row r="1" spans="1:23">
      <c r="A1" s="65" t="s">
        <v>849</v>
      </c>
      <c r="B1" s="66"/>
      <c r="C1" s="66"/>
      <c r="D1" s="66"/>
      <c r="E1" s="66"/>
      <c r="F1" s="67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3" ht="17.25" customHeight="1">
      <c r="A2" s="65" t="s">
        <v>848</v>
      </c>
      <c r="B2" s="66"/>
      <c r="C2" s="66"/>
      <c r="D2" s="66"/>
      <c r="E2" s="69"/>
      <c r="F2" s="67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3" ht="15.75" customHeight="1">
      <c r="A3" s="70" t="s">
        <v>256</v>
      </c>
      <c r="B3" s="66"/>
      <c r="C3" s="66"/>
      <c r="D3" s="66"/>
      <c r="E3" s="67"/>
      <c r="F3" s="66"/>
      <c r="G3" s="66"/>
      <c r="H3" s="67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3" ht="19.5" customHeight="1">
      <c r="A4" s="1078" t="s">
        <v>720</v>
      </c>
      <c r="B4" s="1078"/>
      <c r="C4" s="1078"/>
      <c r="D4" s="1078"/>
      <c r="E4" s="1078"/>
      <c r="F4" s="1078"/>
      <c r="G4" s="1078"/>
      <c r="H4" s="1078"/>
      <c r="I4" s="1078"/>
      <c r="J4" s="1078"/>
      <c r="K4" s="1078"/>
      <c r="L4" s="1078"/>
      <c r="M4" s="1078"/>
      <c r="N4" s="72"/>
      <c r="O4" s="72"/>
      <c r="P4" s="72"/>
      <c r="Q4" s="72"/>
      <c r="R4" s="72"/>
      <c r="S4" s="73"/>
      <c r="T4" s="73"/>
    </row>
    <row r="5" spans="1:23">
      <c r="A5" s="71"/>
      <c r="B5" s="72"/>
      <c r="C5" s="72"/>
      <c r="D5" s="72"/>
      <c r="E5" s="74"/>
      <c r="F5" s="72"/>
      <c r="G5" s="72"/>
      <c r="H5" s="74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73"/>
    </row>
    <row r="6" spans="1:23">
      <c r="A6" s="71"/>
      <c r="B6" s="72"/>
      <c r="C6" s="72"/>
      <c r="D6" s="72"/>
      <c r="E6" s="74"/>
      <c r="F6" s="72"/>
      <c r="G6" s="72"/>
      <c r="H6" s="74"/>
      <c r="I6" s="72"/>
      <c r="J6" s="72"/>
      <c r="K6" s="72"/>
      <c r="L6" s="72"/>
      <c r="M6" s="72"/>
      <c r="N6" s="72"/>
      <c r="O6" s="72"/>
      <c r="P6" s="72"/>
      <c r="Q6" s="72"/>
      <c r="R6" s="72"/>
      <c r="S6" s="75"/>
      <c r="T6" s="73"/>
    </row>
    <row r="7" spans="1:23">
      <c r="A7" s="76"/>
      <c r="B7" s="76"/>
      <c r="C7" s="77" t="s">
        <v>257</v>
      </c>
      <c r="D7" s="78"/>
      <c r="E7" s="78"/>
      <c r="F7" s="79"/>
      <c r="G7" s="77" t="s">
        <v>258</v>
      </c>
      <c r="H7" s="78"/>
      <c r="I7" s="80"/>
      <c r="J7" s="80"/>
      <c r="K7" s="81"/>
      <c r="L7" s="77" t="s">
        <v>259</v>
      </c>
      <c r="M7" s="80"/>
      <c r="N7" s="80"/>
      <c r="O7" s="80"/>
      <c r="P7" s="80"/>
      <c r="Q7" s="80"/>
      <c r="R7" s="80"/>
      <c r="S7" s="325"/>
      <c r="T7" s="326"/>
    </row>
    <row r="8" spans="1:23" ht="20.25" customHeight="1">
      <c r="A8" s="82"/>
      <c r="B8" s="82"/>
      <c r="C8" s="82" t="s">
        <v>260</v>
      </c>
      <c r="D8" s="82"/>
      <c r="E8" s="83" t="s">
        <v>261</v>
      </c>
      <c r="F8" s="84"/>
      <c r="G8" s="85" t="s">
        <v>262</v>
      </c>
      <c r="H8" s="86" t="s">
        <v>263</v>
      </c>
      <c r="I8" s="87"/>
      <c r="J8" s="83" t="s">
        <v>264</v>
      </c>
      <c r="K8" s="84"/>
      <c r="L8" s="82" t="s">
        <v>265</v>
      </c>
      <c r="M8" s="88"/>
      <c r="N8" s="88" t="s">
        <v>266</v>
      </c>
      <c r="O8" s="88"/>
      <c r="P8" s="88" t="s">
        <v>267</v>
      </c>
      <c r="Q8" s="88"/>
      <c r="R8" s="88"/>
      <c r="S8" s="89"/>
      <c r="T8" s="315"/>
      <c r="U8" s="4" t="s">
        <v>891</v>
      </c>
    </row>
    <row r="9" spans="1:23" ht="76.5">
      <c r="A9" s="90" t="s">
        <v>268</v>
      </c>
      <c r="B9" s="91" t="s">
        <v>269</v>
      </c>
      <c r="C9" s="92" t="s">
        <v>270</v>
      </c>
      <c r="D9" s="92" t="s">
        <v>271</v>
      </c>
      <c r="E9" s="93" t="s">
        <v>272</v>
      </c>
      <c r="F9" s="93" t="s">
        <v>273</v>
      </c>
      <c r="G9" s="92" t="s">
        <v>274</v>
      </c>
      <c r="H9" s="92" t="s">
        <v>272</v>
      </c>
      <c r="I9" s="92" t="s">
        <v>275</v>
      </c>
      <c r="J9" s="93" t="s">
        <v>272</v>
      </c>
      <c r="K9" s="92" t="s">
        <v>275</v>
      </c>
      <c r="L9" s="92" t="s">
        <v>276</v>
      </c>
      <c r="M9" s="92" t="s">
        <v>277</v>
      </c>
      <c r="N9" s="94" t="s">
        <v>278</v>
      </c>
      <c r="O9" s="92" t="s">
        <v>279</v>
      </c>
      <c r="P9" s="92" t="s">
        <v>280</v>
      </c>
      <c r="Q9" s="92" t="s">
        <v>281</v>
      </c>
      <c r="R9" s="92" t="s">
        <v>282</v>
      </c>
      <c r="S9" s="95" t="s">
        <v>283</v>
      </c>
      <c r="T9" s="327" t="s">
        <v>284</v>
      </c>
      <c r="V9" s="95" t="s">
        <v>892</v>
      </c>
    </row>
    <row r="10" spans="1:23" ht="13.5">
      <c r="A10" s="96" t="s">
        <v>285</v>
      </c>
      <c r="B10" s="96" t="s">
        <v>286</v>
      </c>
      <c r="C10" s="97">
        <v>9</v>
      </c>
      <c r="D10" s="96">
        <v>10</v>
      </c>
      <c r="E10" s="97">
        <v>11</v>
      </c>
      <c r="F10" s="96">
        <v>12</v>
      </c>
      <c r="G10" s="97">
        <v>13</v>
      </c>
      <c r="H10" s="96">
        <v>14</v>
      </c>
      <c r="I10" s="97">
        <v>15</v>
      </c>
      <c r="J10" s="96">
        <v>16</v>
      </c>
      <c r="K10" s="97">
        <v>17</v>
      </c>
      <c r="L10" s="96">
        <v>18</v>
      </c>
      <c r="M10" s="97">
        <v>19</v>
      </c>
      <c r="N10" s="96">
        <v>20</v>
      </c>
      <c r="O10" s="96">
        <v>22</v>
      </c>
      <c r="P10" s="97">
        <v>23</v>
      </c>
      <c r="Q10" s="96">
        <v>24</v>
      </c>
      <c r="R10" s="97">
        <v>25</v>
      </c>
      <c r="S10" s="98">
        <v>26</v>
      </c>
      <c r="T10" s="97"/>
    </row>
    <row r="11" spans="1:23" ht="13.5">
      <c r="A11" s="336"/>
      <c r="B11" s="300" t="s">
        <v>719</v>
      </c>
      <c r="C11" s="337"/>
      <c r="D11" s="337"/>
      <c r="E11" s="337">
        <v>0</v>
      </c>
      <c r="F11" s="337">
        <f>E11*0.2</f>
        <v>0</v>
      </c>
      <c r="G11" s="337"/>
      <c r="H11" s="338"/>
      <c r="I11" s="337"/>
      <c r="J11" s="337"/>
      <c r="K11" s="337">
        <f>J11*0.2</f>
        <v>0</v>
      </c>
      <c r="L11" s="337">
        <v>0</v>
      </c>
      <c r="M11" s="337"/>
      <c r="N11" s="337"/>
      <c r="O11" s="337">
        <v>0</v>
      </c>
      <c r="P11" s="337"/>
      <c r="Q11" s="337"/>
      <c r="R11" s="337"/>
      <c r="S11" s="328">
        <f t="shared" ref="S11:S17" si="0">P11</f>
        <v>0</v>
      </c>
      <c r="T11" s="328">
        <f t="shared" ref="T11:T17" si="1">P11-S11</f>
        <v>0</v>
      </c>
    </row>
    <row r="12" spans="1:23" ht="13.5">
      <c r="A12" s="336">
        <v>1</v>
      </c>
      <c r="B12" s="300" t="s">
        <v>287</v>
      </c>
      <c r="C12" s="337"/>
      <c r="D12" s="337"/>
      <c r="E12" s="337">
        <v>8677205</v>
      </c>
      <c r="F12" s="337">
        <f t="shared" ref="F12:F23" si="2">E12*0.2</f>
        <v>1735441</v>
      </c>
      <c r="G12" s="337"/>
      <c r="H12" s="338"/>
      <c r="I12" s="337"/>
      <c r="J12" s="337">
        <v>4164791</v>
      </c>
      <c r="K12" s="337">
        <f t="shared" ref="K12:K23" si="3">J12*0.2</f>
        <v>832958.20000000007</v>
      </c>
      <c r="L12" s="337"/>
      <c r="M12" s="337"/>
      <c r="N12" s="337"/>
      <c r="O12" s="337"/>
      <c r="P12" s="337">
        <f>P11+F12-K12</f>
        <v>902482.79999999993</v>
      </c>
      <c r="Q12" s="337"/>
      <c r="R12" s="337"/>
      <c r="S12" s="328">
        <f t="shared" si="0"/>
        <v>902482.79999999993</v>
      </c>
      <c r="T12" s="328">
        <f t="shared" si="1"/>
        <v>0</v>
      </c>
      <c r="U12">
        <f>-'[5]Ardh Analit '!$E$11</f>
        <v>-8654733</v>
      </c>
      <c r="V12" s="744">
        <f>E12+U12</f>
        <v>22472</v>
      </c>
    </row>
    <row r="13" spans="1:23" ht="13.5">
      <c r="A13" s="336">
        <v>2</v>
      </c>
      <c r="B13" s="300" t="s">
        <v>288</v>
      </c>
      <c r="C13" s="337"/>
      <c r="D13" s="337"/>
      <c r="E13" s="337">
        <v>9148171</v>
      </c>
      <c r="F13" s="339">
        <f t="shared" si="2"/>
        <v>1829634.2000000002</v>
      </c>
      <c r="G13" s="339">
        <v>1500</v>
      </c>
      <c r="H13" s="338">
        <v>0</v>
      </c>
      <c r="I13" s="337">
        <v>0</v>
      </c>
      <c r="J13" s="337">
        <v>7232196</v>
      </c>
      <c r="K13" s="337">
        <f t="shared" si="3"/>
        <v>1446439.2000000002</v>
      </c>
      <c r="L13" s="337"/>
      <c r="M13" s="337"/>
      <c r="N13" s="337"/>
      <c r="O13" s="337">
        <v>0</v>
      </c>
      <c r="P13" s="337">
        <f>F13-K13</f>
        <v>383195</v>
      </c>
      <c r="Q13" s="337"/>
      <c r="R13" s="337"/>
      <c r="S13" s="328">
        <f t="shared" si="0"/>
        <v>383195</v>
      </c>
      <c r="T13" s="328">
        <f t="shared" si="1"/>
        <v>0</v>
      </c>
      <c r="U13">
        <f>-'[5]Ardh Analit '!$E$24</f>
        <v>-9058974</v>
      </c>
      <c r="V13" s="743">
        <f t="shared" ref="V13:V23" si="4">E13+U13</f>
        <v>89197</v>
      </c>
      <c r="W13" s="4" t="s">
        <v>894</v>
      </c>
    </row>
    <row r="14" spans="1:23" ht="13.5">
      <c r="A14" s="336">
        <v>3</v>
      </c>
      <c r="B14" s="300" t="s">
        <v>289</v>
      </c>
      <c r="C14" s="337"/>
      <c r="D14" s="337"/>
      <c r="E14" s="337">
        <v>9246980</v>
      </c>
      <c r="F14" s="339">
        <f t="shared" si="2"/>
        <v>1849396</v>
      </c>
      <c r="G14" s="339"/>
      <c r="H14" s="338">
        <v>0</v>
      </c>
      <c r="I14" s="337">
        <v>0</v>
      </c>
      <c r="J14" s="337">
        <v>4128671</v>
      </c>
      <c r="K14" s="337">
        <f t="shared" si="3"/>
        <v>825734.20000000007</v>
      </c>
      <c r="L14" s="337"/>
      <c r="M14" s="337"/>
      <c r="N14" s="337"/>
      <c r="O14" s="337">
        <v>0</v>
      </c>
      <c r="P14" s="337">
        <f t="shared" ref="P14:P23" si="5">F14-K14</f>
        <v>1023661.7999999999</v>
      </c>
      <c r="Q14" s="337"/>
      <c r="R14" s="337"/>
      <c r="S14" s="328">
        <f t="shared" si="0"/>
        <v>1023661.7999999999</v>
      </c>
      <c r="T14" s="328">
        <f t="shared" si="1"/>
        <v>0</v>
      </c>
      <c r="U14" s="346">
        <f>-'[5]Ardh Analit '!$E$36</f>
        <v>-9247309.7400000002</v>
      </c>
      <c r="V14" s="743">
        <f t="shared" si="4"/>
        <v>-329.74000000022352</v>
      </c>
      <c r="W14" s="4" t="s">
        <v>893</v>
      </c>
    </row>
    <row r="15" spans="1:23" ht="13.5">
      <c r="A15" s="336">
        <v>4</v>
      </c>
      <c r="B15" s="300" t="s">
        <v>290</v>
      </c>
      <c r="C15" s="337"/>
      <c r="D15" s="337"/>
      <c r="E15" s="337">
        <v>11024515</v>
      </c>
      <c r="F15" s="339">
        <f t="shared" si="2"/>
        <v>2204903</v>
      </c>
      <c r="G15" s="339">
        <v>119510</v>
      </c>
      <c r="H15" s="338">
        <v>0</v>
      </c>
      <c r="I15" s="337"/>
      <c r="J15" s="337">
        <v>2116598</v>
      </c>
      <c r="K15" s="337">
        <f t="shared" si="3"/>
        <v>423319.60000000003</v>
      </c>
      <c r="L15" s="337"/>
      <c r="M15" s="337"/>
      <c r="N15" s="337"/>
      <c r="O15" s="337">
        <v>0</v>
      </c>
      <c r="P15" s="337">
        <f t="shared" si="5"/>
        <v>1781583.4</v>
      </c>
      <c r="Q15" s="337"/>
      <c r="R15" s="337"/>
      <c r="S15" s="328">
        <f t="shared" si="0"/>
        <v>1781583.4</v>
      </c>
      <c r="T15" s="328">
        <f t="shared" si="1"/>
        <v>0</v>
      </c>
      <c r="U15" s="346">
        <f>-'[5]Ardh Analit '!$E$48</f>
        <v>-11102518</v>
      </c>
      <c r="V15" s="743">
        <f t="shared" si="4"/>
        <v>-78003</v>
      </c>
      <c r="W15" s="4" t="s">
        <v>895</v>
      </c>
    </row>
    <row r="16" spans="1:23" ht="13.5">
      <c r="A16" s="336">
        <v>5</v>
      </c>
      <c r="B16" s="300" t="s">
        <v>291</v>
      </c>
      <c r="C16" s="339"/>
      <c r="D16" s="337"/>
      <c r="E16" s="337">
        <v>13426919</v>
      </c>
      <c r="F16" s="339">
        <f t="shared" si="2"/>
        <v>2685383.8000000003</v>
      </c>
      <c r="G16" s="339">
        <v>500</v>
      </c>
      <c r="H16" s="338">
        <v>0</v>
      </c>
      <c r="I16" s="337">
        <v>0</v>
      </c>
      <c r="J16" s="337">
        <v>5839964</v>
      </c>
      <c r="K16" s="337">
        <f t="shared" si="3"/>
        <v>1167992.8</v>
      </c>
      <c r="L16" s="337"/>
      <c r="M16" s="337"/>
      <c r="N16" s="337"/>
      <c r="O16" s="337">
        <v>0</v>
      </c>
      <c r="P16" s="337">
        <f t="shared" si="5"/>
        <v>1517391.0000000002</v>
      </c>
      <c r="Q16" s="337"/>
      <c r="R16" s="337"/>
      <c r="S16" s="328">
        <f t="shared" si="0"/>
        <v>1517391.0000000002</v>
      </c>
      <c r="T16" s="328">
        <f t="shared" si="1"/>
        <v>0</v>
      </c>
      <c r="U16" s="346">
        <f>-'[5]Ardh Analit '!$E$62</f>
        <v>-13546246</v>
      </c>
      <c r="V16" s="744">
        <f t="shared" si="4"/>
        <v>-119327</v>
      </c>
      <c r="W16" s="4" t="s">
        <v>896</v>
      </c>
    </row>
    <row r="17" spans="1:23" ht="13.5">
      <c r="A17" s="336">
        <v>6</v>
      </c>
      <c r="B17" s="300" t="s">
        <v>292</v>
      </c>
      <c r="C17" s="339"/>
      <c r="D17" s="337"/>
      <c r="E17" s="337">
        <v>11385619</v>
      </c>
      <c r="F17" s="339">
        <f t="shared" si="2"/>
        <v>2277123.8000000003</v>
      </c>
      <c r="G17" s="339">
        <v>123670</v>
      </c>
      <c r="H17" s="338">
        <v>0</v>
      </c>
      <c r="I17" s="337">
        <v>0</v>
      </c>
      <c r="J17" s="337">
        <v>6310327</v>
      </c>
      <c r="K17" s="337">
        <f t="shared" si="3"/>
        <v>1262065.4000000001</v>
      </c>
      <c r="L17" s="337"/>
      <c r="M17" s="337"/>
      <c r="N17" s="337"/>
      <c r="O17" s="337">
        <v>0</v>
      </c>
      <c r="P17" s="337">
        <f t="shared" si="5"/>
        <v>1015058.4000000001</v>
      </c>
      <c r="Q17" s="337"/>
      <c r="R17" s="337"/>
      <c r="S17" s="328">
        <f t="shared" si="0"/>
        <v>1015058.4000000001</v>
      </c>
      <c r="T17" s="328">
        <f t="shared" si="1"/>
        <v>0</v>
      </c>
      <c r="U17" s="346">
        <f>-'[5]Ardh Analit '!$E$75</f>
        <v>-11438865.029999999</v>
      </c>
      <c r="V17" s="743">
        <f t="shared" si="4"/>
        <v>-53246.029999999329</v>
      </c>
      <c r="W17" s="4" t="s">
        <v>897</v>
      </c>
    </row>
    <row r="18" spans="1:23" ht="13.5">
      <c r="A18" s="336">
        <v>7</v>
      </c>
      <c r="B18" s="300" t="s">
        <v>293</v>
      </c>
      <c r="C18" s="337"/>
      <c r="D18" s="337"/>
      <c r="E18" s="339">
        <v>16399652</v>
      </c>
      <c r="F18" s="339">
        <f t="shared" si="2"/>
        <v>3279930.4000000004</v>
      </c>
      <c r="G18" s="339">
        <v>500</v>
      </c>
      <c r="H18" s="339">
        <v>0</v>
      </c>
      <c r="I18" s="339">
        <v>0</v>
      </c>
      <c r="J18" s="339">
        <v>3224090</v>
      </c>
      <c r="K18" s="339">
        <f t="shared" si="3"/>
        <v>644818</v>
      </c>
      <c r="L18" s="339">
        <v>0</v>
      </c>
      <c r="M18" s="339"/>
      <c r="N18" s="339"/>
      <c r="O18" s="339">
        <v>0</v>
      </c>
      <c r="P18" s="337">
        <f t="shared" si="5"/>
        <v>2635112.4000000004</v>
      </c>
      <c r="Q18" s="337"/>
      <c r="R18" s="337"/>
      <c r="S18" s="340">
        <f t="shared" ref="S18:S23" si="6">F18-K18</f>
        <v>2635112.4000000004</v>
      </c>
      <c r="T18" s="328"/>
      <c r="U18" s="346">
        <f>-'[5]Ardh Analit '!$E$88</f>
        <v>-16397787</v>
      </c>
      <c r="V18" s="743">
        <f t="shared" si="4"/>
        <v>1865</v>
      </c>
      <c r="W18" s="4" t="s">
        <v>898</v>
      </c>
    </row>
    <row r="19" spans="1:23" ht="13.5">
      <c r="A19" s="336">
        <v>8</v>
      </c>
      <c r="B19" s="300" t="s">
        <v>294</v>
      </c>
      <c r="C19" s="337"/>
      <c r="D19" s="337"/>
      <c r="E19" s="339">
        <v>18675291</v>
      </c>
      <c r="F19" s="339">
        <f t="shared" si="2"/>
        <v>3735058.2</v>
      </c>
      <c r="G19" s="339">
        <v>500</v>
      </c>
      <c r="H19" s="339">
        <v>0</v>
      </c>
      <c r="I19" s="339">
        <v>0</v>
      </c>
      <c r="J19" s="339">
        <v>9203070</v>
      </c>
      <c r="K19" s="339">
        <f t="shared" si="3"/>
        <v>1840614</v>
      </c>
      <c r="L19" s="339">
        <v>0</v>
      </c>
      <c r="M19" s="339"/>
      <c r="N19" s="339"/>
      <c r="O19" s="339">
        <v>0</v>
      </c>
      <c r="P19" s="337">
        <f t="shared" si="5"/>
        <v>1894444.2000000002</v>
      </c>
      <c r="Q19" s="337"/>
      <c r="R19" s="337"/>
      <c r="S19" s="340">
        <f t="shared" si="6"/>
        <v>1894444.2000000002</v>
      </c>
      <c r="T19" s="328"/>
      <c r="U19" s="346">
        <f>-'[5]Ardh Analit '!$E$101</f>
        <v>-18680516</v>
      </c>
      <c r="V19" s="743">
        <f t="shared" si="4"/>
        <v>-5225</v>
      </c>
      <c r="W19" s="4" t="s">
        <v>898</v>
      </c>
    </row>
    <row r="20" spans="1:23" ht="13.5">
      <c r="A20" s="336">
        <v>9</v>
      </c>
      <c r="B20" s="300" t="s">
        <v>295</v>
      </c>
      <c r="C20" s="337"/>
      <c r="D20" s="337"/>
      <c r="E20" s="339">
        <v>16266164</v>
      </c>
      <c r="F20" s="339">
        <f t="shared" si="2"/>
        <v>3253232.8000000003</v>
      </c>
      <c r="G20" s="339">
        <v>290082</v>
      </c>
      <c r="H20" s="338">
        <v>0</v>
      </c>
      <c r="I20" s="337">
        <v>0</v>
      </c>
      <c r="J20" s="337">
        <v>7895891</v>
      </c>
      <c r="K20" s="337">
        <f t="shared" si="3"/>
        <v>1579178.2000000002</v>
      </c>
      <c r="L20" s="337">
        <v>0</v>
      </c>
      <c r="M20" s="337"/>
      <c r="N20" s="337"/>
      <c r="O20" s="337">
        <v>0</v>
      </c>
      <c r="P20" s="337">
        <f t="shared" si="5"/>
        <v>1674054.6</v>
      </c>
      <c r="Q20" s="337"/>
      <c r="R20" s="337"/>
      <c r="S20" s="340">
        <f t="shared" si="6"/>
        <v>1674054.6</v>
      </c>
      <c r="T20" s="328"/>
      <c r="U20" s="346">
        <f>-'[5]Ardh Analit '!$E$115</f>
        <v>-16388639.51</v>
      </c>
      <c r="V20" s="743">
        <f t="shared" si="4"/>
        <v>-122475.50999999978</v>
      </c>
      <c r="W20" s="4" t="s">
        <v>907</v>
      </c>
    </row>
    <row r="21" spans="1:23" ht="13.5">
      <c r="A21" s="336">
        <v>10</v>
      </c>
      <c r="B21" s="300" t="s">
        <v>296</v>
      </c>
      <c r="C21" s="337"/>
      <c r="D21" s="337"/>
      <c r="E21" s="339">
        <v>11130718</v>
      </c>
      <c r="F21" s="339">
        <f t="shared" si="2"/>
        <v>2226143.6</v>
      </c>
      <c r="G21" s="339"/>
      <c r="H21" s="338">
        <v>0</v>
      </c>
      <c r="I21" s="337">
        <v>0</v>
      </c>
      <c r="J21" s="337">
        <v>6482191</v>
      </c>
      <c r="K21" s="337">
        <f t="shared" si="3"/>
        <v>1296438.2000000002</v>
      </c>
      <c r="L21" s="337">
        <v>0</v>
      </c>
      <c r="M21" s="337"/>
      <c r="N21" s="337"/>
      <c r="O21" s="337">
        <v>0</v>
      </c>
      <c r="P21" s="337">
        <f t="shared" si="5"/>
        <v>929705.39999999991</v>
      </c>
      <c r="Q21" s="337"/>
      <c r="R21" s="337"/>
      <c r="S21" s="340">
        <f t="shared" si="6"/>
        <v>929705.39999999991</v>
      </c>
      <c r="T21" s="328"/>
      <c r="U21" s="346">
        <f>-'[5]Ardh Analit '!$E$129</f>
        <v>-11158292.73</v>
      </c>
      <c r="V21" s="743">
        <f t="shared" si="4"/>
        <v>-27574.730000000447</v>
      </c>
      <c r="W21" s="4" t="s">
        <v>908</v>
      </c>
    </row>
    <row r="22" spans="1:23" ht="13.5">
      <c r="A22" s="336">
        <v>11</v>
      </c>
      <c r="B22" s="300" t="s">
        <v>297</v>
      </c>
      <c r="C22" s="337"/>
      <c r="D22" s="338"/>
      <c r="E22" s="337">
        <v>11084403</v>
      </c>
      <c r="F22" s="339">
        <f t="shared" si="2"/>
        <v>2216880.6</v>
      </c>
      <c r="G22" s="339"/>
      <c r="H22" s="338">
        <v>0</v>
      </c>
      <c r="I22" s="337">
        <v>0</v>
      </c>
      <c r="J22" s="337">
        <v>8370114</v>
      </c>
      <c r="K22" s="337">
        <f t="shared" si="3"/>
        <v>1674022.8</v>
      </c>
      <c r="L22" s="337">
        <v>0</v>
      </c>
      <c r="M22" s="337"/>
      <c r="N22" s="337"/>
      <c r="O22" s="337">
        <v>0</v>
      </c>
      <c r="P22" s="337">
        <f t="shared" si="5"/>
        <v>542857.80000000005</v>
      </c>
      <c r="Q22" s="337"/>
      <c r="R22" s="337"/>
      <c r="S22" s="340">
        <f t="shared" si="6"/>
        <v>542857.80000000005</v>
      </c>
      <c r="T22" s="328"/>
      <c r="U22" s="346">
        <f>-'[5]Ardh Analit '!$E$143</f>
        <v>-11084410</v>
      </c>
      <c r="V22" s="743">
        <f t="shared" si="4"/>
        <v>-7</v>
      </c>
    </row>
    <row r="23" spans="1:23" ht="13.5">
      <c r="A23" s="336">
        <v>12</v>
      </c>
      <c r="B23" s="300" t="s">
        <v>298</v>
      </c>
      <c r="C23" s="337"/>
      <c r="D23" s="337"/>
      <c r="E23" s="337">
        <f>151525+9793870</f>
        <v>9945395</v>
      </c>
      <c r="F23" s="337">
        <f t="shared" si="2"/>
        <v>1989079</v>
      </c>
      <c r="G23" s="337"/>
      <c r="H23" s="338">
        <v>0</v>
      </c>
      <c r="I23" s="337">
        <v>0</v>
      </c>
      <c r="J23" s="337">
        <v>6830404</v>
      </c>
      <c r="K23" s="337">
        <f t="shared" si="3"/>
        <v>1366080.8</v>
      </c>
      <c r="L23" s="337"/>
      <c r="M23" s="337"/>
      <c r="N23" s="337"/>
      <c r="O23" s="337"/>
      <c r="P23" s="337">
        <f t="shared" si="5"/>
        <v>622998.19999999995</v>
      </c>
      <c r="Q23" s="337"/>
      <c r="R23" s="337"/>
      <c r="S23" s="340">
        <f t="shared" si="6"/>
        <v>622998.19999999995</v>
      </c>
      <c r="T23" s="328"/>
      <c r="U23" s="346">
        <f>-'[5]Ardh Analit '!$E$157</f>
        <v>-33061461.640000001</v>
      </c>
      <c r="V23" s="743">
        <f t="shared" si="4"/>
        <v>-23116066.640000001</v>
      </c>
    </row>
    <row r="24" spans="1:23" ht="13.5">
      <c r="A24" s="103"/>
      <c r="B24" s="104" t="s">
        <v>299</v>
      </c>
      <c r="C24" s="105">
        <f>SUM(C11:C23)</f>
        <v>0</v>
      </c>
      <c r="D24" s="105">
        <f t="shared" ref="D24:O24" si="7">SUM(D11:D23)</f>
        <v>0</v>
      </c>
      <c r="E24" s="105">
        <f t="shared" si="7"/>
        <v>146411032</v>
      </c>
      <c r="F24" s="105">
        <f t="shared" si="7"/>
        <v>29282206.400000006</v>
      </c>
      <c r="G24" s="105" t="s">
        <v>669</v>
      </c>
      <c r="H24" s="105">
        <f t="shared" si="7"/>
        <v>0</v>
      </c>
      <c r="I24" s="105">
        <f t="shared" si="7"/>
        <v>0</v>
      </c>
      <c r="J24" s="105">
        <f t="shared" si="7"/>
        <v>71798307</v>
      </c>
      <c r="K24" s="104">
        <f t="shared" si="7"/>
        <v>14359661.400000002</v>
      </c>
      <c r="L24" s="104">
        <f t="shared" si="7"/>
        <v>0</v>
      </c>
      <c r="M24" s="104">
        <f t="shared" si="7"/>
        <v>0</v>
      </c>
      <c r="N24" s="104">
        <f t="shared" si="7"/>
        <v>0</v>
      </c>
      <c r="O24" s="104">
        <f t="shared" si="7"/>
        <v>0</v>
      </c>
      <c r="P24" s="104">
        <f>SUM(P11:P23)</f>
        <v>14922545</v>
      </c>
      <c r="Q24" s="106"/>
      <c r="R24" s="106">
        <f>SUM(R11:R23)</f>
        <v>0</v>
      </c>
      <c r="S24" s="106">
        <f>SUM(S11:S23)</f>
        <v>14922545</v>
      </c>
      <c r="T24" s="106">
        <f>SUM(T11:T23)</f>
        <v>0</v>
      </c>
    </row>
    <row r="25" spans="1:23" ht="13.5">
      <c r="A25" s="828"/>
      <c r="B25" s="829"/>
      <c r="C25" s="830"/>
      <c r="D25" s="830"/>
      <c r="E25" s="830"/>
      <c r="F25" s="830"/>
      <c r="G25" s="830"/>
      <c r="H25" s="830"/>
      <c r="I25" s="830"/>
      <c r="J25" s="830"/>
      <c r="K25" s="829"/>
      <c r="L25" s="829"/>
      <c r="M25" s="829"/>
      <c r="N25" s="829"/>
      <c r="O25" s="829"/>
      <c r="P25" s="829"/>
      <c r="Q25" s="831"/>
      <c r="R25" s="831"/>
      <c r="S25" s="831"/>
      <c r="T25" s="831"/>
    </row>
    <row r="26" spans="1:23">
      <c r="A26" s="66"/>
      <c r="B26" s="66"/>
      <c r="C26" s="66"/>
      <c r="D26" s="66"/>
      <c r="E26" s="107"/>
      <c r="F26" s="67"/>
      <c r="G26" s="67"/>
      <c r="H26" s="67"/>
      <c r="I26" s="66"/>
      <c r="J26" s="67"/>
      <c r="K26" s="69"/>
      <c r="L26" s="66"/>
      <c r="M26" s="66"/>
      <c r="N26" s="108"/>
      <c r="O26" s="108"/>
      <c r="P26" s="66"/>
      <c r="Q26" s="66"/>
      <c r="R26" s="67"/>
    </row>
    <row r="27" spans="1:23">
      <c r="A27" s="66"/>
      <c r="B27" s="66"/>
      <c r="C27" s="109"/>
      <c r="D27" s="66"/>
      <c r="E27" s="749" t="s">
        <v>891</v>
      </c>
      <c r="F27" s="66"/>
      <c r="G27" s="66"/>
      <c r="H27" s="66"/>
      <c r="I27" s="66"/>
      <c r="J27" s="66"/>
      <c r="K27" s="66"/>
      <c r="L27" s="66"/>
      <c r="M27" s="66"/>
      <c r="N27" s="108"/>
      <c r="O27" s="108"/>
      <c r="P27" s="66"/>
      <c r="Q27" s="66"/>
      <c r="R27" s="67"/>
    </row>
    <row r="28" spans="1:23">
      <c r="A28" s="66"/>
      <c r="B28" s="66"/>
      <c r="C28" s="337">
        <v>8677205</v>
      </c>
      <c r="D28" s="66"/>
      <c r="E28" s="750">
        <v>-8654733</v>
      </c>
      <c r="F28" s="751">
        <v>22472</v>
      </c>
      <c r="G28" s="66"/>
      <c r="H28" s="66"/>
      <c r="I28" s="66"/>
      <c r="J28" s="66"/>
      <c r="K28" s="66"/>
      <c r="L28" s="66"/>
      <c r="M28" s="66"/>
      <c r="N28" s="108"/>
      <c r="O28" s="108"/>
      <c r="P28" s="751">
        <f>F24-K24</f>
        <v>14922545.000000004</v>
      </c>
      <c r="Q28" s="66"/>
      <c r="R28" s="67"/>
    </row>
    <row r="29" spans="1:23">
      <c r="A29" s="66"/>
      <c r="B29" s="66"/>
      <c r="C29" s="337">
        <v>9148171</v>
      </c>
      <c r="D29" s="66"/>
      <c r="E29" s="752">
        <v>-9058974</v>
      </c>
      <c r="F29" s="751">
        <v>89197</v>
      </c>
      <c r="G29" s="66" t="s">
        <v>894</v>
      </c>
      <c r="H29" s="66"/>
      <c r="I29" s="66"/>
      <c r="J29" s="66"/>
      <c r="K29" s="66"/>
      <c r="L29" s="66"/>
      <c r="M29" s="66"/>
      <c r="N29" s="108"/>
      <c r="O29" s="108"/>
      <c r="P29" s="66"/>
      <c r="Q29" s="66"/>
      <c r="R29" s="67"/>
    </row>
    <row r="30" spans="1:23">
      <c r="A30" s="66"/>
      <c r="B30" s="66"/>
      <c r="C30" s="337">
        <v>9246980</v>
      </c>
      <c r="D30" s="66"/>
      <c r="E30" s="753">
        <f>-9247309.74+330</f>
        <v>-9246979.7400000002</v>
      </c>
      <c r="F30" s="751">
        <v>-329.74000000022352</v>
      </c>
      <c r="G30" s="66" t="s">
        <v>893</v>
      </c>
      <c r="H30" s="66"/>
      <c r="I30" s="66"/>
      <c r="J30" s="66"/>
      <c r="K30" s="66"/>
      <c r="L30" s="66"/>
      <c r="M30" s="66"/>
      <c r="N30" s="108"/>
      <c r="O30" s="108"/>
      <c r="P30" s="66"/>
      <c r="Q30" s="66"/>
      <c r="R30" s="67"/>
    </row>
    <row r="31" spans="1:23">
      <c r="A31" s="66"/>
      <c r="B31" s="66"/>
      <c r="C31" s="337">
        <v>11024515</v>
      </c>
      <c r="D31" s="66"/>
      <c r="E31" s="753">
        <v>-11102518</v>
      </c>
      <c r="F31" s="751">
        <v>-78003</v>
      </c>
      <c r="G31" s="66" t="s">
        <v>895</v>
      </c>
      <c r="H31" s="66"/>
      <c r="I31" s="66"/>
      <c r="J31" s="66"/>
      <c r="K31" s="66"/>
      <c r="L31" s="66"/>
      <c r="M31" s="66"/>
      <c r="N31" s="108"/>
      <c r="O31" s="108"/>
      <c r="P31" s="66"/>
      <c r="Q31" s="66"/>
      <c r="R31" s="67"/>
    </row>
    <row r="32" spans="1:23">
      <c r="A32" s="66"/>
      <c r="B32" s="66"/>
      <c r="C32" s="337">
        <v>13426919</v>
      </c>
      <c r="D32" s="66"/>
      <c r="E32" s="753">
        <v>-13546246</v>
      </c>
      <c r="F32" s="751">
        <v>-119327</v>
      </c>
      <c r="G32" s="66" t="s">
        <v>896</v>
      </c>
      <c r="H32" s="66"/>
      <c r="I32" s="66"/>
      <c r="J32" s="66"/>
      <c r="K32" s="66"/>
      <c r="L32" s="66"/>
      <c r="M32" s="66"/>
      <c r="N32" s="108"/>
      <c r="O32" s="108"/>
      <c r="P32" s="66"/>
      <c r="Q32" s="66"/>
      <c r="R32" s="67"/>
    </row>
    <row r="33" spans="1:18">
      <c r="A33" s="66"/>
      <c r="B33" s="66"/>
      <c r="C33" s="337">
        <v>11385619</v>
      </c>
      <c r="D33" s="66"/>
      <c r="E33" s="753">
        <v>-11438865.029999999</v>
      </c>
      <c r="F33" s="751">
        <v>-53246.029999999329</v>
      </c>
      <c r="G33" s="66" t="s">
        <v>897</v>
      </c>
      <c r="H33" s="66"/>
      <c r="I33" s="66"/>
      <c r="J33" s="66"/>
      <c r="K33" s="66"/>
      <c r="L33" s="66"/>
      <c r="M33" s="66"/>
      <c r="N33" s="108"/>
      <c r="O33" s="108"/>
      <c r="P33" s="66"/>
      <c r="Q33" s="66"/>
      <c r="R33" s="67"/>
    </row>
    <row r="34" spans="1:18">
      <c r="A34" s="66"/>
      <c r="B34" s="66"/>
      <c r="C34" s="339">
        <v>16399652</v>
      </c>
      <c r="D34" s="66"/>
      <c r="E34" s="753">
        <v>-16397787</v>
      </c>
      <c r="F34" s="751">
        <v>1865</v>
      </c>
      <c r="G34" s="66" t="s">
        <v>898</v>
      </c>
      <c r="H34" s="66"/>
      <c r="I34" s="66"/>
      <c r="J34" s="66"/>
      <c r="K34" s="66"/>
      <c r="L34" s="66"/>
      <c r="M34" s="66"/>
      <c r="N34" s="108"/>
      <c r="O34" s="108"/>
      <c r="P34" s="66"/>
      <c r="Q34" s="66"/>
      <c r="R34" s="67"/>
    </row>
    <row r="35" spans="1:18">
      <c r="A35" s="66"/>
      <c r="B35" s="66"/>
      <c r="C35" s="339">
        <v>18675291</v>
      </c>
      <c r="D35" s="66"/>
      <c r="E35" s="753">
        <v>-18680516</v>
      </c>
      <c r="F35" s="751">
        <v>-5225</v>
      </c>
      <c r="G35" s="66" t="s">
        <v>898</v>
      </c>
      <c r="H35" s="66"/>
      <c r="I35" s="66"/>
      <c r="J35" s="66"/>
      <c r="K35" s="66"/>
      <c r="L35" s="66"/>
      <c r="M35" s="66"/>
      <c r="N35" s="108"/>
      <c r="O35" s="108"/>
      <c r="P35" s="66"/>
      <c r="Q35" s="66"/>
      <c r="R35" s="67"/>
    </row>
    <row r="36" spans="1:18">
      <c r="A36" s="66"/>
      <c r="B36" s="66"/>
      <c r="C36" s="339">
        <v>16266164</v>
      </c>
      <c r="D36" s="66"/>
      <c r="E36" s="753">
        <v>-16388639.51</v>
      </c>
      <c r="F36" s="751">
        <v>-122475.50999999978</v>
      </c>
      <c r="G36" s="66" t="s">
        <v>907</v>
      </c>
      <c r="H36" s="66"/>
      <c r="I36" s="66"/>
      <c r="J36" s="66"/>
      <c r="K36" s="66"/>
      <c r="L36" s="66"/>
      <c r="M36" s="66"/>
      <c r="N36" s="108"/>
      <c r="O36" s="108"/>
      <c r="P36" s="66"/>
      <c r="Q36" s="66"/>
      <c r="R36" s="67"/>
    </row>
    <row r="37" spans="1:18">
      <c r="A37" s="66"/>
      <c r="B37" s="66"/>
      <c r="C37" s="339">
        <v>11130718</v>
      </c>
      <c r="D37" s="66"/>
      <c r="E37" s="753">
        <v>-11158292.73</v>
      </c>
      <c r="F37" s="751">
        <v>-27574.730000000447</v>
      </c>
      <c r="G37" s="66" t="s">
        <v>908</v>
      </c>
      <c r="H37" s="66"/>
      <c r="I37" s="66"/>
      <c r="J37" s="66"/>
      <c r="K37" s="66"/>
      <c r="L37" s="66"/>
      <c r="M37" s="66"/>
      <c r="N37" s="108"/>
      <c r="O37" s="108"/>
      <c r="P37" s="66"/>
      <c r="Q37" s="66"/>
      <c r="R37" s="67"/>
    </row>
    <row r="38" spans="1:18">
      <c r="A38" s="66"/>
      <c r="B38" s="66"/>
      <c r="C38" s="337">
        <v>11084403</v>
      </c>
      <c r="D38" s="66"/>
      <c r="E38" s="753">
        <v>-11084410</v>
      </c>
      <c r="F38" s="751">
        <v>-7</v>
      </c>
      <c r="G38" s="66"/>
      <c r="H38" s="66"/>
      <c r="I38" s="66"/>
      <c r="J38" s="66"/>
      <c r="K38" s="66"/>
      <c r="L38" s="66"/>
      <c r="M38" s="66"/>
      <c r="N38" s="108"/>
      <c r="O38" s="108"/>
      <c r="P38" s="66"/>
      <c r="Q38" s="66"/>
      <c r="R38" s="67"/>
    </row>
    <row r="39" spans="1:18">
      <c r="A39" s="66"/>
      <c r="B39" s="66"/>
      <c r="C39" s="337">
        <v>9793870</v>
      </c>
      <c r="D39" s="66"/>
      <c r="E39" s="753">
        <v>-31941553.640000001</v>
      </c>
      <c r="F39" s="751">
        <v>-22147683.640000001</v>
      </c>
      <c r="G39" s="66"/>
      <c r="H39" s="66"/>
      <c r="I39" s="66"/>
      <c r="J39" s="66"/>
      <c r="K39" s="66"/>
      <c r="L39" s="66"/>
      <c r="M39" s="66"/>
      <c r="N39" s="108"/>
      <c r="O39" s="108"/>
      <c r="P39" s="66"/>
      <c r="Q39" s="66"/>
      <c r="R39" s="67"/>
    </row>
    <row r="40" spans="1:18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08"/>
      <c r="O40" s="108"/>
      <c r="P40" s="66"/>
      <c r="Q40" s="66"/>
      <c r="R40" s="67"/>
    </row>
    <row r="41" spans="1:18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108"/>
      <c r="O41" s="108"/>
      <c r="P41" s="66"/>
      <c r="Q41" s="66"/>
      <c r="R41" s="67"/>
    </row>
    <row r="42" spans="1:18">
      <c r="A42" s="66"/>
      <c r="B42" s="66"/>
      <c r="C42" s="66"/>
      <c r="D42" s="66"/>
      <c r="E42" s="109"/>
      <c r="F42" s="67"/>
      <c r="G42" s="67"/>
      <c r="H42" s="67"/>
      <c r="I42" s="66"/>
      <c r="J42" s="67"/>
      <c r="K42" s="69"/>
      <c r="L42" s="66"/>
      <c r="M42" s="66"/>
      <c r="N42" s="108"/>
      <c r="O42" s="108"/>
      <c r="P42" s="66"/>
      <c r="Q42" s="66"/>
      <c r="R42" s="67"/>
    </row>
    <row r="43" spans="1:18">
      <c r="A43" s="66"/>
      <c r="B43" s="66"/>
      <c r="C43" s="66"/>
      <c r="D43" s="66"/>
      <c r="E43" s="109"/>
      <c r="F43" s="67"/>
      <c r="G43" s="67"/>
      <c r="H43" s="67"/>
      <c r="I43" s="66"/>
      <c r="J43" s="67"/>
      <c r="K43" s="69"/>
      <c r="L43" s="66"/>
      <c r="M43" s="66"/>
      <c r="N43" s="108"/>
      <c r="O43" s="108"/>
      <c r="P43" s="66"/>
      <c r="Q43" s="66"/>
      <c r="R43" s="67"/>
    </row>
    <row r="44" spans="1:18">
      <c r="A44" s="66"/>
      <c r="B44" s="66"/>
      <c r="C44" s="66"/>
      <c r="D44" s="66"/>
      <c r="E44" s="109"/>
      <c r="F44" s="67"/>
      <c r="G44" s="67"/>
      <c r="H44" s="67"/>
      <c r="I44" s="66"/>
      <c r="J44" s="67"/>
      <c r="K44" s="69"/>
      <c r="L44" s="66"/>
      <c r="M44" s="66"/>
      <c r="N44" s="108"/>
      <c r="O44" s="108"/>
      <c r="P44" s="66"/>
      <c r="Q44" s="66"/>
      <c r="R44" s="67"/>
    </row>
    <row r="45" spans="1:18">
      <c r="A45" s="66"/>
      <c r="B45" s="66"/>
      <c r="C45" s="66"/>
      <c r="D45" s="66"/>
      <c r="E45" s="109"/>
      <c r="F45" s="67"/>
      <c r="G45" s="67"/>
      <c r="H45" s="67"/>
      <c r="I45" s="66"/>
      <c r="J45" s="67"/>
      <c r="K45" s="69"/>
      <c r="L45" s="66"/>
      <c r="M45" s="66"/>
      <c r="N45" s="108"/>
      <c r="O45" s="108"/>
      <c r="P45" s="66"/>
      <c r="Q45" s="66"/>
      <c r="R45" s="67"/>
    </row>
    <row r="46" spans="1:18">
      <c r="A46" s="66"/>
      <c r="B46" s="66"/>
      <c r="C46" s="66"/>
      <c r="D46" s="66"/>
      <c r="E46" s="109"/>
      <c r="F46" s="67"/>
      <c r="G46" s="67"/>
      <c r="H46" s="67"/>
      <c r="I46" s="66"/>
      <c r="J46" s="67"/>
      <c r="K46" s="69"/>
      <c r="L46" s="66"/>
      <c r="M46" s="66"/>
      <c r="N46" s="108"/>
      <c r="O46" s="108"/>
      <c r="P46" s="66"/>
      <c r="Q46" s="66"/>
      <c r="R46" s="67"/>
    </row>
    <row r="47" spans="1:18">
      <c r="A47" s="66"/>
      <c r="B47" s="66"/>
      <c r="C47" s="66"/>
      <c r="D47" s="66"/>
      <c r="E47" s="109"/>
      <c r="F47" s="67"/>
      <c r="G47" s="67"/>
      <c r="H47" s="67"/>
      <c r="I47" s="66"/>
      <c r="J47" s="67"/>
      <c r="K47" s="69"/>
      <c r="L47" s="66"/>
      <c r="M47" s="66"/>
      <c r="N47" s="108"/>
      <c r="O47" s="108"/>
      <c r="P47" s="66"/>
      <c r="Q47" s="66"/>
      <c r="R47" s="67"/>
    </row>
    <row r="48" spans="1:18">
      <c r="A48" s="66"/>
      <c r="B48" s="66"/>
      <c r="C48" s="66"/>
      <c r="D48" s="66"/>
      <c r="E48" s="109"/>
      <c r="F48" s="67"/>
      <c r="G48" s="67"/>
      <c r="H48" s="67"/>
      <c r="I48" s="66"/>
      <c r="J48" s="67"/>
      <c r="K48" s="69"/>
      <c r="L48" s="66"/>
      <c r="M48" s="66"/>
      <c r="N48" s="108"/>
      <c r="O48" s="108"/>
      <c r="P48" s="66"/>
      <c r="Q48" s="66"/>
      <c r="R48" s="67"/>
    </row>
    <row r="49" spans="1:20">
      <c r="A49" s="66"/>
      <c r="B49" s="66"/>
      <c r="C49" s="66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ht="18">
      <c r="A50" s="66"/>
      <c r="B50" s="66"/>
      <c r="C50" s="110" t="s">
        <v>301</v>
      </c>
      <c r="D50" s="110"/>
      <c r="E50" s="111"/>
      <c r="F50" s="111"/>
      <c r="G50" s="111"/>
      <c r="H50" s="111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</row>
    <row r="51" spans="1:20" ht="13.5" thickBot="1">
      <c r="E51" s="112"/>
      <c r="S51" s="112"/>
      <c r="T51" s="112"/>
    </row>
    <row r="52" spans="1:20">
      <c r="A52" s="113" t="s">
        <v>302</v>
      </c>
      <c r="B52" s="114"/>
      <c r="C52" s="114"/>
      <c r="D52" s="114"/>
      <c r="E52" s="114"/>
      <c r="F52" s="114"/>
      <c r="G52" s="114"/>
      <c r="H52" s="114"/>
      <c r="I52" s="114"/>
      <c r="J52" s="115"/>
    </row>
    <row r="53" spans="1:20" ht="13.5" thickBot="1">
      <c r="A53" s="116"/>
      <c r="B53" s="117"/>
      <c r="C53" s="117"/>
      <c r="D53" s="117"/>
      <c r="E53" s="117"/>
      <c r="F53" s="117"/>
      <c r="G53" s="117"/>
      <c r="H53" s="117"/>
      <c r="I53" s="117"/>
      <c r="J53" s="118"/>
    </row>
    <row r="54" spans="1:20" ht="13.5" thickBot="1"/>
    <row r="55" spans="1:20">
      <c r="A55" s="119"/>
      <c r="B55" s="120"/>
      <c r="C55" s="120"/>
      <c r="D55" s="120"/>
      <c r="E55" s="121" t="s">
        <v>303</v>
      </c>
      <c r="F55" s="120"/>
      <c r="G55" s="120"/>
      <c r="H55" s="120"/>
      <c r="I55" s="120"/>
      <c r="J55" s="122"/>
    </row>
    <row r="56" spans="1:20" s="33" customFormat="1">
      <c r="A56" s="123"/>
      <c r="B56" s="124"/>
      <c r="C56" s="125" t="s">
        <v>304</v>
      </c>
      <c r="D56" s="125"/>
      <c r="E56" s="125"/>
      <c r="F56" s="125"/>
      <c r="G56" s="125" t="s">
        <v>300</v>
      </c>
      <c r="H56" s="125"/>
      <c r="I56" s="125"/>
      <c r="J56" s="126" t="s">
        <v>305</v>
      </c>
    </row>
    <row r="57" spans="1:20">
      <c r="A57" s="127"/>
      <c r="B57" s="73"/>
      <c r="C57" s="128"/>
      <c r="D57" s="128"/>
      <c r="E57" s="128"/>
      <c r="F57" s="3" t="s">
        <v>306</v>
      </c>
      <c r="G57" s="3" t="s">
        <v>307</v>
      </c>
      <c r="H57" s="128"/>
      <c r="I57" s="128"/>
      <c r="J57" s="129"/>
    </row>
    <row r="58" spans="1:20" s="133" customFormat="1" ht="15">
      <c r="A58" s="130"/>
      <c r="B58" s="131"/>
      <c r="C58" s="131">
        <v>252889</v>
      </c>
      <c r="D58" s="131"/>
      <c r="E58" s="131"/>
      <c r="F58" s="131"/>
      <c r="G58" s="131"/>
      <c r="H58" s="131"/>
      <c r="I58" s="131"/>
      <c r="J58" s="132"/>
    </row>
    <row r="59" spans="1:20" s="133" customFormat="1" ht="15">
      <c r="A59" s="130"/>
      <c r="B59" s="131"/>
      <c r="C59" s="131">
        <v>404318</v>
      </c>
      <c r="D59" s="131"/>
      <c r="E59" s="131"/>
      <c r="F59" s="131"/>
      <c r="G59" s="131"/>
      <c r="H59" s="131"/>
      <c r="I59" s="131"/>
      <c r="J59" s="132"/>
    </row>
    <row r="60" spans="1:20" s="138" customFormat="1">
      <c r="A60" s="134"/>
      <c r="B60" s="135" t="s">
        <v>308</v>
      </c>
      <c r="C60" s="136">
        <f>SUM(C58:C59)</f>
        <v>657207</v>
      </c>
      <c r="D60" s="136"/>
      <c r="E60" s="136"/>
      <c r="F60" s="136">
        <f>7563.21</f>
        <v>7563.21</v>
      </c>
      <c r="G60" s="136">
        <f>F60*80</f>
        <v>605056.80000000005</v>
      </c>
      <c r="H60" s="135"/>
      <c r="I60" s="135"/>
      <c r="J60" s="137">
        <f>C60-G60</f>
        <v>52150.199999999953</v>
      </c>
    </row>
    <row r="61" spans="1:20" s="143" customFormat="1" ht="39">
      <c r="A61" s="139"/>
      <c r="B61" s="140" t="s">
        <v>309</v>
      </c>
      <c r="C61" s="141">
        <v>-1425</v>
      </c>
      <c r="D61" s="141"/>
      <c r="E61" s="141"/>
      <c r="F61" s="141"/>
      <c r="G61" s="141">
        <f>-11.25*80</f>
        <v>-900</v>
      </c>
      <c r="H61" s="140" t="s">
        <v>310</v>
      </c>
      <c r="I61" s="141"/>
      <c r="J61" s="142"/>
    </row>
    <row r="62" spans="1:20" s="143" customFormat="1" ht="26.25">
      <c r="A62" s="139"/>
      <c r="B62" s="140" t="s">
        <v>311</v>
      </c>
      <c r="C62" s="141">
        <v>-23075</v>
      </c>
      <c r="D62" s="141"/>
      <c r="E62" s="141"/>
      <c r="F62" s="141"/>
      <c r="G62" s="141">
        <f>-(16.9+3.33-25)*80</f>
        <v>381.60000000000025</v>
      </c>
      <c r="H62" s="140" t="s">
        <v>312</v>
      </c>
      <c r="I62" s="141"/>
      <c r="J62" s="142"/>
    </row>
    <row r="63" spans="1:20" s="143" customFormat="1" ht="15">
      <c r="A63" s="139"/>
      <c r="B63" s="141"/>
      <c r="C63" s="144"/>
      <c r="D63" s="144"/>
      <c r="E63" s="144"/>
      <c r="F63" s="144"/>
      <c r="G63" s="144"/>
      <c r="H63" s="140"/>
      <c r="I63" s="141"/>
      <c r="J63" s="142"/>
    </row>
    <row r="64" spans="1:20" s="138" customFormat="1" ht="13.5" thickBot="1">
      <c r="A64" s="145"/>
      <c r="B64" s="146" t="s">
        <v>313</v>
      </c>
      <c r="C64" s="147">
        <f>SUM(C60:C63)</f>
        <v>632707</v>
      </c>
      <c r="D64" s="147"/>
      <c r="E64" s="147"/>
      <c r="F64" s="147"/>
      <c r="G64" s="147">
        <f>SUM(G60:G63)</f>
        <v>604538.4</v>
      </c>
      <c r="H64" s="146"/>
      <c r="I64" s="146"/>
      <c r="J64" s="148"/>
    </row>
    <row r="65" spans="1:10" s="133" customFormat="1" ht="15.75" thickBot="1"/>
    <row r="66" spans="1:10" s="133" customFormat="1" ht="15">
      <c r="A66" s="149"/>
      <c r="B66" s="150"/>
      <c r="C66" s="150"/>
      <c r="D66" s="150"/>
      <c r="E66" s="151" t="s">
        <v>314</v>
      </c>
      <c r="F66" s="150"/>
      <c r="G66" s="150"/>
      <c r="H66" s="150"/>
      <c r="I66" s="150"/>
      <c r="J66" s="152"/>
    </row>
    <row r="67" spans="1:10" s="133" customFormat="1" ht="15">
      <c r="A67" s="130"/>
      <c r="B67" s="131"/>
      <c r="C67" s="131"/>
      <c r="D67" s="131"/>
      <c r="E67" s="131"/>
      <c r="F67" s="131"/>
      <c r="G67" s="131"/>
      <c r="H67" s="131"/>
      <c r="I67" s="131"/>
      <c r="J67" s="132"/>
    </row>
    <row r="68" spans="1:10" s="133" customFormat="1" ht="15">
      <c r="A68" s="130"/>
      <c r="B68" s="131"/>
      <c r="C68" s="131">
        <v>232502</v>
      </c>
      <c r="D68" s="131"/>
      <c r="E68" s="131"/>
      <c r="F68" s="131"/>
      <c r="G68" s="131"/>
      <c r="H68" s="131"/>
      <c r="I68" s="131"/>
      <c r="J68" s="132"/>
    </row>
    <row r="69" spans="1:10" s="133" customFormat="1" ht="15">
      <c r="A69" s="130"/>
      <c r="B69" s="131"/>
      <c r="C69" s="131">
        <v>1037598</v>
      </c>
      <c r="D69" s="131"/>
      <c r="E69" s="131"/>
      <c r="F69" s="131"/>
      <c r="G69" s="131"/>
      <c r="H69" s="131"/>
      <c r="I69" s="131"/>
      <c r="J69" s="132"/>
    </row>
    <row r="70" spans="1:10" s="138" customFormat="1">
      <c r="A70" s="134"/>
      <c r="B70" s="135" t="s">
        <v>315</v>
      </c>
      <c r="C70" s="136">
        <f>SUM(C68:C69)</f>
        <v>1270100</v>
      </c>
      <c r="D70" s="136"/>
      <c r="E70" s="136"/>
      <c r="F70" s="136">
        <v>15817.08</v>
      </c>
      <c r="G70" s="136">
        <f>F70*80</f>
        <v>1265366.3999999999</v>
      </c>
      <c r="H70" s="136"/>
      <c r="I70" s="136"/>
      <c r="J70" s="137">
        <f>C70-G70</f>
        <v>4733.6000000000931</v>
      </c>
    </row>
    <row r="71" spans="1:10" s="133" customFormat="1" ht="15">
      <c r="A71" s="130"/>
      <c r="B71" s="153" t="s">
        <v>316</v>
      </c>
      <c r="C71" s="131">
        <v>-9942</v>
      </c>
      <c r="D71" s="131"/>
      <c r="E71" s="131"/>
      <c r="F71" s="131"/>
      <c r="G71" s="131">
        <v>-5208</v>
      </c>
      <c r="H71" s="153" t="s">
        <v>317</v>
      </c>
      <c r="I71" s="131"/>
      <c r="J71" s="132"/>
    </row>
    <row r="72" spans="1:10" s="133" customFormat="1" ht="15">
      <c r="A72" s="130"/>
      <c r="B72" s="131"/>
      <c r="C72" s="131"/>
      <c r="D72" s="131"/>
      <c r="E72" s="131"/>
      <c r="F72" s="131"/>
      <c r="G72" s="131"/>
      <c r="H72" s="131"/>
      <c r="I72" s="131"/>
      <c r="J72" s="132"/>
    </row>
    <row r="73" spans="1:10" s="133" customFormat="1" ht="15.75" thickBot="1">
      <c r="A73" s="154"/>
      <c r="B73" s="155"/>
      <c r="C73" s="147">
        <f>SUM(C70:C72)</f>
        <v>1260158</v>
      </c>
      <c r="D73" s="147"/>
      <c r="E73" s="147"/>
      <c r="F73" s="147"/>
      <c r="G73" s="147">
        <f>SUM(G70:G72)</f>
        <v>1260158.3999999999</v>
      </c>
      <c r="H73" s="155"/>
      <c r="I73" s="155"/>
      <c r="J73" s="156"/>
    </row>
    <row r="74" spans="1:10" s="133" customFormat="1" ht="15.75" thickBot="1"/>
    <row r="75" spans="1:10" s="133" customFormat="1" ht="15">
      <c r="A75" s="149"/>
      <c r="B75" s="150"/>
      <c r="C75" s="150"/>
      <c r="D75" s="150"/>
      <c r="E75" s="151" t="s">
        <v>318</v>
      </c>
      <c r="F75" s="150"/>
      <c r="G75" s="150"/>
      <c r="H75" s="150"/>
      <c r="I75" s="150"/>
      <c r="J75" s="152"/>
    </row>
    <row r="76" spans="1:10" s="133" customFormat="1" ht="15">
      <c r="A76" s="130"/>
      <c r="B76" s="131"/>
      <c r="C76" s="131"/>
      <c r="D76" s="131"/>
      <c r="E76" s="131"/>
      <c r="F76" s="131"/>
      <c r="G76" s="131"/>
      <c r="H76" s="131"/>
      <c r="I76" s="131"/>
      <c r="J76" s="132"/>
    </row>
    <row r="77" spans="1:10" s="133" customFormat="1" ht="15">
      <c r="A77" s="130"/>
      <c r="B77" s="131"/>
      <c r="C77" s="153">
        <v>233828</v>
      </c>
      <c r="D77" s="131"/>
      <c r="E77" s="131"/>
      <c r="F77" s="131"/>
      <c r="G77" s="131"/>
      <c r="H77" s="131"/>
      <c r="I77" s="131"/>
      <c r="J77" s="132"/>
    </row>
    <row r="78" spans="1:10" s="133" customFormat="1" ht="15">
      <c r="A78" s="130"/>
      <c r="B78" s="131"/>
      <c r="C78" s="153">
        <v>2090601</v>
      </c>
      <c r="D78" s="131"/>
      <c r="E78" s="131"/>
      <c r="F78" s="131"/>
      <c r="G78" s="131"/>
      <c r="H78" s="131"/>
      <c r="I78" s="131"/>
      <c r="J78" s="132"/>
    </row>
    <row r="79" spans="1:10" s="133" customFormat="1" ht="15">
      <c r="A79" s="130"/>
      <c r="B79" s="131"/>
      <c r="C79" s="135"/>
      <c r="D79" s="131"/>
      <c r="E79" s="131"/>
      <c r="F79" s="131"/>
      <c r="G79" s="131"/>
      <c r="H79" s="131"/>
      <c r="I79" s="131"/>
      <c r="J79" s="132"/>
    </row>
    <row r="80" spans="1:10" s="133" customFormat="1" ht="15">
      <c r="A80" s="130"/>
      <c r="B80" s="157" t="s">
        <v>319</v>
      </c>
      <c r="C80" s="136">
        <f>SUM(C77:C79)</f>
        <v>2324429</v>
      </c>
      <c r="D80" s="157"/>
      <c r="E80" s="157"/>
      <c r="F80" s="136">
        <v>29217.7</v>
      </c>
      <c r="G80" s="136">
        <f>F80*80</f>
        <v>2337416</v>
      </c>
      <c r="H80" s="157"/>
      <c r="I80" s="157"/>
      <c r="J80" s="137">
        <f>C80-G80</f>
        <v>-12987</v>
      </c>
    </row>
    <row r="81" spans="1:10" s="133" customFormat="1" ht="15">
      <c r="A81" s="130"/>
      <c r="B81" s="153" t="s">
        <v>320</v>
      </c>
      <c r="C81" s="131">
        <v>-5244</v>
      </c>
      <c r="D81" s="131"/>
      <c r="E81" s="131"/>
      <c r="F81" s="131"/>
      <c r="G81" s="131">
        <v>-17252</v>
      </c>
      <c r="H81" s="153" t="s">
        <v>321</v>
      </c>
      <c r="I81" s="131"/>
      <c r="J81" s="132"/>
    </row>
    <row r="82" spans="1:10" s="133" customFormat="1" ht="15">
      <c r="A82" s="130"/>
      <c r="B82" s="153" t="s">
        <v>322</v>
      </c>
      <c r="C82" s="131">
        <v>-11268</v>
      </c>
      <c r="D82" s="131"/>
      <c r="E82" s="131"/>
      <c r="F82" s="131"/>
      <c r="G82" s="131">
        <v>-3368</v>
      </c>
      <c r="H82" s="153" t="s">
        <v>323</v>
      </c>
      <c r="I82" s="131"/>
      <c r="J82" s="132"/>
    </row>
    <row r="83" spans="1:10" s="133" customFormat="1" ht="15">
      <c r="A83" s="130"/>
      <c r="B83" s="131"/>
      <c r="C83" s="131"/>
      <c r="D83" s="131"/>
      <c r="E83" s="131"/>
      <c r="F83" s="131"/>
      <c r="G83" s="131">
        <f>-5388-3375</f>
        <v>-8763</v>
      </c>
      <c r="H83" s="131"/>
      <c r="I83" s="131"/>
      <c r="J83" s="132"/>
    </row>
    <row r="84" spans="1:10" s="133" customFormat="1" ht="15.75" thickBot="1">
      <c r="A84" s="154"/>
      <c r="B84" s="155"/>
      <c r="C84" s="147">
        <f>SUM(C80:C83)</f>
        <v>2307917</v>
      </c>
      <c r="D84" s="158"/>
      <c r="E84" s="158"/>
      <c r="F84" s="158"/>
      <c r="G84" s="147">
        <f>SUM(G80:G83)</f>
        <v>2308033</v>
      </c>
      <c r="H84" s="155"/>
      <c r="I84" s="155"/>
      <c r="J84" s="156"/>
    </row>
    <row r="85" spans="1:10" s="133" customFormat="1" ht="15.75" thickBot="1"/>
    <row r="86" spans="1:10" s="133" customFormat="1" ht="15">
      <c r="A86" s="149"/>
      <c r="B86" s="150"/>
      <c r="C86" s="150"/>
      <c r="D86" s="150"/>
      <c r="E86" s="151" t="s">
        <v>324</v>
      </c>
      <c r="F86" s="150"/>
      <c r="G86" s="150"/>
      <c r="H86" s="150"/>
      <c r="I86" s="150"/>
      <c r="J86" s="152"/>
    </row>
    <row r="87" spans="1:10" s="133" customFormat="1" ht="15">
      <c r="A87" s="130"/>
      <c r="B87" s="131"/>
      <c r="C87" s="131"/>
      <c r="D87" s="131"/>
      <c r="E87" s="131"/>
      <c r="F87" s="131"/>
      <c r="G87" s="131"/>
      <c r="H87" s="131"/>
      <c r="I87" s="131"/>
      <c r="J87" s="132"/>
    </row>
    <row r="88" spans="1:10" s="133" customFormat="1" ht="15">
      <c r="A88" s="130"/>
      <c r="B88" s="131"/>
      <c r="C88" s="131">
        <v>233403</v>
      </c>
      <c r="D88" s="131"/>
      <c r="E88" s="131"/>
      <c r="F88" s="131"/>
      <c r="G88" s="131"/>
      <c r="H88" s="131"/>
      <c r="I88" s="131"/>
      <c r="J88" s="132"/>
    </row>
    <row r="89" spans="1:10" s="133" customFormat="1" ht="15">
      <c r="A89" s="130"/>
      <c r="B89" s="131"/>
      <c r="C89" s="131">
        <v>4369647</v>
      </c>
      <c r="D89" s="131"/>
      <c r="E89" s="131"/>
      <c r="F89" s="131"/>
      <c r="G89" s="131"/>
      <c r="H89" s="131"/>
      <c r="I89" s="131"/>
      <c r="J89" s="132"/>
    </row>
    <row r="90" spans="1:10" s="133" customFormat="1" ht="15">
      <c r="A90" s="130"/>
      <c r="B90" s="131"/>
      <c r="C90" s="131"/>
      <c r="D90" s="131"/>
      <c r="E90" s="131"/>
      <c r="F90" s="131"/>
      <c r="G90" s="131"/>
      <c r="H90" s="131"/>
      <c r="I90" s="131"/>
      <c r="J90" s="132"/>
    </row>
    <row r="91" spans="1:10" s="138" customFormat="1">
      <c r="A91" s="134"/>
      <c r="B91" s="136" t="s">
        <v>315</v>
      </c>
      <c r="C91" s="136">
        <f>SUM(C88:C90)</f>
        <v>4603050</v>
      </c>
      <c r="D91" s="136"/>
      <c r="E91" s="136"/>
      <c r="F91" s="136">
        <v>57576.86</v>
      </c>
      <c r="G91" s="136">
        <f>F91*80</f>
        <v>4606148.8</v>
      </c>
      <c r="H91" s="136"/>
      <c r="I91" s="136"/>
      <c r="J91" s="137">
        <f>C91-G91</f>
        <v>-3098.7999999998137</v>
      </c>
    </row>
    <row r="92" spans="1:10" s="133" customFormat="1" ht="15">
      <c r="A92" s="130"/>
      <c r="B92" s="153" t="s">
        <v>325</v>
      </c>
      <c r="C92" s="131">
        <v>-10843</v>
      </c>
      <c r="D92" s="131"/>
      <c r="E92" s="131"/>
      <c r="F92" s="131"/>
      <c r="G92" s="131">
        <v>-36636</v>
      </c>
      <c r="H92" s="153" t="s">
        <v>326</v>
      </c>
      <c r="I92" s="131"/>
      <c r="J92" s="132"/>
    </row>
    <row r="93" spans="1:10" s="133" customFormat="1" ht="15">
      <c r="A93" s="130"/>
      <c r="B93" s="153" t="s">
        <v>327</v>
      </c>
      <c r="C93" s="131">
        <v>-25669</v>
      </c>
      <c r="D93" s="131"/>
      <c r="E93" s="131"/>
      <c r="F93" s="131"/>
      <c r="G93" s="131">
        <v>-300</v>
      </c>
      <c r="H93" s="153" t="s">
        <v>328</v>
      </c>
      <c r="I93" s="131"/>
      <c r="J93" s="132"/>
    </row>
    <row r="94" spans="1:10" s="133" customFormat="1" ht="15">
      <c r="A94" s="130"/>
      <c r="B94" s="131"/>
      <c r="C94" s="131"/>
      <c r="D94" s="131"/>
      <c r="E94" s="131"/>
      <c r="F94" s="131"/>
      <c r="G94" s="131">
        <v>-2675</v>
      </c>
      <c r="H94" s="153" t="s">
        <v>329</v>
      </c>
      <c r="I94" s="131"/>
      <c r="J94" s="132"/>
    </row>
    <row r="95" spans="1:10" s="138" customFormat="1">
      <c r="A95" s="134"/>
      <c r="B95" s="135" t="s">
        <v>313</v>
      </c>
      <c r="C95" s="136">
        <f>SUM(C91:C94)</f>
        <v>4566538</v>
      </c>
      <c r="D95" s="136"/>
      <c r="E95" s="136"/>
      <c r="F95" s="136"/>
      <c r="G95" s="136">
        <f>SUM(G91:G94)</f>
        <v>4566537.8</v>
      </c>
      <c r="H95" s="135"/>
      <c r="I95" s="135"/>
      <c r="J95" s="159"/>
    </row>
    <row r="96" spans="1:10" s="133" customFormat="1" ht="15.75" thickBot="1">
      <c r="A96" s="154"/>
      <c r="B96" s="155"/>
      <c r="C96" s="155"/>
      <c r="D96" s="155"/>
      <c r="E96" s="155"/>
      <c r="F96" s="155"/>
      <c r="G96" s="155"/>
      <c r="H96" s="155"/>
      <c r="I96" s="155"/>
      <c r="J96" s="156"/>
    </row>
    <row r="97" spans="1:10" s="133" customFormat="1" ht="15.75" thickBot="1"/>
    <row r="98" spans="1:10" s="133" customFormat="1" ht="15">
      <c r="A98" s="149"/>
      <c r="B98" s="150"/>
      <c r="C98" s="150"/>
      <c r="D98" s="150"/>
      <c r="E98" s="151" t="s">
        <v>330</v>
      </c>
      <c r="F98" s="150"/>
      <c r="G98" s="150"/>
      <c r="H98" s="150"/>
      <c r="I98" s="150"/>
      <c r="J98" s="152"/>
    </row>
    <row r="99" spans="1:10" s="133" customFormat="1" ht="15">
      <c r="A99" s="130"/>
      <c r="B99" s="131"/>
      <c r="C99" s="131"/>
      <c r="D99" s="131"/>
      <c r="E99" s="131"/>
      <c r="F99" s="131"/>
      <c r="G99" s="131"/>
      <c r="H99" s="131"/>
      <c r="I99" s="131"/>
      <c r="J99" s="132"/>
    </row>
    <row r="100" spans="1:10" s="133" customFormat="1" ht="15">
      <c r="A100" s="130"/>
      <c r="B100" s="131"/>
      <c r="C100" s="131">
        <v>235849</v>
      </c>
      <c r="D100" s="131"/>
      <c r="E100" s="131"/>
      <c r="F100" s="131"/>
      <c r="G100" s="131"/>
      <c r="H100" s="131"/>
      <c r="I100" s="131"/>
      <c r="J100" s="132"/>
    </row>
    <row r="101" spans="1:10" s="133" customFormat="1" ht="15">
      <c r="A101" s="130"/>
      <c r="B101" s="131"/>
      <c r="C101" s="131">
        <v>6623412</v>
      </c>
      <c r="D101" s="131"/>
      <c r="E101" s="131"/>
      <c r="F101" s="131"/>
      <c r="G101" s="131"/>
      <c r="H101" s="131"/>
      <c r="I101" s="131"/>
      <c r="J101" s="132"/>
    </row>
    <row r="102" spans="1:10" s="138" customFormat="1">
      <c r="A102" s="134"/>
      <c r="B102" s="135"/>
      <c r="C102" s="136">
        <f>SUM(C100:C101)</f>
        <v>6859261</v>
      </c>
      <c r="D102" s="136"/>
      <c r="E102" s="136"/>
      <c r="F102" s="136">
        <v>85995.4</v>
      </c>
      <c r="G102" s="136">
        <f>F102*80</f>
        <v>6879632</v>
      </c>
      <c r="H102" s="136"/>
      <c r="I102" s="136"/>
      <c r="J102" s="137">
        <f>C102-G102</f>
        <v>-20371</v>
      </c>
    </row>
    <row r="103" spans="1:10" s="133" customFormat="1" ht="15">
      <c r="A103" s="130"/>
      <c r="B103" s="153" t="s">
        <v>325</v>
      </c>
      <c r="C103" s="131">
        <v>-13289</v>
      </c>
      <c r="D103" s="131"/>
      <c r="E103" s="131"/>
      <c r="F103" s="131"/>
      <c r="G103" s="131">
        <v>-55500</v>
      </c>
      <c r="H103" s="153" t="s">
        <v>331</v>
      </c>
      <c r="I103" s="131"/>
      <c r="J103" s="132"/>
    </row>
    <row r="104" spans="1:10" s="133" customFormat="1" ht="15">
      <c r="A104" s="130"/>
      <c r="B104" s="153" t="s">
        <v>332</v>
      </c>
      <c r="C104" s="131">
        <v>-23660</v>
      </c>
      <c r="D104" s="131"/>
      <c r="E104" s="131"/>
      <c r="F104" s="131"/>
      <c r="G104" s="131">
        <v>-1822</v>
      </c>
      <c r="H104" s="153" t="s">
        <v>333</v>
      </c>
      <c r="I104" s="131"/>
      <c r="J104" s="132"/>
    </row>
    <row r="105" spans="1:10" s="133" customFormat="1" ht="15">
      <c r="A105" s="130"/>
      <c r="B105" s="131"/>
      <c r="C105" s="131"/>
      <c r="D105" s="131"/>
      <c r="E105" s="131"/>
      <c r="F105" s="131"/>
      <c r="G105" s="131"/>
      <c r="H105" s="131"/>
      <c r="I105" s="131"/>
      <c r="J105" s="132"/>
    </row>
    <row r="106" spans="1:10" s="138" customFormat="1">
      <c r="A106" s="134"/>
      <c r="B106" s="135" t="s">
        <v>334</v>
      </c>
      <c r="C106" s="136">
        <f>SUM(C102:C105)</f>
        <v>6822312</v>
      </c>
      <c r="D106" s="136"/>
      <c r="E106" s="136"/>
      <c r="F106" s="136"/>
      <c r="G106" s="136">
        <f>SUM(G102:G105)</f>
        <v>6822310</v>
      </c>
      <c r="H106" s="135"/>
      <c r="I106" s="135"/>
      <c r="J106" s="159"/>
    </row>
    <row r="107" spans="1:10" s="133" customFormat="1" ht="15.75" thickBot="1">
      <c r="A107" s="154"/>
      <c r="B107" s="155"/>
      <c r="C107" s="155"/>
      <c r="D107" s="155"/>
      <c r="E107" s="155"/>
      <c r="F107" s="155"/>
      <c r="G107" s="155"/>
      <c r="H107" s="155"/>
      <c r="I107" s="155"/>
      <c r="J107" s="156"/>
    </row>
    <row r="108" spans="1:10" s="133" customFormat="1" ht="15.75" thickBot="1"/>
    <row r="109" spans="1:10" s="133" customFormat="1" ht="15">
      <c r="A109" s="149"/>
      <c r="B109" s="150"/>
      <c r="C109" s="150"/>
      <c r="D109" s="150"/>
      <c r="E109" s="151" t="s">
        <v>335</v>
      </c>
      <c r="F109" s="150"/>
      <c r="G109" s="150"/>
      <c r="H109" s="150"/>
      <c r="I109" s="150"/>
      <c r="J109" s="152"/>
    </row>
    <row r="110" spans="1:10" s="133" customFormat="1" ht="15">
      <c r="A110" s="130"/>
      <c r="B110" s="131"/>
      <c r="C110" s="131">
        <v>233998</v>
      </c>
      <c r="D110" s="131"/>
      <c r="E110" s="131"/>
      <c r="F110" s="131"/>
      <c r="G110" s="131"/>
      <c r="H110" s="131"/>
      <c r="I110" s="131"/>
      <c r="J110" s="132"/>
    </row>
    <row r="111" spans="1:10" s="133" customFormat="1" ht="15">
      <c r="A111" s="130"/>
      <c r="B111" s="131"/>
      <c r="C111" s="131">
        <v>7754503</v>
      </c>
      <c r="D111" s="131"/>
      <c r="E111" s="131"/>
      <c r="F111" s="131"/>
      <c r="G111" s="131"/>
      <c r="H111" s="131"/>
      <c r="I111" s="131"/>
      <c r="J111" s="132"/>
    </row>
    <row r="112" spans="1:10" s="133" customFormat="1" ht="15">
      <c r="A112" s="130"/>
      <c r="B112" s="131"/>
      <c r="C112" s="131"/>
      <c r="D112" s="131"/>
      <c r="E112" s="131"/>
      <c r="F112" s="131"/>
      <c r="G112" s="131"/>
      <c r="H112" s="131"/>
      <c r="I112" s="131"/>
      <c r="J112" s="132"/>
    </row>
    <row r="113" spans="1:11" s="138" customFormat="1">
      <c r="A113" s="134"/>
      <c r="B113" s="136" t="s">
        <v>336</v>
      </c>
      <c r="C113" s="136">
        <f>SUM(C110:C112)</f>
        <v>7988501</v>
      </c>
      <c r="D113" s="136"/>
      <c r="E113" s="136"/>
      <c r="F113" s="136">
        <v>99482.26</v>
      </c>
      <c r="G113" s="136">
        <f>F113*80</f>
        <v>7958580.7999999998</v>
      </c>
      <c r="H113" s="136"/>
      <c r="I113" s="136"/>
      <c r="J113" s="137">
        <f>C113-G113</f>
        <v>29920.200000000186</v>
      </c>
    </row>
    <row r="114" spans="1:11" s="133" customFormat="1" ht="15">
      <c r="A114" s="130"/>
      <c r="B114" s="153" t="s">
        <v>325</v>
      </c>
      <c r="C114" s="131">
        <v>-11438</v>
      </c>
      <c r="D114" s="131"/>
      <c r="E114" s="131"/>
      <c r="F114" s="131"/>
      <c r="G114" s="131">
        <v>-1600</v>
      </c>
      <c r="H114" s="153" t="s">
        <v>323</v>
      </c>
      <c r="I114" s="131"/>
      <c r="J114" s="132"/>
    </row>
    <row r="115" spans="1:11" s="133" customFormat="1" ht="15">
      <c r="A115" s="130"/>
      <c r="B115" s="153" t="s">
        <v>337</v>
      </c>
      <c r="C115" s="131">
        <v>-23437</v>
      </c>
      <c r="D115" s="131"/>
      <c r="E115" s="131"/>
      <c r="F115" s="131"/>
      <c r="G115" s="131">
        <v>-3354</v>
      </c>
      <c r="H115" s="153" t="s">
        <v>338</v>
      </c>
      <c r="I115" s="131"/>
      <c r="J115" s="132"/>
    </row>
    <row r="116" spans="1:11" s="133" customFormat="1" ht="15">
      <c r="A116" s="130"/>
      <c r="B116" s="131"/>
      <c r="C116" s="131"/>
      <c r="D116" s="131"/>
      <c r="E116" s="131"/>
      <c r="F116" s="131"/>
      <c r="G116" s="131"/>
      <c r="H116" s="131"/>
      <c r="I116" s="131"/>
      <c r="J116" s="132"/>
    </row>
    <row r="117" spans="1:11" s="138" customFormat="1" ht="13.5" thickBot="1">
      <c r="A117" s="145"/>
      <c r="B117" s="146"/>
      <c r="C117" s="147">
        <f>SUM(C113:C116)</f>
        <v>7953626</v>
      </c>
      <c r="D117" s="147"/>
      <c r="E117" s="147"/>
      <c r="F117" s="147"/>
      <c r="G117" s="147">
        <f>SUM(G113:G116)</f>
        <v>7953626.7999999998</v>
      </c>
      <c r="H117" s="146"/>
      <c r="I117" s="146"/>
      <c r="J117" s="148"/>
    </row>
    <row r="118" spans="1:11" s="133" customFormat="1" ht="15.75" thickBot="1"/>
    <row r="119" spans="1:11" s="163" customFormat="1" ht="13.5" thickBot="1">
      <c r="A119" s="160"/>
      <c r="B119" s="161" t="s">
        <v>339</v>
      </c>
      <c r="C119" s="161">
        <f>C113+C102+C91+C80+C70+C60</f>
        <v>23702548</v>
      </c>
      <c r="D119" s="161"/>
      <c r="E119" s="161"/>
      <c r="F119" s="161"/>
      <c r="G119" s="161">
        <f>G113+G102+G91+G80+G70+G60</f>
        <v>23652200.800000001</v>
      </c>
      <c r="H119" s="161"/>
      <c r="I119" s="161"/>
      <c r="J119" s="161">
        <f>C119-G119</f>
        <v>50347.199999999255</v>
      </c>
      <c r="K119" s="162">
        <f>J113+J102+J91+J80+J70+J60</f>
        <v>50347.200000000419</v>
      </c>
    </row>
    <row r="120" spans="1:11" s="133" customFormat="1" ht="15.75" thickBot="1"/>
    <row r="121" spans="1:11" s="133" customFormat="1" ht="15">
      <c r="A121" s="149"/>
      <c r="B121" s="150"/>
      <c r="C121" s="150"/>
      <c r="D121" s="150"/>
      <c r="E121" s="151" t="s">
        <v>340</v>
      </c>
      <c r="F121" s="150"/>
      <c r="G121" s="150"/>
      <c r="H121" s="150"/>
      <c r="I121" s="150"/>
      <c r="J121" s="152"/>
    </row>
    <row r="122" spans="1:11" s="133" customFormat="1" ht="15">
      <c r="A122" s="130"/>
      <c r="B122" s="131"/>
      <c r="C122" s="131">
        <v>232650</v>
      </c>
      <c r="D122" s="131"/>
      <c r="E122" s="131"/>
      <c r="F122" s="131"/>
      <c r="G122" s="131"/>
      <c r="H122" s="131"/>
      <c r="I122" s="131"/>
      <c r="J122" s="132"/>
    </row>
    <row r="123" spans="1:11" s="133" customFormat="1" ht="15">
      <c r="A123" s="130"/>
      <c r="B123" s="131"/>
      <c r="C123" s="131">
        <v>9275343</v>
      </c>
      <c r="D123" s="131"/>
      <c r="E123" s="131"/>
      <c r="F123" s="131"/>
      <c r="G123" s="131"/>
      <c r="H123" s="131"/>
      <c r="I123" s="131"/>
      <c r="J123" s="132"/>
    </row>
    <row r="124" spans="1:11" s="133" customFormat="1" ht="15">
      <c r="A124" s="130"/>
      <c r="B124" s="131"/>
      <c r="C124" s="131"/>
      <c r="D124" s="131"/>
      <c r="E124" s="131"/>
      <c r="F124" s="131"/>
      <c r="G124" s="131"/>
      <c r="H124" s="131"/>
      <c r="I124" s="131"/>
      <c r="J124" s="132"/>
    </row>
    <row r="125" spans="1:11" s="138" customFormat="1">
      <c r="A125" s="134"/>
      <c r="B125" s="136" t="s">
        <v>336</v>
      </c>
      <c r="C125" s="136">
        <f>SUM(C122:C124)</f>
        <v>9507993</v>
      </c>
      <c r="D125" s="136"/>
      <c r="E125" s="136"/>
      <c r="F125" s="136">
        <v>120895.31</v>
      </c>
      <c r="G125" s="136">
        <f>F125*80</f>
        <v>9671624.8000000007</v>
      </c>
      <c r="H125" s="136"/>
      <c r="I125" s="136"/>
      <c r="J125" s="137">
        <f>C125-G125</f>
        <v>-163631.80000000075</v>
      </c>
    </row>
    <row r="126" spans="1:11" s="133" customFormat="1" ht="15">
      <c r="A126" s="130"/>
      <c r="B126" s="153" t="s">
        <v>325</v>
      </c>
      <c r="C126" s="131" t="e">
        <f>#REF!</f>
        <v>#REF!</v>
      </c>
      <c r="D126" s="131"/>
      <c r="E126" s="131"/>
      <c r="F126" s="131"/>
      <c r="G126" s="131">
        <v>-83452</v>
      </c>
      <c r="H126" s="153" t="s">
        <v>341</v>
      </c>
      <c r="I126" s="131"/>
      <c r="J126" s="132"/>
    </row>
    <row r="127" spans="1:11" s="133" customFormat="1" ht="15">
      <c r="A127" s="130"/>
      <c r="B127" s="153" t="s">
        <v>337</v>
      </c>
      <c r="C127" s="131">
        <v>-14383</v>
      </c>
      <c r="D127" s="131"/>
      <c r="E127" s="131"/>
      <c r="F127" s="131"/>
      <c r="G127" s="131">
        <f>-743.15*80</f>
        <v>-59452</v>
      </c>
      <c r="H127" s="153" t="s">
        <v>342</v>
      </c>
      <c r="I127" s="131"/>
      <c r="J127" s="132"/>
    </row>
    <row r="128" spans="1:11" s="133" customFormat="1" ht="15">
      <c r="A128" s="130"/>
      <c r="B128" s="131"/>
      <c r="C128" s="131"/>
      <c r="D128" s="131"/>
      <c r="E128" s="131"/>
      <c r="F128" s="131"/>
      <c r="G128" s="131">
        <f>-565*80</f>
        <v>-45200</v>
      </c>
      <c r="H128" s="153" t="s">
        <v>343</v>
      </c>
      <c r="I128" s="131"/>
      <c r="J128" s="132"/>
    </row>
    <row r="129" spans="1:10" s="138" customFormat="1" ht="13.5" thickBot="1">
      <c r="A129" s="145"/>
      <c r="B129" s="146"/>
      <c r="C129" s="147" t="e">
        <f>SUM(C125:C128)</f>
        <v>#REF!</v>
      </c>
      <c r="D129" s="147"/>
      <c r="E129" s="147"/>
      <c r="F129" s="147"/>
      <c r="G129" s="147">
        <f>SUM(G125:G128)</f>
        <v>9483520.8000000007</v>
      </c>
      <c r="H129" s="146"/>
      <c r="I129" s="146"/>
      <c r="J129" s="148"/>
    </row>
    <row r="130" spans="1:10" s="133" customFormat="1" ht="15.75" thickBot="1"/>
    <row r="131" spans="1:10" s="133" customFormat="1" ht="15">
      <c r="A131" s="149"/>
      <c r="B131" s="150"/>
      <c r="C131" s="150"/>
      <c r="D131" s="150"/>
      <c r="E131" s="151" t="s">
        <v>344</v>
      </c>
      <c r="F131" s="150"/>
      <c r="G131" s="150"/>
      <c r="H131" s="150"/>
      <c r="I131" s="150"/>
      <c r="J131" s="152"/>
    </row>
    <row r="132" spans="1:10" s="133" customFormat="1" ht="15">
      <c r="A132" s="130"/>
      <c r="B132" s="131"/>
      <c r="C132" s="131">
        <v>235684</v>
      </c>
      <c r="D132" s="131"/>
      <c r="E132" s="131"/>
      <c r="F132" s="131"/>
      <c r="G132" s="131"/>
      <c r="H132" s="131"/>
      <c r="I132" s="131"/>
      <c r="J132" s="132"/>
    </row>
    <row r="133" spans="1:10" s="133" customFormat="1" ht="15">
      <c r="A133" s="130"/>
      <c r="B133" s="131"/>
      <c r="C133" s="131">
        <v>26259054</v>
      </c>
      <c r="D133" s="131"/>
      <c r="E133" s="131"/>
      <c r="F133" s="131"/>
      <c r="G133" s="131"/>
      <c r="H133" s="131"/>
      <c r="I133" s="131"/>
      <c r="J133" s="132"/>
    </row>
    <row r="134" spans="1:10" s="133" customFormat="1" ht="15">
      <c r="A134" s="130"/>
      <c r="B134" s="131"/>
      <c r="C134" s="131"/>
      <c r="D134" s="131"/>
      <c r="E134" s="131"/>
      <c r="F134" s="131"/>
      <c r="G134" s="131"/>
      <c r="H134" s="131"/>
      <c r="I134" s="131"/>
      <c r="J134" s="132"/>
    </row>
    <row r="135" spans="1:10" s="138" customFormat="1">
      <c r="A135" s="134"/>
      <c r="B135" s="136" t="s">
        <v>336</v>
      </c>
      <c r="C135" s="136">
        <f>SUM(C132:C134)</f>
        <v>26494738</v>
      </c>
      <c r="D135" s="136"/>
      <c r="E135" s="136"/>
      <c r="F135" s="136">
        <v>332202.40000000002</v>
      </c>
      <c r="G135" s="136">
        <f>F135*80</f>
        <v>26576192</v>
      </c>
      <c r="H135" s="136"/>
      <c r="I135" s="136"/>
      <c r="J135" s="137">
        <f>C135-G135</f>
        <v>-81454</v>
      </c>
    </row>
    <row r="136" spans="1:10" s="133" customFormat="1" ht="15">
      <c r="A136" s="130"/>
      <c r="B136" s="153" t="s">
        <v>325</v>
      </c>
      <c r="C136" s="131" t="e">
        <f>#REF!</f>
        <v>#REF!</v>
      </c>
      <c r="D136" s="131"/>
      <c r="E136" s="131"/>
      <c r="F136" s="131"/>
      <c r="G136" s="131" t="e">
        <f>-#REF!</f>
        <v>#REF!</v>
      </c>
      <c r="H136" s="153" t="s">
        <v>341</v>
      </c>
      <c r="I136" s="131"/>
      <c r="J136" s="132"/>
    </row>
    <row r="137" spans="1:10" s="133" customFormat="1" ht="15">
      <c r="A137" s="130"/>
      <c r="B137" s="153" t="s">
        <v>337</v>
      </c>
      <c r="C137" s="131">
        <v>-77218</v>
      </c>
      <c r="D137" s="131"/>
      <c r="E137" s="131"/>
      <c r="F137" s="131"/>
      <c r="G137" s="153">
        <f>739.4*80</f>
        <v>59152</v>
      </c>
      <c r="H137" s="153" t="s">
        <v>345</v>
      </c>
      <c r="I137" s="131"/>
      <c r="J137" s="132"/>
    </row>
    <row r="138" spans="1:10" s="133" customFormat="1" ht="15">
      <c r="A138" s="130"/>
      <c r="B138" s="131"/>
      <c r="C138" s="131"/>
      <c r="D138" s="131"/>
      <c r="E138" s="131"/>
      <c r="F138" s="131"/>
      <c r="G138" s="131">
        <f>-25.54*80-21.9*80</f>
        <v>-3795.2</v>
      </c>
      <c r="H138" s="153" t="s">
        <v>346</v>
      </c>
      <c r="I138" s="131"/>
      <c r="J138" s="132"/>
    </row>
    <row r="139" spans="1:10" s="138" customFormat="1" ht="13.5" thickBot="1">
      <c r="A139" s="145"/>
      <c r="B139" s="146"/>
      <c r="C139" s="147" t="e">
        <f>SUM(C135:C138)</f>
        <v>#REF!</v>
      </c>
      <c r="D139" s="147"/>
      <c r="E139" s="147"/>
      <c r="F139" s="147"/>
      <c r="G139" s="147" t="e">
        <f>SUM(G135:G138)</f>
        <v>#REF!</v>
      </c>
      <c r="H139" s="146"/>
      <c r="I139" s="146"/>
      <c r="J139" s="148"/>
    </row>
    <row r="140" spans="1:10" s="133" customFormat="1" ht="15.75" thickBot="1"/>
    <row r="141" spans="1:10" s="133" customFormat="1" ht="15">
      <c r="A141" s="149"/>
      <c r="B141" s="150"/>
      <c r="C141" s="150"/>
      <c r="D141" s="150"/>
      <c r="E141" s="151" t="s">
        <v>347</v>
      </c>
      <c r="F141" s="150"/>
      <c r="G141" s="150"/>
      <c r="H141" s="150"/>
      <c r="I141" s="150"/>
      <c r="J141" s="152"/>
    </row>
    <row r="142" spans="1:10" s="133" customFormat="1" ht="15">
      <c r="A142" s="130"/>
      <c r="B142" s="131"/>
      <c r="C142" s="131">
        <v>239518</v>
      </c>
      <c r="D142" s="131"/>
      <c r="E142" s="131"/>
      <c r="F142" s="131"/>
      <c r="G142" s="131"/>
      <c r="H142" s="131"/>
      <c r="I142" s="131"/>
      <c r="J142" s="132"/>
    </row>
    <row r="143" spans="1:10" s="133" customFormat="1" ht="15">
      <c r="A143" s="130"/>
      <c r="B143" s="131"/>
      <c r="C143" s="131">
        <v>8861039</v>
      </c>
      <c r="D143" s="131"/>
      <c r="E143" s="131"/>
      <c r="F143" s="131"/>
      <c r="G143" s="131"/>
      <c r="H143" s="131"/>
      <c r="I143" s="131"/>
      <c r="J143" s="132"/>
    </row>
    <row r="144" spans="1:10" s="133" customFormat="1" ht="15">
      <c r="A144" s="130"/>
      <c r="B144" s="131"/>
      <c r="C144" s="131"/>
      <c r="D144" s="131"/>
      <c r="E144" s="131"/>
      <c r="F144" s="131"/>
      <c r="G144" s="131"/>
      <c r="H144" s="131"/>
      <c r="I144" s="131"/>
      <c r="J144" s="132"/>
    </row>
    <row r="145" spans="1:10" s="138" customFormat="1">
      <c r="A145" s="134"/>
      <c r="B145" s="136" t="s">
        <v>336</v>
      </c>
      <c r="C145" s="136">
        <f>SUM(C142:C144)</f>
        <v>9100557</v>
      </c>
      <c r="D145" s="136"/>
      <c r="E145" s="136"/>
      <c r="F145" s="136">
        <v>114260.81</v>
      </c>
      <c r="G145" s="136">
        <f>F145*80</f>
        <v>9140864.8000000007</v>
      </c>
      <c r="H145" s="136"/>
      <c r="I145" s="136"/>
      <c r="J145" s="137">
        <f>C145-G145</f>
        <v>-40307.800000000745</v>
      </c>
    </row>
    <row r="146" spans="1:10" s="133" customFormat="1" ht="15">
      <c r="A146" s="130"/>
      <c r="B146" s="153" t="s">
        <v>325</v>
      </c>
      <c r="C146" s="131" t="e">
        <f>#REF!</f>
        <v>#REF!</v>
      </c>
      <c r="D146" s="131"/>
      <c r="E146" s="131"/>
      <c r="F146" s="131"/>
      <c r="G146" s="131" t="e">
        <f>-#REF!</f>
        <v>#REF!</v>
      </c>
      <c r="H146" s="153" t="s">
        <v>341</v>
      </c>
      <c r="I146" s="131"/>
      <c r="J146" s="132"/>
    </row>
    <row r="147" spans="1:10" s="133" customFormat="1" ht="15">
      <c r="A147" s="130"/>
      <c r="B147" s="153" t="s">
        <v>337</v>
      </c>
      <c r="C147" s="131">
        <v>-13503</v>
      </c>
      <c r="D147" s="131"/>
      <c r="E147" s="131"/>
      <c r="F147" s="131"/>
      <c r="G147" s="153"/>
      <c r="H147" s="153" t="s">
        <v>345</v>
      </c>
      <c r="I147" s="131"/>
      <c r="J147" s="132"/>
    </row>
    <row r="148" spans="1:10" s="133" customFormat="1" ht="15">
      <c r="A148" s="130"/>
      <c r="B148" s="131"/>
      <c r="C148" s="131"/>
      <c r="D148" s="131"/>
      <c r="E148" s="131"/>
      <c r="F148" s="131"/>
      <c r="G148" s="131">
        <f>-7.68*80</f>
        <v>-614.4</v>
      </c>
      <c r="H148" s="153" t="s">
        <v>346</v>
      </c>
      <c r="I148" s="131"/>
      <c r="J148" s="132"/>
    </row>
    <row r="149" spans="1:10" s="138" customFormat="1" ht="13.5" thickBot="1">
      <c r="A149" s="145"/>
      <c r="B149" s="146"/>
      <c r="C149" s="147" t="e">
        <f>SUM(C145:C148)</f>
        <v>#REF!</v>
      </c>
      <c r="D149" s="147"/>
      <c r="E149" s="147"/>
      <c r="F149" s="147"/>
      <c r="G149" s="147" t="e">
        <f>SUM(G145:G148)</f>
        <v>#REF!</v>
      </c>
      <c r="H149" s="146"/>
      <c r="I149" s="146"/>
      <c r="J149" s="148"/>
    </row>
    <row r="150" spans="1:10" s="133" customFormat="1" ht="15">
      <c r="C150" s="133" t="e">
        <f>C149-G149</f>
        <v>#REF!</v>
      </c>
    </row>
    <row r="151" spans="1:10" s="133" customFormat="1" ht="15.75" thickBot="1"/>
    <row r="152" spans="1:10" s="133" customFormat="1" ht="15">
      <c r="A152" s="149"/>
      <c r="B152" s="150"/>
      <c r="C152" s="150"/>
      <c r="D152" s="150"/>
      <c r="E152" s="151" t="s">
        <v>348</v>
      </c>
      <c r="F152" s="150"/>
      <c r="G152" s="150"/>
      <c r="H152" s="150"/>
      <c r="I152" s="150"/>
      <c r="J152" s="152"/>
    </row>
    <row r="153" spans="1:10" s="133" customFormat="1" ht="15">
      <c r="A153" s="130"/>
      <c r="B153" s="131" t="s">
        <v>349</v>
      </c>
      <c r="C153" s="131">
        <f>43144+51690+95000+51690</f>
        <v>241524</v>
      </c>
      <c r="D153" s="131"/>
      <c r="E153" s="131"/>
      <c r="F153" s="131"/>
      <c r="G153" s="131"/>
      <c r="H153" s="131"/>
      <c r="I153" s="131"/>
      <c r="J153" s="132"/>
    </row>
    <row r="154" spans="1:10" s="133" customFormat="1" ht="15">
      <c r="A154" s="130"/>
      <c r="B154" s="131" t="s">
        <v>350</v>
      </c>
      <c r="C154" s="131">
        <v>6284104</v>
      </c>
      <c r="D154" s="131"/>
      <c r="E154" s="131"/>
      <c r="F154" s="131"/>
      <c r="G154" s="131"/>
      <c r="H154" s="131"/>
      <c r="I154" s="131"/>
      <c r="J154" s="132"/>
    </row>
    <row r="155" spans="1:10" s="133" customFormat="1" ht="15">
      <c r="A155" s="130"/>
      <c r="B155" s="131"/>
      <c r="C155" s="131"/>
      <c r="D155" s="131"/>
      <c r="E155" s="131"/>
      <c r="F155" s="131"/>
      <c r="G155" s="131"/>
      <c r="H155" s="131"/>
      <c r="I155" s="131"/>
      <c r="J155" s="132"/>
    </row>
    <row r="156" spans="1:10" s="138" customFormat="1">
      <c r="A156" s="134"/>
      <c r="B156" s="136" t="s">
        <v>336</v>
      </c>
      <c r="C156" s="136">
        <f>SUM(C153:C155)</f>
        <v>6525628</v>
      </c>
      <c r="D156" s="136"/>
      <c r="E156" s="136"/>
      <c r="F156" s="136">
        <v>81743.62</v>
      </c>
      <c r="G156" s="136">
        <f>F156*80</f>
        <v>6539489.5999999996</v>
      </c>
      <c r="H156" s="136"/>
      <c r="I156" s="136"/>
      <c r="J156" s="137">
        <f>C156-G156</f>
        <v>-13861.599999999627</v>
      </c>
    </row>
    <row r="157" spans="1:10" s="133" customFormat="1" ht="15">
      <c r="A157" s="130"/>
      <c r="B157" s="153" t="s">
        <v>325</v>
      </c>
      <c r="C157" s="131" t="e">
        <f>#REF!</f>
        <v>#REF!</v>
      </c>
      <c r="D157" s="131"/>
      <c r="E157" s="131"/>
      <c r="F157" s="131"/>
      <c r="G157" s="131" t="e">
        <f>-#REF!</f>
        <v>#REF!</v>
      </c>
      <c r="H157" s="153" t="s">
        <v>341</v>
      </c>
      <c r="I157" s="131"/>
      <c r="J157" s="132"/>
    </row>
    <row r="158" spans="1:10" s="133" customFormat="1" ht="15">
      <c r="A158" s="130"/>
      <c r="B158" s="153" t="s">
        <v>337</v>
      </c>
      <c r="C158" s="131">
        <v>-19069</v>
      </c>
      <c r="D158" s="131"/>
      <c r="E158" s="131"/>
      <c r="F158" s="131"/>
      <c r="G158" s="153">
        <f>-52.42*80</f>
        <v>-4193.6000000000004</v>
      </c>
      <c r="H158" s="153" t="s">
        <v>345</v>
      </c>
      <c r="I158" s="131"/>
      <c r="J158" s="132"/>
    </row>
    <row r="159" spans="1:10" s="133" customFormat="1" ht="15">
      <c r="A159" s="130"/>
      <c r="B159" s="131"/>
      <c r="C159" s="131"/>
      <c r="D159" s="131"/>
      <c r="E159" s="131"/>
      <c r="F159" s="131"/>
      <c r="G159" s="131">
        <f>99.98*80</f>
        <v>7998.4000000000005</v>
      </c>
      <c r="H159" s="153" t="s">
        <v>346</v>
      </c>
      <c r="I159" s="131"/>
      <c r="J159" s="132"/>
    </row>
    <row r="160" spans="1:10" s="138" customFormat="1" ht="13.5" thickBot="1">
      <c r="A160" s="145"/>
      <c r="B160" s="146"/>
      <c r="C160" s="147" t="e">
        <f>SUM(C156:C159)</f>
        <v>#REF!</v>
      </c>
      <c r="D160" s="147"/>
      <c r="E160" s="147"/>
      <c r="F160" s="147"/>
      <c r="G160" s="147" t="e">
        <f>SUM(G156:G159)</f>
        <v>#REF!</v>
      </c>
      <c r="H160" s="146"/>
      <c r="I160" s="146"/>
      <c r="J160" s="148"/>
    </row>
    <row r="161" spans="1:10" s="133" customFormat="1" ht="15">
      <c r="C161" s="133" t="e">
        <f>C160-G160</f>
        <v>#REF!</v>
      </c>
    </row>
    <row r="162" spans="1:10" s="133" customFormat="1" ht="15"/>
    <row r="163" spans="1:10" s="133" customFormat="1" ht="15.75" thickBot="1"/>
    <row r="164" spans="1:10" s="133" customFormat="1" ht="15">
      <c r="A164" s="149"/>
      <c r="B164" s="150"/>
      <c r="C164" s="150"/>
      <c r="D164" s="150"/>
      <c r="E164" s="151" t="s">
        <v>351</v>
      </c>
      <c r="F164" s="150"/>
      <c r="G164" s="150"/>
      <c r="H164" s="150"/>
      <c r="I164" s="150"/>
      <c r="J164" s="152"/>
    </row>
    <row r="165" spans="1:10" s="133" customFormat="1" ht="15">
      <c r="A165" s="130"/>
      <c r="B165" s="131" t="s">
        <v>349</v>
      </c>
      <c r="C165" s="131">
        <v>242202</v>
      </c>
      <c r="D165" s="131"/>
      <c r="E165" s="131"/>
      <c r="F165" s="131"/>
      <c r="G165" s="131"/>
      <c r="H165" s="131"/>
      <c r="I165" s="131"/>
      <c r="J165" s="132"/>
    </row>
    <row r="166" spans="1:10" s="133" customFormat="1" ht="15">
      <c r="A166" s="130"/>
      <c r="B166" s="131" t="s">
        <v>350</v>
      </c>
      <c r="C166" s="131">
        <v>1438728</v>
      </c>
      <c r="D166" s="131"/>
      <c r="E166" s="131"/>
      <c r="F166" s="131"/>
      <c r="G166" s="131"/>
      <c r="H166" s="131"/>
      <c r="I166" s="131"/>
      <c r="J166" s="132"/>
    </row>
    <row r="167" spans="1:10" s="133" customFormat="1" ht="15">
      <c r="A167" s="130"/>
      <c r="B167" s="131"/>
      <c r="C167" s="131"/>
      <c r="D167" s="131"/>
      <c r="E167" s="131"/>
      <c r="F167" s="131"/>
      <c r="G167" s="131"/>
      <c r="H167" s="131"/>
      <c r="I167" s="131"/>
      <c r="J167" s="132"/>
    </row>
    <row r="168" spans="1:10" s="138" customFormat="1">
      <c r="A168" s="134"/>
      <c r="B168" s="136" t="s">
        <v>336</v>
      </c>
      <c r="C168" s="136">
        <f>SUM(C165:C167)</f>
        <v>1680930</v>
      </c>
      <c r="D168" s="136"/>
      <c r="E168" s="136"/>
      <c r="F168" s="136">
        <v>20868.88</v>
      </c>
      <c r="G168" s="136">
        <f>F168*80</f>
        <v>1669510.4000000001</v>
      </c>
      <c r="H168" s="136"/>
      <c r="I168" s="136"/>
      <c r="J168" s="137">
        <f>C168-G168</f>
        <v>11419.59999999986</v>
      </c>
    </row>
    <row r="169" spans="1:10" s="133" customFormat="1" ht="15">
      <c r="A169" s="130"/>
      <c r="B169" s="153" t="s">
        <v>325</v>
      </c>
      <c r="C169" s="131" t="e">
        <f>#REF!</f>
        <v>#REF!</v>
      </c>
      <c r="D169" s="131"/>
      <c r="E169" s="131"/>
      <c r="F169" s="131"/>
      <c r="G169" s="131">
        <f>-139.4*80</f>
        <v>-11152</v>
      </c>
      <c r="H169" s="153" t="s">
        <v>341</v>
      </c>
      <c r="I169" s="131"/>
      <c r="J169" s="132"/>
    </row>
    <row r="170" spans="1:10" s="133" customFormat="1" ht="15">
      <c r="A170" s="130"/>
      <c r="B170" s="153" t="s">
        <v>337</v>
      </c>
      <c r="C170" s="131">
        <v>-8110</v>
      </c>
      <c r="D170" s="131"/>
      <c r="E170" s="131"/>
      <c r="F170" s="131"/>
      <c r="G170" s="153"/>
      <c r="H170" s="153" t="s">
        <v>345</v>
      </c>
      <c r="I170" s="131"/>
      <c r="J170" s="132"/>
    </row>
    <row r="171" spans="1:10" s="133" customFormat="1" ht="15">
      <c r="A171" s="130"/>
      <c r="B171" s="131"/>
      <c r="C171" s="131"/>
      <c r="D171" s="131"/>
      <c r="E171" s="131"/>
      <c r="F171" s="131"/>
      <c r="G171" s="131">
        <f>-64.88*80</f>
        <v>-5190.3999999999996</v>
      </c>
      <c r="H171" s="153" t="s">
        <v>346</v>
      </c>
      <c r="I171" s="131"/>
      <c r="J171" s="132"/>
    </row>
    <row r="172" spans="1:10" s="138" customFormat="1" ht="13.5" thickBot="1">
      <c r="A172" s="145"/>
      <c r="B172" s="146"/>
      <c r="C172" s="147" t="e">
        <f>SUM(C168:C171)</f>
        <v>#REF!</v>
      </c>
      <c r="D172" s="147"/>
      <c r="E172" s="147"/>
      <c r="F172" s="147"/>
      <c r="G172" s="147">
        <f>SUM(G168:G171)</f>
        <v>1653168.0000000002</v>
      </c>
      <c r="H172" s="146"/>
      <c r="I172" s="146"/>
      <c r="J172" s="148"/>
    </row>
    <row r="173" spans="1:10" s="133" customFormat="1" ht="15">
      <c r="C173" s="133" t="e">
        <f>C172-G172</f>
        <v>#REF!</v>
      </c>
    </row>
    <row r="174" spans="1:10" s="133" customFormat="1" ht="15.75" thickBot="1"/>
    <row r="175" spans="1:10" s="133" customFormat="1" ht="15">
      <c r="A175" s="149"/>
      <c r="B175" s="150"/>
      <c r="C175" s="150"/>
      <c r="D175" s="150"/>
      <c r="E175" s="151" t="s">
        <v>352</v>
      </c>
      <c r="F175" s="150"/>
      <c r="G175" s="150"/>
      <c r="H175" s="150"/>
      <c r="I175" s="150"/>
      <c r="J175" s="152"/>
    </row>
    <row r="176" spans="1:10" s="133" customFormat="1" ht="15">
      <c r="A176" s="130"/>
      <c r="B176" s="131" t="s">
        <v>349</v>
      </c>
      <c r="C176" s="131">
        <v>239930</v>
      </c>
      <c r="D176" s="131"/>
      <c r="E176" s="131"/>
      <c r="F176" s="131"/>
      <c r="G176" s="131"/>
      <c r="H176" s="131"/>
      <c r="I176" s="131"/>
      <c r="J176" s="132"/>
    </row>
    <row r="177" spans="1:10" s="133" customFormat="1" ht="15">
      <c r="A177" s="130"/>
      <c r="B177" s="131" t="s">
        <v>350</v>
      </c>
      <c r="C177" s="131">
        <v>2175060</v>
      </c>
      <c r="D177" s="131"/>
      <c r="E177" s="131"/>
      <c r="F177" s="131"/>
      <c r="G177" s="131"/>
      <c r="H177" s="131"/>
      <c r="I177" s="131"/>
      <c r="J177" s="132"/>
    </row>
    <row r="178" spans="1:10" s="133" customFormat="1" ht="15">
      <c r="A178" s="130"/>
      <c r="B178" s="131"/>
      <c r="C178" s="131"/>
      <c r="D178" s="131"/>
      <c r="E178" s="131"/>
      <c r="F178" s="131"/>
      <c r="G178" s="131"/>
      <c r="H178" s="131"/>
      <c r="I178" s="131"/>
      <c r="J178" s="132"/>
    </row>
    <row r="179" spans="1:10" s="138" customFormat="1">
      <c r="A179" s="134"/>
      <c r="B179" s="136" t="s">
        <v>336</v>
      </c>
      <c r="C179" s="136">
        <f>SUM(C176:C178)</f>
        <v>2414990</v>
      </c>
      <c r="D179" s="136"/>
      <c r="E179" s="136"/>
      <c r="F179" s="136">
        <v>30044.61</v>
      </c>
      <c r="G179" s="136">
        <f>F179*80</f>
        <v>2403568.7999999998</v>
      </c>
      <c r="H179" s="136"/>
      <c r="I179" s="136"/>
      <c r="J179" s="137">
        <f>C179-G179</f>
        <v>11421.200000000186</v>
      </c>
    </row>
    <row r="180" spans="1:10" s="133" customFormat="1" ht="15">
      <c r="A180" s="130"/>
      <c r="B180" s="153" t="s">
        <v>325</v>
      </c>
      <c r="C180" s="131" t="e">
        <f>#REF!</f>
        <v>#REF!</v>
      </c>
      <c r="D180" s="131"/>
      <c r="E180" s="131"/>
      <c r="F180" s="131"/>
      <c r="G180" s="131">
        <f>-33.75*80</f>
        <v>-2700</v>
      </c>
      <c r="H180" s="153" t="s">
        <v>341</v>
      </c>
      <c r="I180" s="131"/>
      <c r="J180" s="132"/>
    </row>
    <row r="181" spans="1:10" s="133" customFormat="1" ht="15">
      <c r="A181" s="130"/>
      <c r="B181" s="153" t="s">
        <v>337</v>
      </c>
      <c r="C181" s="131">
        <v>-3292</v>
      </c>
      <c r="D181" s="131"/>
      <c r="E181" s="131"/>
      <c r="F181" s="131"/>
      <c r="G181" s="153">
        <f>-16.46*80</f>
        <v>-1316.8000000000002</v>
      </c>
      <c r="H181" s="153" t="s">
        <v>353</v>
      </c>
      <c r="I181" s="131"/>
      <c r="J181" s="132"/>
    </row>
    <row r="182" spans="1:10" s="133" customFormat="1" ht="15">
      <c r="A182" s="130"/>
      <c r="B182" s="131"/>
      <c r="C182" s="131"/>
      <c r="D182" s="131"/>
      <c r="E182" s="131"/>
      <c r="F182" s="131"/>
      <c r="G182" s="131">
        <f>(-32.81-30-2.5)*80</f>
        <v>-5224.8</v>
      </c>
      <c r="H182" s="153" t="s">
        <v>346</v>
      </c>
      <c r="I182" s="131"/>
      <c r="J182" s="132"/>
    </row>
    <row r="183" spans="1:10" s="138" customFormat="1" ht="13.5" thickBot="1">
      <c r="A183" s="145"/>
      <c r="B183" s="146"/>
      <c r="C183" s="147" t="e">
        <f>SUM(C179:C182)</f>
        <v>#REF!</v>
      </c>
      <c r="D183" s="147"/>
      <c r="E183" s="147"/>
      <c r="F183" s="147"/>
      <c r="G183" s="147">
        <f>SUM(G179:G182)</f>
        <v>2394327.2000000002</v>
      </c>
      <c r="H183" s="146"/>
      <c r="I183" s="146"/>
      <c r="J183" s="148"/>
    </row>
    <row r="184" spans="1:10" s="133" customFormat="1" ht="15">
      <c r="C184" s="133" t="e">
        <f>C183-G183</f>
        <v>#REF!</v>
      </c>
    </row>
    <row r="185" spans="1:10" s="133" customFormat="1" ht="15"/>
    <row r="186" spans="1:10" s="133" customFormat="1" ht="15">
      <c r="J186" s="133">
        <f>J179+J168+J156+J145+J135+J125+J119</f>
        <v>-226067.20000000182</v>
      </c>
    </row>
    <row r="187" spans="1:10" s="133" customFormat="1" ht="15"/>
    <row r="188" spans="1:10" s="133" customFormat="1" ht="15"/>
    <row r="189" spans="1:10" s="133" customFormat="1" ht="15"/>
    <row r="190" spans="1:10" s="133" customFormat="1" ht="15"/>
    <row r="191" spans="1:10" s="133" customFormat="1" ht="15"/>
    <row r="192" spans="1:10" s="133" customFormat="1" ht="15"/>
    <row r="193" s="133" customFormat="1" ht="15"/>
    <row r="194" s="133" customFormat="1" ht="15"/>
    <row r="195" s="133" customFormat="1" ht="15"/>
    <row r="196" s="133" customFormat="1" ht="15"/>
    <row r="197" s="133" customFormat="1" ht="15"/>
    <row r="198" s="133" customFormat="1" ht="15"/>
    <row r="199" s="133" customFormat="1" ht="15"/>
    <row r="200" s="133" customFormat="1" ht="15"/>
    <row r="201" s="133" customFormat="1" ht="15"/>
    <row r="202" s="133" customFormat="1" ht="15"/>
    <row r="203" s="133" customFormat="1" ht="15"/>
    <row r="204" s="133" customFormat="1" ht="15"/>
    <row r="205" s="133" customFormat="1" ht="15"/>
    <row r="206" s="133" customFormat="1" ht="15"/>
    <row r="207" s="133" customFormat="1" ht="15"/>
    <row r="208" s="133" customFormat="1" ht="15"/>
    <row r="209" s="133" customFormat="1" ht="15"/>
    <row r="210" s="133" customFormat="1" ht="15"/>
    <row r="211" s="133" customFormat="1" ht="15"/>
    <row r="212" s="133" customFormat="1" ht="15"/>
    <row r="213" s="133" customFormat="1" ht="15"/>
    <row r="214" s="133" customFormat="1" ht="15"/>
    <row r="215" s="133" customFormat="1" ht="15"/>
    <row r="216" s="133" customFormat="1" ht="15"/>
    <row r="217" s="133" customFormat="1" ht="15"/>
    <row r="218" s="133" customFormat="1" ht="15"/>
    <row r="219" s="133" customFormat="1" ht="15"/>
    <row r="220" s="133" customFormat="1" ht="15"/>
    <row r="221" s="133" customFormat="1" ht="15"/>
    <row r="222" s="133" customFormat="1" ht="15"/>
    <row r="223" s="133" customFormat="1" ht="15"/>
    <row r="224" s="133" customFormat="1" ht="15"/>
    <row r="225" s="133" customFormat="1" ht="15"/>
    <row r="226" s="133" customFormat="1" ht="15"/>
    <row r="227" s="133" customFormat="1" ht="15"/>
    <row r="228" s="133" customFormat="1" ht="15"/>
    <row r="229" s="133" customFormat="1" ht="15"/>
    <row r="230" s="133" customFormat="1" ht="15"/>
    <row r="231" s="133" customFormat="1" ht="15"/>
    <row r="232" s="133" customFormat="1" ht="15"/>
    <row r="233" s="133" customFormat="1" ht="15"/>
    <row r="234" s="133" customFormat="1" ht="15"/>
    <row r="235" s="133" customFormat="1" ht="15"/>
    <row r="236" s="133" customFormat="1" ht="15"/>
    <row r="237" s="133" customFormat="1" ht="15"/>
    <row r="238" s="133" customFormat="1" ht="15"/>
    <row r="239" s="133" customFormat="1" ht="15"/>
    <row r="240" s="133" customFormat="1" ht="15"/>
    <row r="241" s="133" customFormat="1" ht="15"/>
    <row r="242" s="133" customFormat="1" ht="15"/>
    <row r="243" s="133" customFormat="1" ht="15"/>
    <row r="244" s="133" customFormat="1" ht="15"/>
    <row r="245" s="133" customFormat="1" ht="15"/>
    <row r="246" s="133" customFormat="1" ht="15"/>
    <row r="247" s="133" customFormat="1" ht="15"/>
    <row r="248" s="133" customFormat="1" ht="15"/>
    <row r="249" s="133" customFormat="1" ht="15"/>
    <row r="250" s="133" customFormat="1" ht="15"/>
    <row r="251" s="133" customFormat="1" ht="15"/>
    <row r="252" s="133" customFormat="1" ht="15"/>
    <row r="253" s="133" customFormat="1" ht="15"/>
    <row r="254" s="133" customFormat="1" ht="15"/>
    <row r="255" s="133" customFormat="1" ht="15"/>
    <row r="256" s="133" customFormat="1" ht="15"/>
    <row r="257" s="133" customFormat="1" ht="15"/>
    <row r="258" s="133" customFormat="1" ht="15"/>
    <row r="259" s="133" customFormat="1" ht="15"/>
    <row r="260" s="133" customFormat="1" ht="15"/>
    <row r="261" s="133" customFormat="1" ht="15"/>
    <row r="262" s="133" customFormat="1" ht="15"/>
    <row r="263" s="133" customFormat="1" ht="15"/>
    <row r="264" s="133" customFormat="1" ht="15"/>
    <row r="265" s="133" customFormat="1" ht="15"/>
    <row r="266" s="133" customFormat="1" ht="15"/>
    <row r="267" s="133" customFormat="1" ht="15"/>
    <row r="268" s="133" customFormat="1" ht="15"/>
    <row r="269" s="133" customFormat="1" ht="15"/>
    <row r="270" s="133" customFormat="1" ht="15"/>
    <row r="271" s="133" customFormat="1" ht="15"/>
    <row r="272" s="133" customFormat="1" ht="15"/>
    <row r="273" s="133" customFormat="1" ht="15"/>
    <row r="274" s="133" customFormat="1" ht="15"/>
    <row r="275" s="133" customFormat="1" ht="15"/>
    <row r="276" s="133" customFormat="1" ht="15"/>
    <row r="277" s="133" customFormat="1" ht="15"/>
    <row r="278" s="133" customFormat="1" ht="15"/>
    <row r="279" s="133" customFormat="1" ht="15"/>
    <row r="280" s="133" customFormat="1" ht="15"/>
    <row r="281" s="133" customFormat="1" ht="15"/>
    <row r="282" s="133" customFormat="1" ht="15"/>
    <row r="283" s="133" customFormat="1" ht="15"/>
    <row r="284" s="133" customFormat="1" ht="15"/>
    <row r="285" s="133" customFormat="1" ht="15"/>
    <row r="286" s="133" customFormat="1" ht="15"/>
    <row r="287" s="133" customFormat="1" ht="15"/>
    <row r="288" s="133" customFormat="1" ht="15"/>
    <row r="289" s="133" customFormat="1" ht="15"/>
    <row r="290" s="133" customFormat="1" ht="15"/>
    <row r="291" s="133" customFormat="1" ht="15"/>
    <row r="292" s="133" customFormat="1" ht="15"/>
    <row r="293" s="133" customFormat="1" ht="15"/>
    <row r="294" s="133" customFormat="1" ht="15"/>
    <row r="295" s="133" customFormat="1" ht="15"/>
    <row r="296" s="133" customFormat="1" ht="15"/>
    <row r="297" s="133" customFormat="1" ht="15"/>
    <row r="298" s="133" customFormat="1" ht="15"/>
    <row r="299" s="133" customFormat="1" ht="15"/>
  </sheetData>
  <mergeCells count="1">
    <mergeCell ref="A4:M4"/>
  </mergeCells>
  <printOptions horizontalCentered="1"/>
  <pageMargins left="0" right="0" top="0.25" bottom="0.25" header="0.3" footer="0.3"/>
  <pageSetup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2:S42"/>
  <sheetViews>
    <sheetView workbookViewId="0">
      <selection activeCell="A2" sqref="A2:M24"/>
    </sheetView>
  </sheetViews>
  <sheetFormatPr defaultRowHeight="12.75"/>
  <cols>
    <col min="1" max="1" width="5.28515625" style="202" customWidth="1"/>
    <col min="2" max="2" width="14.28515625" style="202" customWidth="1"/>
    <col min="3" max="4" width="6.28515625" style="202" customWidth="1"/>
    <col min="5" max="5" width="10.7109375" style="202" customWidth="1"/>
    <col min="6" max="6" width="11" style="202" customWidth="1"/>
    <col min="7" max="7" width="11.7109375" style="202" customWidth="1"/>
    <col min="8" max="8" width="10.28515625" style="202" customWidth="1"/>
    <col min="9" max="9" width="10.42578125" style="202" customWidth="1"/>
    <col min="10" max="10" width="7.85546875" style="202" customWidth="1"/>
    <col min="11" max="12" width="11" style="202" customWidth="1"/>
    <col min="13" max="13" width="11.85546875" style="202" customWidth="1"/>
    <col min="14" max="14" width="13.5703125" style="202" customWidth="1"/>
    <col min="15" max="15" width="10.85546875" style="203" customWidth="1"/>
    <col min="16" max="16" width="14.28515625" style="202" customWidth="1"/>
    <col min="17" max="17" width="11.85546875" style="202" customWidth="1"/>
    <col min="18" max="18" width="9.140625" style="202"/>
    <col min="19" max="19" width="14.28515625" style="202" bestFit="1" customWidth="1"/>
    <col min="20" max="16384" width="9.140625" style="202"/>
  </cols>
  <sheetData>
    <row r="2" spans="1:19" customFormat="1">
      <c r="A2" s="65" t="s">
        <v>849</v>
      </c>
      <c r="B2" s="66"/>
      <c r="C2" s="66"/>
      <c r="D2" s="66"/>
      <c r="E2" s="66"/>
      <c r="F2" s="67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9" customFormat="1" ht="17.25" customHeight="1">
      <c r="A3" s="65" t="s">
        <v>848</v>
      </c>
      <c r="B3" s="66"/>
      <c r="C3" s="66"/>
      <c r="D3" s="66"/>
      <c r="E3" s="69"/>
      <c r="F3" s="67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9" customFormat="1" ht="15.75" customHeight="1">
      <c r="A4" s="70" t="s">
        <v>256</v>
      </c>
      <c r="B4" s="66"/>
      <c r="C4" s="66"/>
      <c r="D4" s="66"/>
      <c r="E4" s="67"/>
      <c r="F4" s="66"/>
      <c r="G4" s="66"/>
      <c r="H4" s="67"/>
      <c r="I4" s="66"/>
      <c r="J4" s="66"/>
      <c r="K4" s="66"/>
      <c r="L4" s="66"/>
      <c r="M4" s="66"/>
      <c r="N4" s="66"/>
      <c r="O4" s="66"/>
      <c r="P4" s="66"/>
      <c r="Q4" s="66"/>
      <c r="R4" s="66"/>
    </row>
    <row r="6" spans="1:19" s="197" customFormat="1" ht="20.25" thickBot="1">
      <c r="A6" s="196"/>
      <c r="B6" s="196"/>
      <c r="C6" s="196"/>
      <c r="D6" s="196"/>
      <c r="E6" s="1079" t="s">
        <v>721</v>
      </c>
      <c r="F6" s="1079"/>
      <c r="G6" s="1079"/>
      <c r="H6" s="1079"/>
      <c r="I6" s="1079"/>
      <c r="O6" s="198"/>
    </row>
    <row r="7" spans="1:19" s="197" customFormat="1" ht="18.75" customHeight="1">
      <c r="A7" s="1102" t="s">
        <v>268</v>
      </c>
      <c r="B7" s="1105" t="s">
        <v>471</v>
      </c>
      <c r="C7" s="1106" t="s">
        <v>472</v>
      </c>
      <c r="D7" s="1106"/>
      <c r="E7" s="1106" t="s">
        <v>473</v>
      </c>
      <c r="F7" s="1106"/>
      <c r="G7" s="1107" t="s">
        <v>474</v>
      </c>
      <c r="H7" s="1108"/>
      <c r="I7" s="1108"/>
      <c r="J7" s="1108"/>
      <c r="K7" s="1083" t="s">
        <v>475</v>
      </c>
      <c r="L7" s="1083" t="s">
        <v>476</v>
      </c>
      <c r="M7" s="1086" t="s">
        <v>477</v>
      </c>
      <c r="O7" s="198"/>
    </row>
    <row r="8" spans="1:19" s="200" customFormat="1" ht="12.75" customHeight="1">
      <c r="A8" s="1103"/>
      <c r="B8" s="1098"/>
      <c r="C8" s="1089"/>
      <c r="D8" s="1089"/>
      <c r="E8" s="1089"/>
      <c r="F8" s="1089"/>
      <c r="G8" s="199"/>
      <c r="H8" s="1089" t="s">
        <v>478</v>
      </c>
      <c r="I8" s="1089"/>
      <c r="J8" s="1090" t="s">
        <v>479</v>
      </c>
      <c r="K8" s="1084"/>
      <c r="L8" s="1084"/>
      <c r="M8" s="1087"/>
      <c r="O8" s="201"/>
    </row>
    <row r="9" spans="1:19" ht="12.75" customHeight="1">
      <c r="A9" s="1103"/>
      <c r="B9" s="1098"/>
      <c r="C9" s="1089"/>
      <c r="D9" s="1089"/>
      <c r="E9" s="1094" t="s">
        <v>480</v>
      </c>
      <c r="F9" s="1096" t="s">
        <v>481</v>
      </c>
      <c r="G9" s="1098" t="s">
        <v>482</v>
      </c>
      <c r="H9" s="1092" t="s">
        <v>483</v>
      </c>
      <c r="I9" s="1100" t="s">
        <v>484</v>
      </c>
      <c r="J9" s="1090"/>
      <c r="K9" s="1084"/>
      <c r="L9" s="1084"/>
      <c r="M9" s="1087"/>
    </row>
    <row r="10" spans="1:19" ht="12.75" customHeight="1">
      <c r="A10" s="1103"/>
      <c r="B10" s="1098"/>
      <c r="C10" s="1089"/>
      <c r="D10" s="1089"/>
      <c r="E10" s="1094"/>
      <c r="F10" s="1096"/>
      <c r="G10" s="1098"/>
      <c r="H10" s="1092"/>
      <c r="I10" s="1100"/>
      <c r="J10" s="1090"/>
      <c r="K10" s="1084"/>
      <c r="L10" s="1084"/>
      <c r="M10" s="1087"/>
    </row>
    <row r="11" spans="1:19" s="205" customFormat="1" ht="43.5" customHeight="1" thickBot="1">
      <c r="A11" s="1104"/>
      <c r="B11" s="1099"/>
      <c r="C11" s="204" t="s">
        <v>485</v>
      </c>
      <c r="D11" s="204" t="s">
        <v>486</v>
      </c>
      <c r="E11" s="1095"/>
      <c r="F11" s="1097"/>
      <c r="G11" s="1099"/>
      <c r="H11" s="1093"/>
      <c r="I11" s="1101"/>
      <c r="J11" s="1091"/>
      <c r="K11" s="1085"/>
      <c r="L11" s="1085"/>
      <c r="M11" s="1088"/>
      <c r="O11" s="206"/>
    </row>
    <row r="12" spans="1:19" s="215" customFormat="1" ht="15.75">
      <c r="A12" s="207">
        <v>1</v>
      </c>
      <c r="B12" s="208" t="s">
        <v>287</v>
      </c>
      <c r="C12" s="208">
        <v>102</v>
      </c>
      <c r="D12" s="209">
        <v>24</v>
      </c>
      <c r="E12" s="341">
        <v>3364793</v>
      </c>
      <c r="F12" s="341">
        <v>3364793</v>
      </c>
      <c r="G12" s="210">
        <f t="shared" ref="G12:G23" si="0">H12+I12+J12</f>
        <v>824374.28499999992</v>
      </c>
      <c r="H12" s="210">
        <f>F12*15%</f>
        <v>504718.94999999995</v>
      </c>
      <c r="I12" s="210">
        <f>F12*9.5%</f>
        <v>319655.33500000002</v>
      </c>
      <c r="J12" s="210"/>
      <c r="K12" s="341">
        <f>E12*3.4%</f>
        <v>114402.96200000001</v>
      </c>
      <c r="L12" s="211">
        <f>G12+K12</f>
        <v>938777.24699999997</v>
      </c>
      <c r="M12" s="343">
        <v>57464</v>
      </c>
      <c r="N12" s="212"/>
      <c r="O12" s="212"/>
      <c r="P12" s="212"/>
      <c r="Q12" s="213"/>
      <c r="R12" s="213"/>
      <c r="S12" s="214"/>
    </row>
    <row r="13" spans="1:19" s="215" customFormat="1" ht="15.75">
      <c r="A13" s="216">
        <v>2</v>
      </c>
      <c r="B13" s="217" t="s">
        <v>288</v>
      </c>
      <c r="C13" s="208">
        <v>102</v>
      </c>
      <c r="D13" s="209">
        <v>24</v>
      </c>
      <c r="E13" s="342">
        <v>3339586</v>
      </c>
      <c r="F13" s="342">
        <v>3339586</v>
      </c>
      <c r="G13" s="210">
        <f t="shared" si="0"/>
        <v>818198.57</v>
      </c>
      <c r="H13" s="211">
        <f>F13*15%</f>
        <v>500937.89999999997</v>
      </c>
      <c r="I13" s="211">
        <f>F13*9.5%</f>
        <v>317260.67</v>
      </c>
      <c r="J13" s="211"/>
      <c r="K13" s="341">
        <f t="shared" ref="K13:K23" si="1">E13*3.4%</f>
        <v>113545.92400000001</v>
      </c>
      <c r="L13" s="211">
        <f t="shared" ref="L13:L23" si="2">G13+K13</f>
        <v>931744.49399999995</v>
      </c>
      <c r="M13" s="344">
        <v>60970</v>
      </c>
      <c r="N13" s="212"/>
      <c r="O13" s="212"/>
      <c r="P13" s="212"/>
      <c r="Q13" s="218"/>
      <c r="R13" s="218"/>
    </row>
    <row r="14" spans="1:19" s="215" customFormat="1" ht="15.75">
      <c r="A14" s="216">
        <v>3</v>
      </c>
      <c r="B14" s="217" t="s">
        <v>289</v>
      </c>
      <c r="C14" s="217">
        <v>115</v>
      </c>
      <c r="D14" s="219">
        <v>30</v>
      </c>
      <c r="E14" s="342">
        <v>3695080</v>
      </c>
      <c r="F14" s="342">
        <f>E14</f>
        <v>3695080</v>
      </c>
      <c r="G14" s="210">
        <f t="shared" si="0"/>
        <v>905294.6</v>
      </c>
      <c r="H14" s="211">
        <f>F14*15%</f>
        <v>554262</v>
      </c>
      <c r="I14" s="211">
        <f>F14*9.5%</f>
        <v>351032.6</v>
      </c>
      <c r="J14" s="211"/>
      <c r="K14" s="341">
        <f t="shared" si="1"/>
        <v>125632.72000000002</v>
      </c>
      <c r="L14" s="211">
        <f t="shared" si="2"/>
        <v>1030927.32</v>
      </c>
      <c r="M14" s="344">
        <v>60970</v>
      </c>
      <c r="N14" s="212"/>
      <c r="O14" s="212"/>
      <c r="P14" s="212"/>
      <c r="Q14" s="218"/>
      <c r="R14" s="218"/>
    </row>
    <row r="15" spans="1:19" s="215" customFormat="1" ht="15.75">
      <c r="A15" s="216">
        <v>4</v>
      </c>
      <c r="B15" s="217" t="s">
        <v>290</v>
      </c>
      <c r="C15" s="217">
        <v>114</v>
      </c>
      <c r="D15" s="219"/>
      <c r="E15" s="342">
        <v>3708586</v>
      </c>
      <c r="F15" s="342">
        <f>E15</f>
        <v>3708586</v>
      </c>
      <c r="G15" s="210">
        <f t="shared" si="0"/>
        <v>908603.57000000007</v>
      </c>
      <c r="H15" s="211">
        <f t="shared" ref="H15:H23" si="3">F15*15%</f>
        <v>556287.9</v>
      </c>
      <c r="I15" s="211">
        <f t="shared" ref="I15:I23" si="4">F15*9.5%</f>
        <v>352315.67</v>
      </c>
      <c r="J15" s="211"/>
      <c r="K15" s="341">
        <f t="shared" si="1"/>
        <v>126091.92400000001</v>
      </c>
      <c r="L15" s="211">
        <f t="shared" si="2"/>
        <v>1034695.4940000001</v>
      </c>
      <c r="M15" s="344">
        <v>60970</v>
      </c>
      <c r="N15" s="212"/>
      <c r="O15" s="212"/>
      <c r="P15" s="212"/>
      <c r="Q15" s="218"/>
      <c r="R15" s="218"/>
    </row>
    <row r="16" spans="1:19" s="215" customFormat="1" ht="15.75">
      <c r="A16" s="216">
        <v>5</v>
      </c>
      <c r="B16" s="217" t="s">
        <v>291</v>
      </c>
      <c r="C16" s="217">
        <v>114</v>
      </c>
      <c r="D16" s="219"/>
      <c r="E16" s="342">
        <v>3728586</v>
      </c>
      <c r="F16" s="342">
        <f>E16</f>
        <v>3728586</v>
      </c>
      <c r="G16" s="210">
        <f t="shared" si="0"/>
        <v>913503.57000000007</v>
      </c>
      <c r="H16" s="211">
        <f t="shared" si="3"/>
        <v>559287.9</v>
      </c>
      <c r="I16" s="211">
        <f t="shared" si="4"/>
        <v>354215.67</v>
      </c>
      <c r="J16" s="211"/>
      <c r="K16" s="341">
        <f t="shared" si="1"/>
        <v>126771.92400000001</v>
      </c>
      <c r="L16" s="211">
        <f t="shared" si="2"/>
        <v>1040275.4940000001</v>
      </c>
      <c r="M16" s="344">
        <v>63570</v>
      </c>
      <c r="N16" s="212"/>
      <c r="O16" s="212"/>
      <c r="P16" s="212"/>
      <c r="Q16" s="218"/>
      <c r="R16" s="218"/>
    </row>
    <row r="17" spans="1:18" s="215" customFormat="1" ht="15.75">
      <c r="A17" s="216">
        <v>6</v>
      </c>
      <c r="B17" s="217" t="s">
        <v>292</v>
      </c>
      <c r="C17" s="217">
        <v>119</v>
      </c>
      <c r="D17" s="219"/>
      <c r="E17" s="342">
        <v>3823036</v>
      </c>
      <c r="F17" s="342">
        <v>3823036</v>
      </c>
      <c r="G17" s="210">
        <f t="shared" si="0"/>
        <v>936643.82000000007</v>
      </c>
      <c r="H17" s="211">
        <f t="shared" si="3"/>
        <v>573455.4</v>
      </c>
      <c r="I17" s="211">
        <f t="shared" si="4"/>
        <v>363188.42</v>
      </c>
      <c r="J17" s="211"/>
      <c r="K17" s="341">
        <f t="shared" si="1"/>
        <v>129983.22400000002</v>
      </c>
      <c r="L17" s="211">
        <f t="shared" si="2"/>
        <v>1066627.044</v>
      </c>
      <c r="M17" s="344">
        <v>66430</v>
      </c>
      <c r="N17" s="212"/>
      <c r="O17" s="212"/>
      <c r="P17" s="212"/>
      <c r="Q17" s="213"/>
      <c r="R17" s="212"/>
    </row>
    <row r="18" spans="1:18" s="215" customFormat="1" ht="15.75">
      <c r="A18" s="216">
        <v>7</v>
      </c>
      <c r="B18" s="217" t="s">
        <v>487</v>
      </c>
      <c r="C18" s="217">
        <v>124</v>
      </c>
      <c r="D18" s="219"/>
      <c r="E18" s="342">
        <v>3987149</v>
      </c>
      <c r="F18" s="342">
        <f>E18</f>
        <v>3987149</v>
      </c>
      <c r="G18" s="210">
        <f t="shared" si="0"/>
        <v>976851.505</v>
      </c>
      <c r="H18" s="211">
        <f t="shared" si="3"/>
        <v>598072.35</v>
      </c>
      <c r="I18" s="211">
        <f t="shared" si="4"/>
        <v>378779.15500000003</v>
      </c>
      <c r="J18" s="211"/>
      <c r="K18" s="341">
        <f t="shared" si="1"/>
        <v>135563.06600000002</v>
      </c>
      <c r="L18" s="211">
        <f t="shared" si="2"/>
        <v>1112414.571</v>
      </c>
      <c r="M18" s="344">
        <v>70126</v>
      </c>
      <c r="N18" s="212"/>
      <c r="O18" s="212"/>
      <c r="P18" s="212"/>
      <c r="Q18" s="218"/>
      <c r="R18" s="218"/>
    </row>
    <row r="19" spans="1:18" s="215" customFormat="1" ht="15.75">
      <c r="A19" s="216">
        <v>8</v>
      </c>
      <c r="B19" s="217" t="s">
        <v>294</v>
      </c>
      <c r="C19" s="217">
        <v>129</v>
      </c>
      <c r="D19" s="219"/>
      <c r="E19" s="342">
        <v>4190622</v>
      </c>
      <c r="F19" s="342">
        <f>E19</f>
        <v>4190622</v>
      </c>
      <c r="G19" s="210">
        <f t="shared" si="0"/>
        <v>1026702.3899999999</v>
      </c>
      <c r="H19" s="211">
        <f t="shared" si="3"/>
        <v>628593.29999999993</v>
      </c>
      <c r="I19" s="211">
        <f t="shared" si="4"/>
        <v>398109.09</v>
      </c>
      <c r="J19" s="211"/>
      <c r="K19" s="341">
        <f t="shared" si="1"/>
        <v>142481.14800000002</v>
      </c>
      <c r="L19" s="211">
        <f t="shared" si="2"/>
        <v>1169183.5379999999</v>
      </c>
      <c r="M19" s="344">
        <v>73074</v>
      </c>
      <c r="N19" s="212"/>
      <c r="O19" s="212"/>
      <c r="P19" s="212"/>
      <c r="Q19" s="218"/>
      <c r="R19" s="218"/>
    </row>
    <row r="20" spans="1:18" s="215" customFormat="1" ht="15.75">
      <c r="A20" s="216">
        <v>9</v>
      </c>
      <c r="B20" s="217" t="s">
        <v>488</v>
      </c>
      <c r="C20" s="217">
        <v>130</v>
      </c>
      <c r="D20" s="219"/>
      <c r="E20" s="342">
        <v>5775859</v>
      </c>
      <c r="F20" s="342">
        <v>4270860</v>
      </c>
      <c r="G20" s="210">
        <f t="shared" si="0"/>
        <v>1046360.7</v>
      </c>
      <c r="H20" s="211">
        <f t="shared" si="3"/>
        <v>640629</v>
      </c>
      <c r="I20" s="211">
        <f t="shared" si="4"/>
        <v>405731.7</v>
      </c>
      <c r="J20" s="211"/>
      <c r="K20" s="341">
        <f>F20*3.4%</f>
        <v>145209.24000000002</v>
      </c>
      <c r="L20" s="211">
        <f t="shared" si="2"/>
        <v>1191569.94</v>
      </c>
      <c r="M20" s="344">
        <v>267261</v>
      </c>
      <c r="N20" s="212"/>
      <c r="O20" s="212"/>
      <c r="P20" s="212"/>
      <c r="Q20" s="218"/>
      <c r="R20" s="218"/>
    </row>
    <row r="21" spans="1:18" s="215" customFormat="1" ht="15.75">
      <c r="A21" s="216">
        <v>10</v>
      </c>
      <c r="B21" s="217" t="s">
        <v>296</v>
      </c>
      <c r="C21" s="217">
        <v>133</v>
      </c>
      <c r="D21" s="220"/>
      <c r="E21" s="342">
        <v>4573586</v>
      </c>
      <c r="F21" s="342">
        <v>4402578</v>
      </c>
      <c r="G21" s="210">
        <f t="shared" si="0"/>
        <v>1078631.6099999999</v>
      </c>
      <c r="H21" s="211">
        <f t="shared" si="3"/>
        <v>660386.69999999995</v>
      </c>
      <c r="I21" s="211">
        <f t="shared" si="4"/>
        <v>418244.91000000003</v>
      </c>
      <c r="J21" s="211"/>
      <c r="K21" s="341">
        <v>151626</v>
      </c>
      <c r="L21" s="211">
        <f t="shared" si="2"/>
        <v>1230257.6099999999</v>
      </c>
      <c r="M21" s="344">
        <v>105040</v>
      </c>
      <c r="N21" s="212"/>
      <c r="O21" s="212"/>
      <c r="P21" s="212"/>
      <c r="Q21" s="218"/>
      <c r="R21" s="218"/>
    </row>
    <row r="22" spans="1:18" s="215" customFormat="1" ht="15.75">
      <c r="A22" s="216">
        <v>11</v>
      </c>
      <c r="B22" s="217" t="s">
        <v>489</v>
      </c>
      <c r="C22" s="217">
        <v>132</v>
      </c>
      <c r="D22" s="219"/>
      <c r="E22" s="342">
        <v>4442359</v>
      </c>
      <c r="F22" s="342">
        <v>4382360</v>
      </c>
      <c r="G22" s="210">
        <f t="shared" si="0"/>
        <v>1073678.2</v>
      </c>
      <c r="H22" s="211">
        <f t="shared" si="3"/>
        <v>657354</v>
      </c>
      <c r="I22" s="211">
        <f t="shared" si="4"/>
        <v>416324.2</v>
      </c>
      <c r="J22" s="211"/>
      <c r="K22" s="341">
        <v>149000</v>
      </c>
      <c r="L22" s="211">
        <f t="shared" si="2"/>
        <v>1222678.2</v>
      </c>
      <c r="M22" s="344">
        <v>93210</v>
      </c>
      <c r="N22" s="212"/>
      <c r="O22" s="212"/>
      <c r="P22" s="212"/>
      <c r="Q22" s="218"/>
      <c r="R22" s="218"/>
    </row>
    <row r="23" spans="1:18" s="215" customFormat="1" ht="15.75">
      <c r="A23" s="216">
        <v>12</v>
      </c>
      <c r="B23" s="217" t="s">
        <v>490</v>
      </c>
      <c r="C23" s="217">
        <v>134</v>
      </c>
      <c r="D23" s="219"/>
      <c r="E23" s="342">
        <v>8315418</v>
      </c>
      <c r="F23" s="342">
        <v>4411769</v>
      </c>
      <c r="G23" s="210">
        <f t="shared" si="0"/>
        <v>1080883.405</v>
      </c>
      <c r="H23" s="211">
        <f t="shared" si="3"/>
        <v>661765.35</v>
      </c>
      <c r="I23" s="211">
        <f t="shared" si="4"/>
        <v>419118.05499999999</v>
      </c>
      <c r="J23" s="211"/>
      <c r="K23" s="341">
        <f t="shared" si="1"/>
        <v>282724.212</v>
      </c>
      <c r="L23" s="211">
        <f t="shared" si="2"/>
        <v>1363607.6170000001</v>
      </c>
      <c r="M23" s="344">
        <v>561459</v>
      </c>
      <c r="N23" s="212"/>
      <c r="O23" s="212"/>
      <c r="P23" s="212"/>
      <c r="Q23" s="218"/>
      <c r="R23" s="218"/>
    </row>
    <row r="24" spans="1:18" s="228" customFormat="1" ht="27" customHeight="1" thickBot="1">
      <c r="A24" s="221"/>
      <c r="B24" s="222" t="s">
        <v>491</v>
      </c>
      <c r="C24" s="223">
        <f>SUM(C12:C23)/12</f>
        <v>120.66666666666667</v>
      </c>
      <c r="D24" s="223">
        <f>SUM(D12:D23)/12</f>
        <v>6.5</v>
      </c>
      <c r="E24" s="224">
        <f t="shared" ref="E24:M24" si="5">SUM(E12:E23)</f>
        <v>52944660</v>
      </c>
      <c r="F24" s="224">
        <f t="shared" si="5"/>
        <v>47305005</v>
      </c>
      <c r="G24" s="224">
        <f t="shared" si="5"/>
        <v>11589726.225</v>
      </c>
      <c r="H24" s="224">
        <f t="shared" si="5"/>
        <v>7095750.75</v>
      </c>
      <c r="I24" s="224">
        <f t="shared" si="5"/>
        <v>4493975.4749999996</v>
      </c>
      <c r="J24" s="224">
        <f t="shared" si="5"/>
        <v>0</v>
      </c>
      <c r="K24" s="224">
        <f t="shared" si="5"/>
        <v>1743032.3440000003</v>
      </c>
      <c r="L24" s="224">
        <f t="shared" si="5"/>
        <v>13332758.568999998</v>
      </c>
      <c r="M24" s="225">
        <f t="shared" si="5"/>
        <v>1540544</v>
      </c>
      <c r="N24" s="226"/>
      <c r="O24" s="226"/>
      <c r="P24" s="212"/>
      <c r="Q24" s="227"/>
      <c r="R24" s="227"/>
    </row>
    <row r="25" spans="1:18" s="215" customFormat="1" ht="15.75">
      <c r="B25" s="218"/>
      <c r="C25" s="218"/>
      <c r="D25" s="218"/>
      <c r="E25" s="212"/>
      <c r="G25" s="212"/>
      <c r="H25" s="212"/>
      <c r="I25" s="212"/>
      <c r="J25" s="218"/>
      <c r="K25" s="213">
        <f>K24/2</f>
        <v>871516.17200000014</v>
      </c>
      <c r="L25" s="218"/>
      <c r="M25" s="212"/>
      <c r="N25" s="218"/>
      <c r="O25" s="218"/>
      <c r="P25" s="218"/>
    </row>
    <row r="26" spans="1:18" s="215" customFormat="1" ht="15.75">
      <c r="B26" s="213"/>
      <c r="C26" s="218" t="s">
        <v>904</v>
      </c>
      <c r="D26" s="218"/>
      <c r="E26" s="213">
        <v>-47305007</v>
      </c>
      <c r="F26" s="215" t="s">
        <v>902</v>
      </c>
      <c r="G26" s="229">
        <f>H24+K25</f>
        <v>7967266.9220000003</v>
      </c>
      <c r="H26" s="212"/>
      <c r="I26" s="218"/>
      <c r="J26" s="218"/>
      <c r="K26" s="218"/>
      <c r="L26" s="218"/>
      <c r="M26" s="213"/>
      <c r="O26" s="218"/>
    </row>
    <row r="27" spans="1:18" s="215" customFormat="1" ht="15.75">
      <c r="B27" s="213"/>
      <c r="C27" s="218" t="s">
        <v>905</v>
      </c>
      <c r="D27" s="218"/>
      <c r="E27" s="213">
        <v>-5658650</v>
      </c>
      <c r="F27" s="215" t="s">
        <v>903</v>
      </c>
      <c r="G27" s="213">
        <v>-7966297</v>
      </c>
      <c r="H27" s="329"/>
      <c r="I27" s="329"/>
      <c r="J27" s="1080"/>
      <c r="K27" s="1081"/>
      <c r="L27" s="1081"/>
      <c r="M27" s="213"/>
      <c r="O27" s="218"/>
    </row>
    <row r="28" spans="1:18" s="215" customFormat="1" ht="15.75">
      <c r="B28" s="218"/>
      <c r="C28" s="218" t="s">
        <v>951</v>
      </c>
      <c r="D28" s="218"/>
      <c r="E28" s="230">
        <v>78000</v>
      </c>
      <c r="G28" s="214">
        <f>SUM(G26:G27)</f>
        <v>969.92200000025332</v>
      </c>
      <c r="H28" s="231"/>
      <c r="I28" s="231"/>
      <c r="J28" s="1082"/>
      <c r="K28" s="1082"/>
      <c r="L28" s="1082"/>
      <c r="M28" s="232"/>
      <c r="O28" s="218"/>
    </row>
    <row r="29" spans="1:18" s="215" customFormat="1" ht="15.75">
      <c r="B29" s="218"/>
      <c r="C29" s="218" t="s">
        <v>906</v>
      </c>
      <c r="D29" s="218">
        <v>-60000</v>
      </c>
      <c r="E29" s="233">
        <v>-60000</v>
      </c>
      <c r="G29" s="213"/>
      <c r="H29" s="213"/>
      <c r="J29" s="202"/>
      <c r="K29" s="202"/>
      <c r="L29" s="202"/>
      <c r="M29" s="232"/>
      <c r="O29" s="218"/>
    </row>
    <row r="30" spans="1:18">
      <c r="B30" s="203"/>
      <c r="C30" s="203"/>
      <c r="D30" s="203"/>
      <c r="E30" s="234">
        <f>SUM(E24:E29)</f>
        <v>-997</v>
      </c>
      <c r="F30" s="202" t="s">
        <v>950</v>
      </c>
      <c r="G30" s="203"/>
      <c r="H30" s="232"/>
      <c r="M30" s="232"/>
    </row>
    <row r="31" spans="1:18">
      <c r="B31" s="203"/>
      <c r="C31" s="203"/>
      <c r="D31" s="203"/>
      <c r="E31" s="235"/>
      <c r="G31" s="203"/>
      <c r="H31" s="203"/>
      <c r="M31" s="235"/>
    </row>
    <row r="32" spans="1:18">
      <c r="E32" s="235"/>
      <c r="H32" s="236"/>
    </row>
    <row r="33" spans="5:12">
      <c r="E33" s="235"/>
      <c r="H33" s="236"/>
    </row>
    <row r="34" spans="5:12">
      <c r="E34" s="235"/>
      <c r="H34" s="237"/>
    </row>
    <row r="35" spans="5:12">
      <c r="E35" s="235"/>
      <c r="H35" s="236"/>
    </row>
    <row r="36" spans="5:12">
      <c r="E36" s="332"/>
      <c r="F36" s="238"/>
      <c r="G36" s="238"/>
    </row>
    <row r="37" spans="5:12">
      <c r="E37" s="238"/>
      <c r="H37" s="235"/>
    </row>
    <row r="39" spans="5:12">
      <c r="G39" s="238"/>
    </row>
    <row r="40" spans="5:12">
      <c r="K40" s="235"/>
      <c r="L40" s="235"/>
    </row>
    <row r="41" spans="5:12">
      <c r="K41" s="203"/>
      <c r="L41" s="203"/>
    </row>
    <row r="42" spans="5:12">
      <c r="K42" s="203"/>
      <c r="L42" s="203"/>
    </row>
  </sheetData>
  <mergeCells count="18">
    <mergeCell ref="F9:F11"/>
    <mergeCell ref="G9:G11"/>
    <mergeCell ref="I9:I11"/>
    <mergeCell ref="A7:A11"/>
    <mergeCell ref="B7:B11"/>
    <mergeCell ref="C7:D10"/>
    <mergeCell ref="E7:F8"/>
    <mergeCell ref="G7:J7"/>
    <mergeCell ref="E6:I6"/>
    <mergeCell ref="J27:L27"/>
    <mergeCell ref="J28:L28"/>
    <mergeCell ref="L7:L11"/>
    <mergeCell ref="M7:M11"/>
    <mergeCell ref="H8:I8"/>
    <mergeCell ref="J8:J11"/>
    <mergeCell ref="H9:H11"/>
    <mergeCell ref="K7:K11"/>
    <mergeCell ref="E9:E11"/>
  </mergeCells>
  <printOptions horizontalCentered="1"/>
  <pageMargins left="0.25" right="0.25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85"/>
  <sheetViews>
    <sheetView topLeftCell="A22" workbookViewId="0">
      <selection activeCell="A35" sqref="A35:J75"/>
    </sheetView>
  </sheetViews>
  <sheetFormatPr defaultRowHeight="11.25"/>
  <cols>
    <col min="1" max="1" width="2.85546875" style="474" customWidth="1"/>
    <col min="2" max="2" width="9.140625" style="474"/>
    <col min="3" max="3" width="11.28515625" style="474" customWidth="1"/>
    <col min="4" max="4" width="14.7109375" style="474" customWidth="1"/>
    <col min="5" max="5" width="1" style="474" customWidth="1"/>
    <col min="6" max="6" width="4.28515625" style="474" hidden="1" customWidth="1"/>
    <col min="7" max="7" width="10.85546875" style="474" customWidth="1"/>
    <col min="8" max="8" width="8.42578125" style="474" customWidth="1"/>
    <col min="9" max="9" width="10.5703125" style="474" customWidth="1"/>
    <col min="10" max="10" width="10.42578125" style="474" customWidth="1"/>
    <col min="11" max="11" width="4.7109375" style="474" customWidth="1"/>
    <col min="12" max="12" width="14.5703125" style="474" bestFit="1" customWidth="1"/>
    <col min="13" max="15" width="9.140625" style="474"/>
    <col min="16" max="16" width="53.42578125" style="474" customWidth="1"/>
    <col min="17" max="16384" width="9.140625" style="474"/>
  </cols>
  <sheetData>
    <row r="1" spans="1:16" s="264" customFormat="1" ht="12.75">
      <c r="B1" s="268" t="s">
        <v>993</v>
      </c>
      <c r="C1" s="269"/>
      <c r="D1" s="269"/>
      <c r="J1" s="269"/>
      <c r="K1" s="269"/>
    </row>
    <row r="2" spans="1:16" s="264" customFormat="1" ht="12.75">
      <c r="B2" s="268" t="s">
        <v>994</v>
      </c>
      <c r="C2" s="269"/>
      <c r="D2" s="269"/>
      <c r="J2" s="269"/>
      <c r="K2" s="269"/>
    </row>
    <row r="3" spans="1:16">
      <c r="B3" s="475"/>
      <c r="I3" s="475" t="s">
        <v>522</v>
      </c>
    </row>
    <row r="4" spans="1:16">
      <c r="B4" s="475"/>
    </row>
    <row r="5" spans="1:16">
      <c r="A5" s="253"/>
      <c r="B5" s="253"/>
      <c r="C5" s="253"/>
      <c r="D5" s="253"/>
      <c r="E5" s="253"/>
      <c r="F5" s="253"/>
      <c r="G5" s="253"/>
      <c r="H5" s="253"/>
      <c r="I5" s="476"/>
      <c r="J5" s="477" t="s">
        <v>523</v>
      </c>
      <c r="K5" s="253"/>
      <c r="L5" s="253"/>
      <c r="M5" s="253"/>
      <c r="N5" s="253"/>
      <c r="O5" s="253"/>
      <c r="P5" s="253"/>
    </row>
    <row r="6" spans="1:16" ht="15.75" customHeight="1">
      <c r="A6" s="1123" t="s">
        <v>524</v>
      </c>
      <c r="B6" s="1124"/>
      <c r="C6" s="1124"/>
      <c r="D6" s="1124"/>
      <c r="E6" s="1124"/>
      <c r="F6" s="1124"/>
      <c r="G6" s="1124"/>
      <c r="H6" s="1124"/>
      <c r="I6" s="1124"/>
      <c r="J6" s="1125"/>
      <c r="K6" s="478"/>
      <c r="L6" s="478"/>
      <c r="M6" s="478"/>
      <c r="N6" s="478"/>
      <c r="O6" s="478"/>
      <c r="P6" s="478"/>
    </row>
    <row r="7" spans="1:16" ht="26.25" customHeight="1" thickBot="1">
      <c r="A7" s="479"/>
      <c r="B7" s="1139" t="s">
        <v>525</v>
      </c>
      <c r="C7" s="1139"/>
      <c r="D7" s="1139"/>
      <c r="E7" s="1139"/>
      <c r="F7" s="1140"/>
      <c r="G7" s="480" t="s">
        <v>526</v>
      </c>
      <c r="H7" s="480" t="s">
        <v>527</v>
      </c>
      <c r="I7" s="481" t="s">
        <v>802</v>
      </c>
      <c r="J7" s="481" t="s">
        <v>528</v>
      </c>
    </row>
    <row r="8" spans="1:16" ht="16.5" customHeight="1">
      <c r="A8" s="482">
        <v>1</v>
      </c>
      <c r="B8" s="1129" t="s">
        <v>529</v>
      </c>
      <c r="C8" s="1130"/>
      <c r="D8" s="1130"/>
      <c r="E8" s="1130"/>
      <c r="F8" s="1130"/>
      <c r="G8" s="483">
        <v>70</v>
      </c>
      <c r="H8" s="483">
        <v>11100</v>
      </c>
      <c r="I8" s="484">
        <f>I9+I10+I11</f>
        <v>146411032.19</v>
      </c>
      <c r="J8" s="484">
        <f>J9+J10+J11</f>
        <v>0</v>
      </c>
      <c r="L8" s="485"/>
    </row>
    <row r="9" spans="1:16" ht="16.5" customHeight="1">
      <c r="A9" s="486" t="s">
        <v>530</v>
      </c>
      <c r="B9" s="1137" t="s">
        <v>1004</v>
      </c>
      <c r="C9" s="1137"/>
      <c r="D9" s="1137"/>
      <c r="E9" s="1137"/>
      <c r="F9" s="1138"/>
      <c r="G9" s="487" t="s">
        <v>531</v>
      </c>
      <c r="H9" s="487">
        <v>11101</v>
      </c>
      <c r="I9" s="488">
        <f>'pasqyra 3'!K6+'pasqyra 3'!K10</f>
        <v>91832194</v>
      </c>
      <c r="J9" s="488"/>
    </row>
    <row r="10" spans="1:16" ht="16.5" customHeight="1">
      <c r="A10" s="489" t="s">
        <v>532</v>
      </c>
      <c r="B10" s="1137" t="s">
        <v>533</v>
      </c>
      <c r="C10" s="1137"/>
      <c r="D10" s="1137"/>
      <c r="E10" s="1137"/>
      <c r="F10" s="1138"/>
      <c r="G10" s="487">
        <v>704</v>
      </c>
      <c r="H10" s="487">
        <v>11102</v>
      </c>
      <c r="I10" s="490">
        <f>'pasqyra 3'!K7+'pasqyra 3'!K8+'pasqyra 3'!K9</f>
        <v>54578838.189999998</v>
      </c>
      <c r="J10" s="490"/>
    </row>
    <row r="11" spans="1:16" ht="16.5" customHeight="1">
      <c r="A11" s="489" t="s">
        <v>534</v>
      </c>
      <c r="B11" s="1137" t="s">
        <v>535</v>
      </c>
      <c r="C11" s="1137"/>
      <c r="D11" s="1137"/>
      <c r="E11" s="1137"/>
      <c r="F11" s="1138"/>
      <c r="G11" s="491">
        <v>705</v>
      </c>
      <c r="H11" s="487">
        <v>11103</v>
      </c>
      <c r="I11" s="490"/>
      <c r="J11" s="490"/>
    </row>
    <row r="12" spans="1:16" ht="16.5" customHeight="1">
      <c r="A12" s="492">
        <v>2</v>
      </c>
      <c r="B12" s="1133" t="s">
        <v>536</v>
      </c>
      <c r="C12" s="1133"/>
      <c r="D12" s="1133"/>
      <c r="E12" s="1133"/>
      <c r="F12" s="1134"/>
      <c r="G12" s="493">
        <v>708</v>
      </c>
      <c r="H12" s="494">
        <v>11104</v>
      </c>
      <c r="I12" s="488">
        <f>I13+I14+I15</f>
        <v>2886926.46</v>
      </c>
      <c r="J12" s="488">
        <f>J13+J14+J15</f>
        <v>0</v>
      </c>
      <c r="L12" s="485"/>
    </row>
    <row r="13" spans="1:16" ht="16.5" customHeight="1">
      <c r="A13" s="495" t="s">
        <v>530</v>
      </c>
      <c r="B13" s="1137" t="s">
        <v>537</v>
      </c>
      <c r="C13" s="1137"/>
      <c r="D13" s="1137"/>
      <c r="E13" s="1137"/>
      <c r="F13" s="1138"/>
      <c r="G13" s="487">
        <v>7081</v>
      </c>
      <c r="H13" s="496">
        <v>111041</v>
      </c>
      <c r="I13" s="490"/>
      <c r="J13" s="490"/>
    </row>
    <row r="14" spans="1:16" ht="16.5" customHeight="1">
      <c r="A14" s="495" t="s">
        <v>538</v>
      </c>
      <c r="B14" s="1137" t="s">
        <v>1005</v>
      </c>
      <c r="C14" s="1137"/>
      <c r="D14" s="1137"/>
      <c r="E14" s="1137"/>
      <c r="F14" s="1138"/>
      <c r="G14" s="487">
        <v>7082</v>
      </c>
      <c r="H14" s="496">
        <v>111042</v>
      </c>
      <c r="I14" s="490">
        <f>'pasqyra 3'!K33+'pasqyra 3'!K34+'pasqyra 3'!K35</f>
        <v>2886926.46</v>
      </c>
      <c r="J14" s="490"/>
    </row>
    <row r="15" spans="1:16" ht="16.5" customHeight="1">
      <c r="A15" s="495" t="s">
        <v>539</v>
      </c>
      <c r="B15" s="1137" t="s">
        <v>540</v>
      </c>
      <c r="C15" s="1137"/>
      <c r="D15" s="1137"/>
      <c r="E15" s="1137"/>
      <c r="F15" s="1138"/>
      <c r="G15" s="487">
        <v>7083</v>
      </c>
      <c r="H15" s="496">
        <v>111043</v>
      </c>
      <c r="I15" s="488"/>
      <c r="J15" s="488"/>
    </row>
    <row r="16" spans="1:16" ht="29.25" customHeight="1">
      <c r="A16" s="497">
        <v>3</v>
      </c>
      <c r="B16" s="1133" t="s">
        <v>541</v>
      </c>
      <c r="C16" s="1133"/>
      <c r="D16" s="1133"/>
      <c r="E16" s="1133"/>
      <c r="F16" s="1134"/>
      <c r="G16" s="493">
        <v>71</v>
      </c>
      <c r="H16" s="494">
        <v>11201</v>
      </c>
      <c r="I16" s="488">
        <f>I17+I18</f>
        <v>0</v>
      </c>
      <c r="J16" s="490">
        <v>0</v>
      </c>
    </row>
    <row r="17" spans="1:12" ht="16.5" customHeight="1">
      <c r="A17" s="498"/>
      <c r="B17" s="1131" t="s">
        <v>542</v>
      </c>
      <c r="C17" s="1131"/>
      <c r="D17" s="1131"/>
      <c r="E17" s="1131"/>
      <c r="F17" s="1132"/>
      <c r="G17" s="499"/>
      <c r="H17" s="487">
        <v>112011</v>
      </c>
      <c r="I17" s="488"/>
      <c r="J17" s="490">
        <v>0</v>
      </c>
    </row>
    <row r="18" spans="1:12" ht="16.5" customHeight="1">
      <c r="A18" s="498"/>
      <c r="B18" s="1131" t="s">
        <v>543</v>
      </c>
      <c r="C18" s="1131"/>
      <c r="D18" s="1131"/>
      <c r="E18" s="1131"/>
      <c r="F18" s="1132"/>
      <c r="G18" s="499"/>
      <c r="H18" s="487">
        <v>112012</v>
      </c>
      <c r="I18" s="488"/>
      <c r="J18" s="490">
        <v>0</v>
      </c>
    </row>
    <row r="19" spans="1:12" ht="28.5" customHeight="1">
      <c r="A19" s="500">
        <v>4</v>
      </c>
      <c r="B19" s="1133" t="s">
        <v>544</v>
      </c>
      <c r="C19" s="1133"/>
      <c r="D19" s="1133"/>
      <c r="E19" s="1133"/>
      <c r="F19" s="1134"/>
      <c r="G19" s="501">
        <v>72</v>
      </c>
      <c r="H19" s="502">
        <v>11300</v>
      </c>
      <c r="I19" s="488"/>
      <c r="J19" s="490">
        <v>0</v>
      </c>
    </row>
    <row r="20" spans="1:12" ht="16.5" customHeight="1">
      <c r="A20" s="489"/>
      <c r="B20" s="1135" t="s">
        <v>545</v>
      </c>
      <c r="C20" s="1136"/>
      <c r="D20" s="1136"/>
      <c r="E20" s="1136"/>
      <c r="F20" s="1136"/>
      <c r="G20" s="503"/>
      <c r="H20" s="504">
        <v>11301</v>
      </c>
      <c r="I20" s="488">
        <f>'pasqyra 3'!K36</f>
        <v>20521794</v>
      </c>
      <c r="J20" s="490">
        <v>0</v>
      </c>
    </row>
    <row r="21" spans="1:12" ht="16.5" customHeight="1">
      <c r="A21" s="505">
        <v>5</v>
      </c>
      <c r="B21" s="1134" t="s">
        <v>546</v>
      </c>
      <c r="C21" s="1118"/>
      <c r="D21" s="1118"/>
      <c r="E21" s="1118"/>
      <c r="F21" s="1118"/>
      <c r="G21" s="506">
        <v>73</v>
      </c>
      <c r="H21" s="506">
        <v>11400</v>
      </c>
      <c r="I21" s="488"/>
      <c r="J21" s="490">
        <v>0</v>
      </c>
    </row>
    <row r="22" spans="1:12" ht="26.25" customHeight="1">
      <c r="A22" s="507">
        <v>6</v>
      </c>
      <c r="B22" s="1134" t="s">
        <v>547</v>
      </c>
      <c r="C22" s="1118"/>
      <c r="D22" s="1118"/>
      <c r="E22" s="1118"/>
      <c r="F22" s="1118"/>
      <c r="G22" s="506">
        <v>75</v>
      </c>
      <c r="H22" s="508">
        <v>11500</v>
      </c>
      <c r="I22" s="488"/>
      <c r="J22" s="490"/>
    </row>
    <row r="23" spans="1:12" ht="21.75" customHeight="1">
      <c r="A23" s="505">
        <v>7</v>
      </c>
      <c r="B23" s="1133" t="s">
        <v>803</v>
      </c>
      <c r="C23" s="1133"/>
      <c r="D23" s="1133"/>
      <c r="E23" s="1133"/>
      <c r="F23" s="1134"/>
      <c r="G23" s="493">
        <v>77</v>
      </c>
      <c r="H23" s="493">
        <v>11600</v>
      </c>
      <c r="I23" s="488"/>
      <c r="J23" s="488"/>
    </row>
    <row r="24" spans="1:12" ht="16.5" customHeight="1" thickBot="1">
      <c r="A24" s="509" t="s">
        <v>548</v>
      </c>
      <c r="B24" s="1121" t="s">
        <v>549</v>
      </c>
      <c r="C24" s="1121"/>
      <c r="D24" s="1121"/>
      <c r="E24" s="1121"/>
      <c r="F24" s="1121"/>
      <c r="G24" s="510"/>
      <c r="H24" s="510">
        <v>11800</v>
      </c>
      <c r="I24" s="511">
        <f>I8+I12+I16+I19+I21+I22+I23+I20</f>
        <v>169819752.65000001</v>
      </c>
      <c r="J24" s="511">
        <f>J8+J12+J16+J19+J21+J22+J23</f>
        <v>0</v>
      </c>
      <c r="L24" s="485"/>
    </row>
    <row r="25" spans="1:12" ht="16.5" customHeight="1">
      <c r="A25" s="512"/>
      <c r="B25" s="513"/>
      <c r="C25" s="513"/>
      <c r="D25" s="513"/>
      <c r="E25" s="513"/>
      <c r="F25" s="513"/>
      <c r="G25" s="513"/>
      <c r="H25" s="513"/>
      <c r="I25" s="514"/>
      <c r="J25" s="514"/>
    </row>
    <row r="26" spans="1:12" ht="16.5" customHeight="1">
      <c r="A26" s="512"/>
      <c r="B26" s="513"/>
      <c r="C26" s="513"/>
      <c r="D26" s="513"/>
      <c r="E26" s="513"/>
      <c r="F26" s="513"/>
      <c r="G26" s="513"/>
      <c r="H26" s="513"/>
      <c r="I26" s="515"/>
      <c r="J26" s="514"/>
    </row>
    <row r="27" spans="1:12" ht="16.5" customHeight="1">
      <c r="A27" s="512"/>
      <c r="B27" s="513"/>
      <c r="C27" s="513"/>
      <c r="D27" s="513"/>
      <c r="E27" s="513"/>
      <c r="F27" s="513"/>
      <c r="G27" s="513"/>
      <c r="H27" s="1122"/>
      <c r="I27" s="1122"/>
      <c r="J27" s="1122"/>
    </row>
    <row r="28" spans="1:12" ht="16.5" customHeight="1">
      <c r="A28" s="512"/>
      <c r="B28" s="513"/>
      <c r="C28" s="513"/>
      <c r="D28" s="513"/>
      <c r="E28" s="513"/>
      <c r="F28" s="513"/>
      <c r="G28" s="513"/>
      <c r="H28" s="516"/>
      <c r="I28" s="516"/>
      <c r="J28" s="516"/>
    </row>
    <row r="29" spans="1:12" ht="16.5" customHeight="1">
      <c r="A29" s="512"/>
      <c r="B29" s="513"/>
      <c r="C29" s="513"/>
      <c r="D29" s="513"/>
      <c r="E29" s="513"/>
      <c r="F29" s="513"/>
      <c r="G29" s="513"/>
      <c r="H29" s="513"/>
      <c r="I29" s="514"/>
      <c r="J29" s="514"/>
    </row>
    <row r="30" spans="1:12" ht="16.5" customHeight="1">
      <c r="A30" s="512"/>
      <c r="B30" s="513"/>
      <c r="C30" s="513"/>
      <c r="D30" s="513"/>
      <c r="E30" s="513"/>
      <c r="F30" s="513"/>
      <c r="G30" s="513"/>
      <c r="H30" s="513"/>
      <c r="I30" s="514"/>
      <c r="J30" s="514"/>
    </row>
    <row r="31" spans="1:12" s="264" customFormat="1" ht="12.75">
      <c r="B31" s="268" t="s">
        <v>993</v>
      </c>
      <c r="C31" s="269"/>
      <c r="D31" s="269"/>
      <c r="J31" s="269"/>
      <c r="K31" s="269"/>
    </row>
    <row r="32" spans="1:12" s="264" customFormat="1" ht="12.75">
      <c r="B32" s="268" t="s">
        <v>994</v>
      </c>
      <c r="C32" s="269"/>
      <c r="D32" s="269"/>
      <c r="J32" s="269"/>
      <c r="K32" s="269"/>
    </row>
    <row r="33" spans="1:16">
      <c r="B33" s="475"/>
      <c r="I33" s="475" t="s">
        <v>550</v>
      </c>
    </row>
    <row r="34" spans="1:16" ht="12.75" customHeight="1">
      <c r="A34" s="253"/>
      <c r="B34" s="253"/>
      <c r="C34" s="253"/>
      <c r="D34" s="253"/>
      <c r="E34" s="253"/>
      <c r="F34" s="253"/>
      <c r="G34" s="253"/>
      <c r="H34" s="253"/>
      <c r="I34" s="476"/>
      <c r="J34" s="477" t="s">
        <v>523</v>
      </c>
      <c r="K34" s="253"/>
      <c r="L34" s="253"/>
      <c r="M34" s="253"/>
      <c r="N34" s="253"/>
      <c r="O34" s="253"/>
      <c r="P34" s="253"/>
    </row>
    <row r="35" spans="1:16">
      <c r="A35" s="1123" t="s">
        <v>524</v>
      </c>
      <c r="B35" s="1124"/>
      <c r="C35" s="1124"/>
      <c r="D35" s="1124"/>
      <c r="E35" s="1124"/>
      <c r="F35" s="1124"/>
      <c r="G35" s="1124"/>
      <c r="H35" s="1124"/>
      <c r="I35" s="1124"/>
      <c r="J35" s="1125"/>
    </row>
    <row r="36" spans="1:16" ht="24.75" customHeight="1" thickBot="1">
      <c r="A36" s="517"/>
      <c r="B36" s="1126" t="s">
        <v>551</v>
      </c>
      <c r="C36" s="1127"/>
      <c r="D36" s="1127"/>
      <c r="E36" s="1127"/>
      <c r="F36" s="1128"/>
      <c r="G36" s="518" t="s">
        <v>526</v>
      </c>
      <c r="H36" s="518" t="s">
        <v>527</v>
      </c>
      <c r="I36" s="519" t="str">
        <f>I7</f>
        <v>Viti 2016</v>
      </c>
      <c r="J36" s="519" t="str">
        <f>J7</f>
        <v>Viti 2015</v>
      </c>
    </row>
    <row r="37" spans="1:16" ht="16.5" customHeight="1">
      <c r="A37" s="520">
        <v>1</v>
      </c>
      <c r="B37" s="1129" t="s">
        <v>552</v>
      </c>
      <c r="C37" s="1130"/>
      <c r="D37" s="1130"/>
      <c r="E37" s="1130"/>
      <c r="F37" s="1130"/>
      <c r="G37" s="483">
        <v>60</v>
      </c>
      <c r="H37" s="483">
        <v>12100</v>
      </c>
      <c r="I37" s="484">
        <f>I38+I39+I40+I41+I42</f>
        <v>12754412.199999999</v>
      </c>
      <c r="J37" s="484">
        <f>J38+J39+J40+J41+J42</f>
        <v>40990995</v>
      </c>
    </row>
    <row r="38" spans="1:16" ht="22.5" customHeight="1">
      <c r="A38" s="521" t="s">
        <v>553</v>
      </c>
      <c r="B38" s="1117" t="s">
        <v>554</v>
      </c>
      <c r="C38" s="1117" t="s">
        <v>555</v>
      </c>
      <c r="D38" s="1117"/>
      <c r="E38" s="1117"/>
      <c r="F38" s="1117"/>
      <c r="G38" s="522" t="s">
        <v>556</v>
      </c>
      <c r="H38" s="522">
        <v>12101</v>
      </c>
      <c r="I38" s="490">
        <f>8108780.1+908181.8+22505+6038463+3714945.2-0.1</f>
        <v>18792875</v>
      </c>
      <c r="J38" s="490">
        <v>8214102</v>
      </c>
    </row>
    <row r="39" spans="1:16" ht="12" customHeight="1">
      <c r="A39" s="521" t="s">
        <v>532</v>
      </c>
      <c r="B39" s="1117" t="s">
        <v>557</v>
      </c>
      <c r="C39" s="1117" t="s">
        <v>555</v>
      </c>
      <c r="D39" s="1117"/>
      <c r="E39" s="1117"/>
      <c r="F39" s="1117"/>
      <c r="G39" s="522"/>
      <c r="H39" s="523">
        <v>12102</v>
      </c>
      <c r="I39" s="490">
        <v>-6038462.7999999998</v>
      </c>
      <c r="J39" s="490"/>
      <c r="L39" s="485"/>
    </row>
    <row r="40" spans="1:16" ht="16.5" customHeight="1">
      <c r="A40" s="521" t="s">
        <v>534</v>
      </c>
      <c r="B40" s="1117" t="s">
        <v>558</v>
      </c>
      <c r="C40" s="1117" t="s">
        <v>555</v>
      </c>
      <c r="D40" s="1117"/>
      <c r="E40" s="1117"/>
      <c r="F40" s="1117"/>
      <c r="G40" s="522" t="s">
        <v>559</v>
      </c>
      <c r="H40" s="522">
        <v>12103</v>
      </c>
      <c r="I40" s="490"/>
      <c r="J40" s="490"/>
    </row>
    <row r="41" spans="1:16" ht="16.5" customHeight="1">
      <c r="A41" s="521" t="s">
        <v>560</v>
      </c>
      <c r="B41" s="1116" t="s">
        <v>804</v>
      </c>
      <c r="C41" s="1117" t="s">
        <v>555</v>
      </c>
      <c r="D41" s="1117"/>
      <c r="E41" s="1117"/>
      <c r="F41" s="1117"/>
      <c r="G41" s="522"/>
      <c r="H41" s="523">
        <v>12104</v>
      </c>
      <c r="I41" s="490"/>
      <c r="J41" s="490"/>
    </row>
    <row r="42" spans="1:16" ht="16.5" customHeight="1">
      <c r="A42" s="521" t="s">
        <v>561</v>
      </c>
      <c r="B42" s="1117" t="s">
        <v>562</v>
      </c>
      <c r="C42" s="1117" t="s">
        <v>555</v>
      </c>
      <c r="D42" s="1117"/>
      <c r="E42" s="1117"/>
      <c r="F42" s="1117"/>
      <c r="G42" s="522" t="s">
        <v>563</v>
      </c>
      <c r="H42" s="523">
        <v>12105</v>
      </c>
      <c r="I42" s="488"/>
      <c r="J42" s="488">
        <v>32776893</v>
      </c>
    </row>
    <row r="43" spans="1:16" ht="16.5" customHeight="1">
      <c r="A43" s="492">
        <v>2</v>
      </c>
      <c r="B43" s="1118" t="s">
        <v>564</v>
      </c>
      <c r="C43" s="1118"/>
      <c r="D43" s="1118"/>
      <c r="E43" s="1118"/>
      <c r="F43" s="1118"/>
      <c r="G43" s="506">
        <v>64</v>
      </c>
      <c r="H43" s="506">
        <v>12200</v>
      </c>
      <c r="I43" s="488">
        <f>I44+I45</f>
        <v>60989954</v>
      </c>
      <c r="J43" s="488">
        <f>J44+J45</f>
        <v>47530563</v>
      </c>
    </row>
    <row r="44" spans="1:16" ht="16.5" customHeight="1">
      <c r="A44" s="524" t="s">
        <v>565</v>
      </c>
      <c r="B44" s="1118" t="s">
        <v>805</v>
      </c>
      <c r="C44" s="1120"/>
      <c r="D44" s="1120"/>
      <c r="E44" s="1120"/>
      <c r="F44" s="1120"/>
      <c r="G44" s="523">
        <v>641</v>
      </c>
      <c r="H44" s="523">
        <v>12201</v>
      </c>
      <c r="I44" s="490">
        <v>53023657</v>
      </c>
      <c r="J44" s="490">
        <v>40778625</v>
      </c>
    </row>
    <row r="45" spans="1:16" ht="16.5" customHeight="1">
      <c r="A45" s="524" t="s">
        <v>566</v>
      </c>
      <c r="B45" s="1120" t="s">
        <v>567</v>
      </c>
      <c r="C45" s="1120"/>
      <c r="D45" s="1120"/>
      <c r="E45" s="1120"/>
      <c r="F45" s="1120"/>
      <c r="G45" s="523">
        <v>644</v>
      </c>
      <c r="H45" s="523">
        <v>12202</v>
      </c>
      <c r="I45" s="490">
        <v>7966297</v>
      </c>
      <c r="J45" s="490">
        <v>6751938</v>
      </c>
    </row>
    <row r="46" spans="1:16" ht="16.5" customHeight="1">
      <c r="A46" s="492">
        <v>3</v>
      </c>
      <c r="B46" s="1118" t="s">
        <v>568</v>
      </c>
      <c r="C46" s="1118"/>
      <c r="D46" s="1118"/>
      <c r="E46" s="1118"/>
      <c r="F46" s="1118"/>
      <c r="G46" s="506">
        <v>68</v>
      </c>
      <c r="H46" s="506">
        <v>12300</v>
      </c>
      <c r="I46" s="488">
        <v>39668961</v>
      </c>
      <c r="J46" s="488">
        <v>47600571</v>
      </c>
    </row>
    <row r="47" spans="1:16" ht="16.5" customHeight="1">
      <c r="A47" s="492">
        <v>4</v>
      </c>
      <c r="B47" s="1118" t="s">
        <v>569</v>
      </c>
      <c r="C47" s="1118"/>
      <c r="D47" s="1118"/>
      <c r="E47" s="1118"/>
      <c r="F47" s="1118"/>
      <c r="G47" s="506">
        <v>61</v>
      </c>
      <c r="H47" s="506">
        <v>12400</v>
      </c>
      <c r="I47" s="488">
        <f>I48+I49+I50+I51+I52+I53+I54+I55+I56+I576+I57+I58+I59+I62</f>
        <v>51474763</v>
      </c>
      <c r="J47" s="488">
        <f>J48+J49+J50+J51+J52+J53+J54+J55+J56+J576+J57+J58+J59+J62</f>
        <v>0</v>
      </c>
      <c r="L47" s="485"/>
    </row>
    <row r="48" spans="1:16" ht="16.5" customHeight="1">
      <c r="A48" s="524" t="s">
        <v>530</v>
      </c>
      <c r="B48" s="1113" t="s">
        <v>570</v>
      </c>
      <c r="C48" s="1113"/>
      <c r="D48" s="1113"/>
      <c r="E48" s="1113"/>
      <c r="F48" s="1113"/>
      <c r="G48" s="522"/>
      <c r="H48" s="522">
        <v>12401</v>
      </c>
      <c r="I48" s="490">
        <v>45254284</v>
      </c>
      <c r="J48" s="490"/>
    </row>
    <row r="49" spans="1:10" ht="16.5" customHeight="1">
      <c r="A49" s="524" t="s">
        <v>538</v>
      </c>
      <c r="B49" s="1113" t="s">
        <v>1006</v>
      </c>
      <c r="C49" s="1113"/>
      <c r="D49" s="1113"/>
      <c r="E49" s="1113"/>
      <c r="F49" s="1113"/>
      <c r="G49" s="525">
        <v>611</v>
      </c>
      <c r="H49" s="522">
        <v>12402</v>
      </c>
      <c r="I49" s="490">
        <v>755352</v>
      </c>
      <c r="J49" s="490"/>
    </row>
    <row r="50" spans="1:10" ht="16.5" customHeight="1">
      <c r="A50" s="524" t="s">
        <v>539</v>
      </c>
      <c r="B50" s="1113" t="s">
        <v>571</v>
      </c>
      <c r="C50" s="1113"/>
      <c r="D50" s="1113"/>
      <c r="E50" s="1113"/>
      <c r="F50" s="1113"/>
      <c r="G50" s="522">
        <v>613</v>
      </c>
      <c r="H50" s="522">
        <v>12403</v>
      </c>
      <c r="I50" s="490">
        <v>364971</v>
      </c>
      <c r="J50" s="490"/>
    </row>
    <row r="51" spans="1:10" ht="16.5" customHeight="1">
      <c r="A51" s="524" t="s">
        <v>572</v>
      </c>
      <c r="B51" s="1113" t="s">
        <v>573</v>
      </c>
      <c r="C51" s="1113"/>
      <c r="D51" s="1113"/>
      <c r="E51" s="1113"/>
      <c r="F51" s="1113"/>
      <c r="G51" s="525">
        <v>615</v>
      </c>
      <c r="H51" s="522">
        <v>12404</v>
      </c>
      <c r="I51" s="490">
        <v>2707500</v>
      </c>
      <c r="J51" s="490"/>
    </row>
    <row r="52" spans="1:10" ht="16.5" customHeight="1">
      <c r="A52" s="524" t="s">
        <v>574</v>
      </c>
      <c r="B52" s="1113" t="s">
        <v>575</v>
      </c>
      <c r="C52" s="1113"/>
      <c r="D52" s="1113"/>
      <c r="E52" s="1113"/>
      <c r="F52" s="1113"/>
      <c r="G52" s="525">
        <v>616</v>
      </c>
      <c r="H52" s="522">
        <v>12405</v>
      </c>
      <c r="I52" s="490">
        <v>125900</v>
      </c>
      <c r="J52" s="490"/>
    </row>
    <row r="53" spans="1:10" ht="16.5" customHeight="1">
      <c r="A53" s="524" t="s">
        <v>576</v>
      </c>
      <c r="B53" s="1113" t="s">
        <v>1007</v>
      </c>
      <c r="C53" s="1113"/>
      <c r="D53" s="1113"/>
      <c r="E53" s="1113"/>
      <c r="F53" s="1113"/>
      <c r="G53" s="525">
        <v>617</v>
      </c>
      <c r="H53" s="522">
        <v>12406</v>
      </c>
      <c r="I53" s="490">
        <v>186000</v>
      </c>
      <c r="J53" s="490"/>
    </row>
    <row r="54" spans="1:10" ht="16.5" customHeight="1">
      <c r="A54" s="524" t="s">
        <v>577</v>
      </c>
      <c r="B54" s="1117" t="s">
        <v>1009</v>
      </c>
      <c r="C54" s="1117" t="s">
        <v>555</v>
      </c>
      <c r="D54" s="1117"/>
      <c r="E54" s="1117"/>
      <c r="F54" s="1117"/>
      <c r="G54" s="525">
        <v>618</v>
      </c>
      <c r="H54" s="522">
        <v>12407</v>
      </c>
      <c r="I54" s="490">
        <v>1036582</v>
      </c>
      <c r="J54" s="490"/>
    </row>
    <row r="55" spans="1:10" ht="16.5" customHeight="1">
      <c r="A55" s="524" t="s">
        <v>578</v>
      </c>
      <c r="B55" s="1117" t="s">
        <v>1008</v>
      </c>
      <c r="C55" s="1117"/>
      <c r="D55" s="1117"/>
      <c r="E55" s="1117"/>
      <c r="F55" s="1117"/>
      <c r="G55" s="525">
        <v>623</v>
      </c>
      <c r="H55" s="522">
        <v>12408</v>
      </c>
      <c r="I55" s="490">
        <v>166227</v>
      </c>
      <c r="J55" s="490"/>
    </row>
    <row r="56" spans="1:10" ht="16.5" customHeight="1">
      <c r="A56" s="524" t="s">
        <v>579</v>
      </c>
      <c r="B56" s="1117" t="s">
        <v>580</v>
      </c>
      <c r="C56" s="1117"/>
      <c r="D56" s="1117"/>
      <c r="E56" s="1117"/>
      <c r="F56" s="1117"/>
      <c r="G56" s="525">
        <v>624</v>
      </c>
      <c r="H56" s="522">
        <v>12409</v>
      </c>
      <c r="I56" s="490">
        <v>107000</v>
      </c>
      <c r="J56" s="490"/>
    </row>
    <row r="57" spans="1:10" ht="16.5" customHeight="1">
      <c r="A57" s="524" t="s">
        <v>581</v>
      </c>
      <c r="B57" s="1117" t="s">
        <v>582</v>
      </c>
      <c r="C57" s="1117"/>
      <c r="D57" s="1117"/>
      <c r="E57" s="1117"/>
      <c r="F57" s="1117"/>
      <c r="G57" s="525">
        <v>625</v>
      </c>
      <c r="H57" s="522">
        <v>12410</v>
      </c>
      <c r="I57" s="490">
        <v>581000</v>
      </c>
      <c r="J57" s="490"/>
    </row>
    <row r="58" spans="1:10" ht="16.5" customHeight="1">
      <c r="A58" s="524" t="s">
        <v>583</v>
      </c>
      <c r="B58" s="1117" t="s">
        <v>584</v>
      </c>
      <c r="C58" s="1117"/>
      <c r="D58" s="1117"/>
      <c r="E58" s="1117"/>
      <c r="F58" s="1117"/>
      <c r="G58" s="525">
        <v>626</v>
      </c>
      <c r="H58" s="522">
        <v>12411</v>
      </c>
      <c r="I58" s="490">
        <v>155902</v>
      </c>
      <c r="J58" s="490"/>
    </row>
    <row r="59" spans="1:10" ht="16.5" customHeight="1">
      <c r="A59" s="524" t="s">
        <v>585</v>
      </c>
      <c r="B59" s="1117" t="s">
        <v>586</v>
      </c>
      <c r="C59" s="1117"/>
      <c r="D59" s="1117"/>
      <c r="E59" s="1117"/>
      <c r="F59" s="1117"/>
      <c r="G59" s="525">
        <v>627</v>
      </c>
      <c r="H59" s="522">
        <v>12412</v>
      </c>
      <c r="I59" s="488">
        <f>I60+I61</f>
        <v>0</v>
      </c>
      <c r="J59" s="488">
        <f>J60+J61</f>
        <v>0</v>
      </c>
    </row>
    <row r="60" spans="1:10" ht="16.5" customHeight="1">
      <c r="A60" s="524"/>
      <c r="B60" s="1119" t="s">
        <v>587</v>
      </c>
      <c r="C60" s="1119"/>
      <c r="D60" s="1119"/>
      <c r="E60" s="1119"/>
      <c r="F60" s="1119"/>
      <c r="G60" s="525">
        <v>6271</v>
      </c>
      <c r="H60" s="525">
        <v>124121</v>
      </c>
      <c r="I60" s="490"/>
      <c r="J60" s="490"/>
    </row>
    <row r="61" spans="1:10" ht="16.5" customHeight="1">
      <c r="A61" s="524"/>
      <c r="B61" s="1119" t="s">
        <v>588</v>
      </c>
      <c r="C61" s="1119"/>
      <c r="D61" s="1119"/>
      <c r="E61" s="1119"/>
      <c r="F61" s="1119"/>
      <c r="G61" s="525">
        <v>6272</v>
      </c>
      <c r="H61" s="525">
        <v>124122</v>
      </c>
      <c r="I61" s="490">
        <v>0</v>
      </c>
      <c r="J61" s="490">
        <v>0</v>
      </c>
    </row>
    <row r="62" spans="1:10" ht="21.75" customHeight="1">
      <c r="A62" s="524" t="s">
        <v>589</v>
      </c>
      <c r="B62" s="1117" t="s">
        <v>590</v>
      </c>
      <c r="C62" s="1117"/>
      <c r="D62" s="1117"/>
      <c r="E62" s="1117"/>
      <c r="F62" s="1117"/>
      <c r="G62" s="525">
        <v>628</v>
      </c>
      <c r="H62" s="525">
        <v>12413</v>
      </c>
      <c r="I62" s="490">
        <v>34045</v>
      </c>
      <c r="J62" s="490"/>
    </row>
    <row r="63" spans="1:10" ht="16.5" customHeight="1">
      <c r="A63" s="492">
        <v>5</v>
      </c>
      <c r="B63" s="1116" t="s">
        <v>591</v>
      </c>
      <c r="C63" s="1117"/>
      <c r="D63" s="1117"/>
      <c r="E63" s="1117"/>
      <c r="F63" s="1117"/>
      <c r="G63" s="526">
        <v>63</v>
      </c>
      <c r="H63" s="526">
        <v>12500</v>
      </c>
      <c r="I63" s="488">
        <f>I64+I65+I66+I67</f>
        <v>744387</v>
      </c>
      <c r="J63" s="488">
        <f>J64+J65+J66+J67</f>
        <v>0</v>
      </c>
    </row>
    <row r="64" spans="1:10" ht="16.5" customHeight="1">
      <c r="A64" s="524" t="s">
        <v>530</v>
      </c>
      <c r="B64" s="1117" t="s">
        <v>592</v>
      </c>
      <c r="C64" s="1117"/>
      <c r="D64" s="1117"/>
      <c r="E64" s="1117"/>
      <c r="F64" s="1117"/>
      <c r="G64" s="525">
        <v>632</v>
      </c>
      <c r="H64" s="525">
        <v>12501</v>
      </c>
      <c r="I64" s="488"/>
      <c r="J64" s="488"/>
    </row>
    <row r="65" spans="1:12" ht="16.5" customHeight="1">
      <c r="A65" s="524" t="s">
        <v>538</v>
      </c>
      <c r="B65" s="1117" t="s">
        <v>241</v>
      </c>
      <c r="C65" s="1117"/>
      <c r="D65" s="1117"/>
      <c r="E65" s="1117"/>
      <c r="F65" s="1117"/>
      <c r="G65" s="525">
        <v>633</v>
      </c>
      <c r="H65" s="525">
        <v>12502</v>
      </c>
      <c r="I65" s="488"/>
      <c r="J65" s="488"/>
    </row>
    <row r="66" spans="1:12" ht="16.5" customHeight="1">
      <c r="A66" s="524" t="s">
        <v>539</v>
      </c>
      <c r="B66" s="1117" t="s">
        <v>593</v>
      </c>
      <c r="C66" s="1117"/>
      <c r="D66" s="1117"/>
      <c r="E66" s="1117"/>
      <c r="F66" s="1117"/>
      <c r="G66" s="525">
        <v>634</v>
      </c>
      <c r="H66" s="525">
        <v>12503</v>
      </c>
      <c r="I66" s="490">
        <v>560260</v>
      </c>
      <c r="J66" s="490"/>
    </row>
    <row r="67" spans="1:12" ht="16.5" customHeight="1">
      <c r="A67" s="524" t="s">
        <v>572</v>
      </c>
      <c r="B67" s="1117" t="s">
        <v>594</v>
      </c>
      <c r="C67" s="1117"/>
      <c r="D67" s="1117"/>
      <c r="E67" s="1117"/>
      <c r="F67" s="1117"/>
      <c r="G67" s="525" t="s">
        <v>595</v>
      </c>
      <c r="H67" s="525">
        <v>12504</v>
      </c>
      <c r="I67" s="488">
        <v>184127</v>
      </c>
      <c r="J67" s="488"/>
    </row>
    <row r="68" spans="1:12" ht="12.75" customHeight="1">
      <c r="A68" s="492" t="s">
        <v>596</v>
      </c>
      <c r="B68" s="1118" t="s">
        <v>597</v>
      </c>
      <c r="C68" s="1118"/>
      <c r="D68" s="1118"/>
      <c r="E68" s="1118"/>
      <c r="F68" s="1118"/>
      <c r="G68" s="525"/>
      <c r="H68" s="525">
        <v>12600</v>
      </c>
      <c r="I68" s="488">
        <f>I37+I43+I46+I47+I63</f>
        <v>165632477.19999999</v>
      </c>
      <c r="J68" s="488">
        <f>J37+J43+J46+J47+J63</f>
        <v>136122129</v>
      </c>
      <c r="L68" s="485"/>
    </row>
    <row r="69" spans="1:12" ht="16.5" customHeight="1">
      <c r="A69" s="527"/>
      <c r="B69" s="528" t="s">
        <v>598</v>
      </c>
      <c r="C69" s="253"/>
      <c r="D69" s="253"/>
      <c r="E69" s="253"/>
      <c r="F69" s="253"/>
      <c r="G69" s="253"/>
      <c r="H69" s="253"/>
      <c r="I69" s="943" t="s">
        <v>802</v>
      </c>
      <c r="J69" s="943" t="s">
        <v>528</v>
      </c>
      <c r="L69" s="485"/>
    </row>
    <row r="70" spans="1:12" ht="16.5" customHeight="1">
      <c r="A70" s="529">
        <v>1</v>
      </c>
      <c r="B70" s="1112" t="s">
        <v>599</v>
      </c>
      <c r="C70" s="1112"/>
      <c r="D70" s="1112"/>
      <c r="E70" s="1112"/>
      <c r="F70" s="1112"/>
      <c r="G70" s="526"/>
      <c r="H70" s="526">
        <v>14000</v>
      </c>
      <c r="I70" s="944">
        <v>121</v>
      </c>
      <c r="J70" s="944">
        <v>102</v>
      </c>
      <c r="L70" s="485">
        <f>SUM(L68:L69)</f>
        <v>0</v>
      </c>
    </row>
    <row r="71" spans="1:12" ht="16.5" customHeight="1">
      <c r="A71" s="529">
        <v>2</v>
      </c>
      <c r="B71" s="1112" t="s">
        <v>600</v>
      </c>
      <c r="C71" s="1112"/>
      <c r="D71" s="1112"/>
      <c r="E71" s="1112"/>
      <c r="F71" s="1112"/>
      <c r="G71" s="526"/>
      <c r="H71" s="526">
        <v>15000</v>
      </c>
      <c r="I71" s="945">
        <f>I72-I74</f>
        <v>7725346</v>
      </c>
      <c r="J71" s="945">
        <f>J72-J74</f>
        <v>535044</v>
      </c>
      <c r="L71" s="485"/>
    </row>
    <row r="72" spans="1:12" ht="16.5" customHeight="1">
      <c r="A72" s="530" t="s">
        <v>530</v>
      </c>
      <c r="B72" s="1113" t="s">
        <v>601</v>
      </c>
      <c r="C72" s="1113"/>
      <c r="D72" s="1113"/>
      <c r="E72" s="1113"/>
      <c r="F72" s="1113"/>
      <c r="G72" s="526"/>
      <c r="H72" s="525">
        <v>15001</v>
      </c>
      <c r="I72" s="946">
        <v>7725346</v>
      </c>
      <c r="J72" s="947">
        <v>6055974</v>
      </c>
      <c r="L72" s="485"/>
    </row>
    <row r="73" spans="1:12" ht="16.5" customHeight="1">
      <c r="A73" s="530"/>
      <c r="B73" s="1114" t="s">
        <v>602</v>
      </c>
      <c r="C73" s="1114"/>
      <c r="D73" s="1114"/>
      <c r="E73" s="1114"/>
      <c r="F73" s="1114"/>
      <c r="G73" s="526"/>
      <c r="H73" s="525">
        <v>150011</v>
      </c>
      <c r="I73" s="946">
        <v>7725346</v>
      </c>
      <c r="J73" s="947">
        <v>6055974</v>
      </c>
    </row>
    <row r="74" spans="1:12" ht="16.5" customHeight="1">
      <c r="A74" s="531" t="s">
        <v>538</v>
      </c>
      <c r="B74" s="1113" t="s">
        <v>603</v>
      </c>
      <c r="C74" s="1113"/>
      <c r="D74" s="1113"/>
      <c r="E74" s="1113"/>
      <c r="F74" s="1113"/>
      <c r="G74" s="526"/>
      <c r="H74" s="525">
        <v>15002</v>
      </c>
      <c r="I74" s="948"/>
      <c r="J74" s="944">
        <v>5520930</v>
      </c>
    </row>
    <row r="75" spans="1:12" ht="12" thickBot="1">
      <c r="A75" s="532"/>
      <c r="B75" s="1115" t="s">
        <v>604</v>
      </c>
      <c r="C75" s="1115"/>
      <c r="D75" s="1115"/>
      <c r="E75" s="1115"/>
      <c r="F75" s="1115"/>
      <c r="G75" s="533"/>
      <c r="H75" s="534">
        <v>150021</v>
      </c>
      <c r="I75" s="535"/>
      <c r="J75" s="533"/>
    </row>
    <row r="76" spans="1:12">
      <c r="A76" s="536"/>
      <c r="B76" s="537"/>
      <c r="C76" s="537"/>
      <c r="D76" s="537"/>
      <c r="E76" s="537"/>
      <c r="F76" s="537"/>
      <c r="G76" s="514"/>
      <c r="H76" s="538"/>
      <c r="I76" s="514"/>
      <c r="J76" s="514"/>
    </row>
    <row r="77" spans="1:12">
      <c r="I77" s="515"/>
      <c r="J77" s="514"/>
    </row>
    <row r="78" spans="1:12" ht="16.5" customHeight="1">
      <c r="A78" s="512"/>
      <c r="B78" s="513"/>
      <c r="C78" s="513"/>
      <c r="D78" s="513"/>
      <c r="E78" s="513"/>
      <c r="F78" s="513"/>
      <c r="G78" s="513"/>
      <c r="H78" s="1109"/>
      <c r="I78" s="1110"/>
      <c r="J78" s="1110"/>
    </row>
    <row r="79" spans="1:12" ht="16.5" customHeight="1">
      <c r="A79" s="512"/>
      <c r="B79" s="513"/>
      <c r="C79" s="513"/>
      <c r="D79" s="513"/>
      <c r="E79" s="513"/>
      <c r="F79" s="513"/>
      <c r="G79" s="513"/>
      <c r="H79" s="1111"/>
      <c r="I79" s="1111"/>
      <c r="J79" s="1111"/>
    </row>
    <row r="80" spans="1:12">
      <c r="J80" s="514"/>
    </row>
    <row r="81" spans="2:10">
      <c r="J81" s="514"/>
    </row>
    <row r="82" spans="2:10">
      <c r="B82" s="539"/>
      <c r="J82" s="514"/>
    </row>
    <row r="83" spans="2:10">
      <c r="B83" s="539"/>
      <c r="I83" s="485"/>
    </row>
    <row r="84" spans="2:10">
      <c r="B84" s="539"/>
    </row>
    <row r="85" spans="2:10">
      <c r="B85" s="539"/>
    </row>
  </sheetData>
  <mergeCells count="62"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H27:J27"/>
    <mergeCell ref="A35:J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H78:J78"/>
    <mergeCell ref="H79:J79"/>
    <mergeCell ref="B70:F70"/>
    <mergeCell ref="B71:F71"/>
    <mergeCell ref="B72:F72"/>
    <mergeCell ref="B73:F73"/>
    <mergeCell ref="B74:F74"/>
    <mergeCell ref="B75:F75"/>
  </mergeCells>
  <printOptions horizontalCentered="1"/>
  <pageMargins left="0.25" right="0.25" top="0.5" bottom="0.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O66"/>
  <sheetViews>
    <sheetView topLeftCell="H1" workbookViewId="0">
      <selection activeCell="K5" sqref="K5"/>
    </sheetView>
  </sheetViews>
  <sheetFormatPr defaultRowHeight="12.75"/>
  <cols>
    <col min="1" max="1" width="0" style="264" hidden="1" customWidth="1"/>
    <col min="2" max="2" width="32.5703125" style="264" hidden="1" customWidth="1"/>
    <col min="3" max="3" width="17" style="264" hidden="1" customWidth="1"/>
    <col min="4" max="7" width="0" style="264" hidden="1" customWidth="1"/>
    <col min="8" max="8" width="3.7109375" style="264" customWidth="1"/>
    <col min="9" max="9" width="10.85546875" style="264" customWidth="1"/>
    <col min="10" max="10" width="33.85546875" style="264" customWidth="1"/>
    <col min="11" max="11" width="27.42578125" style="264" customWidth="1"/>
    <col min="12" max="12" width="11" style="264" customWidth="1"/>
    <col min="13" max="13" width="9.140625" style="264"/>
    <col min="14" max="14" width="16.85546875" style="264" customWidth="1"/>
    <col min="15" max="15" width="13.5703125" style="264" bestFit="1" customWidth="1"/>
    <col min="16" max="16384" width="9.140625" style="264"/>
  </cols>
  <sheetData>
    <row r="1" spans="2:11">
      <c r="B1" s="268" t="s">
        <v>521</v>
      </c>
      <c r="C1" s="269"/>
      <c r="D1" s="269"/>
      <c r="I1" s="268" t="s">
        <v>993</v>
      </c>
      <c r="J1" s="269"/>
      <c r="K1" s="269"/>
    </row>
    <row r="2" spans="2:11">
      <c r="B2" s="268" t="s">
        <v>605</v>
      </c>
      <c r="C2" s="269"/>
      <c r="D2" s="269"/>
      <c r="I2" s="268" t="s">
        <v>994</v>
      </c>
      <c r="J2" s="269"/>
      <c r="K2" s="269"/>
    </row>
    <row r="3" spans="2:11">
      <c r="B3" s="270"/>
      <c r="C3" s="270"/>
      <c r="I3" s="271"/>
      <c r="K3" s="268" t="s">
        <v>606</v>
      </c>
    </row>
    <row r="4" spans="2:11">
      <c r="B4" s="270"/>
      <c r="C4" s="270"/>
      <c r="K4" s="271">
        <v>2016</v>
      </c>
    </row>
    <row r="5" spans="2:11">
      <c r="B5" s="264" t="s">
        <v>607</v>
      </c>
      <c r="C5" s="264" t="s">
        <v>607</v>
      </c>
      <c r="H5" s="272"/>
      <c r="I5" s="272"/>
      <c r="J5" s="273" t="s">
        <v>608</v>
      </c>
      <c r="K5" s="273" t="s">
        <v>609</v>
      </c>
    </row>
    <row r="6" spans="2:11">
      <c r="B6" s="264" t="s">
        <v>610</v>
      </c>
      <c r="C6" s="264" t="s">
        <v>610</v>
      </c>
      <c r="H6" s="272">
        <v>1</v>
      </c>
      <c r="I6" s="273"/>
      <c r="J6" s="272" t="s">
        <v>995</v>
      </c>
      <c r="K6" s="274">
        <f>10846438+79931676</f>
        <v>90778114</v>
      </c>
    </row>
    <row r="7" spans="2:11">
      <c r="B7" s="264" t="s">
        <v>611</v>
      </c>
      <c r="C7" s="264" t="s">
        <v>611</v>
      </c>
      <c r="H7" s="272">
        <v>2</v>
      </c>
      <c r="I7" s="273"/>
      <c r="J7" s="272" t="s">
        <v>996</v>
      </c>
      <c r="K7" s="274">
        <v>18168796</v>
      </c>
    </row>
    <row r="8" spans="2:11">
      <c r="B8" s="264" t="s">
        <v>612</v>
      </c>
      <c r="C8" s="264" t="s">
        <v>612</v>
      </c>
      <c r="H8" s="272">
        <v>3</v>
      </c>
      <c r="I8" s="273"/>
      <c r="J8" s="272" t="s">
        <v>997</v>
      </c>
      <c r="K8" s="274">
        <f>28782754+2585400</f>
        <v>31368154</v>
      </c>
    </row>
    <row r="9" spans="2:11">
      <c r="B9" s="264" t="s">
        <v>613</v>
      </c>
      <c r="C9" s="264" t="s">
        <v>613</v>
      </c>
      <c r="H9" s="272">
        <v>4</v>
      </c>
      <c r="I9" s="273"/>
      <c r="J9" s="272" t="s">
        <v>998</v>
      </c>
      <c r="K9" s="274">
        <f>4926126+115762.19</f>
        <v>5041888.1900000004</v>
      </c>
    </row>
    <row r="10" spans="2:11">
      <c r="B10" s="264" t="s">
        <v>614</v>
      </c>
      <c r="C10" s="264" t="s">
        <v>614</v>
      </c>
      <c r="H10" s="272">
        <v>5</v>
      </c>
      <c r="I10" s="273"/>
      <c r="J10" s="272" t="s">
        <v>999</v>
      </c>
      <c r="K10" s="274">
        <v>1054080</v>
      </c>
    </row>
    <row r="11" spans="2:11">
      <c r="B11" s="264" t="s">
        <v>615</v>
      </c>
      <c r="C11" s="264" t="s">
        <v>615</v>
      </c>
      <c r="H11" s="272">
        <v>6</v>
      </c>
      <c r="I11" s="273"/>
      <c r="J11" s="272" t="s">
        <v>614</v>
      </c>
      <c r="K11" s="274"/>
    </row>
    <row r="12" spans="2:11">
      <c r="B12" s="264" t="s">
        <v>616</v>
      </c>
      <c r="C12" s="264" t="s">
        <v>616</v>
      </c>
      <c r="H12" s="272">
        <v>7</v>
      </c>
      <c r="I12" s="273"/>
      <c r="J12" s="272" t="s">
        <v>617</v>
      </c>
      <c r="K12" s="274"/>
    </row>
    <row r="13" spans="2:11">
      <c r="B13" s="270" t="s">
        <v>618</v>
      </c>
      <c r="C13" s="270" t="s">
        <v>618</v>
      </c>
      <c r="H13" s="272">
        <v>8</v>
      </c>
      <c r="I13" s="273"/>
      <c r="J13" s="272" t="s">
        <v>616</v>
      </c>
      <c r="K13" s="274"/>
    </row>
    <row r="14" spans="2:11">
      <c r="B14" s="270"/>
      <c r="C14" s="270"/>
      <c r="H14" s="273" t="s">
        <v>1</v>
      </c>
      <c r="I14" s="273"/>
      <c r="J14" s="273" t="s">
        <v>619</v>
      </c>
      <c r="K14" s="275">
        <f>SUM(K6:K13)</f>
        <v>146411032.19</v>
      </c>
    </row>
    <row r="15" spans="2:11">
      <c r="B15" s="264" t="s">
        <v>620</v>
      </c>
      <c r="C15" s="264" t="s">
        <v>620</v>
      </c>
      <c r="H15" s="272">
        <v>9</v>
      </c>
      <c r="I15" s="273" t="s">
        <v>618</v>
      </c>
      <c r="J15" s="272" t="s">
        <v>621</v>
      </c>
      <c r="K15" s="274"/>
    </row>
    <row r="16" spans="2:11">
      <c r="B16" s="264" t="s">
        <v>622</v>
      </c>
      <c r="C16" s="264" t="s">
        <v>622</v>
      </c>
      <c r="H16" s="272">
        <v>10</v>
      </c>
      <c r="I16" s="273" t="s">
        <v>618</v>
      </c>
      <c r="J16" s="272" t="s">
        <v>622</v>
      </c>
      <c r="K16" s="274"/>
    </row>
    <row r="17" spans="2:11">
      <c r="B17" s="264" t="s">
        <v>623</v>
      </c>
      <c r="C17" s="264" t="s">
        <v>623</v>
      </c>
      <c r="H17" s="272">
        <v>11</v>
      </c>
      <c r="I17" s="273" t="s">
        <v>618</v>
      </c>
      <c r="J17" s="272" t="s">
        <v>623</v>
      </c>
      <c r="K17" s="274"/>
    </row>
    <row r="18" spans="2:11">
      <c r="H18" s="273" t="s">
        <v>2</v>
      </c>
      <c r="I18" s="273"/>
      <c r="J18" s="273" t="s">
        <v>624</v>
      </c>
      <c r="K18" s="275">
        <f>SUM(K15:K17)</f>
        <v>0</v>
      </c>
    </row>
    <row r="19" spans="2:11">
      <c r="B19" s="270" t="s">
        <v>625</v>
      </c>
      <c r="C19" s="270" t="s">
        <v>625</v>
      </c>
      <c r="H19" s="272">
        <v>12</v>
      </c>
      <c r="I19" s="273" t="s">
        <v>625</v>
      </c>
      <c r="J19" s="272" t="s">
        <v>626</v>
      </c>
      <c r="K19" s="274"/>
    </row>
    <row r="20" spans="2:11">
      <c r="B20" s="264" t="s">
        <v>615</v>
      </c>
      <c r="C20" s="264" t="s">
        <v>615</v>
      </c>
      <c r="H20" s="272">
        <v>13</v>
      </c>
      <c r="I20" s="273" t="s">
        <v>625</v>
      </c>
      <c r="J20" s="273" t="s">
        <v>627</v>
      </c>
      <c r="K20" s="274"/>
    </row>
    <row r="21" spans="2:11">
      <c r="B21" s="264" t="s">
        <v>628</v>
      </c>
      <c r="C21" s="264" t="s">
        <v>628</v>
      </c>
      <c r="H21" s="272">
        <v>14</v>
      </c>
      <c r="I21" s="273" t="s">
        <v>625</v>
      </c>
      <c r="J21" s="272" t="s">
        <v>629</v>
      </c>
      <c r="K21" s="274"/>
    </row>
    <row r="22" spans="2:11">
      <c r="B22" s="264" t="s">
        <v>629</v>
      </c>
      <c r="C22" s="264" t="s">
        <v>629</v>
      </c>
      <c r="H22" s="272">
        <v>15</v>
      </c>
      <c r="I22" s="273" t="s">
        <v>625</v>
      </c>
      <c r="J22" s="272" t="s">
        <v>630</v>
      </c>
      <c r="K22" s="274"/>
    </row>
    <row r="23" spans="2:11">
      <c r="B23" s="264" t="s">
        <v>630</v>
      </c>
      <c r="C23" s="264" t="s">
        <v>630</v>
      </c>
      <c r="H23" s="272">
        <v>16</v>
      </c>
      <c r="I23" s="273" t="s">
        <v>625</v>
      </c>
      <c r="J23" s="272" t="s">
        <v>631</v>
      </c>
      <c r="K23" s="274"/>
    </row>
    <row r="24" spans="2:11">
      <c r="B24" s="264" t="s">
        <v>632</v>
      </c>
      <c r="C24" s="264" t="s">
        <v>632</v>
      </c>
      <c r="H24" s="272">
        <v>17</v>
      </c>
      <c r="I24" s="273" t="s">
        <v>625</v>
      </c>
      <c r="J24" s="272" t="s">
        <v>633</v>
      </c>
      <c r="K24" s="274"/>
    </row>
    <row r="25" spans="2:11">
      <c r="B25" s="264" t="s">
        <v>633</v>
      </c>
      <c r="C25" s="264" t="s">
        <v>633</v>
      </c>
      <c r="H25" s="272">
        <v>18</v>
      </c>
      <c r="I25" s="273" t="s">
        <v>625</v>
      </c>
      <c r="J25" s="272" t="s">
        <v>634</v>
      </c>
      <c r="K25" s="274"/>
    </row>
    <row r="26" spans="2:11">
      <c r="B26" s="264" t="s">
        <v>635</v>
      </c>
      <c r="C26" s="264" t="s">
        <v>635</v>
      </c>
      <c r="H26" s="272">
        <v>19</v>
      </c>
      <c r="I26" s="273" t="s">
        <v>625</v>
      </c>
      <c r="J26" s="272" t="s">
        <v>636</v>
      </c>
      <c r="K26" s="274"/>
    </row>
    <row r="27" spans="2:11">
      <c r="H27" s="273" t="s">
        <v>216</v>
      </c>
      <c r="I27" s="273"/>
      <c r="J27" s="273" t="s">
        <v>637</v>
      </c>
      <c r="K27" s="274">
        <f>SUM(K19:K26)</f>
        <v>0</v>
      </c>
    </row>
    <row r="28" spans="2:11">
      <c r="B28" s="264" t="s">
        <v>636</v>
      </c>
      <c r="C28" s="264" t="s">
        <v>636</v>
      </c>
      <c r="H28" s="272">
        <v>20</v>
      </c>
      <c r="I28" s="273" t="s">
        <v>638</v>
      </c>
      <c r="J28" s="272" t="s">
        <v>639</v>
      </c>
      <c r="K28" s="274"/>
    </row>
    <row r="29" spans="2:11">
      <c r="B29" s="270" t="s">
        <v>638</v>
      </c>
      <c r="C29" s="270" t="s">
        <v>638</v>
      </c>
      <c r="H29" s="272">
        <v>21</v>
      </c>
      <c r="I29" s="273" t="s">
        <v>638</v>
      </c>
      <c r="J29" s="272" t="s">
        <v>640</v>
      </c>
      <c r="K29" s="274"/>
    </row>
    <row r="30" spans="2:11">
      <c r="B30" s="264" t="s">
        <v>641</v>
      </c>
      <c r="C30" s="264" t="s">
        <v>641</v>
      </c>
      <c r="H30" s="272">
        <v>22</v>
      </c>
      <c r="I30" s="273" t="s">
        <v>638</v>
      </c>
      <c r="J30" s="272" t="s">
        <v>642</v>
      </c>
      <c r="K30" s="274"/>
    </row>
    <row r="31" spans="2:11">
      <c r="B31" s="264" t="s">
        <v>640</v>
      </c>
      <c r="C31" s="264" t="s">
        <v>640</v>
      </c>
      <c r="H31" s="272">
        <v>23</v>
      </c>
      <c r="I31" s="273" t="s">
        <v>638</v>
      </c>
      <c r="J31" s="272" t="s">
        <v>643</v>
      </c>
      <c r="K31" s="274"/>
    </row>
    <row r="32" spans="2:11">
      <c r="H32" s="273" t="s">
        <v>644</v>
      </c>
      <c r="I32" s="273"/>
      <c r="J32" s="273" t="s">
        <v>645</v>
      </c>
      <c r="K32" s="274">
        <f>SUM(K28:K31)</f>
        <v>0</v>
      </c>
    </row>
    <row r="33" spans="2:15">
      <c r="B33" s="264" t="s">
        <v>642</v>
      </c>
      <c r="C33" s="264" t="s">
        <v>642</v>
      </c>
      <c r="H33" s="272">
        <v>24</v>
      </c>
      <c r="I33" s="273" t="s">
        <v>646</v>
      </c>
      <c r="J33" s="272" t="s">
        <v>647</v>
      </c>
      <c r="K33" s="274">
        <v>78117.460000000006</v>
      </c>
    </row>
    <row r="34" spans="2:15">
      <c r="B34" s="264" t="s">
        <v>643</v>
      </c>
      <c r="C34" s="264" t="s">
        <v>643</v>
      </c>
      <c r="H34" s="272">
        <v>25</v>
      </c>
      <c r="I34" s="273" t="s">
        <v>646</v>
      </c>
      <c r="J34" s="272" t="s">
        <v>1000</v>
      </c>
      <c r="K34" s="274">
        <f>1442605+1008115</f>
        <v>2450720</v>
      </c>
    </row>
    <row r="35" spans="2:15">
      <c r="H35" s="272">
        <v>26</v>
      </c>
      <c r="I35" s="273" t="s">
        <v>646</v>
      </c>
      <c r="J35" s="272" t="s">
        <v>1001</v>
      </c>
      <c r="K35" s="274">
        <f>318000+9869+30220</f>
        <v>358089</v>
      </c>
    </row>
    <row r="36" spans="2:15">
      <c r="B36" s="270" t="s">
        <v>646</v>
      </c>
      <c r="C36" s="270" t="s">
        <v>646</v>
      </c>
      <c r="H36" s="272">
        <v>27</v>
      </c>
      <c r="I36" s="273" t="s">
        <v>646</v>
      </c>
      <c r="J36" s="272" t="s">
        <v>1002</v>
      </c>
      <c r="K36" s="274">
        <v>20521794</v>
      </c>
    </row>
    <row r="37" spans="2:15">
      <c r="B37" s="264" t="s">
        <v>651</v>
      </c>
      <c r="C37" s="264" t="s">
        <v>651</v>
      </c>
      <c r="H37" s="272">
        <v>28</v>
      </c>
      <c r="I37" s="273" t="s">
        <v>646</v>
      </c>
      <c r="J37" s="272" t="s">
        <v>652</v>
      </c>
      <c r="K37" s="274"/>
    </row>
    <row r="38" spans="2:15">
      <c r="B38" s="264" t="s">
        <v>648</v>
      </c>
      <c r="C38" s="264" t="s">
        <v>648</v>
      </c>
      <c r="H38" s="272">
        <v>29</v>
      </c>
      <c r="I38" s="273" t="s">
        <v>646</v>
      </c>
      <c r="J38" s="276" t="s">
        <v>653</v>
      </c>
      <c r="K38" s="274"/>
    </row>
    <row r="39" spans="2:15">
      <c r="B39" s="264" t="s">
        <v>649</v>
      </c>
      <c r="C39" s="264" t="s">
        <v>649</v>
      </c>
      <c r="H39" s="272">
        <v>30</v>
      </c>
      <c r="I39" s="273" t="s">
        <v>646</v>
      </c>
      <c r="J39" s="272" t="s">
        <v>654</v>
      </c>
      <c r="K39" s="274"/>
    </row>
    <row r="40" spans="2:15">
      <c r="B40" s="264" t="s">
        <v>650</v>
      </c>
      <c r="C40" s="264" t="s">
        <v>650</v>
      </c>
      <c r="H40" s="272">
        <v>31</v>
      </c>
      <c r="I40" s="273" t="s">
        <v>646</v>
      </c>
      <c r="J40" s="272" t="s">
        <v>655</v>
      </c>
      <c r="K40" s="274"/>
    </row>
    <row r="41" spans="2:15">
      <c r="H41" s="272">
        <v>32</v>
      </c>
      <c r="I41" s="273" t="s">
        <v>646</v>
      </c>
      <c r="J41" s="272" t="s">
        <v>656</v>
      </c>
      <c r="K41" s="274"/>
    </row>
    <row r="42" spans="2:15">
      <c r="B42" s="264" t="s">
        <v>652</v>
      </c>
      <c r="C42" s="264" t="s">
        <v>652</v>
      </c>
      <c r="H42" s="272">
        <v>33</v>
      </c>
      <c r="I42" s="273" t="s">
        <v>646</v>
      </c>
      <c r="J42" s="272" t="s">
        <v>657</v>
      </c>
      <c r="K42" s="274"/>
    </row>
    <row r="43" spans="2:15">
      <c r="B43" s="264" t="s">
        <v>653</v>
      </c>
      <c r="C43" s="264" t="s">
        <v>653</v>
      </c>
      <c r="H43" s="277">
        <v>34</v>
      </c>
      <c r="I43" s="273" t="s">
        <v>646</v>
      </c>
      <c r="J43" s="272" t="s">
        <v>658</v>
      </c>
      <c r="K43" s="274"/>
    </row>
    <row r="44" spans="2:15">
      <c r="B44" s="264" t="s">
        <v>654</v>
      </c>
      <c r="C44" s="264" t="s">
        <v>654</v>
      </c>
      <c r="H44" s="273" t="s">
        <v>659</v>
      </c>
      <c r="I44" s="272"/>
      <c r="J44" s="273" t="s">
        <v>660</v>
      </c>
      <c r="K44" s="275">
        <f>SUM(K33:K43)</f>
        <v>23408720.460000001</v>
      </c>
    </row>
    <row r="45" spans="2:15">
      <c r="B45" s="264" t="s">
        <v>655</v>
      </c>
      <c r="C45" s="264" t="s">
        <v>655</v>
      </c>
      <c r="H45" s="272"/>
      <c r="I45" s="272"/>
      <c r="J45" s="273" t="s">
        <v>661</v>
      </c>
      <c r="K45" s="275">
        <f>K14+K18+K27+K32+K44</f>
        <v>169819752.65000001</v>
      </c>
      <c r="N45" s="278"/>
      <c r="O45" s="278"/>
    </row>
    <row r="46" spans="2:15">
      <c r="B46" s="264" t="s">
        <v>662</v>
      </c>
      <c r="C46" s="264" t="s">
        <v>662</v>
      </c>
      <c r="N46" s="278"/>
    </row>
    <row r="47" spans="2:15">
      <c r="N47" s="278"/>
    </row>
    <row r="48" spans="2:15">
      <c r="I48" s="279" t="s">
        <v>1003</v>
      </c>
      <c r="J48" s="280"/>
      <c r="K48" s="273" t="s">
        <v>663</v>
      </c>
    </row>
    <row r="49" spans="8:15">
      <c r="I49" s="281"/>
      <c r="J49" s="282"/>
      <c r="K49" s="282"/>
    </row>
    <row r="50" spans="8:15">
      <c r="I50" s="283" t="s">
        <v>664</v>
      </c>
      <c r="J50" s="283"/>
      <c r="K50" s="272">
        <v>0</v>
      </c>
    </row>
    <row r="51" spans="8:15">
      <c r="I51" s="272" t="s">
        <v>665</v>
      </c>
      <c r="J51" s="272"/>
      <c r="K51" s="272">
        <f>138-40</f>
        <v>98</v>
      </c>
    </row>
    <row r="52" spans="8:15">
      <c r="I52" s="272" t="s">
        <v>666</v>
      </c>
      <c r="J52" s="272"/>
      <c r="K52" s="272">
        <v>40</v>
      </c>
    </row>
    <row r="53" spans="8:15">
      <c r="I53" s="272" t="s">
        <v>714</v>
      </c>
      <c r="J53" s="272"/>
      <c r="K53" s="272">
        <v>0</v>
      </c>
    </row>
    <row r="54" spans="8:15">
      <c r="I54" s="280" t="s">
        <v>667</v>
      </c>
      <c r="J54" s="280"/>
      <c r="K54" s="272">
        <v>0</v>
      </c>
    </row>
    <row r="55" spans="8:15">
      <c r="I55" s="284"/>
      <c r="J55" s="285" t="s">
        <v>11</v>
      </c>
      <c r="K55" s="285">
        <f>SUM(K50:K54)</f>
        <v>138</v>
      </c>
    </row>
    <row r="56" spans="8:15">
      <c r="K56" s="1141"/>
      <c r="L56" s="1142"/>
    </row>
    <row r="57" spans="8:15">
      <c r="K57" s="1143"/>
      <c r="L57" s="1143"/>
      <c r="M57" s="286"/>
    </row>
    <row r="59" spans="8:15">
      <c r="I59" s="270" t="s">
        <v>668</v>
      </c>
      <c r="K59" s="1143"/>
      <c r="L59" s="1143"/>
    </row>
    <row r="61" spans="8:15">
      <c r="I61" s="270"/>
      <c r="K61" s="278"/>
    </row>
    <row r="62" spans="8:15">
      <c r="H62" s="270"/>
      <c r="I62" s="270"/>
      <c r="J62" s="270"/>
      <c r="K62" s="270"/>
      <c r="L62" s="270"/>
      <c r="M62" s="270"/>
      <c r="N62" s="270"/>
      <c r="O62" s="270"/>
    </row>
    <row r="63" spans="8:15">
      <c r="H63" s="270"/>
      <c r="I63" s="270"/>
      <c r="J63" s="270"/>
      <c r="K63" s="270"/>
      <c r="L63" s="270"/>
      <c r="M63" s="270"/>
      <c r="N63" s="270"/>
      <c r="O63" s="270"/>
    </row>
    <row r="64" spans="8:15">
      <c r="I64" s="270"/>
      <c r="J64" s="270"/>
      <c r="K64" s="270" t="s">
        <v>669</v>
      </c>
      <c r="L64" s="270"/>
      <c r="M64" s="270"/>
      <c r="N64" s="270"/>
      <c r="O64" s="270"/>
    </row>
    <row r="65" spans="8:15">
      <c r="I65" s="270"/>
      <c r="J65" s="270"/>
      <c r="K65" s="270"/>
      <c r="L65" s="270"/>
      <c r="M65" s="270"/>
      <c r="N65" s="270"/>
      <c r="O65" s="270"/>
    </row>
    <row r="66" spans="8:15">
      <c r="H66" s="270"/>
      <c r="I66" s="270"/>
    </row>
  </sheetData>
  <mergeCells count="3">
    <mergeCell ref="K56:L56"/>
    <mergeCell ref="K57:L57"/>
    <mergeCell ref="K59:L5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F0"/>
  </sheetPr>
  <dimension ref="A1:G38"/>
  <sheetViews>
    <sheetView topLeftCell="A7" workbookViewId="0">
      <selection sqref="A1:F34"/>
    </sheetView>
  </sheetViews>
  <sheetFormatPr defaultRowHeight="12.75"/>
  <cols>
    <col min="1" max="1" width="5.140625" customWidth="1"/>
    <col min="2" max="2" width="33" customWidth="1"/>
    <col min="3" max="3" width="11.42578125" customWidth="1"/>
    <col min="4" max="4" width="13.5703125" customWidth="1"/>
    <col min="5" max="6" width="11.42578125" customWidth="1"/>
  </cols>
  <sheetData>
    <row r="1" spans="1:7">
      <c r="A1" s="65" t="s">
        <v>992</v>
      </c>
      <c r="B1" s="66"/>
      <c r="C1" s="66"/>
      <c r="D1" s="66"/>
      <c r="E1" s="66"/>
      <c r="F1" s="66"/>
    </row>
    <row r="2" spans="1:7">
      <c r="A2" s="65" t="s">
        <v>848</v>
      </c>
      <c r="B2" s="66"/>
      <c r="C2" s="66"/>
      <c r="D2" s="66"/>
      <c r="E2" s="69"/>
      <c r="F2" s="66"/>
    </row>
    <row r="3" spans="1:7">
      <c r="A3" s="70" t="s">
        <v>256</v>
      </c>
      <c r="B3" s="66"/>
      <c r="C3" s="66"/>
      <c r="D3" s="66"/>
      <c r="E3" s="67"/>
      <c r="F3" s="66"/>
    </row>
    <row r="4" spans="1:7">
      <c r="B4" s="66"/>
      <c r="D4" s="66"/>
      <c r="E4" s="66"/>
      <c r="F4" s="66"/>
    </row>
    <row r="5" spans="1:7">
      <c r="A5" s="66"/>
      <c r="B5" s="66"/>
      <c r="D5" s="291"/>
      <c r="E5" s="66"/>
      <c r="F5" s="66"/>
    </row>
    <row r="6" spans="1:7">
      <c r="A6" s="66"/>
      <c r="B6" s="66"/>
      <c r="D6" s="291"/>
      <c r="E6" s="66"/>
      <c r="F6" s="66"/>
    </row>
    <row r="7" spans="1:7" ht="15.75">
      <c r="A7" s="1144" t="s">
        <v>680</v>
      </c>
      <c r="B7" s="1144"/>
      <c r="C7" s="1144"/>
      <c r="D7" s="1144"/>
      <c r="E7" s="1144"/>
      <c r="F7" s="1144"/>
    </row>
    <row r="8" spans="1:7" ht="15.75">
      <c r="A8" s="66"/>
      <c r="B8" s="66"/>
      <c r="C8" s="66"/>
      <c r="D8" s="66"/>
      <c r="E8" s="66"/>
      <c r="F8" s="345" t="s">
        <v>726</v>
      </c>
      <c r="G8" s="66"/>
    </row>
    <row r="9" spans="1:7">
      <c r="A9" s="1145" t="s">
        <v>0</v>
      </c>
      <c r="B9" s="1145" t="s">
        <v>681</v>
      </c>
      <c r="C9" s="88"/>
      <c r="D9" s="300" t="s">
        <v>682</v>
      </c>
      <c r="E9" s="301"/>
      <c r="F9" s="300" t="s">
        <v>494</v>
      </c>
      <c r="G9" s="302"/>
    </row>
    <row r="10" spans="1:7" ht="38.25">
      <c r="A10" s="1146"/>
      <c r="B10" s="1146"/>
      <c r="C10" s="303" t="s">
        <v>683</v>
      </c>
      <c r="D10" s="304" t="s">
        <v>684</v>
      </c>
      <c r="E10" s="305" t="s">
        <v>685</v>
      </c>
      <c r="F10" s="304" t="s">
        <v>686</v>
      </c>
      <c r="G10" s="66"/>
    </row>
    <row r="11" spans="1:7">
      <c r="A11" s="287">
        <v>2</v>
      </c>
      <c r="B11" s="99" t="s">
        <v>687</v>
      </c>
      <c r="C11" s="294">
        <v>15</v>
      </c>
      <c r="D11" s="330">
        <v>62318.75</v>
      </c>
      <c r="E11" s="294">
        <f>D11</f>
        <v>62318.75</v>
      </c>
      <c r="F11" s="295">
        <f>E11-D11</f>
        <v>0</v>
      </c>
      <c r="G11" s="66"/>
    </row>
    <row r="12" spans="1:7">
      <c r="A12" s="288"/>
      <c r="B12" s="101" t="s">
        <v>672</v>
      </c>
      <c r="C12" s="101">
        <v>5</v>
      </c>
      <c r="D12" s="331">
        <v>277208.71999999997</v>
      </c>
      <c r="E12" s="296">
        <f t="shared" ref="E12:E18" si="0">D12</f>
        <v>277208.71999999997</v>
      </c>
      <c r="F12" s="297">
        <f t="shared" ref="F12:F18" si="1">E12-D12</f>
        <v>0</v>
      </c>
      <c r="G12" s="66"/>
    </row>
    <row r="13" spans="1:7">
      <c r="A13" s="288"/>
      <c r="B13" s="101" t="s">
        <v>688</v>
      </c>
      <c r="C13" s="101">
        <v>5</v>
      </c>
      <c r="D13" s="331">
        <v>36053509.719999999</v>
      </c>
      <c r="E13" s="296">
        <f t="shared" si="0"/>
        <v>36053509.719999999</v>
      </c>
      <c r="F13" s="297">
        <f t="shared" si="1"/>
        <v>0</v>
      </c>
      <c r="G13" s="66"/>
    </row>
    <row r="14" spans="1:7">
      <c r="A14" s="288"/>
      <c r="B14" s="101" t="s">
        <v>689</v>
      </c>
      <c r="C14" s="101">
        <v>20</v>
      </c>
      <c r="D14" s="331">
        <v>2525757.6</v>
      </c>
      <c r="E14" s="296">
        <f t="shared" si="0"/>
        <v>2525757.6</v>
      </c>
      <c r="F14" s="297">
        <f t="shared" si="1"/>
        <v>0</v>
      </c>
      <c r="G14" s="66"/>
    </row>
    <row r="15" spans="1:7">
      <c r="A15" s="288"/>
      <c r="B15" s="101" t="s">
        <v>674</v>
      </c>
      <c r="C15" s="101">
        <v>20</v>
      </c>
      <c r="D15" s="331">
        <v>415493.4</v>
      </c>
      <c r="E15" s="296">
        <f t="shared" si="0"/>
        <v>415493.4</v>
      </c>
      <c r="F15" s="297">
        <f t="shared" si="1"/>
        <v>0</v>
      </c>
      <c r="G15" s="66"/>
    </row>
    <row r="16" spans="1:7">
      <c r="A16" s="288"/>
      <c r="B16" s="101" t="s">
        <v>690</v>
      </c>
      <c r="C16" s="101">
        <v>20</v>
      </c>
      <c r="D16" s="331">
        <v>26847</v>
      </c>
      <c r="E16" s="296">
        <f t="shared" si="0"/>
        <v>26847</v>
      </c>
      <c r="F16" s="297">
        <f t="shared" si="1"/>
        <v>0</v>
      </c>
      <c r="G16" s="66"/>
    </row>
    <row r="17" spans="1:7">
      <c r="A17" s="288">
        <v>3</v>
      </c>
      <c r="B17" s="101" t="s">
        <v>691</v>
      </c>
      <c r="C17" s="101">
        <v>25</v>
      </c>
      <c r="D17" s="331">
        <v>307825.75</v>
      </c>
      <c r="E17" s="296">
        <f t="shared" si="0"/>
        <v>307825.75</v>
      </c>
      <c r="F17" s="297">
        <f t="shared" si="1"/>
        <v>0</v>
      </c>
      <c r="G17" s="66"/>
    </row>
    <row r="18" spans="1:7">
      <c r="A18" s="288"/>
      <c r="B18" s="307"/>
      <c r="C18" s="101">
        <v>10</v>
      </c>
      <c r="D18" s="331"/>
      <c r="E18" s="296">
        <f t="shared" si="0"/>
        <v>0</v>
      </c>
      <c r="F18" s="297">
        <f t="shared" si="1"/>
        <v>0</v>
      </c>
      <c r="G18" s="66"/>
    </row>
    <row r="19" spans="1:7">
      <c r="A19" s="288"/>
      <c r="B19" s="101"/>
      <c r="C19" s="101"/>
      <c r="D19" s="306"/>
      <c r="E19" s="101"/>
      <c r="F19" s="298"/>
      <c r="G19" s="66"/>
    </row>
    <row r="20" spans="1:7">
      <c r="A20" s="308"/>
      <c r="B20" s="309"/>
      <c r="C20" s="101"/>
      <c r="D20" s="310"/>
      <c r="E20" s="101"/>
      <c r="F20" s="298"/>
      <c r="G20" s="66"/>
    </row>
    <row r="21" spans="1:7">
      <c r="A21" s="288"/>
      <c r="B21" s="101"/>
      <c r="C21" s="101"/>
      <c r="D21" s="101"/>
      <c r="E21" s="101"/>
      <c r="F21" s="298"/>
      <c r="G21" s="66"/>
    </row>
    <row r="22" spans="1:7">
      <c r="A22" s="288"/>
      <c r="B22" s="101"/>
      <c r="C22" s="101"/>
      <c r="D22" s="101"/>
      <c r="E22" s="101"/>
      <c r="F22" s="298"/>
      <c r="G22" s="66"/>
    </row>
    <row r="23" spans="1:7">
      <c r="A23" s="288"/>
      <c r="B23" s="101"/>
      <c r="C23" s="101"/>
      <c r="D23" s="101"/>
      <c r="E23" s="101"/>
      <c r="F23" s="298"/>
      <c r="G23" s="66"/>
    </row>
    <row r="24" spans="1:7">
      <c r="A24" s="288"/>
      <c r="B24" s="101"/>
      <c r="C24" s="101"/>
      <c r="D24" s="101"/>
      <c r="E24" s="101"/>
      <c r="F24" s="298"/>
      <c r="G24" s="66"/>
    </row>
    <row r="25" spans="1:7">
      <c r="A25" s="288"/>
      <c r="B25" s="101"/>
      <c r="C25" s="101"/>
      <c r="D25" s="101"/>
      <c r="E25" s="101"/>
      <c r="F25" s="298"/>
      <c r="G25" s="66"/>
    </row>
    <row r="26" spans="1:7">
      <c r="A26" s="288"/>
      <c r="B26" s="101"/>
      <c r="C26" s="101"/>
      <c r="D26" s="101"/>
      <c r="E26" s="101"/>
      <c r="F26" s="298"/>
      <c r="G26" s="66"/>
    </row>
    <row r="27" spans="1:7">
      <c r="A27" s="288"/>
      <c r="B27" s="101"/>
      <c r="C27" s="101"/>
      <c r="D27" s="101"/>
      <c r="E27" s="101"/>
      <c r="F27" s="298"/>
      <c r="G27" s="66"/>
    </row>
    <row r="28" spans="1:7">
      <c r="A28" s="288"/>
      <c r="B28" s="101"/>
      <c r="C28" s="101"/>
      <c r="D28" s="101"/>
      <c r="E28" s="101"/>
      <c r="F28" s="298"/>
      <c r="G28" s="66"/>
    </row>
    <row r="29" spans="1:7">
      <c r="A29" s="288"/>
      <c r="B29" s="101"/>
      <c r="C29" s="101"/>
      <c r="D29" s="101"/>
      <c r="E29" s="101"/>
      <c r="F29" s="298"/>
    </row>
    <row r="30" spans="1:7">
      <c r="A30" s="308"/>
      <c r="B30" s="309"/>
      <c r="C30" s="309"/>
      <c r="D30" s="309"/>
      <c r="E30" s="309"/>
      <c r="F30" s="311"/>
    </row>
    <row r="31" spans="1:7">
      <c r="A31" s="308"/>
      <c r="B31" s="309"/>
      <c r="C31" s="309"/>
      <c r="D31" s="309"/>
      <c r="E31" s="309"/>
      <c r="F31" s="311"/>
    </row>
    <row r="32" spans="1:7">
      <c r="A32" s="308"/>
      <c r="B32" s="309"/>
      <c r="C32" s="309"/>
      <c r="D32" s="309"/>
      <c r="E32" s="309"/>
      <c r="F32" s="311"/>
    </row>
    <row r="33" spans="1:6">
      <c r="A33" s="312"/>
      <c r="B33" s="313"/>
      <c r="C33" s="313"/>
      <c r="D33" s="313"/>
      <c r="E33" s="313"/>
      <c r="F33" s="314"/>
    </row>
    <row r="34" spans="1:6" ht="28.5" customHeight="1">
      <c r="A34" s="315"/>
      <c r="B34" s="315"/>
      <c r="C34" s="315"/>
      <c r="D34" s="316">
        <f>SUM(D11:D33)</f>
        <v>39668960.939999998</v>
      </c>
      <c r="E34" s="316">
        <f>SUM(E11:E33)</f>
        <v>39668960.939999998</v>
      </c>
      <c r="F34" s="316">
        <f>SUM(F11:F33)</f>
        <v>0</v>
      </c>
    </row>
    <row r="37" spans="1:6">
      <c r="D37" s="1147"/>
      <c r="E37" s="1147"/>
    </row>
    <row r="38" spans="1:6">
      <c r="D38" s="1147"/>
      <c r="E38" s="1147"/>
    </row>
  </sheetData>
  <mergeCells count="5">
    <mergeCell ref="A7:F7"/>
    <mergeCell ref="A9:A10"/>
    <mergeCell ref="B9:B10"/>
    <mergeCell ref="D37:E37"/>
    <mergeCell ref="D38:E38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M173"/>
  <sheetViews>
    <sheetView topLeftCell="A25" workbookViewId="0">
      <selection activeCell="B62" sqref="A1:C62"/>
    </sheetView>
  </sheetViews>
  <sheetFormatPr defaultRowHeight="12.75"/>
  <cols>
    <col min="1" max="1" width="51.28515625" customWidth="1"/>
    <col min="2" max="2" width="18.5703125" customWidth="1"/>
    <col min="3" max="3" width="21.140625" customWidth="1"/>
    <col min="5" max="5" width="21" customWidth="1"/>
    <col min="6" max="6" width="13.5703125" bestFit="1" customWidth="1"/>
    <col min="7" max="8" width="11.5703125" bestFit="1" customWidth="1"/>
    <col min="9" max="9" width="12.140625" bestFit="1" customWidth="1"/>
    <col min="10" max="10" width="11.5703125" bestFit="1" customWidth="1"/>
    <col min="11" max="11" width="12.5703125" bestFit="1" customWidth="1"/>
    <col min="12" max="12" width="12.140625" bestFit="1" customWidth="1"/>
    <col min="13" max="13" width="14.5703125" bestFit="1" customWidth="1"/>
  </cols>
  <sheetData>
    <row r="1" spans="1:5" ht="15.75">
      <c r="A1" s="164" t="s">
        <v>354</v>
      </c>
      <c r="B1" s="165" t="s">
        <v>355</v>
      </c>
      <c r="C1" s="166"/>
    </row>
    <row r="2" spans="1:5" ht="15.75">
      <c r="A2" s="164" t="s">
        <v>356</v>
      </c>
      <c r="B2" s="167" t="s">
        <v>357</v>
      </c>
      <c r="C2" s="168"/>
    </row>
    <row r="3" spans="1:5">
      <c r="A3" s="169"/>
      <c r="B3" s="169"/>
      <c r="C3" s="169"/>
    </row>
    <row r="4" spans="1:5">
      <c r="A4" s="170"/>
      <c r="B4" s="171"/>
      <c r="C4" s="169"/>
    </row>
    <row r="5" spans="1:5">
      <c r="A5" s="65" t="s">
        <v>969</v>
      </c>
      <c r="B5" s="172"/>
      <c r="C5" s="66"/>
      <c r="D5" s="66"/>
      <c r="E5" s="66"/>
    </row>
    <row r="6" spans="1:5">
      <c r="A6" s="65" t="s">
        <v>1035</v>
      </c>
      <c r="B6" s="172"/>
      <c r="C6" s="66"/>
      <c r="D6" s="66"/>
      <c r="E6" s="69"/>
    </row>
    <row r="7" spans="1:5">
      <c r="A7" s="70" t="s">
        <v>256</v>
      </c>
      <c r="B7" s="172"/>
      <c r="C7" s="173"/>
      <c r="D7" s="66"/>
      <c r="E7" s="67"/>
    </row>
    <row r="8" spans="1:5">
      <c r="A8" s="174"/>
      <c r="B8" s="175"/>
      <c r="C8" s="169"/>
    </row>
    <row r="9" spans="1:5" ht="15.75">
      <c r="A9" s="169"/>
      <c r="B9" s="169"/>
      <c r="C9" s="164">
        <v>2016</v>
      </c>
    </row>
    <row r="10" spans="1:5" ht="14.25">
      <c r="A10" s="176" t="s">
        <v>215</v>
      </c>
      <c r="B10" s="177" t="s">
        <v>358</v>
      </c>
      <c r="C10" s="177" t="s">
        <v>359</v>
      </c>
    </row>
    <row r="11" spans="1:5">
      <c r="A11" s="178" t="s">
        <v>360</v>
      </c>
      <c r="B11" s="635">
        <f>PASH!G7+PASH!G26</f>
        <v>169819752.65000001</v>
      </c>
      <c r="C11" s="635">
        <f>B11</f>
        <v>169819752.65000001</v>
      </c>
    </row>
    <row r="12" spans="1:5">
      <c r="A12" s="178" t="s">
        <v>361</v>
      </c>
      <c r="B12" s="635">
        <f>-PASH!G11-PASH!G14-PASH!G19-PASH!G20-PASH!G30</f>
        <v>166136477.25</v>
      </c>
      <c r="C12" s="635">
        <f>B12-C13</f>
        <v>165877677.25</v>
      </c>
    </row>
    <row r="13" spans="1:5">
      <c r="A13" s="178" t="s">
        <v>362</v>
      </c>
      <c r="B13" s="179"/>
      <c r="C13" s="952">
        <f>C25+C28+C24</f>
        <v>258800</v>
      </c>
      <c r="E13" s="636"/>
    </row>
    <row r="14" spans="1:5">
      <c r="A14" s="169" t="s">
        <v>363</v>
      </c>
      <c r="B14" s="179"/>
      <c r="C14" s="180" t="s">
        <v>364</v>
      </c>
    </row>
    <row r="15" spans="1:5">
      <c r="A15" s="169" t="s">
        <v>365</v>
      </c>
      <c r="B15" s="179"/>
      <c r="C15" s="180" t="s">
        <v>366</v>
      </c>
    </row>
    <row r="16" spans="1:5" ht="30.75" customHeight="1">
      <c r="A16" s="181" t="s">
        <v>367</v>
      </c>
      <c r="B16" s="179"/>
      <c r="C16" s="180" t="s">
        <v>368</v>
      </c>
    </row>
    <row r="17" spans="1:3">
      <c r="A17" s="169" t="s">
        <v>369</v>
      </c>
      <c r="B17" s="179"/>
      <c r="C17" s="180" t="s">
        <v>370</v>
      </c>
    </row>
    <row r="18" spans="1:3">
      <c r="A18" s="169" t="s">
        <v>371</v>
      </c>
      <c r="B18" s="179"/>
      <c r="C18" s="180" t="s">
        <v>372</v>
      </c>
    </row>
    <row r="19" spans="1:3">
      <c r="A19" s="169" t="s">
        <v>373</v>
      </c>
      <c r="B19" s="179"/>
      <c r="C19" s="180" t="s">
        <v>374</v>
      </c>
    </row>
    <row r="20" spans="1:3" ht="27.75" customHeight="1">
      <c r="A20" s="181" t="s">
        <v>375</v>
      </c>
      <c r="B20" s="179"/>
      <c r="C20" s="180" t="s">
        <v>376</v>
      </c>
    </row>
    <row r="21" spans="1:3">
      <c r="A21" s="169" t="s">
        <v>377</v>
      </c>
      <c r="B21" s="179"/>
      <c r="C21" s="182"/>
    </row>
    <row r="22" spans="1:3">
      <c r="A22" s="169" t="s">
        <v>378</v>
      </c>
      <c r="B22" s="179"/>
      <c r="C22" s="180" t="s">
        <v>379</v>
      </c>
    </row>
    <row r="23" spans="1:3" ht="31.5" customHeight="1">
      <c r="A23" s="181" t="s">
        <v>380</v>
      </c>
      <c r="B23" s="179"/>
      <c r="C23" s="180" t="s">
        <v>381</v>
      </c>
    </row>
    <row r="24" spans="1:3">
      <c r="A24" s="169" t="s">
        <v>382</v>
      </c>
      <c r="B24" s="179"/>
      <c r="C24" s="635"/>
    </row>
    <row r="25" spans="1:3">
      <c r="A25" s="169" t="s">
        <v>383</v>
      </c>
      <c r="B25" s="179"/>
      <c r="C25" s="635"/>
    </row>
    <row r="26" spans="1:3">
      <c r="A26" s="169" t="s">
        <v>384</v>
      </c>
      <c r="B26" s="179"/>
      <c r="C26" s="180" t="s">
        <v>385</v>
      </c>
    </row>
    <row r="27" spans="1:3">
      <c r="A27" s="169" t="s">
        <v>386</v>
      </c>
      <c r="B27" s="179"/>
      <c r="C27" s="182"/>
    </row>
    <row r="28" spans="1:3">
      <c r="A28" s="169" t="s">
        <v>387</v>
      </c>
      <c r="B28" s="179"/>
      <c r="C28" s="637">
        <f>78000+180800</f>
        <v>258800</v>
      </c>
    </row>
    <row r="29" spans="1:3" ht="36" customHeight="1">
      <c r="A29" s="181" t="s">
        <v>388</v>
      </c>
      <c r="B29" s="179"/>
      <c r="C29" s="180" t="s">
        <v>389</v>
      </c>
    </row>
    <row r="30" spans="1:3">
      <c r="A30" s="169" t="s">
        <v>390</v>
      </c>
      <c r="B30" s="179"/>
      <c r="C30" s="180" t="s">
        <v>391</v>
      </c>
    </row>
    <row r="31" spans="1:3" ht="41.25" customHeight="1">
      <c r="A31" s="181" t="s">
        <v>392</v>
      </c>
      <c r="B31" s="179"/>
      <c r="C31" s="180" t="s">
        <v>393</v>
      </c>
    </row>
    <row r="32" spans="1:3">
      <c r="A32" s="169" t="s">
        <v>394</v>
      </c>
      <c r="B32" s="179"/>
      <c r="C32" s="180" t="s">
        <v>395</v>
      </c>
    </row>
    <row r="33" spans="1:13">
      <c r="A33" s="169"/>
      <c r="B33" s="179"/>
      <c r="C33" s="180"/>
    </row>
    <row r="34" spans="1:13">
      <c r="A34" s="183" t="s">
        <v>396</v>
      </c>
      <c r="B34" s="184"/>
      <c r="C34" s="185"/>
    </row>
    <row r="35" spans="1:13">
      <c r="A35" s="178" t="s">
        <v>397</v>
      </c>
      <c r="B35" s="638"/>
      <c r="C35" s="639"/>
      <c r="E35" s="346">
        <f>C35*15%</f>
        <v>0</v>
      </c>
    </row>
    <row r="36" spans="1:13">
      <c r="A36" s="178" t="s">
        <v>398</v>
      </c>
      <c r="B36" s="638">
        <f>B11-B12</f>
        <v>3683275.400000006</v>
      </c>
      <c r="C36" s="639">
        <f>C11-C12</f>
        <v>3942075.400000006</v>
      </c>
      <c r="E36" s="640"/>
    </row>
    <row r="37" spans="1:13">
      <c r="A37" s="169" t="s">
        <v>399</v>
      </c>
      <c r="B37" s="641"/>
      <c r="C37" s="180" t="s">
        <v>400</v>
      </c>
    </row>
    <row r="38" spans="1:13">
      <c r="A38" s="169" t="s">
        <v>401</v>
      </c>
      <c r="B38" s="642"/>
      <c r="C38" s="180" t="s">
        <v>402</v>
      </c>
    </row>
    <row r="39" spans="1:13">
      <c r="A39" s="169" t="s">
        <v>403</v>
      </c>
      <c r="B39" s="643"/>
      <c r="C39" s="180" t="s">
        <v>404</v>
      </c>
      <c r="E39" s="180"/>
    </row>
    <row r="40" spans="1:13">
      <c r="A40" s="169" t="s">
        <v>405</v>
      </c>
      <c r="B40" s="180" t="s">
        <v>406</v>
      </c>
      <c r="C40" s="180" t="s">
        <v>407</v>
      </c>
    </row>
    <row r="41" spans="1:13">
      <c r="A41" s="169" t="s">
        <v>408</v>
      </c>
      <c r="B41" s="180"/>
      <c r="C41" s="180" t="s">
        <v>409</v>
      </c>
    </row>
    <row r="42" spans="1:13">
      <c r="A42" s="169" t="s">
        <v>410</v>
      </c>
      <c r="B42" s="182"/>
      <c r="C42" s="639">
        <v>3942075.4</v>
      </c>
      <c r="E42" s="644" t="s">
        <v>842</v>
      </c>
      <c r="F42" s="33">
        <v>2009</v>
      </c>
      <c r="G42" s="33">
        <v>2010</v>
      </c>
      <c r="H42" s="33">
        <v>2011</v>
      </c>
      <c r="I42" s="33">
        <v>2012</v>
      </c>
      <c r="J42" s="33">
        <v>2013</v>
      </c>
      <c r="K42" s="33">
        <v>2014</v>
      </c>
      <c r="L42" s="33">
        <v>2015</v>
      </c>
      <c r="M42" s="33">
        <v>2016</v>
      </c>
    </row>
    <row r="43" spans="1:13">
      <c r="A43" s="169" t="s">
        <v>411</v>
      </c>
      <c r="B43" s="180" t="s">
        <v>412</v>
      </c>
      <c r="C43" s="639">
        <f>C42*15%</f>
        <v>591311.30999999994</v>
      </c>
      <c r="E43" s="645">
        <f>328740870.5-35268320-27569193.7-25404174.5</f>
        <v>240499182.30000001</v>
      </c>
      <c r="F43" s="645">
        <f>35268320.7</f>
        <v>35268320.700000003</v>
      </c>
      <c r="G43" s="645">
        <v>27569193</v>
      </c>
      <c r="H43" s="645">
        <v>25404174.5</v>
      </c>
      <c r="I43" s="645">
        <v>34412629.950000003</v>
      </c>
      <c r="J43" s="645">
        <v>26832001.399999999</v>
      </c>
      <c r="K43" s="645">
        <v>15582183.800000001</v>
      </c>
      <c r="L43" s="645">
        <f>[2]shpenzime!H47</f>
        <v>-14054014.5</v>
      </c>
      <c r="M43" s="346">
        <f>'[2]Pasiv '!H15</f>
        <v>-11092756.799999982</v>
      </c>
    </row>
    <row r="44" spans="1:13">
      <c r="A44" s="169" t="s">
        <v>413</v>
      </c>
      <c r="B44" s="180" t="s">
        <v>414</v>
      </c>
      <c r="C44" s="180" t="s">
        <v>415</v>
      </c>
      <c r="F44" s="346"/>
    </row>
    <row r="45" spans="1:13">
      <c r="A45" s="169" t="s">
        <v>416</v>
      </c>
      <c r="B45" s="180"/>
      <c r="C45" s="180" t="s">
        <v>417</v>
      </c>
    </row>
    <row r="46" spans="1:13">
      <c r="A46" s="169" t="s">
        <v>418</v>
      </c>
      <c r="B46" s="180"/>
      <c r="C46" s="180" t="s">
        <v>419</v>
      </c>
    </row>
    <row r="47" spans="1:13">
      <c r="A47" s="169" t="s">
        <v>420</v>
      </c>
      <c r="B47" s="180"/>
      <c r="C47" s="180" t="s">
        <v>421</v>
      </c>
      <c r="E47" s="346">
        <f>-'[2]Pasiv '!H14</f>
        <v>419621668.24000001</v>
      </c>
    </row>
    <row r="48" spans="1:13">
      <c r="A48" s="169" t="s">
        <v>422</v>
      </c>
      <c r="B48" s="180"/>
      <c r="C48" s="180" t="s">
        <v>423</v>
      </c>
      <c r="E48" s="346">
        <f>B37+B38+B39</f>
        <v>0</v>
      </c>
    </row>
    <row r="49" spans="1:5">
      <c r="A49" s="169" t="s">
        <v>424</v>
      </c>
      <c r="B49" s="180"/>
      <c r="C49" s="180" t="s">
        <v>425</v>
      </c>
      <c r="E49" s="346">
        <f>SUM(E47:E48)</f>
        <v>419621668.24000001</v>
      </c>
    </row>
    <row r="50" spans="1:5">
      <c r="A50" s="169"/>
      <c r="B50" s="186"/>
      <c r="C50" s="186"/>
      <c r="E50" s="636"/>
    </row>
    <row r="51" spans="1:5">
      <c r="A51" s="178" t="s">
        <v>426</v>
      </c>
      <c r="B51" s="186"/>
      <c r="C51" s="186"/>
    </row>
    <row r="52" spans="1:5">
      <c r="A52" s="169" t="s">
        <v>427</v>
      </c>
      <c r="B52" s="646">
        <f>SUM(B53:B56)</f>
        <v>0</v>
      </c>
      <c r="C52" s="647">
        <f>SUM(C53:C56)</f>
        <v>0</v>
      </c>
    </row>
    <row r="53" spans="1:5">
      <c r="A53" s="169" t="s">
        <v>428</v>
      </c>
      <c r="B53" s="648"/>
      <c r="C53" s="648"/>
    </row>
    <row r="54" spans="1:5">
      <c r="A54" s="169" t="s">
        <v>429</v>
      </c>
      <c r="B54" s="648"/>
      <c r="C54" s="648"/>
      <c r="E54" s="636"/>
    </row>
    <row r="55" spans="1:5">
      <c r="A55" s="169" t="s">
        <v>430</v>
      </c>
      <c r="B55" s="648"/>
      <c r="C55" s="648"/>
      <c r="E55" s="636"/>
    </row>
    <row r="56" spans="1:5">
      <c r="A56" s="169" t="s">
        <v>431</v>
      </c>
      <c r="B56" s="648"/>
      <c r="C56" s="648"/>
    </row>
    <row r="57" spans="1:5">
      <c r="A57" s="178" t="s">
        <v>432</v>
      </c>
      <c r="B57" s="648"/>
      <c r="C57" s="648"/>
    </row>
    <row r="58" spans="1:5">
      <c r="A58" s="169"/>
      <c r="B58" s="187"/>
      <c r="C58" s="169"/>
    </row>
    <row r="59" spans="1:5">
      <c r="A59" s="178" t="s">
        <v>433</v>
      </c>
      <c r="B59" s="169"/>
      <c r="C59" s="169"/>
    </row>
    <row r="60" spans="1:5">
      <c r="A60" s="169"/>
      <c r="B60" s="169"/>
      <c r="C60" s="169"/>
    </row>
    <row r="61" spans="1:5" ht="15.75">
      <c r="A61" s="188" t="s">
        <v>843</v>
      </c>
      <c r="B61" s="967" t="s">
        <v>847</v>
      </c>
      <c r="C61" s="967"/>
    </row>
    <row r="62" spans="1:5">
      <c r="A62" s="169"/>
      <c r="B62" s="968" t="s">
        <v>1036</v>
      </c>
      <c r="C62" s="968"/>
    </row>
    <row r="63" spans="1:5" ht="27" hidden="1">
      <c r="A63" s="189">
        <v>2009</v>
      </c>
      <c r="B63" s="169"/>
      <c r="C63" s="169"/>
    </row>
    <row r="64" spans="1:5" hidden="1">
      <c r="B64" s="649"/>
    </row>
    <row r="65" spans="1:3" ht="19.5" hidden="1">
      <c r="A65" s="190" t="s">
        <v>434</v>
      </c>
      <c r="B65" s="650" t="s">
        <v>435</v>
      </c>
      <c r="C65" s="191" t="s">
        <v>436</v>
      </c>
    </row>
    <row r="66" spans="1:3" ht="15" hidden="1">
      <c r="A66" s="34" t="s">
        <v>437</v>
      </c>
      <c r="B66" s="651">
        <f>4762.51*80</f>
        <v>381000.80000000005</v>
      </c>
      <c r="C66" s="652" t="s">
        <v>438</v>
      </c>
    </row>
    <row r="67" spans="1:3" ht="15" hidden="1">
      <c r="A67" s="34" t="s">
        <v>439</v>
      </c>
      <c r="B67" s="651">
        <f>885.85*80+32.13*80</f>
        <v>73438.399999999994</v>
      </c>
      <c r="C67" s="652" t="s">
        <v>440</v>
      </c>
    </row>
    <row r="68" spans="1:3" ht="15" hidden="1">
      <c r="A68" s="34" t="s">
        <v>441</v>
      </c>
      <c r="B68" s="651">
        <f>2185.94*80</f>
        <v>174875.2</v>
      </c>
      <c r="C68" s="652" t="s">
        <v>442</v>
      </c>
    </row>
    <row r="69" spans="1:3" ht="15" hidden="1">
      <c r="A69" s="34" t="s">
        <v>443</v>
      </c>
      <c r="B69" s="651">
        <f>36813.84*80</f>
        <v>2945107.1999999997</v>
      </c>
      <c r="C69" s="652" t="s">
        <v>444</v>
      </c>
    </row>
    <row r="70" spans="1:3" ht="15" hidden="1">
      <c r="A70" s="34" t="s">
        <v>445</v>
      </c>
      <c r="B70" s="651">
        <f>(875-250)*80</f>
        <v>50000</v>
      </c>
      <c r="C70" s="652" t="s">
        <v>446</v>
      </c>
    </row>
    <row r="71" spans="1:3" ht="15" hidden="1">
      <c r="A71" s="34" t="s">
        <v>447</v>
      </c>
      <c r="B71" s="651">
        <f>6021.82*80</f>
        <v>481745.6</v>
      </c>
      <c r="C71" s="652" t="s">
        <v>448</v>
      </c>
    </row>
    <row r="72" spans="1:3" ht="15" hidden="1">
      <c r="A72" s="34" t="s">
        <v>449</v>
      </c>
      <c r="B72" s="651">
        <f>4451.06*80</f>
        <v>356084.80000000005</v>
      </c>
      <c r="C72" s="652" t="s">
        <v>450</v>
      </c>
    </row>
    <row r="73" spans="1:3" ht="15" hidden="1">
      <c r="A73" s="34" t="s">
        <v>451</v>
      </c>
      <c r="B73" s="651">
        <f>7125.83*80</f>
        <v>570066.4</v>
      </c>
      <c r="C73" s="652" t="s">
        <v>452</v>
      </c>
    </row>
    <row r="74" spans="1:3" ht="15" hidden="1">
      <c r="A74" s="34" t="s">
        <v>453</v>
      </c>
      <c r="B74" s="651">
        <f>2250*80</f>
        <v>180000</v>
      </c>
      <c r="C74" s="652" t="s">
        <v>454</v>
      </c>
    </row>
    <row r="75" spans="1:3" ht="15" hidden="1">
      <c r="A75" s="34" t="s">
        <v>455</v>
      </c>
      <c r="B75" s="651">
        <f>-26213.12*80</f>
        <v>-2097049.5999999999</v>
      </c>
      <c r="C75" s="652">
        <f>-26213.12*80</f>
        <v>-2097049.5999999999</v>
      </c>
    </row>
    <row r="76" spans="1:3" ht="15" hidden="1">
      <c r="A76" s="34" t="s">
        <v>456</v>
      </c>
      <c r="B76" s="653"/>
      <c r="C76" s="652"/>
    </row>
    <row r="77" spans="1:3" ht="15" hidden="1">
      <c r="A77" s="192" t="s">
        <v>457</v>
      </c>
      <c r="B77" s="654"/>
      <c r="C77" s="654"/>
    </row>
    <row r="78" spans="1:3" ht="15" hidden="1">
      <c r="A78" s="192" t="s">
        <v>458</v>
      </c>
      <c r="B78" s="654"/>
      <c r="C78" s="654"/>
    </row>
    <row r="79" spans="1:3" ht="15" hidden="1">
      <c r="A79" s="192" t="s">
        <v>459</v>
      </c>
      <c r="B79" s="654"/>
      <c r="C79" s="654"/>
    </row>
    <row r="80" spans="1:3" ht="15" hidden="1">
      <c r="A80" s="192" t="s">
        <v>460</v>
      </c>
      <c r="B80" s="651">
        <f>16560.005*80</f>
        <v>1324800.4000000001</v>
      </c>
      <c r="C80" s="651" t="s">
        <v>461</v>
      </c>
    </row>
    <row r="81" spans="1:3" ht="15" hidden="1">
      <c r="A81" s="192" t="s">
        <v>462</v>
      </c>
      <c r="B81" s="651">
        <f>1487.11*80</f>
        <v>118968.79999999999</v>
      </c>
      <c r="C81" s="651" t="s">
        <v>463</v>
      </c>
    </row>
    <row r="82" spans="1:3" ht="15" hidden="1">
      <c r="A82" s="192" t="s">
        <v>464</v>
      </c>
      <c r="B82" s="651">
        <f>1858.96*80</f>
        <v>148716.79999999999</v>
      </c>
      <c r="C82" s="652" t="s">
        <v>465</v>
      </c>
    </row>
    <row r="83" spans="1:3" ht="15" hidden="1">
      <c r="A83" s="192" t="s">
        <v>466</v>
      </c>
      <c r="B83" s="651">
        <f>23752.5*80</f>
        <v>1900200</v>
      </c>
      <c r="C83" s="652" t="s">
        <v>467</v>
      </c>
    </row>
    <row r="84" spans="1:3" ht="15" hidden="1">
      <c r="A84" s="192" t="s">
        <v>468</v>
      </c>
      <c r="B84" s="651">
        <f>(470.46-337.5)*80</f>
        <v>10636.8</v>
      </c>
      <c r="C84" s="652" t="s">
        <v>469</v>
      </c>
    </row>
    <row r="85" spans="1:3" ht="15" hidden="1">
      <c r="A85" s="192"/>
      <c r="B85" s="654"/>
      <c r="C85" s="654"/>
    </row>
    <row r="86" spans="1:3" hidden="1">
      <c r="A86" s="68"/>
      <c r="B86" s="655"/>
    </row>
    <row r="87" spans="1:3" hidden="1">
      <c r="B87" s="649"/>
    </row>
    <row r="88" spans="1:3" s="33" customFormat="1" ht="15.75" hidden="1">
      <c r="A88" s="193" t="s">
        <v>470</v>
      </c>
      <c r="B88" s="656">
        <f>SUM(B66:B87)</f>
        <v>6618591.6000000006</v>
      </c>
      <c r="C88" s="194"/>
    </row>
    <row r="89" spans="1:3" hidden="1">
      <c r="B89" s="649"/>
    </row>
    <row r="90" spans="1:3">
      <c r="B90" s="649"/>
    </row>
    <row r="91" spans="1:3" s="195" customFormat="1" ht="30">
      <c r="A91" s="657" t="s">
        <v>844</v>
      </c>
      <c r="B91" s="658"/>
    </row>
    <row r="92" spans="1:3">
      <c r="B92" s="659"/>
    </row>
    <row r="93" spans="1:3">
      <c r="A93" s="660"/>
      <c r="B93" s="661"/>
      <c r="C93" s="662">
        <f>B93/120</f>
        <v>0</v>
      </c>
    </row>
    <row r="94" spans="1:3">
      <c r="A94" s="660" t="s">
        <v>845</v>
      </c>
      <c r="B94" s="661">
        <f>'[2]Soc.Insur (OK )'!E28</f>
        <v>4841306</v>
      </c>
      <c r="C94" s="662">
        <f>B94/120</f>
        <v>40344.216666666667</v>
      </c>
    </row>
    <row r="95" spans="1:3">
      <c r="A95" s="660" t="s">
        <v>846</v>
      </c>
      <c r="B95" s="661">
        <f>'[2]Soc.Insur (OK )'!E27</f>
        <v>28579</v>
      </c>
      <c r="C95" s="662">
        <f>B95/120</f>
        <v>238.15833333333333</v>
      </c>
    </row>
    <row r="96" spans="1:3">
      <c r="A96" s="663"/>
      <c r="B96" s="661"/>
      <c r="C96" s="662">
        <f>B96/120</f>
        <v>0</v>
      </c>
    </row>
    <row r="97" spans="1:3">
      <c r="A97" s="195"/>
      <c r="B97" s="664"/>
      <c r="C97" s="346"/>
    </row>
    <row r="98" spans="1:3">
      <c r="B98" s="649"/>
    </row>
    <row r="99" spans="1:3" s="667" customFormat="1" ht="22.5" customHeight="1">
      <c r="A99" s="665" t="s">
        <v>470</v>
      </c>
      <c r="B99" s="666">
        <f>SUM(B93:B98)</f>
        <v>4869885</v>
      </c>
      <c r="C99" s="666">
        <f>SUM(C93:C98)</f>
        <v>40582.375</v>
      </c>
    </row>
    <row r="100" spans="1:3">
      <c r="B100" s="649"/>
    </row>
    <row r="101" spans="1:3">
      <c r="B101" s="649"/>
    </row>
    <row r="102" spans="1:3">
      <c r="B102" s="649"/>
    </row>
    <row r="103" spans="1:3">
      <c r="B103" s="649"/>
    </row>
    <row r="104" spans="1:3">
      <c r="B104" s="649"/>
    </row>
    <row r="105" spans="1:3">
      <c r="B105" s="649"/>
    </row>
    <row r="106" spans="1:3">
      <c r="B106" s="649"/>
    </row>
    <row r="107" spans="1:3">
      <c r="B107" s="649"/>
    </row>
    <row r="108" spans="1:3">
      <c r="B108" s="649"/>
    </row>
    <row r="109" spans="1:3">
      <c r="B109" s="649"/>
    </row>
    <row r="110" spans="1:3">
      <c r="B110" s="649"/>
    </row>
    <row r="111" spans="1:3">
      <c r="B111" s="649"/>
    </row>
    <row r="112" spans="1:3">
      <c r="B112" s="649"/>
    </row>
    <row r="113" spans="2:2">
      <c r="B113" s="649"/>
    </row>
    <row r="114" spans="2:2">
      <c r="B114" s="649"/>
    </row>
    <row r="115" spans="2:2">
      <c r="B115" s="649"/>
    </row>
    <row r="116" spans="2:2">
      <c r="B116" s="649"/>
    </row>
    <row r="117" spans="2:2">
      <c r="B117" s="649"/>
    </row>
    <row r="118" spans="2:2">
      <c r="B118" s="649"/>
    </row>
    <row r="119" spans="2:2">
      <c r="B119" s="649"/>
    </row>
    <row r="120" spans="2:2">
      <c r="B120" s="649"/>
    </row>
    <row r="121" spans="2:2">
      <c r="B121" s="649"/>
    </row>
    <row r="122" spans="2:2">
      <c r="B122" s="649"/>
    </row>
    <row r="123" spans="2:2">
      <c r="B123" s="649"/>
    </row>
    <row r="124" spans="2:2">
      <c r="B124" s="649"/>
    </row>
    <row r="125" spans="2:2">
      <c r="B125" s="649"/>
    </row>
    <row r="126" spans="2:2">
      <c r="B126" s="649"/>
    </row>
    <row r="127" spans="2:2">
      <c r="B127" s="649"/>
    </row>
    <row r="128" spans="2:2">
      <c r="B128" s="649"/>
    </row>
    <row r="129" spans="2:2">
      <c r="B129" s="649"/>
    </row>
    <row r="130" spans="2:2">
      <c r="B130" s="649"/>
    </row>
    <row r="131" spans="2:2">
      <c r="B131" s="649"/>
    </row>
    <row r="132" spans="2:2">
      <c r="B132" s="649"/>
    </row>
    <row r="133" spans="2:2">
      <c r="B133" s="649"/>
    </row>
    <row r="134" spans="2:2">
      <c r="B134" s="649"/>
    </row>
    <row r="135" spans="2:2">
      <c r="B135" s="649"/>
    </row>
    <row r="136" spans="2:2">
      <c r="B136" s="649"/>
    </row>
    <row r="137" spans="2:2">
      <c r="B137" s="649"/>
    </row>
    <row r="138" spans="2:2">
      <c r="B138" s="649"/>
    </row>
    <row r="139" spans="2:2">
      <c r="B139" s="649"/>
    </row>
    <row r="140" spans="2:2">
      <c r="B140" s="649"/>
    </row>
    <row r="141" spans="2:2">
      <c r="B141" s="649"/>
    </row>
    <row r="142" spans="2:2">
      <c r="B142" s="649"/>
    </row>
    <row r="143" spans="2:2">
      <c r="B143" s="649"/>
    </row>
    <row r="144" spans="2:2">
      <c r="B144" s="649"/>
    </row>
    <row r="145" spans="2:2">
      <c r="B145" s="649"/>
    </row>
    <row r="146" spans="2:2">
      <c r="B146" s="649"/>
    </row>
    <row r="147" spans="2:2">
      <c r="B147" s="649"/>
    </row>
    <row r="148" spans="2:2">
      <c r="B148" s="649"/>
    </row>
    <row r="149" spans="2:2">
      <c r="B149" s="649"/>
    </row>
    <row r="150" spans="2:2">
      <c r="B150" s="649"/>
    </row>
    <row r="151" spans="2:2">
      <c r="B151" s="649"/>
    </row>
    <row r="152" spans="2:2">
      <c r="B152" s="649"/>
    </row>
    <row r="153" spans="2:2">
      <c r="B153" s="649"/>
    </row>
    <row r="154" spans="2:2">
      <c r="B154" s="649"/>
    </row>
    <row r="155" spans="2:2">
      <c r="B155" s="649"/>
    </row>
    <row r="156" spans="2:2">
      <c r="B156" s="649"/>
    </row>
    <row r="157" spans="2:2">
      <c r="B157" s="649"/>
    </row>
    <row r="158" spans="2:2">
      <c r="B158" s="649"/>
    </row>
    <row r="159" spans="2:2">
      <c r="B159" s="649"/>
    </row>
    <row r="160" spans="2:2">
      <c r="B160" s="649"/>
    </row>
    <row r="161" spans="2:2">
      <c r="B161" s="649"/>
    </row>
    <row r="162" spans="2:2">
      <c r="B162" s="649"/>
    </row>
    <row r="163" spans="2:2">
      <c r="B163" s="649"/>
    </row>
    <row r="164" spans="2:2">
      <c r="B164" s="649"/>
    </row>
    <row r="165" spans="2:2">
      <c r="B165" s="649"/>
    </row>
    <row r="166" spans="2:2">
      <c r="B166" s="649"/>
    </row>
    <row r="167" spans="2:2">
      <c r="B167" s="649"/>
    </row>
    <row r="168" spans="2:2">
      <c r="B168" s="649"/>
    </row>
    <row r="169" spans="2:2">
      <c r="B169" s="649"/>
    </row>
    <row r="170" spans="2:2">
      <c r="B170" s="649"/>
    </row>
    <row r="171" spans="2:2">
      <c r="B171" s="649"/>
    </row>
    <row r="172" spans="2:2">
      <c r="B172" s="649"/>
    </row>
    <row r="173" spans="2:2">
      <c r="B173" s="649"/>
    </row>
  </sheetData>
  <mergeCells count="2">
    <mergeCell ref="B61:C61"/>
    <mergeCell ref="B62:C6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F0"/>
  </sheetPr>
  <dimension ref="A1:G30"/>
  <sheetViews>
    <sheetView workbookViewId="0">
      <selection sqref="A1:F23"/>
    </sheetView>
  </sheetViews>
  <sheetFormatPr defaultRowHeight="12.75"/>
  <cols>
    <col min="1" max="1" width="6.5703125" customWidth="1"/>
    <col min="2" max="2" width="36.140625" customWidth="1"/>
    <col min="3" max="6" width="11.42578125" customWidth="1"/>
  </cols>
  <sheetData>
    <row r="1" spans="1:7">
      <c r="A1" s="65" t="s">
        <v>969</v>
      </c>
      <c r="B1" s="66"/>
      <c r="C1" s="66"/>
      <c r="D1" s="66"/>
      <c r="E1" s="66"/>
      <c r="F1" s="66"/>
    </row>
    <row r="2" spans="1:7">
      <c r="A2" s="65" t="s">
        <v>968</v>
      </c>
      <c r="B2" s="66"/>
      <c r="C2" s="66"/>
      <c r="D2" s="66"/>
      <c r="E2" s="69"/>
      <c r="F2" s="66"/>
    </row>
    <row r="3" spans="1:7">
      <c r="A3" s="70" t="s">
        <v>256</v>
      </c>
      <c r="B3" s="66"/>
      <c r="C3" s="66"/>
      <c r="D3" s="66"/>
      <c r="E3" s="67"/>
      <c r="F3" s="66"/>
    </row>
    <row r="4" spans="1:7" ht="15">
      <c r="B4" s="66"/>
      <c r="D4" s="289"/>
      <c r="E4" s="290"/>
      <c r="F4" s="66"/>
    </row>
    <row r="5" spans="1:7">
      <c r="A5" s="66"/>
      <c r="B5" s="66"/>
      <c r="D5" s="291"/>
      <c r="E5" s="66"/>
      <c r="F5" s="66"/>
    </row>
    <row r="6" spans="1:7">
      <c r="A6" s="66"/>
      <c r="B6" s="66"/>
      <c r="C6" s="66"/>
      <c r="D6" s="66"/>
      <c r="E6" s="66"/>
      <c r="F6" s="66"/>
    </row>
    <row r="7" spans="1:7" ht="14.25">
      <c r="A7" s="1148" t="s">
        <v>727</v>
      </c>
      <c r="B7" s="1148"/>
      <c r="C7" s="1148"/>
      <c r="D7" s="1148"/>
      <c r="E7" s="1148"/>
      <c r="F7" s="1148"/>
    </row>
    <row r="8" spans="1:7">
      <c r="A8" s="66"/>
      <c r="B8" s="66"/>
      <c r="C8" s="66"/>
      <c r="D8" s="66"/>
      <c r="E8" s="66"/>
      <c r="F8" s="66"/>
    </row>
    <row r="9" spans="1:7" ht="38.25">
      <c r="A9" s="334" t="s">
        <v>268</v>
      </c>
      <c r="B9" s="334" t="s">
        <v>215</v>
      </c>
      <c r="C9" s="335" t="s">
        <v>675</v>
      </c>
      <c r="D9" s="335" t="s">
        <v>676</v>
      </c>
      <c r="E9" s="335" t="s">
        <v>677</v>
      </c>
      <c r="F9" s="335" t="s">
        <v>678</v>
      </c>
      <c r="G9" s="293"/>
    </row>
    <row r="10" spans="1:7" ht="17.25" customHeight="1">
      <c r="A10" s="287">
        <v>1</v>
      </c>
      <c r="B10" s="898" t="s">
        <v>970</v>
      </c>
      <c r="C10" s="99" t="s">
        <v>979</v>
      </c>
      <c r="D10" s="99" t="s">
        <v>982</v>
      </c>
      <c r="E10" s="898" t="s">
        <v>983</v>
      </c>
      <c r="F10" s="900">
        <v>3551006</v>
      </c>
    </row>
    <row r="11" spans="1:7" ht="17.25" customHeight="1">
      <c r="A11" s="288">
        <v>2</v>
      </c>
      <c r="B11" s="898" t="s">
        <v>971</v>
      </c>
      <c r="C11" s="101" t="s">
        <v>979</v>
      </c>
      <c r="D11" s="101" t="s">
        <v>982</v>
      </c>
      <c r="E11" s="898" t="s">
        <v>984</v>
      </c>
      <c r="F11" s="900">
        <v>2650000</v>
      </c>
    </row>
    <row r="12" spans="1:7" ht="17.25" customHeight="1">
      <c r="A12" s="288">
        <v>3</v>
      </c>
      <c r="B12" s="898" t="s">
        <v>972</v>
      </c>
      <c r="C12" s="101" t="s">
        <v>979</v>
      </c>
      <c r="D12" s="101" t="s">
        <v>982</v>
      </c>
      <c r="E12" s="898" t="s">
        <v>985</v>
      </c>
      <c r="F12" s="901">
        <v>5155249</v>
      </c>
    </row>
    <row r="13" spans="1:7" ht="17.25" customHeight="1">
      <c r="A13" s="288">
        <v>4</v>
      </c>
      <c r="B13" s="898" t="s">
        <v>973</v>
      </c>
      <c r="C13" s="101" t="s">
        <v>979</v>
      </c>
      <c r="D13" s="101" t="s">
        <v>982</v>
      </c>
      <c r="E13" s="898" t="s">
        <v>986</v>
      </c>
      <c r="F13" s="900">
        <v>1</v>
      </c>
    </row>
    <row r="14" spans="1:7" ht="17.25" customHeight="1">
      <c r="A14" s="288">
        <v>5</v>
      </c>
      <c r="B14" s="898" t="s">
        <v>974</v>
      </c>
      <c r="C14" s="101" t="s">
        <v>979</v>
      </c>
      <c r="D14" s="101" t="s">
        <v>982</v>
      </c>
      <c r="E14" s="898" t="s">
        <v>987</v>
      </c>
      <c r="F14" s="900">
        <v>7539740</v>
      </c>
    </row>
    <row r="15" spans="1:7" ht="17.25" customHeight="1">
      <c r="A15" s="288">
        <v>6</v>
      </c>
      <c r="B15" s="898" t="s">
        <v>975</v>
      </c>
      <c r="C15" s="101" t="s">
        <v>979</v>
      </c>
      <c r="D15" s="101" t="s">
        <v>982</v>
      </c>
      <c r="E15" s="898" t="s">
        <v>988</v>
      </c>
      <c r="F15" s="900">
        <v>950000</v>
      </c>
    </row>
    <row r="16" spans="1:7" ht="17.25" customHeight="1">
      <c r="A16" s="288">
        <v>7</v>
      </c>
      <c r="B16" s="898" t="s">
        <v>976</v>
      </c>
      <c r="C16" s="101" t="s">
        <v>980</v>
      </c>
      <c r="D16" s="101" t="s">
        <v>982</v>
      </c>
      <c r="E16" s="898"/>
      <c r="F16" s="900">
        <v>1</v>
      </c>
    </row>
    <row r="17" spans="1:6" ht="17.25" customHeight="1">
      <c r="A17" s="288">
        <v>8</v>
      </c>
      <c r="B17" s="898" t="s">
        <v>977</v>
      </c>
      <c r="C17" s="101" t="s">
        <v>979</v>
      </c>
      <c r="D17" s="101" t="s">
        <v>982</v>
      </c>
      <c r="E17" s="898" t="s">
        <v>989</v>
      </c>
      <c r="F17" s="900"/>
    </row>
    <row r="18" spans="1:6" ht="17.25" customHeight="1">
      <c r="A18" s="288">
        <v>9</v>
      </c>
      <c r="B18" s="898" t="s">
        <v>978</v>
      </c>
      <c r="C18" s="101" t="s">
        <v>981</v>
      </c>
      <c r="D18" s="101">
        <v>1</v>
      </c>
      <c r="E18" s="898" t="s">
        <v>990</v>
      </c>
      <c r="F18" s="298"/>
    </row>
    <row r="19" spans="1:6" ht="17.25" customHeight="1">
      <c r="A19" s="288"/>
      <c r="B19" s="899" t="s">
        <v>991</v>
      </c>
      <c r="C19" s="101"/>
      <c r="D19" s="101"/>
      <c r="E19" s="898"/>
      <c r="F19" s="298">
        <v>240000</v>
      </c>
    </row>
    <row r="20" spans="1:6" ht="17.25" customHeight="1">
      <c r="A20" s="288"/>
      <c r="B20" s="101"/>
      <c r="C20" s="101"/>
      <c r="D20" s="101"/>
      <c r="E20" s="101"/>
      <c r="F20" s="298"/>
    </row>
    <row r="21" spans="1:6" ht="17.25" customHeight="1">
      <c r="A21" s="288"/>
      <c r="B21" s="101"/>
      <c r="C21" s="101"/>
      <c r="D21" s="101"/>
      <c r="E21" s="101"/>
      <c r="F21" s="298"/>
    </row>
    <row r="22" spans="1:6" ht="17.25" customHeight="1">
      <c r="A22" s="288"/>
      <c r="B22" s="102"/>
      <c r="C22" s="102"/>
      <c r="D22" s="101"/>
      <c r="E22" s="102"/>
      <c r="F22" s="299"/>
    </row>
    <row r="23" spans="1:6" ht="24" customHeight="1">
      <c r="A23" s="292"/>
      <c r="B23" s="334" t="s">
        <v>679</v>
      </c>
      <c r="C23" s="292"/>
      <c r="D23" s="292"/>
      <c r="E23" s="292"/>
      <c r="F23" s="333">
        <f>SUM(F10:F22)</f>
        <v>20085997</v>
      </c>
    </row>
    <row r="24" spans="1:6">
      <c r="A24" s="66"/>
      <c r="B24" s="66"/>
      <c r="C24" s="66"/>
      <c r="D24" s="903"/>
      <c r="E24" s="66"/>
      <c r="F24" s="66"/>
    </row>
    <row r="25" spans="1:6">
      <c r="D25" s="903"/>
    </row>
    <row r="26" spans="1:6">
      <c r="D26" s="903"/>
      <c r="E26" s="1147"/>
      <c r="F26" s="1147"/>
    </row>
    <row r="27" spans="1:6">
      <c r="D27" s="903"/>
      <c r="E27" s="1147"/>
      <c r="F27" s="1147"/>
    </row>
    <row r="28" spans="1:6">
      <c r="D28" s="903"/>
    </row>
    <row r="29" spans="1:6">
      <c r="D29" s="902"/>
    </row>
    <row r="30" spans="1:6">
      <c r="D30" s="66"/>
    </row>
  </sheetData>
  <mergeCells count="3">
    <mergeCell ref="A7:F7"/>
    <mergeCell ref="E26:F26"/>
    <mergeCell ref="E27:F27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C2:M211"/>
  <sheetViews>
    <sheetView showGridLines="0" workbookViewId="0">
      <selection activeCell="D203" sqref="D203"/>
    </sheetView>
  </sheetViews>
  <sheetFormatPr defaultRowHeight="15.75"/>
  <cols>
    <col min="1" max="1" width="9.140625" style="564" customWidth="1"/>
    <col min="2" max="2" width="13.28515625" style="564" customWidth="1"/>
    <col min="3" max="3" width="14.7109375" style="564" customWidth="1"/>
    <col min="4" max="4" width="67.140625" style="564" customWidth="1"/>
    <col min="5" max="5" width="20.28515625" style="594" customWidth="1"/>
    <col min="6" max="6" width="20.7109375" style="595" customWidth="1"/>
    <col min="7" max="7" width="17.140625" style="564" customWidth="1"/>
    <col min="8" max="8" width="17.7109375" style="564" customWidth="1"/>
    <col min="9" max="16384" width="9.140625" style="564"/>
  </cols>
  <sheetData>
    <row r="2" spans="3:13" s="319" customFormat="1" ht="16.5">
      <c r="C2" s="540"/>
      <c r="E2" s="541"/>
    </row>
    <row r="3" spans="3:13" s="319" customFormat="1" ht="16.5">
      <c r="C3" s="540"/>
      <c r="E3" s="541"/>
    </row>
    <row r="4" spans="3:13" s="319" customFormat="1" ht="16.5">
      <c r="C4" s="540" t="s">
        <v>806</v>
      </c>
      <c r="E4" s="541"/>
    </row>
    <row r="5" spans="3:13" s="319" customFormat="1">
      <c r="E5" s="541"/>
    </row>
    <row r="6" spans="3:13" s="319" customFormat="1" ht="30" customHeight="1">
      <c r="C6" s="971" t="s">
        <v>807</v>
      </c>
      <c r="D6" s="972"/>
      <c r="E6" s="972"/>
      <c r="F6" s="972"/>
      <c r="G6" s="317"/>
      <c r="H6" s="317"/>
      <c r="I6" s="317"/>
      <c r="J6" s="317"/>
      <c r="K6" s="317"/>
      <c r="L6" s="317"/>
      <c r="M6" s="317"/>
    </row>
    <row r="7" spans="3:13" s="319" customFormat="1" ht="16.5" thickBot="1">
      <c r="E7" s="541"/>
    </row>
    <row r="8" spans="3:13" s="319" customFormat="1" ht="35.1" customHeight="1" thickBot="1">
      <c r="C8" s="542" t="s">
        <v>808</v>
      </c>
      <c r="D8" s="542" t="s">
        <v>809</v>
      </c>
      <c r="E8" s="543" t="s">
        <v>713</v>
      </c>
      <c r="F8" s="542" t="s">
        <v>692</v>
      </c>
    </row>
    <row r="9" spans="3:13" s="319" customFormat="1">
      <c r="C9" s="544"/>
      <c r="D9" s="544"/>
      <c r="E9" s="545"/>
      <c r="F9" s="544"/>
    </row>
    <row r="10" spans="3:13" s="319" customFormat="1" ht="24.95" customHeight="1">
      <c r="C10" s="546">
        <v>512105</v>
      </c>
      <c r="D10" s="547" t="s">
        <v>705</v>
      </c>
      <c r="E10" s="548">
        <v>122878.15</v>
      </c>
      <c r="F10" s="549"/>
    </row>
    <row r="11" spans="3:13" s="319" customFormat="1" ht="24.95" customHeight="1">
      <c r="C11" s="550">
        <v>51241203</v>
      </c>
      <c r="D11" s="547" t="s">
        <v>706</v>
      </c>
      <c r="E11" s="548">
        <v>0</v>
      </c>
      <c r="F11" s="551"/>
    </row>
    <row r="12" spans="3:13" s="319" customFormat="1" ht="24.95" customHeight="1">
      <c r="C12" s="550">
        <v>5124105</v>
      </c>
      <c r="D12" s="547" t="s">
        <v>707</v>
      </c>
      <c r="E12" s="548">
        <v>2862674.4</v>
      </c>
      <c r="F12" s="544"/>
    </row>
    <row r="13" spans="3:13" s="319" customFormat="1" ht="24.95" customHeight="1">
      <c r="C13" s="550">
        <v>512103</v>
      </c>
      <c r="D13" s="547" t="s">
        <v>708</v>
      </c>
      <c r="E13" s="548">
        <v>1481149.48</v>
      </c>
      <c r="F13" s="544"/>
    </row>
    <row r="14" spans="3:13" s="319" customFormat="1" ht="24.95" customHeight="1">
      <c r="C14" s="550">
        <v>5124102</v>
      </c>
      <c r="D14" s="547" t="s">
        <v>709</v>
      </c>
      <c r="E14" s="548">
        <v>3406848.04</v>
      </c>
      <c r="F14" s="544"/>
    </row>
    <row r="15" spans="3:13" s="319" customFormat="1" ht="24.95" customHeight="1">
      <c r="C15" s="550">
        <v>512106</v>
      </c>
      <c r="D15" s="547" t="s">
        <v>710</v>
      </c>
      <c r="E15" s="548">
        <v>107471.56</v>
      </c>
      <c r="F15" s="544"/>
    </row>
    <row r="16" spans="3:13" s="319" customFormat="1" ht="24.95" customHeight="1">
      <c r="C16" s="550">
        <v>51241206</v>
      </c>
      <c r="D16" s="547" t="s">
        <v>711</v>
      </c>
      <c r="E16" s="548">
        <f>297.95+16368</f>
        <v>16665.95</v>
      </c>
      <c r="F16" s="544"/>
    </row>
    <row r="17" spans="3:13" s="319" customFormat="1" ht="24.95" customHeight="1">
      <c r="C17" s="550">
        <v>5124107</v>
      </c>
      <c r="D17" s="547" t="s">
        <v>712</v>
      </c>
      <c r="E17" s="548">
        <v>431425.62</v>
      </c>
      <c r="F17" s="544"/>
    </row>
    <row r="18" spans="3:13" s="319" customFormat="1" ht="24.95" customHeight="1">
      <c r="C18" s="550">
        <v>531101</v>
      </c>
      <c r="D18" s="547" t="s">
        <v>810</v>
      </c>
      <c r="E18" s="548">
        <v>0</v>
      </c>
      <c r="F18" s="544"/>
      <c r="G18" s="552"/>
    </row>
    <row r="19" spans="3:13" s="319" customFormat="1" ht="24.95" customHeight="1">
      <c r="C19" s="550">
        <v>531102</v>
      </c>
      <c r="D19" s="547" t="s">
        <v>811</v>
      </c>
      <c r="E19" s="548">
        <v>0</v>
      </c>
      <c r="F19" s="544"/>
    </row>
    <row r="20" spans="3:13" s="319" customFormat="1" ht="24.95" customHeight="1">
      <c r="C20" s="550">
        <v>531401</v>
      </c>
      <c r="D20" s="547" t="s">
        <v>812</v>
      </c>
      <c r="E20" s="548">
        <v>270.45999999999998</v>
      </c>
      <c r="F20" s="544"/>
      <c r="G20" s="552"/>
    </row>
    <row r="21" spans="3:13" s="319" customFormat="1" ht="24.95" customHeight="1">
      <c r="C21" s="550">
        <v>531405</v>
      </c>
      <c r="D21" s="547" t="s">
        <v>813</v>
      </c>
      <c r="E21" s="548">
        <v>27.05</v>
      </c>
      <c r="F21" s="544"/>
    </row>
    <row r="22" spans="3:13" s="319" customFormat="1" ht="24.95" customHeight="1">
      <c r="C22" s="550">
        <v>531402</v>
      </c>
      <c r="D22" s="547" t="s">
        <v>814</v>
      </c>
      <c r="E22" s="548">
        <v>240.09</v>
      </c>
      <c r="F22" s="544"/>
    </row>
    <row r="23" spans="3:13" s="319" customFormat="1" ht="24.95" customHeight="1">
      <c r="C23" s="550">
        <v>531404</v>
      </c>
      <c r="D23" s="547" t="s">
        <v>815</v>
      </c>
      <c r="E23" s="548">
        <v>0</v>
      </c>
      <c r="F23" s="544"/>
    </row>
    <row r="24" spans="3:13" s="319" customFormat="1" ht="24.95" customHeight="1">
      <c r="C24" s="550"/>
      <c r="D24" s="544"/>
      <c r="E24" s="545"/>
      <c r="F24" s="544"/>
      <c r="G24" s="552"/>
    </row>
    <row r="25" spans="3:13" s="319" customFormat="1" ht="24.95" customHeight="1" thickBot="1">
      <c r="C25" s="553"/>
      <c r="D25" s="544"/>
      <c r="E25" s="545"/>
      <c r="F25" s="544"/>
    </row>
    <row r="26" spans="3:13" s="319" customFormat="1" ht="30" customHeight="1" thickBot="1">
      <c r="C26" s="973" t="s">
        <v>693</v>
      </c>
      <c r="D26" s="973"/>
      <c r="E26" s="554">
        <f>SUM(E10:E23)</f>
        <v>8429650.8000000007</v>
      </c>
      <c r="F26" s="555"/>
      <c r="G26" s="556"/>
    </row>
    <row r="27" spans="3:13" s="319" customFormat="1" ht="30" customHeight="1" thickBot="1">
      <c r="C27" s="973" t="s">
        <v>694</v>
      </c>
      <c r="D27" s="973"/>
      <c r="E27" s="554">
        <f>E26-F26</f>
        <v>8429650.8000000007</v>
      </c>
      <c r="F27" s="557"/>
    </row>
    <row r="28" spans="3:13" s="560" customFormat="1" ht="30" customHeight="1">
      <c r="C28" s="974"/>
      <c r="D28" s="974"/>
      <c r="E28" s="974"/>
      <c r="F28" s="974"/>
      <c r="G28" s="559"/>
      <c r="H28" s="559"/>
      <c r="I28" s="559"/>
      <c r="J28" s="559"/>
      <c r="K28" s="559"/>
      <c r="L28" s="559"/>
      <c r="M28" s="559"/>
    </row>
    <row r="29" spans="3:13" s="319" customFormat="1" ht="16.5">
      <c r="C29" s="540"/>
      <c r="E29" s="561"/>
      <c r="F29" s="562"/>
    </row>
    <row r="30" spans="3:13" s="319" customFormat="1" ht="16.5">
      <c r="C30" s="540"/>
      <c r="E30" s="561"/>
      <c r="F30" s="562"/>
    </row>
    <row r="31" spans="3:13" s="319" customFormat="1" ht="16.5">
      <c r="C31" s="540" t="s">
        <v>806</v>
      </c>
      <c r="E31" s="541"/>
    </row>
    <row r="32" spans="3:13" s="319" customFormat="1">
      <c r="E32" s="541"/>
    </row>
    <row r="33" spans="3:13" s="319" customFormat="1" ht="30" customHeight="1">
      <c r="C33" s="971" t="s">
        <v>816</v>
      </c>
      <c r="D33" s="972"/>
      <c r="E33" s="972"/>
      <c r="F33" s="972"/>
      <c r="G33" s="317"/>
      <c r="H33" s="317"/>
      <c r="I33" s="317"/>
      <c r="J33" s="317"/>
      <c r="K33" s="317"/>
      <c r="L33" s="317"/>
      <c r="M33" s="317"/>
    </row>
    <row r="34" spans="3:13" ht="17.25" thickBot="1">
      <c r="C34" s="318"/>
      <c r="D34" s="318"/>
      <c r="E34" s="563"/>
      <c r="F34" s="321"/>
    </row>
    <row r="35" spans="3:13" s="319" customFormat="1" ht="35.1" customHeight="1" thickBot="1">
      <c r="C35" s="542" t="s">
        <v>808</v>
      </c>
      <c r="D35" s="542" t="s">
        <v>809</v>
      </c>
      <c r="E35" s="543" t="s">
        <v>713</v>
      </c>
      <c r="F35" s="542" t="s">
        <v>692</v>
      </c>
    </row>
    <row r="36" spans="3:13" ht="16.5">
      <c r="C36" s="565"/>
      <c r="D36" s="547"/>
      <c r="E36" s="548"/>
      <c r="F36" s="566"/>
    </row>
    <row r="37" spans="3:13" ht="16.5">
      <c r="C37" s="565">
        <v>4110104</v>
      </c>
      <c r="D37" s="547" t="s">
        <v>695</v>
      </c>
      <c r="E37" s="567">
        <v>703920</v>
      </c>
      <c r="F37" s="566"/>
    </row>
    <row r="38" spans="3:13" ht="16.5">
      <c r="C38" s="565">
        <v>4110120</v>
      </c>
      <c r="D38" s="547" t="s">
        <v>696</v>
      </c>
      <c r="E38" s="567">
        <v>62100</v>
      </c>
      <c r="F38" s="566"/>
    </row>
    <row r="39" spans="3:13" ht="16.5">
      <c r="C39" s="565">
        <v>41136</v>
      </c>
      <c r="D39" s="547" t="s">
        <v>697</v>
      </c>
      <c r="E39" s="567">
        <v>-22080</v>
      </c>
      <c r="F39" s="566"/>
    </row>
    <row r="40" spans="3:13" ht="16.5">
      <c r="C40" s="565">
        <v>4110210</v>
      </c>
      <c r="D40" s="547" t="s">
        <v>698</v>
      </c>
      <c r="E40" s="567">
        <v>-5036.3999999999996</v>
      </c>
      <c r="F40" s="566"/>
    </row>
    <row r="41" spans="3:13" ht="16.5">
      <c r="C41" s="565">
        <v>4110224</v>
      </c>
      <c r="D41" s="547" t="s">
        <v>699</v>
      </c>
      <c r="E41" s="567">
        <v>83491.199999999997</v>
      </c>
      <c r="F41" s="566"/>
    </row>
    <row r="42" spans="3:13" ht="16.5">
      <c r="C42" s="565">
        <v>4110226</v>
      </c>
      <c r="D42" s="547" t="s">
        <v>700</v>
      </c>
      <c r="E42" s="567">
        <v>9999.6</v>
      </c>
      <c r="F42" s="566"/>
    </row>
    <row r="43" spans="3:13" ht="16.5">
      <c r="C43" s="565">
        <v>41120</v>
      </c>
      <c r="D43" s="547" t="s">
        <v>701</v>
      </c>
      <c r="E43" s="567">
        <v>31366.799999999999</v>
      </c>
      <c r="F43" s="566"/>
    </row>
    <row r="44" spans="3:13" ht="16.5">
      <c r="C44" s="565">
        <v>4110331</v>
      </c>
      <c r="D44" s="547" t="s">
        <v>817</v>
      </c>
      <c r="E44" s="567">
        <v>714840</v>
      </c>
      <c r="F44" s="566"/>
    </row>
    <row r="45" spans="3:13" ht="16.5">
      <c r="C45" s="565">
        <v>411042</v>
      </c>
      <c r="D45" s="547" t="s">
        <v>702</v>
      </c>
      <c r="E45" s="567">
        <v>15000</v>
      </c>
      <c r="F45" s="566"/>
    </row>
    <row r="46" spans="3:13" ht="16.5">
      <c r="C46" s="565">
        <v>41116</v>
      </c>
      <c r="D46" s="547" t="s">
        <v>703</v>
      </c>
      <c r="E46" s="567">
        <v>68310</v>
      </c>
      <c r="F46" s="566"/>
    </row>
    <row r="47" spans="3:13" ht="16.5">
      <c r="C47" s="565">
        <v>411200</v>
      </c>
      <c r="D47" s="547" t="s">
        <v>818</v>
      </c>
      <c r="E47" s="567">
        <v>79143.3</v>
      </c>
      <c r="F47" s="566"/>
    </row>
    <row r="48" spans="3:13" ht="16.5">
      <c r="C48" s="565">
        <v>41130</v>
      </c>
      <c r="D48" s="547" t="s">
        <v>704</v>
      </c>
      <c r="E48" s="567">
        <v>20499.600000000002</v>
      </c>
      <c r="F48" s="566"/>
    </row>
    <row r="49" spans="3:13" ht="16.5">
      <c r="C49" s="565">
        <v>41177</v>
      </c>
      <c r="D49" s="547" t="s">
        <v>819</v>
      </c>
      <c r="E49" s="567">
        <v>96600</v>
      </c>
      <c r="F49" s="566"/>
    </row>
    <row r="50" spans="3:13" ht="16.5">
      <c r="C50" s="565">
        <v>41189</v>
      </c>
      <c r="D50" s="547" t="s">
        <v>820</v>
      </c>
      <c r="E50" s="567">
        <v>-24343.200000000001</v>
      </c>
      <c r="F50" s="566"/>
    </row>
    <row r="51" spans="3:13" ht="16.5">
      <c r="C51" s="565">
        <v>41198</v>
      </c>
      <c r="D51" s="547" t="s">
        <v>821</v>
      </c>
      <c r="E51" s="567">
        <v>-43056</v>
      </c>
      <c r="F51" s="566"/>
    </row>
    <row r="52" spans="3:13" ht="17.25" thickBot="1">
      <c r="C52" s="568"/>
      <c r="D52" s="547"/>
      <c r="E52" s="548"/>
      <c r="F52" s="566"/>
    </row>
    <row r="53" spans="3:13" ht="24.75" customHeight="1" thickBot="1">
      <c r="C53" s="569"/>
      <c r="D53" s="570" t="s">
        <v>470</v>
      </c>
      <c r="E53" s="571">
        <f>SUM(E36:E52)</f>
        <v>1790754.9000000001</v>
      </c>
      <c r="F53" s="572">
        <f>SUM(F36:F52)</f>
        <v>0</v>
      </c>
    </row>
    <row r="54" spans="3:13" s="560" customFormat="1" ht="30" customHeight="1">
      <c r="C54" s="558"/>
      <c r="D54" s="558"/>
      <c r="E54" s="573"/>
      <c r="F54" s="558"/>
      <c r="G54" s="559"/>
      <c r="H54" s="559"/>
      <c r="I54" s="559"/>
      <c r="J54" s="559"/>
      <c r="K54" s="559"/>
      <c r="L54" s="559"/>
      <c r="M54" s="559"/>
    </row>
    <row r="55" spans="3:13" s="319" customFormat="1" ht="16.5">
      <c r="C55" s="540" t="s">
        <v>806</v>
      </c>
      <c r="E55" s="541"/>
    </row>
    <row r="56" spans="3:13" s="319" customFormat="1">
      <c r="E56" s="541"/>
      <c r="F56" s="574">
        <f>SUM(F53:F55)</f>
        <v>0</v>
      </c>
    </row>
    <row r="57" spans="3:13" s="319" customFormat="1" ht="30" customHeight="1">
      <c r="C57" s="971" t="s">
        <v>822</v>
      </c>
      <c r="D57" s="972"/>
      <c r="E57" s="972"/>
      <c r="F57" s="972"/>
      <c r="G57" s="317"/>
      <c r="H57" s="317"/>
      <c r="I57" s="317"/>
      <c r="J57" s="317"/>
      <c r="K57" s="317"/>
      <c r="L57" s="317"/>
      <c r="M57" s="317"/>
    </row>
    <row r="58" spans="3:13" s="319" customFormat="1">
      <c r="E58" s="541"/>
      <c r="F58" s="562"/>
    </row>
    <row r="59" spans="3:13" s="319" customFormat="1" ht="16.5" thickBot="1">
      <c r="E59" s="541"/>
      <c r="F59" s="562"/>
    </row>
    <row r="60" spans="3:13" s="319" customFormat="1" ht="35.1" customHeight="1" thickBot="1">
      <c r="C60" s="542" t="s">
        <v>808</v>
      </c>
      <c r="D60" s="542" t="s">
        <v>809</v>
      </c>
      <c r="E60" s="543" t="s">
        <v>713</v>
      </c>
      <c r="F60" s="542" t="s">
        <v>692</v>
      </c>
    </row>
    <row r="61" spans="3:13" s="319" customFormat="1">
      <c r="C61" s="544"/>
      <c r="D61" s="544"/>
      <c r="E61" s="545"/>
      <c r="F61" s="575"/>
    </row>
    <row r="62" spans="3:13" s="319" customFormat="1" ht="24.95" customHeight="1">
      <c r="C62" s="546"/>
      <c r="D62" s="547"/>
      <c r="E62" s="548"/>
      <c r="F62" s="576"/>
    </row>
    <row r="63" spans="3:13" s="319" customFormat="1" ht="24.95" customHeight="1">
      <c r="C63" s="550">
        <v>1</v>
      </c>
      <c r="D63" s="547" t="s">
        <v>823</v>
      </c>
      <c r="E63" s="548">
        <v>213536.5</v>
      </c>
      <c r="F63" s="576"/>
    </row>
    <row r="64" spans="3:13" s="319" customFormat="1" ht="24.95" customHeight="1" thickBot="1">
      <c r="C64" s="553"/>
      <c r="D64" s="544"/>
      <c r="E64" s="545"/>
      <c r="F64" s="575"/>
    </row>
    <row r="65" spans="3:13" s="319" customFormat="1" ht="30" customHeight="1" thickBot="1">
      <c r="C65" s="973" t="s">
        <v>693</v>
      </c>
      <c r="D65" s="973"/>
      <c r="E65" s="543">
        <f>SUM(E62:E63)</f>
        <v>213536.5</v>
      </c>
      <c r="F65" s="577"/>
    </row>
    <row r="66" spans="3:13" s="319" customFormat="1" ht="30" customHeight="1" thickBot="1">
      <c r="C66" s="975" t="s">
        <v>694</v>
      </c>
      <c r="D66" s="976"/>
      <c r="E66" s="578">
        <f>E65-F65</f>
        <v>213536.5</v>
      </c>
      <c r="F66" s="579"/>
    </row>
    <row r="67" spans="3:13" s="560" customFormat="1" ht="30" customHeight="1">
      <c r="C67" s="558"/>
      <c r="D67" s="558"/>
      <c r="E67" s="573"/>
      <c r="F67" s="558"/>
      <c r="G67" s="559"/>
      <c r="H67" s="559"/>
      <c r="I67" s="559"/>
      <c r="J67" s="559"/>
      <c r="K67" s="559"/>
      <c r="L67" s="559"/>
      <c r="M67" s="559"/>
    </row>
    <row r="68" spans="3:13" s="319" customFormat="1" ht="16.5">
      <c r="C68" s="540" t="s">
        <v>806</v>
      </c>
      <c r="E68" s="541"/>
    </row>
    <row r="69" spans="3:13" s="319" customFormat="1">
      <c r="E69" s="541"/>
    </row>
    <row r="70" spans="3:13" s="319" customFormat="1" ht="30" customHeight="1">
      <c r="C70" s="971" t="s">
        <v>824</v>
      </c>
      <c r="D70" s="972"/>
      <c r="E70" s="972"/>
      <c r="F70" s="972"/>
      <c r="G70" s="317"/>
      <c r="H70" s="317"/>
      <c r="I70" s="317"/>
      <c r="J70" s="317"/>
      <c r="K70" s="317"/>
      <c r="L70" s="317"/>
      <c r="M70" s="317"/>
    </row>
    <row r="71" spans="3:13" s="319" customFormat="1" ht="16.5">
      <c r="C71" s="540"/>
      <c r="E71" s="561"/>
      <c r="F71" s="562"/>
    </row>
    <row r="72" spans="3:13" ht="16.5" thickBot="1">
      <c r="C72" s="320"/>
      <c r="D72" s="580"/>
      <c r="E72" s="581"/>
      <c r="F72" s="320"/>
    </row>
    <row r="73" spans="3:13" s="319" customFormat="1" ht="35.1" customHeight="1" thickBot="1">
      <c r="C73" s="542" t="s">
        <v>808</v>
      </c>
      <c r="D73" s="542" t="s">
        <v>809</v>
      </c>
      <c r="E73" s="543" t="s">
        <v>713</v>
      </c>
      <c r="F73" s="542" t="s">
        <v>692</v>
      </c>
    </row>
    <row r="74" spans="3:13">
      <c r="C74" s="582"/>
      <c r="D74" s="583"/>
      <c r="E74" s="581"/>
      <c r="F74" s="584"/>
    </row>
    <row r="75" spans="3:13" ht="16.5">
      <c r="C75" s="565">
        <v>31202</v>
      </c>
      <c r="D75" s="585" t="s">
        <v>825</v>
      </c>
      <c r="E75" s="586">
        <v>1014116.3999999999</v>
      </c>
      <c r="F75" s="587"/>
    </row>
    <row r="76" spans="3:13" ht="16.5">
      <c r="C76" s="565">
        <v>31203</v>
      </c>
      <c r="D76" s="585" t="s">
        <v>826</v>
      </c>
      <c r="E76" s="586">
        <v>1791303.6</v>
      </c>
      <c r="F76" s="587"/>
    </row>
    <row r="77" spans="3:13" ht="16.5">
      <c r="C77" s="565">
        <v>32702</v>
      </c>
      <c r="D77" s="585" t="s">
        <v>827</v>
      </c>
      <c r="E77" s="586">
        <v>467421.6</v>
      </c>
      <c r="F77" s="587"/>
    </row>
    <row r="78" spans="3:13" ht="16.5">
      <c r="C78" s="565">
        <v>312301</v>
      </c>
      <c r="D78" s="585" t="s">
        <v>828</v>
      </c>
      <c r="E78" s="586">
        <v>334317.59999999998</v>
      </c>
      <c r="F78" s="587"/>
    </row>
    <row r="79" spans="3:13" ht="16.5">
      <c r="C79" s="565">
        <v>312302</v>
      </c>
      <c r="D79" s="585" t="s">
        <v>829</v>
      </c>
      <c r="E79" s="586">
        <v>173612.4</v>
      </c>
      <c r="F79" s="587"/>
    </row>
    <row r="80" spans="3:13" ht="16.5">
      <c r="C80" s="565">
        <v>32703</v>
      </c>
      <c r="D80" s="585" t="s">
        <v>830</v>
      </c>
      <c r="E80" s="586">
        <v>7645288.7999999998</v>
      </c>
      <c r="F80" s="587"/>
    </row>
    <row r="81" spans="3:13" ht="16.5">
      <c r="C81" s="588"/>
      <c r="D81" s="589"/>
      <c r="E81" s="590"/>
      <c r="F81" s="587"/>
    </row>
    <row r="82" spans="3:13" ht="17.25" thickBot="1">
      <c r="C82" s="553"/>
      <c r="D82" s="589"/>
      <c r="E82" s="590"/>
      <c r="F82" s="587"/>
    </row>
    <row r="83" spans="3:13" ht="17.25" thickBot="1">
      <c r="C83" s="969" t="s">
        <v>694</v>
      </c>
      <c r="D83" s="970"/>
      <c r="E83" s="591">
        <f>SUM(E75:E80)</f>
        <v>11426060.4</v>
      </c>
      <c r="F83" s="592">
        <f>SUM(F75:F80)</f>
        <v>0</v>
      </c>
      <c r="G83" s="593"/>
    </row>
    <row r="85" spans="3:13">
      <c r="G85" s="596"/>
    </row>
    <row r="86" spans="3:13" s="319" customFormat="1" ht="16.5">
      <c r="C86" s="540"/>
      <c r="E86" s="561"/>
      <c r="F86" s="562"/>
    </row>
    <row r="87" spans="3:13" s="319" customFormat="1" ht="16.5">
      <c r="C87" s="540"/>
      <c r="E87" s="561"/>
      <c r="F87" s="562"/>
    </row>
    <row r="88" spans="3:13" s="319" customFormat="1" ht="16.5">
      <c r="C88" s="540" t="s">
        <v>806</v>
      </c>
      <c r="E88" s="541"/>
    </row>
    <row r="89" spans="3:13" s="319" customFormat="1">
      <c r="E89" s="541"/>
    </row>
    <row r="90" spans="3:13" s="319" customFormat="1" ht="30" customHeight="1">
      <c r="C90" s="971" t="s">
        <v>831</v>
      </c>
      <c r="D90" s="972"/>
      <c r="E90" s="972"/>
      <c r="F90" s="972"/>
      <c r="G90" s="317"/>
      <c r="H90" s="317"/>
      <c r="I90" s="317"/>
      <c r="J90" s="317"/>
      <c r="K90" s="317"/>
      <c r="L90" s="317"/>
      <c r="M90" s="317"/>
    </row>
    <row r="91" spans="3:13" ht="16.5" thickBot="1">
      <c r="C91" s="320"/>
      <c r="D91" s="580"/>
      <c r="E91" s="581"/>
      <c r="F91" s="320"/>
    </row>
    <row r="92" spans="3:13" s="319" customFormat="1" ht="35.1" customHeight="1" thickBot="1">
      <c r="C92" s="542" t="s">
        <v>808</v>
      </c>
      <c r="D92" s="542" t="s">
        <v>809</v>
      </c>
      <c r="E92" s="543" t="s">
        <v>713</v>
      </c>
      <c r="F92" s="542" t="s">
        <v>692</v>
      </c>
    </row>
    <row r="93" spans="3:13">
      <c r="C93" s="582"/>
      <c r="D93" s="583"/>
      <c r="E93" s="581"/>
      <c r="F93" s="584"/>
    </row>
    <row r="94" spans="3:13" ht="16.5">
      <c r="C94" s="565">
        <v>35101</v>
      </c>
      <c r="D94" s="585" t="s">
        <v>832</v>
      </c>
      <c r="E94" s="597">
        <v>109822.8</v>
      </c>
      <c r="F94" s="587"/>
    </row>
    <row r="95" spans="3:13" ht="16.5">
      <c r="C95" s="565">
        <v>35102</v>
      </c>
      <c r="D95" s="585" t="s">
        <v>833</v>
      </c>
      <c r="E95" s="597">
        <v>428582.40000000002</v>
      </c>
      <c r="F95" s="587"/>
    </row>
    <row r="96" spans="3:13" ht="16.5">
      <c r="C96" s="565">
        <v>35103</v>
      </c>
      <c r="D96" s="585" t="s">
        <v>834</v>
      </c>
      <c r="E96" s="597">
        <v>130694.40000000001</v>
      </c>
      <c r="F96" s="587"/>
    </row>
    <row r="97" spans="3:13" ht="16.5">
      <c r="C97" s="565">
        <v>351001</v>
      </c>
      <c r="D97" s="585" t="s">
        <v>835</v>
      </c>
      <c r="E97" s="590">
        <v>102895.59999999999</v>
      </c>
      <c r="F97" s="587"/>
    </row>
    <row r="98" spans="3:13" ht="16.5">
      <c r="C98" s="565">
        <v>32901</v>
      </c>
      <c r="D98" s="585" t="s">
        <v>836</v>
      </c>
      <c r="E98" s="597">
        <v>37143.199999999997</v>
      </c>
      <c r="F98" s="587"/>
    </row>
    <row r="99" spans="3:13" ht="17.25" thickBot="1">
      <c r="C99" s="553"/>
      <c r="D99" s="589"/>
      <c r="E99" s="590">
        <v>0</v>
      </c>
      <c r="F99" s="587"/>
    </row>
    <row r="100" spans="3:13" ht="17.25" thickBot="1">
      <c r="C100" s="969" t="s">
        <v>694</v>
      </c>
      <c r="D100" s="970"/>
      <c r="E100" s="591">
        <f>SUM(E94:E99)</f>
        <v>809138.4</v>
      </c>
      <c r="F100" s="592">
        <f>SUM(F94:F97)</f>
        <v>0</v>
      </c>
    </row>
    <row r="101" spans="3:13" ht="16.5">
      <c r="C101" s="598"/>
      <c r="D101" s="598"/>
      <c r="E101" s="599"/>
      <c r="F101" s="593"/>
    </row>
    <row r="102" spans="3:13" ht="16.5">
      <c r="C102" s="540"/>
      <c r="D102" s="319"/>
      <c r="E102" s="600"/>
      <c r="F102" s="319"/>
    </row>
    <row r="103" spans="3:13" ht="16.5">
      <c r="C103" s="540"/>
      <c r="D103" s="319"/>
      <c r="E103" s="600"/>
      <c r="F103" s="319"/>
    </row>
    <row r="104" spans="3:13" ht="16.5">
      <c r="C104" s="598"/>
      <c r="D104" s="598"/>
      <c r="E104" s="599"/>
      <c r="F104" s="593"/>
    </row>
    <row r="106" spans="3:13" s="319" customFormat="1" ht="16.5">
      <c r="C106" s="540"/>
      <c r="E106" s="561"/>
      <c r="F106" s="562"/>
    </row>
    <row r="107" spans="3:13" s="319" customFormat="1" ht="16.5">
      <c r="C107" s="540"/>
      <c r="E107" s="561"/>
      <c r="F107" s="562"/>
    </row>
    <row r="108" spans="3:13" s="319" customFormat="1" ht="16.5">
      <c r="C108" s="540" t="s">
        <v>806</v>
      </c>
      <c r="E108" s="541"/>
    </row>
    <row r="109" spans="3:13" s="319" customFormat="1">
      <c r="E109" s="541"/>
    </row>
    <row r="110" spans="3:13" s="319" customFormat="1" ht="30" customHeight="1">
      <c r="C110" s="971" t="s">
        <v>837</v>
      </c>
      <c r="D110" s="972"/>
      <c r="E110" s="972"/>
      <c r="F110" s="972"/>
      <c r="G110" s="317"/>
      <c r="H110" s="317"/>
      <c r="I110" s="317"/>
      <c r="J110" s="317"/>
      <c r="K110" s="317"/>
      <c r="L110" s="317"/>
      <c r="M110" s="317"/>
    </row>
    <row r="111" spans="3:13" s="319" customFormat="1" ht="17.25" thickBot="1">
      <c r="E111" s="561"/>
      <c r="F111" s="562"/>
    </row>
    <row r="112" spans="3:13" s="319" customFormat="1" ht="35.1" customHeight="1" thickBot="1">
      <c r="C112" s="542" t="s">
        <v>808</v>
      </c>
      <c r="D112" s="542" t="s">
        <v>809</v>
      </c>
      <c r="E112" s="543" t="s">
        <v>713</v>
      </c>
      <c r="F112" s="542" t="s">
        <v>692</v>
      </c>
    </row>
    <row r="113" spans="3:8" s="319" customFormat="1" ht="16.5">
      <c r="C113" s="544"/>
      <c r="D113" s="544"/>
      <c r="E113" s="548"/>
      <c r="F113" s="601"/>
    </row>
    <row r="114" spans="3:8" s="319" customFormat="1" ht="24.95" customHeight="1">
      <c r="C114" s="546"/>
      <c r="D114" s="547"/>
      <c r="E114" s="548"/>
      <c r="F114" s="601"/>
    </row>
    <row r="115" spans="3:8" s="319" customFormat="1" ht="24.95" customHeight="1">
      <c r="C115" s="546"/>
      <c r="D115" s="547"/>
      <c r="E115" s="548"/>
      <c r="F115" s="602"/>
      <c r="G115" s="603"/>
      <c r="H115" s="604"/>
    </row>
    <row r="116" spans="3:8" s="319" customFormat="1" ht="24.95" customHeight="1">
      <c r="C116" s="546"/>
      <c r="D116" s="547"/>
      <c r="E116" s="548"/>
      <c r="F116" s="602"/>
      <c r="G116" s="603"/>
      <c r="H116" s="604"/>
    </row>
    <row r="117" spans="3:8" s="319" customFormat="1" ht="24.95" customHeight="1">
      <c r="C117" s="546"/>
      <c r="D117" s="547"/>
      <c r="E117" s="548"/>
      <c r="F117" s="602"/>
      <c r="G117" s="603"/>
      <c r="H117" s="604"/>
    </row>
    <row r="118" spans="3:8" s="319" customFormat="1" ht="24.95" customHeight="1">
      <c r="C118" s="546"/>
      <c r="D118" s="547"/>
      <c r="E118" s="548"/>
      <c r="F118" s="602"/>
      <c r="G118" s="603"/>
      <c r="H118" s="604"/>
    </row>
    <row r="119" spans="3:8" s="319" customFormat="1" ht="24.95" customHeight="1">
      <c r="C119" s="546"/>
      <c r="D119" s="547"/>
      <c r="E119" s="548"/>
      <c r="F119" s="602"/>
      <c r="G119" s="603"/>
      <c r="H119" s="604"/>
    </row>
    <row r="120" spans="3:8" s="319" customFormat="1" ht="24.95" customHeight="1">
      <c r="C120" s="546"/>
      <c r="D120" s="547"/>
      <c r="E120" s="548"/>
      <c r="F120" s="602"/>
      <c r="G120" s="603"/>
      <c r="H120" s="604"/>
    </row>
    <row r="121" spans="3:8" s="319" customFormat="1" ht="24.95" customHeight="1">
      <c r="C121" s="546"/>
      <c r="D121" s="547"/>
      <c r="E121" s="548"/>
      <c r="F121" s="602"/>
      <c r="G121" s="603"/>
      <c r="H121" s="604"/>
    </row>
    <row r="122" spans="3:8" s="319" customFormat="1" ht="24.95" customHeight="1">
      <c r="C122" s="546"/>
      <c r="D122" s="605"/>
      <c r="E122" s="548"/>
      <c r="F122" s="602"/>
      <c r="G122" s="603"/>
      <c r="H122" s="604"/>
    </row>
    <row r="123" spans="3:8" s="319" customFormat="1" ht="24.95" customHeight="1">
      <c r="C123" s="546"/>
      <c r="D123" s="605"/>
      <c r="E123" s="548"/>
      <c r="F123" s="602"/>
      <c r="G123" s="603"/>
      <c r="H123" s="604"/>
    </row>
    <row r="124" spans="3:8" s="319" customFormat="1" ht="24.95" customHeight="1">
      <c r="C124" s="546"/>
      <c r="D124" s="605"/>
      <c r="E124" s="548"/>
      <c r="F124" s="602"/>
      <c r="G124" s="603"/>
      <c r="H124" s="604"/>
    </row>
    <row r="125" spans="3:8" s="319" customFormat="1" ht="24.95" customHeight="1">
      <c r="C125" s="606"/>
      <c r="D125" s="607"/>
      <c r="E125" s="548"/>
      <c r="F125" s="602"/>
      <c r="G125" s="603"/>
      <c r="H125" s="604"/>
    </row>
    <row r="126" spans="3:8" s="319" customFormat="1" ht="24.95" customHeight="1">
      <c r="C126" s="550"/>
      <c r="D126" s="608"/>
      <c r="E126" s="548"/>
      <c r="F126" s="602"/>
      <c r="G126" s="603"/>
      <c r="H126" s="604"/>
    </row>
    <row r="127" spans="3:8" s="319" customFormat="1" ht="24.95" customHeight="1">
      <c r="C127" s="550"/>
      <c r="D127" s="607"/>
      <c r="E127" s="548"/>
      <c r="F127" s="602"/>
      <c r="G127" s="603"/>
      <c r="H127" s="604"/>
    </row>
    <row r="128" spans="3:8" s="319" customFormat="1" ht="24.95" customHeight="1">
      <c r="C128" s="550"/>
      <c r="D128" s="609"/>
      <c r="E128" s="548"/>
      <c r="F128" s="602"/>
      <c r="G128" s="603"/>
      <c r="H128" s="604"/>
    </row>
    <row r="129" spans="3:8" s="319" customFormat="1" ht="24.95" customHeight="1">
      <c r="C129" s="550"/>
      <c r="D129" s="609"/>
      <c r="E129" s="548"/>
      <c r="F129" s="602"/>
      <c r="G129" s="603"/>
      <c r="H129" s="604"/>
    </row>
    <row r="130" spans="3:8" s="319" customFormat="1" ht="24.95" customHeight="1">
      <c r="C130" s="550"/>
      <c r="D130" s="609"/>
      <c r="E130" s="548"/>
      <c r="F130" s="602"/>
      <c r="G130" s="603"/>
      <c r="H130" s="604"/>
    </row>
    <row r="131" spans="3:8" s="319" customFormat="1" ht="24.95" customHeight="1">
      <c r="C131" s="550"/>
      <c r="D131" s="609"/>
      <c r="E131" s="548"/>
      <c r="F131" s="602"/>
      <c r="G131" s="603"/>
      <c r="H131" s="604"/>
    </row>
    <row r="132" spans="3:8" s="319" customFormat="1" ht="24.95" customHeight="1">
      <c r="C132" s="550"/>
      <c r="D132" s="609"/>
      <c r="E132" s="548"/>
      <c r="F132" s="602"/>
      <c r="G132" s="603"/>
      <c r="H132" s="604"/>
    </row>
    <row r="133" spans="3:8" s="319" customFormat="1" ht="24.95" customHeight="1">
      <c r="C133" s="550"/>
      <c r="D133" s="609"/>
      <c r="E133" s="548"/>
      <c r="F133" s="602"/>
      <c r="G133" s="603"/>
      <c r="H133" s="604"/>
    </row>
    <row r="134" spans="3:8" s="319" customFormat="1" ht="24.95" customHeight="1">
      <c r="C134" s="550"/>
      <c r="D134" s="609"/>
      <c r="E134" s="548"/>
      <c r="F134" s="602"/>
      <c r="G134" s="603"/>
      <c r="H134" s="604"/>
    </row>
    <row r="135" spans="3:8" s="319" customFormat="1" ht="24.95" customHeight="1">
      <c r="C135" s="550"/>
      <c r="D135" s="609"/>
      <c r="E135" s="548"/>
      <c r="F135" s="602"/>
      <c r="G135" s="603"/>
      <c r="H135" s="604"/>
    </row>
    <row r="136" spans="3:8" s="319" customFormat="1" ht="24.95" customHeight="1">
      <c r="C136" s="550"/>
      <c r="D136" s="609"/>
      <c r="E136" s="548"/>
      <c r="F136" s="602"/>
      <c r="G136" s="603"/>
      <c r="H136" s="604"/>
    </row>
    <row r="137" spans="3:8" s="319" customFormat="1" ht="24.95" customHeight="1">
      <c r="C137" s="550"/>
      <c r="D137" s="609"/>
      <c r="E137" s="548"/>
      <c r="F137" s="602"/>
      <c r="G137" s="603"/>
      <c r="H137" s="604"/>
    </row>
    <row r="138" spans="3:8" s="319" customFormat="1" ht="24.95" customHeight="1">
      <c r="C138" s="550"/>
      <c r="D138" s="609"/>
      <c r="E138" s="548"/>
      <c r="F138" s="602"/>
      <c r="G138" s="603"/>
      <c r="H138" s="604"/>
    </row>
    <row r="139" spans="3:8" s="319" customFormat="1" ht="24.95" customHeight="1" thickBot="1">
      <c r="C139" s="610"/>
      <c r="D139" s="547"/>
      <c r="E139" s="548"/>
      <c r="F139" s="602">
        <v>0</v>
      </c>
      <c r="G139" s="603"/>
      <c r="H139" s="604"/>
    </row>
    <row r="140" spans="3:8" s="319" customFormat="1" ht="30" customHeight="1" thickBot="1">
      <c r="C140" s="973" t="s">
        <v>693</v>
      </c>
      <c r="D140" s="973"/>
      <c r="E140" s="543">
        <f>SUM(E114:E139)</f>
        <v>0</v>
      </c>
      <c r="F140" s="577">
        <f>SUM(F114:F139)</f>
        <v>0</v>
      </c>
      <c r="G140" s="611"/>
    </row>
    <row r="141" spans="3:8" s="319" customFormat="1" ht="30" customHeight="1" thickBot="1">
      <c r="C141" s="973" t="s">
        <v>694</v>
      </c>
      <c r="D141" s="973"/>
      <c r="E141" s="543">
        <f>E140</f>
        <v>0</v>
      </c>
      <c r="F141" s="577">
        <f>F140-E140</f>
        <v>0</v>
      </c>
    </row>
    <row r="144" spans="3:8" s="319" customFormat="1" ht="16.5">
      <c r="C144" s="540"/>
      <c r="E144" s="561"/>
      <c r="F144" s="612"/>
    </row>
    <row r="145" spans="3:13" s="319" customFormat="1" ht="16.5">
      <c r="C145" s="540"/>
      <c r="E145" s="561"/>
      <c r="F145" s="562"/>
    </row>
    <row r="146" spans="3:13" s="319" customFormat="1" ht="16.5">
      <c r="C146" s="540" t="s">
        <v>806</v>
      </c>
      <c r="E146" s="541"/>
    </row>
    <row r="147" spans="3:13" s="319" customFormat="1">
      <c r="E147" s="541"/>
    </row>
    <row r="148" spans="3:13" s="319" customFormat="1" ht="30" customHeight="1">
      <c r="C148" s="971" t="s">
        <v>838</v>
      </c>
      <c r="D148" s="972"/>
      <c r="E148" s="972"/>
      <c r="F148" s="972"/>
      <c r="G148" s="317"/>
      <c r="H148" s="317"/>
      <c r="I148" s="317"/>
      <c r="J148" s="317"/>
      <c r="K148" s="317"/>
      <c r="L148" s="317"/>
      <c r="M148" s="317"/>
    </row>
    <row r="149" spans="3:13">
      <c r="C149" s="320"/>
      <c r="D149" s="320"/>
      <c r="E149" s="613"/>
      <c r="F149" s="322"/>
    </row>
    <row r="150" spans="3:13" ht="16.5">
      <c r="C150" s="317"/>
      <c r="D150" s="317"/>
      <c r="E150" s="613"/>
      <c r="F150" s="322"/>
    </row>
    <row r="151" spans="3:13" ht="17.25" thickBot="1">
      <c r="C151" s="318"/>
      <c r="D151" s="318"/>
      <c r="E151" s="613"/>
      <c r="F151" s="322"/>
    </row>
    <row r="152" spans="3:13" s="319" customFormat="1" ht="35.1" customHeight="1" thickBot="1">
      <c r="C152" s="542" t="s">
        <v>808</v>
      </c>
      <c r="D152" s="542" t="s">
        <v>809</v>
      </c>
      <c r="E152" s="543" t="s">
        <v>713</v>
      </c>
      <c r="F152" s="542" t="s">
        <v>692</v>
      </c>
    </row>
    <row r="153" spans="3:13" ht="16.5">
      <c r="C153" s="614"/>
      <c r="D153" s="615"/>
      <c r="E153" s="616"/>
      <c r="F153" s="617"/>
    </row>
    <row r="154" spans="3:13" ht="21" customHeight="1">
      <c r="C154" s="618"/>
      <c r="D154" s="619"/>
      <c r="E154" s="620"/>
      <c r="F154" s="621"/>
      <c r="G154" s="622"/>
      <c r="H154" s="622"/>
    </row>
    <row r="155" spans="3:13" ht="21" customHeight="1">
      <c r="C155" s="618"/>
      <c r="D155" s="619"/>
      <c r="E155" s="620"/>
      <c r="F155" s="621"/>
      <c r="G155" s="622"/>
      <c r="H155" s="622"/>
    </row>
    <row r="156" spans="3:13" ht="21" customHeight="1">
      <c r="C156" s="618"/>
      <c r="D156" s="619"/>
      <c r="E156" s="620"/>
      <c r="F156" s="621"/>
      <c r="G156" s="622"/>
      <c r="H156" s="622"/>
    </row>
    <row r="157" spans="3:13" ht="21" customHeight="1">
      <c r="C157" s="618"/>
      <c r="D157" s="619"/>
      <c r="E157" s="620"/>
      <c r="F157" s="621"/>
      <c r="G157" s="622"/>
      <c r="H157" s="622"/>
    </row>
    <row r="158" spans="3:13" ht="21" customHeight="1">
      <c r="C158" s="618"/>
      <c r="D158" s="619"/>
      <c r="E158" s="620"/>
      <c r="F158" s="621"/>
      <c r="G158" s="622"/>
      <c r="H158" s="622"/>
    </row>
    <row r="159" spans="3:13" ht="21" customHeight="1">
      <c r="C159" s="618"/>
      <c r="D159" s="619"/>
      <c r="E159" s="620"/>
      <c r="F159" s="621"/>
      <c r="G159" s="622"/>
      <c r="H159" s="622"/>
    </row>
    <row r="160" spans="3:13" ht="21" customHeight="1">
      <c r="C160" s="618"/>
      <c r="D160" s="619"/>
      <c r="E160" s="620"/>
      <c r="F160" s="621"/>
      <c r="G160" s="622"/>
      <c r="H160" s="622"/>
    </row>
    <row r="161" spans="3:8" ht="21" customHeight="1">
      <c r="C161" s="618"/>
      <c r="D161" s="619"/>
      <c r="E161" s="620"/>
      <c r="F161" s="621"/>
      <c r="G161" s="622"/>
      <c r="H161" s="622"/>
    </row>
    <row r="162" spans="3:8" ht="21" customHeight="1">
      <c r="C162" s="618"/>
      <c r="D162" s="619"/>
      <c r="E162" s="620"/>
      <c r="F162" s="621"/>
      <c r="G162" s="622"/>
      <c r="H162" s="622"/>
    </row>
    <row r="163" spans="3:8" ht="21" customHeight="1">
      <c r="C163" s="618"/>
      <c r="D163" s="619"/>
      <c r="E163" s="620"/>
      <c r="F163" s="621"/>
      <c r="G163" s="622"/>
      <c r="H163" s="622"/>
    </row>
    <row r="164" spans="3:8" ht="21" customHeight="1">
      <c r="C164" s="618"/>
      <c r="D164" s="619"/>
      <c r="E164" s="620"/>
      <c r="F164" s="621"/>
      <c r="G164" s="622"/>
      <c r="H164" s="622"/>
    </row>
    <row r="165" spans="3:8" ht="21" customHeight="1">
      <c r="C165" s="618"/>
      <c r="D165" s="619"/>
      <c r="E165" s="620"/>
      <c r="F165" s="621"/>
      <c r="G165" s="622"/>
      <c r="H165" s="622"/>
    </row>
    <row r="166" spans="3:8" ht="21" customHeight="1">
      <c r="C166" s="618"/>
      <c r="D166" s="619"/>
      <c r="E166" s="620"/>
      <c r="F166" s="621"/>
      <c r="G166" s="622"/>
      <c r="H166" s="622"/>
    </row>
    <row r="167" spans="3:8" ht="21" customHeight="1">
      <c r="C167" s="618"/>
      <c r="D167" s="619"/>
      <c r="E167" s="620"/>
      <c r="F167" s="621"/>
      <c r="G167" s="622"/>
      <c r="H167" s="622"/>
    </row>
    <row r="168" spans="3:8" ht="21" customHeight="1">
      <c r="C168" s="618"/>
      <c r="D168" s="619"/>
      <c r="E168" s="620"/>
      <c r="F168" s="621"/>
      <c r="G168" s="622"/>
      <c r="H168" s="622"/>
    </row>
    <row r="169" spans="3:8" ht="21" customHeight="1">
      <c r="C169" s="618"/>
      <c r="D169" s="619"/>
      <c r="E169" s="620"/>
      <c r="F169" s="621"/>
      <c r="G169" s="622"/>
      <c r="H169" s="622"/>
    </row>
    <row r="170" spans="3:8" ht="21" customHeight="1">
      <c r="C170" s="618"/>
      <c r="D170" s="619"/>
      <c r="E170" s="620"/>
      <c r="F170" s="621"/>
      <c r="G170" s="622"/>
      <c r="H170" s="622"/>
    </row>
    <row r="171" spans="3:8" ht="21" customHeight="1">
      <c r="C171" s="618"/>
      <c r="D171" s="619"/>
      <c r="E171" s="620"/>
      <c r="F171" s="621"/>
      <c r="G171" s="622"/>
      <c r="H171" s="622"/>
    </row>
    <row r="172" spans="3:8" ht="21" customHeight="1">
      <c r="C172" s="618"/>
      <c r="D172" s="619"/>
      <c r="E172" s="620"/>
      <c r="F172" s="621"/>
      <c r="G172" s="622"/>
      <c r="H172" s="622"/>
    </row>
    <row r="173" spans="3:8" ht="21" customHeight="1">
      <c r="C173" s="618"/>
      <c r="D173" s="619"/>
      <c r="E173" s="620"/>
      <c r="F173" s="621"/>
      <c r="G173" s="622"/>
      <c r="H173" s="622"/>
    </row>
    <row r="174" spans="3:8" ht="21" customHeight="1">
      <c r="C174" s="618"/>
      <c r="D174" s="619"/>
      <c r="E174" s="620"/>
      <c r="F174" s="621"/>
      <c r="G174" s="622"/>
      <c r="H174" s="622"/>
    </row>
    <row r="175" spans="3:8" ht="21" customHeight="1">
      <c r="C175" s="618"/>
      <c r="D175" s="619"/>
      <c r="E175" s="620"/>
      <c r="F175" s="621"/>
      <c r="G175" s="622"/>
      <c r="H175" s="622"/>
    </row>
    <row r="176" spans="3:8" ht="21" customHeight="1">
      <c r="C176" s="618"/>
      <c r="D176" s="619"/>
      <c r="E176" s="620"/>
      <c r="F176" s="621"/>
      <c r="G176" s="622"/>
      <c r="H176" s="622"/>
    </row>
    <row r="177" spans="3:8" ht="21" customHeight="1">
      <c r="C177" s="618"/>
      <c r="D177" s="619"/>
      <c r="E177" s="620"/>
      <c r="F177" s="621"/>
      <c r="G177" s="622"/>
      <c r="H177" s="622"/>
    </row>
    <row r="178" spans="3:8" ht="21" customHeight="1">
      <c r="C178" s="618"/>
      <c r="D178" s="619"/>
      <c r="E178" s="620"/>
      <c r="F178" s="621"/>
      <c r="G178" s="622"/>
      <c r="H178" s="622"/>
    </row>
    <row r="179" spans="3:8" ht="21" customHeight="1">
      <c r="C179" s="618"/>
      <c r="D179" s="619"/>
      <c r="E179" s="620"/>
      <c r="F179" s="621"/>
      <c r="G179" s="622"/>
      <c r="H179" s="622"/>
    </row>
    <row r="180" spans="3:8" ht="21" customHeight="1">
      <c r="C180" s="618"/>
      <c r="D180" s="619"/>
      <c r="E180" s="620"/>
      <c r="F180" s="621"/>
      <c r="G180" s="622"/>
      <c r="H180" s="622"/>
    </row>
    <row r="181" spans="3:8" ht="21" customHeight="1">
      <c r="C181" s="618"/>
      <c r="D181" s="619"/>
      <c r="E181" s="620"/>
      <c r="F181" s="621"/>
      <c r="G181" s="622"/>
      <c r="H181" s="622"/>
    </row>
    <row r="182" spans="3:8" ht="21" customHeight="1">
      <c r="C182" s="618"/>
      <c r="D182" s="619"/>
      <c r="E182" s="620"/>
      <c r="F182" s="621"/>
      <c r="G182" s="622"/>
      <c r="H182" s="622"/>
    </row>
    <row r="183" spans="3:8" ht="21" customHeight="1">
      <c r="C183" s="618"/>
      <c r="D183" s="619"/>
      <c r="E183" s="620"/>
      <c r="F183" s="621"/>
      <c r="G183" s="622"/>
      <c r="H183" s="622"/>
    </row>
    <row r="184" spans="3:8" ht="21" customHeight="1">
      <c r="C184" s="618"/>
      <c r="D184" s="619"/>
      <c r="E184" s="620"/>
      <c r="F184" s="621"/>
      <c r="G184" s="622"/>
      <c r="H184" s="622"/>
    </row>
    <row r="185" spans="3:8" ht="21" customHeight="1">
      <c r="C185" s="618"/>
      <c r="D185" s="623"/>
      <c r="E185" s="620"/>
      <c r="F185" s="621"/>
      <c r="G185" s="622"/>
      <c r="H185" s="622"/>
    </row>
    <row r="186" spans="3:8" ht="21" customHeight="1" thickBot="1">
      <c r="C186" s="624"/>
      <c r="D186" s="623"/>
      <c r="E186" s="620"/>
      <c r="F186" s="621"/>
      <c r="G186" s="622"/>
      <c r="H186" s="622"/>
    </row>
    <row r="187" spans="3:8" ht="22.5" customHeight="1" thickBot="1">
      <c r="C187" s="625"/>
      <c r="D187" s="626" t="s">
        <v>470</v>
      </c>
      <c r="E187" s="627">
        <f>SUM(E154:E186)</f>
        <v>0</v>
      </c>
      <c r="F187" s="628">
        <f>SUM(F153:F186)</f>
        <v>0</v>
      </c>
      <c r="G187" s="622"/>
      <c r="H187" s="622"/>
    </row>
    <row r="188" spans="3:8">
      <c r="G188" s="629"/>
      <c r="H188" s="622"/>
    </row>
    <row r="189" spans="3:8">
      <c r="G189" s="622"/>
      <c r="H189" s="622"/>
    </row>
    <row r="190" spans="3:8" s="319" customFormat="1" ht="16.5">
      <c r="C190" s="540"/>
      <c r="E190" s="561"/>
      <c r="F190" s="562"/>
      <c r="H190" s="622"/>
    </row>
    <row r="191" spans="3:8" s="319" customFormat="1" ht="16.5">
      <c r="C191" s="540"/>
      <c r="E191" s="561"/>
      <c r="F191" s="562"/>
      <c r="H191" s="622"/>
    </row>
    <row r="192" spans="3:8" s="319" customFormat="1" ht="16.5">
      <c r="C192" s="540" t="s">
        <v>806</v>
      </c>
      <c r="E192" s="541"/>
      <c r="H192" s="622"/>
    </row>
    <row r="193" spans="3:13" s="319" customFormat="1">
      <c r="E193" s="541"/>
      <c r="H193" s="622"/>
    </row>
    <row r="194" spans="3:13" s="319" customFormat="1" ht="30" customHeight="1">
      <c r="C194" s="971" t="s">
        <v>952</v>
      </c>
      <c r="D194" s="972"/>
      <c r="E194" s="972"/>
      <c r="F194" s="972"/>
      <c r="G194" s="317"/>
      <c r="H194" s="317"/>
      <c r="I194" s="317"/>
      <c r="J194" s="317"/>
      <c r="K194" s="317"/>
      <c r="L194" s="317"/>
      <c r="M194" s="317"/>
    </row>
    <row r="195" spans="3:13" s="319" customFormat="1" ht="17.25" thickBot="1">
      <c r="E195" s="561"/>
      <c r="F195" s="562"/>
    </row>
    <row r="196" spans="3:13" s="319" customFormat="1" ht="35.1" customHeight="1" thickBot="1">
      <c r="C196" s="542" t="s">
        <v>808</v>
      </c>
      <c r="D196" s="542" t="s">
        <v>809</v>
      </c>
      <c r="E196" s="543" t="s">
        <v>713</v>
      </c>
      <c r="F196" s="542" t="s">
        <v>692</v>
      </c>
    </row>
    <row r="197" spans="3:13" ht="23.25" customHeight="1">
      <c r="C197" s="546">
        <v>431</v>
      </c>
      <c r="D197" s="547" t="s">
        <v>839</v>
      </c>
      <c r="E197" s="548"/>
      <c r="F197" s="601">
        <v>76520</v>
      </c>
    </row>
    <row r="198" spans="3:13" ht="23.25" customHeight="1">
      <c r="C198" s="546">
        <v>442</v>
      </c>
      <c r="D198" s="547" t="s">
        <v>840</v>
      </c>
      <c r="E198" s="548"/>
      <c r="F198" s="601">
        <v>18432</v>
      </c>
    </row>
    <row r="199" spans="3:13" ht="23.25" customHeight="1" thickBot="1">
      <c r="C199" s="610">
        <v>44301</v>
      </c>
      <c r="D199" s="547" t="s">
        <v>841</v>
      </c>
      <c r="E199" s="548"/>
      <c r="F199" s="601">
        <v>0</v>
      </c>
    </row>
    <row r="200" spans="3:13" ht="17.25" thickBot="1">
      <c r="C200" s="630"/>
      <c r="D200" s="631"/>
      <c r="E200" s="632">
        <f>SUM(E197:E199)</f>
        <v>0</v>
      </c>
      <c r="F200" s="633">
        <f>SUM(F197:F199)</f>
        <v>94952</v>
      </c>
    </row>
    <row r="210" spans="3:6" ht="24.75" customHeight="1">
      <c r="C210" s="323"/>
      <c r="D210" s="323"/>
      <c r="E210" s="634"/>
      <c r="F210" s="324"/>
    </row>
    <row r="211" spans="3:6" ht="24.75" customHeight="1">
      <c r="C211" s="323"/>
      <c r="D211" s="323"/>
      <c r="E211" s="634"/>
      <c r="F211" s="324"/>
    </row>
  </sheetData>
  <mergeCells count="17">
    <mergeCell ref="C110:F110"/>
    <mergeCell ref="C140:D140"/>
    <mergeCell ref="C141:D141"/>
    <mergeCell ref="C148:F148"/>
    <mergeCell ref="C194:F194"/>
    <mergeCell ref="C65:D65"/>
    <mergeCell ref="C66:D66"/>
    <mergeCell ref="C70:F70"/>
    <mergeCell ref="C83:D83"/>
    <mergeCell ref="C90:F90"/>
    <mergeCell ref="C100:D100"/>
    <mergeCell ref="C6:F6"/>
    <mergeCell ref="C26:D26"/>
    <mergeCell ref="C27:D27"/>
    <mergeCell ref="C28:F28"/>
    <mergeCell ref="C33:F33"/>
    <mergeCell ref="C57:F57"/>
  </mergeCells>
  <printOptions horizontalCentered="1"/>
  <pageMargins left="0.5" right="0.5" top="0.3" bottom="0.2" header="0" footer="0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IV64"/>
  <sheetViews>
    <sheetView zoomScale="75" zoomScaleNormal="75" workbookViewId="0">
      <selection activeCell="D24" sqref="D24"/>
    </sheetView>
  </sheetViews>
  <sheetFormatPr defaultRowHeight="12.75"/>
  <cols>
    <col min="1" max="1" width="32.7109375" style="431" customWidth="1"/>
    <col min="2" max="2" width="18.85546875" style="431" customWidth="1"/>
    <col min="3" max="3" width="9.140625" style="431"/>
    <col min="4" max="4" width="15" style="431" customWidth="1"/>
    <col min="5" max="6" width="8.140625" style="431" customWidth="1"/>
    <col min="7" max="7" width="15.28515625" style="431" customWidth="1"/>
    <col min="8" max="9" width="6" style="431" customWidth="1"/>
    <col min="10" max="10" width="12.85546875" style="431" customWidth="1"/>
    <col min="11" max="11" width="15.28515625" style="431" customWidth="1"/>
    <col min="12" max="13" width="14.85546875" style="431" customWidth="1"/>
    <col min="14" max="14" width="19.28515625" style="431" customWidth="1"/>
    <col min="15" max="15" width="14.28515625" style="686" customWidth="1"/>
    <col min="16" max="16" width="15.5703125" style="431" bestFit="1" customWidth="1"/>
    <col min="17" max="17" width="18.85546875" style="431" bestFit="1" customWidth="1"/>
    <col min="18" max="18" width="20.5703125" style="431" customWidth="1"/>
    <col min="19" max="16384" width="9.140625" style="431"/>
  </cols>
  <sheetData>
    <row r="1" spans="1:17">
      <c r="N1" s="429"/>
    </row>
    <row r="2" spans="1:17" ht="45" customHeight="1">
      <c r="A2" s="977" t="s">
        <v>775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687"/>
      <c r="M2" s="687"/>
    </row>
    <row r="3" spans="1:17" ht="4.5" hidden="1" customHeight="1">
      <c r="A3" s="687"/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</row>
    <row r="4" spans="1:17" ht="32.25" customHeight="1">
      <c r="A4" s="688"/>
      <c r="B4" s="978" t="s">
        <v>776</v>
      </c>
      <c r="C4" s="980" t="s">
        <v>777</v>
      </c>
      <c r="D4" s="981"/>
      <c r="E4" s="981"/>
      <c r="F4" s="981"/>
      <c r="G4" s="982"/>
      <c r="H4" s="980" t="s">
        <v>778</v>
      </c>
      <c r="I4" s="981"/>
      <c r="J4" s="982"/>
      <c r="K4" s="978" t="s">
        <v>779</v>
      </c>
      <c r="L4" s="690"/>
      <c r="M4" s="690"/>
    </row>
    <row r="5" spans="1:17" ht="55.5" customHeight="1">
      <c r="A5" s="691"/>
      <c r="B5" s="979"/>
      <c r="C5" s="689" t="s">
        <v>780</v>
      </c>
      <c r="D5" s="689" t="s">
        <v>781</v>
      </c>
      <c r="E5" s="689" t="s">
        <v>782</v>
      </c>
      <c r="F5" s="692" t="s">
        <v>783</v>
      </c>
      <c r="G5" s="693" t="s">
        <v>485</v>
      </c>
      <c r="H5" s="689" t="s">
        <v>260</v>
      </c>
      <c r="I5" s="689" t="s">
        <v>784</v>
      </c>
      <c r="J5" s="689" t="s">
        <v>485</v>
      </c>
      <c r="K5" s="979"/>
      <c r="L5" s="690"/>
      <c r="M5" s="690"/>
    </row>
    <row r="6" spans="1:17" s="425" customFormat="1" ht="21" customHeight="1">
      <c r="A6" s="694" t="s">
        <v>785</v>
      </c>
      <c r="B6" s="695">
        <f t="shared" ref="B6:J6" si="0">SUM(B7:B12)</f>
        <v>1820800</v>
      </c>
      <c r="C6" s="695">
        <f t="shared" si="0"/>
        <v>0</v>
      </c>
      <c r="D6" s="695">
        <f t="shared" si="0"/>
        <v>0</v>
      </c>
      <c r="E6" s="695">
        <f t="shared" si="0"/>
        <v>0</v>
      </c>
      <c r="F6" s="695">
        <f t="shared" si="0"/>
        <v>0</v>
      </c>
      <c r="G6" s="695">
        <f t="shared" si="0"/>
        <v>0</v>
      </c>
      <c r="H6" s="695">
        <f t="shared" si="0"/>
        <v>0</v>
      </c>
      <c r="I6" s="695">
        <f t="shared" si="0"/>
        <v>0</v>
      </c>
      <c r="J6" s="695">
        <f t="shared" si="0"/>
        <v>0</v>
      </c>
      <c r="K6" s="695">
        <f>B6+G6-J6</f>
        <v>1820800</v>
      </c>
      <c r="L6" s="696"/>
      <c r="M6" s="696"/>
      <c r="N6" s="697"/>
      <c r="O6" s="432"/>
      <c r="P6" s="698"/>
      <c r="Q6" s="698"/>
    </row>
    <row r="7" spans="1:17" ht="15" customHeight="1">
      <c r="A7" s="699" t="s">
        <v>786</v>
      </c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1"/>
      <c r="M7" s="701"/>
      <c r="P7" s="702"/>
    </row>
    <row r="8" spans="1:17" ht="28.5" customHeight="1">
      <c r="A8" s="703" t="s">
        <v>787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1"/>
      <c r="M8" s="701"/>
      <c r="N8" s="429"/>
      <c r="P8" s="702"/>
    </row>
    <row r="9" spans="1:17" ht="30.75" customHeight="1">
      <c r="A9" s="705" t="s">
        <v>788</v>
      </c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1"/>
      <c r="M9" s="701"/>
      <c r="P9" s="702"/>
    </row>
    <row r="10" spans="1:17" ht="15.75" customHeight="1">
      <c r="A10" s="699" t="s">
        <v>789</v>
      </c>
      <c r="B10" s="700">
        <f>'[3]centraliz  (2)'!$N$6</f>
        <v>1820800</v>
      </c>
      <c r="C10" s="700"/>
      <c r="D10" s="700"/>
      <c r="E10" s="700"/>
      <c r="F10" s="700"/>
      <c r="G10" s="700"/>
      <c r="H10" s="700"/>
      <c r="I10" s="700"/>
      <c r="J10" s="700"/>
      <c r="K10" s="700">
        <f>B10+G10-J10</f>
        <v>1820800</v>
      </c>
      <c r="L10" s="701"/>
      <c r="M10" s="701"/>
      <c r="P10" s="702"/>
    </row>
    <row r="11" spans="1:17" ht="16.5" customHeight="1">
      <c r="A11" s="699" t="s">
        <v>790</v>
      </c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1"/>
      <c r="M11" s="701"/>
      <c r="P11" s="702"/>
    </row>
    <row r="12" spans="1:17" ht="19.5" customHeight="1">
      <c r="A12" s="699" t="s">
        <v>791</v>
      </c>
      <c r="B12" s="700"/>
      <c r="C12" s="700"/>
      <c r="D12" s="700"/>
      <c r="E12" s="700"/>
      <c r="F12" s="700"/>
      <c r="G12" s="700"/>
      <c r="H12" s="700"/>
      <c r="I12" s="700"/>
      <c r="J12" s="700"/>
      <c r="K12" s="700"/>
      <c r="L12" s="701"/>
      <c r="M12" s="701"/>
      <c r="P12" s="702"/>
    </row>
    <row r="13" spans="1:17" s="425" customFormat="1" ht="16.5" customHeight="1">
      <c r="A13" s="706" t="s">
        <v>792</v>
      </c>
      <c r="B13" s="707">
        <f t="shared" ref="B13:I13" si="1">SUM(B14:B23)</f>
        <v>899456856</v>
      </c>
      <c r="C13" s="707">
        <f t="shared" si="1"/>
        <v>0</v>
      </c>
      <c r="D13" s="707">
        <f t="shared" si="1"/>
        <v>7725346.3200000003</v>
      </c>
      <c r="E13" s="707">
        <f t="shared" si="1"/>
        <v>0</v>
      </c>
      <c r="F13" s="707">
        <f t="shared" si="1"/>
        <v>0</v>
      </c>
      <c r="G13" s="707">
        <f t="shared" si="1"/>
        <v>7725346.3200000003</v>
      </c>
      <c r="H13" s="707">
        <f t="shared" si="1"/>
        <v>0</v>
      </c>
      <c r="I13" s="707">
        <f t="shared" si="1"/>
        <v>0</v>
      </c>
      <c r="J13" s="707">
        <f t="shared" ref="J13:J23" si="2">H13+I13</f>
        <v>0</v>
      </c>
      <c r="K13" s="695">
        <f>B13+G13-J13</f>
        <v>907182202.32000005</v>
      </c>
      <c r="L13" s="696"/>
      <c r="M13" s="696"/>
      <c r="N13" s="708"/>
      <c r="O13" s="432"/>
      <c r="P13" s="698"/>
      <c r="Q13" s="698"/>
    </row>
    <row r="14" spans="1:17" ht="15.75" customHeight="1">
      <c r="A14" s="699" t="s">
        <v>793</v>
      </c>
      <c r="B14" s="700">
        <f>'[4]pasqyra 4 2015'!$G$8</f>
        <v>8189829</v>
      </c>
      <c r="C14" s="700"/>
      <c r="D14" s="700"/>
      <c r="E14" s="700"/>
      <c r="F14" s="700"/>
      <c r="G14" s="700">
        <f>C14+D14+E14+F14</f>
        <v>0</v>
      </c>
      <c r="H14" s="700"/>
      <c r="I14" s="700"/>
      <c r="J14" s="700">
        <f t="shared" si="2"/>
        <v>0</v>
      </c>
      <c r="K14" s="700">
        <f t="shared" ref="K14:K21" si="3">B14+G14-J14</f>
        <v>8189829</v>
      </c>
      <c r="L14" s="701"/>
      <c r="M14" s="701"/>
      <c r="P14" s="702"/>
    </row>
    <row r="15" spans="1:17" ht="18.75" customHeight="1">
      <c r="A15" s="699" t="s">
        <v>794</v>
      </c>
      <c r="B15" s="700">
        <f>'[4]pasqyra 4 2015'!$G$9</f>
        <v>10731903</v>
      </c>
      <c r="C15" s="700"/>
      <c r="D15" s="709">
        <v>196000</v>
      </c>
      <c r="E15" s="700"/>
      <c r="F15" s="700"/>
      <c r="G15" s="700">
        <f t="shared" ref="G15:G23" si="4">C15+D15+E15+F15</f>
        <v>196000</v>
      </c>
      <c r="H15" s="700"/>
      <c r="I15" s="700"/>
      <c r="J15" s="700">
        <f t="shared" si="2"/>
        <v>0</v>
      </c>
      <c r="K15" s="700">
        <f t="shared" si="3"/>
        <v>10927903</v>
      </c>
      <c r="L15" s="701"/>
      <c r="M15" s="701"/>
      <c r="P15" s="702"/>
    </row>
    <row r="16" spans="1:17" ht="18" customHeight="1">
      <c r="A16" s="699" t="s">
        <v>795</v>
      </c>
      <c r="B16" s="700">
        <f>'[4]pasqyra 4 2015'!$G$14+'[4]pasqyra 4 2015'!$G$16</f>
        <v>644155982</v>
      </c>
      <c r="C16" s="700"/>
      <c r="D16" s="700">
        <f>G56</f>
        <v>5996296.3200000003</v>
      </c>
      <c r="E16" s="700"/>
      <c r="F16" s="700"/>
      <c r="G16" s="700">
        <f t="shared" si="4"/>
        <v>5996296.3200000003</v>
      </c>
      <c r="H16" s="700"/>
      <c r="I16" s="700"/>
      <c r="J16" s="700">
        <f t="shared" si="2"/>
        <v>0</v>
      </c>
      <c r="K16" s="700">
        <f t="shared" si="3"/>
        <v>650152278.32000005</v>
      </c>
      <c r="L16" s="701"/>
      <c r="M16" s="701"/>
      <c r="P16" s="702"/>
    </row>
    <row r="17" spans="1:17" ht="15" customHeight="1">
      <c r="A17" s="710" t="s">
        <v>796</v>
      </c>
      <c r="B17" s="700">
        <f>'[4]pasqyra 4 2015'!$G$10</f>
        <v>208013934</v>
      </c>
      <c r="C17" s="700"/>
      <c r="D17" s="711">
        <f>G39</f>
        <v>743050</v>
      </c>
      <c r="E17" s="700"/>
      <c r="F17" s="700"/>
      <c r="G17" s="700">
        <f t="shared" si="4"/>
        <v>743050</v>
      </c>
      <c r="H17" s="700"/>
      <c r="I17" s="700"/>
      <c r="J17" s="700">
        <f t="shared" si="2"/>
        <v>0</v>
      </c>
      <c r="K17" s="700">
        <f t="shared" si="3"/>
        <v>208756984</v>
      </c>
      <c r="L17" s="701"/>
      <c r="M17" s="701"/>
      <c r="P17" s="702"/>
    </row>
    <row r="18" spans="1:17" ht="18" customHeight="1">
      <c r="A18" s="699" t="s">
        <v>797</v>
      </c>
      <c r="B18" s="700">
        <f>'[4]pasqyra 4 2015'!$G$11</f>
        <v>20085995</v>
      </c>
      <c r="C18" s="700"/>
      <c r="D18" s="700"/>
      <c r="E18" s="700"/>
      <c r="F18" s="700"/>
      <c r="G18" s="700">
        <f t="shared" si="4"/>
        <v>0</v>
      </c>
      <c r="H18" s="700"/>
      <c r="I18" s="700"/>
      <c r="J18" s="700">
        <f t="shared" si="2"/>
        <v>0</v>
      </c>
      <c r="K18" s="700">
        <f t="shared" si="3"/>
        <v>20085995</v>
      </c>
      <c r="L18" s="701"/>
      <c r="M18" s="701"/>
      <c r="P18" s="702"/>
    </row>
    <row r="19" spans="1:17" ht="16.5" customHeight="1">
      <c r="A19" s="699" t="s">
        <v>886</v>
      </c>
      <c r="B19" s="700">
        <f>'[4]pasqyra 4 2015'!$G$12</f>
        <v>6499184</v>
      </c>
      <c r="C19" s="700"/>
      <c r="D19" s="700">
        <f>G45</f>
        <v>790000</v>
      </c>
      <c r="E19" s="700"/>
      <c r="F19" s="700"/>
      <c r="G19" s="700">
        <f t="shared" si="4"/>
        <v>790000</v>
      </c>
      <c r="H19" s="700"/>
      <c r="I19" s="700"/>
      <c r="J19" s="700">
        <f t="shared" si="2"/>
        <v>0</v>
      </c>
      <c r="K19" s="700">
        <f t="shared" si="3"/>
        <v>7289184</v>
      </c>
      <c r="L19" s="701"/>
      <c r="M19" s="701"/>
      <c r="P19" s="702"/>
    </row>
    <row r="20" spans="1:17" ht="16.5" customHeight="1">
      <c r="A20" s="710" t="s">
        <v>769</v>
      </c>
      <c r="B20" s="700">
        <f>'[4]pasqyra 4 2015'!$G$13</f>
        <v>1780029</v>
      </c>
      <c r="C20" s="700"/>
      <c r="D20" s="700"/>
      <c r="E20" s="700"/>
      <c r="F20" s="700"/>
      <c r="G20" s="700">
        <f t="shared" si="4"/>
        <v>0</v>
      </c>
      <c r="H20" s="700"/>
      <c r="I20" s="700"/>
      <c r="J20" s="700">
        <f t="shared" si="2"/>
        <v>0</v>
      </c>
      <c r="K20" s="700">
        <f t="shared" si="3"/>
        <v>1780029</v>
      </c>
      <c r="L20" s="701"/>
      <c r="M20" s="701"/>
      <c r="P20" s="702"/>
    </row>
    <row r="21" spans="1:17" ht="15.75" customHeight="1">
      <c r="A21" s="699" t="s">
        <v>798</v>
      </c>
      <c r="B21" s="700"/>
      <c r="C21" s="700"/>
      <c r="D21" s="700"/>
      <c r="E21" s="700"/>
      <c r="F21" s="700"/>
      <c r="G21" s="700">
        <f t="shared" si="4"/>
        <v>0</v>
      </c>
      <c r="H21" s="700"/>
      <c r="I21" s="700"/>
      <c r="J21" s="700">
        <f t="shared" si="2"/>
        <v>0</v>
      </c>
      <c r="K21" s="700">
        <f t="shared" si="3"/>
        <v>0</v>
      </c>
      <c r="L21" s="701"/>
      <c r="M21" s="701"/>
      <c r="P21" s="702"/>
    </row>
    <row r="22" spans="1:17" ht="15.75" customHeight="1">
      <c r="A22" s="699" t="s">
        <v>799</v>
      </c>
      <c r="B22" s="700"/>
      <c r="C22" s="700"/>
      <c r="D22" s="700"/>
      <c r="E22" s="700"/>
      <c r="F22" s="700"/>
      <c r="G22" s="700">
        <f t="shared" si="4"/>
        <v>0</v>
      </c>
      <c r="H22" s="700"/>
      <c r="I22" s="700"/>
      <c r="J22" s="700">
        <f t="shared" si="2"/>
        <v>0</v>
      </c>
      <c r="K22" s="700">
        <f>B22+G22-J22</f>
        <v>0</v>
      </c>
      <c r="L22" s="701"/>
      <c r="M22" s="701"/>
      <c r="P22" s="702"/>
    </row>
    <row r="23" spans="1:17" ht="17.25" customHeight="1">
      <c r="A23" s="699" t="s">
        <v>800</v>
      </c>
      <c r="B23" s="700"/>
      <c r="C23" s="700"/>
      <c r="D23" s="700"/>
      <c r="E23" s="700"/>
      <c r="F23" s="700"/>
      <c r="G23" s="700">
        <f t="shared" si="4"/>
        <v>0</v>
      </c>
      <c r="H23" s="700"/>
      <c r="I23" s="700"/>
      <c r="J23" s="700">
        <f t="shared" si="2"/>
        <v>0</v>
      </c>
      <c r="K23" s="700">
        <f>B23+G23-J23</f>
        <v>0</v>
      </c>
      <c r="L23" s="701"/>
      <c r="M23" s="701"/>
      <c r="P23" s="702"/>
    </row>
    <row r="24" spans="1:17" ht="15">
      <c r="A24" s="699" t="s">
        <v>801</v>
      </c>
      <c r="B24" s="712">
        <f>B6+B13</f>
        <v>901277656</v>
      </c>
      <c r="C24" s="712">
        <f t="shared" ref="C24:J24" si="5">C6+C13</f>
        <v>0</v>
      </c>
      <c r="D24" s="712">
        <f t="shared" si="5"/>
        <v>7725346.3200000003</v>
      </c>
      <c r="E24" s="712">
        <f t="shared" si="5"/>
        <v>0</v>
      </c>
      <c r="F24" s="712">
        <f t="shared" si="5"/>
        <v>0</v>
      </c>
      <c r="G24" s="712">
        <f t="shared" si="5"/>
        <v>7725346.3200000003</v>
      </c>
      <c r="H24" s="712">
        <f t="shared" si="5"/>
        <v>0</v>
      </c>
      <c r="I24" s="712">
        <f t="shared" si="5"/>
        <v>0</v>
      </c>
      <c r="J24" s="712">
        <f t="shared" si="5"/>
        <v>0</v>
      </c>
      <c r="K24" s="700">
        <f>B24+G24-J24</f>
        <v>909003002.32000005</v>
      </c>
      <c r="L24" s="701"/>
      <c r="M24" s="701"/>
      <c r="N24" s="713"/>
      <c r="P24" s="702"/>
      <c r="Q24" s="702"/>
    </row>
    <row r="26" spans="1:17">
      <c r="D26" s="702"/>
    </row>
    <row r="27" spans="1:17" s="716" customFormat="1">
      <c r="A27" s="714"/>
      <c r="B27" s="715"/>
      <c r="C27" s="715"/>
      <c r="D27" s="715"/>
      <c r="E27" s="715"/>
      <c r="F27" s="715"/>
      <c r="G27" s="715"/>
      <c r="H27" s="715"/>
      <c r="O27" s="717"/>
    </row>
    <row r="28" spans="1:17">
      <c r="D28" s="434"/>
      <c r="E28" s="686"/>
      <c r="G28" s="718"/>
      <c r="H28" s="433"/>
    </row>
    <row r="29" spans="1:17">
      <c r="D29" s="434"/>
      <c r="E29" s="686"/>
      <c r="G29" s="718"/>
      <c r="H29" s="433"/>
      <c r="K29" s="718"/>
    </row>
    <row r="30" spans="1:17">
      <c r="D30" s="434"/>
      <c r="E30" s="686"/>
      <c r="G30" s="718"/>
      <c r="H30" s="433"/>
    </row>
    <row r="31" spans="1:17">
      <c r="A31" s="425" t="s">
        <v>885</v>
      </c>
      <c r="B31" s="719"/>
      <c r="D31" s="434"/>
      <c r="E31" s="686"/>
      <c r="G31" s="686"/>
      <c r="H31" s="433"/>
    </row>
    <row r="32" spans="1:17" ht="18.75" customHeight="1">
      <c r="B32" s="719"/>
      <c r="D32" s="686"/>
      <c r="E32" s="686"/>
      <c r="G32" s="686"/>
      <c r="H32" s="433"/>
    </row>
    <row r="33" spans="1:256" ht="20.25" customHeight="1">
      <c r="A33" s="677" t="s">
        <v>888</v>
      </c>
      <c r="B33" s="679" t="s">
        <v>860</v>
      </c>
      <c r="C33" s="677"/>
      <c r="D33" s="677" t="s">
        <v>859</v>
      </c>
      <c r="E33" s="678">
        <v>262000</v>
      </c>
      <c r="F33" s="678">
        <v>262000</v>
      </c>
      <c r="G33" s="678">
        <v>262000</v>
      </c>
      <c r="H33" s="720">
        <f>(E33*0.05)/12*6</f>
        <v>6550</v>
      </c>
      <c r="I33" s="721">
        <f t="shared" ref="I33:I38" si="6">F33+H33</f>
        <v>268550</v>
      </c>
      <c r="J33" s="722">
        <f t="shared" ref="J33:J38" si="7">G33-H33</f>
        <v>255450</v>
      </c>
      <c r="K33" s="723" t="s">
        <v>862</v>
      </c>
      <c r="L33" s="723"/>
      <c r="M33" s="723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  <c r="AB33" s="724"/>
      <c r="AC33" s="724"/>
      <c r="AD33" s="724"/>
      <c r="AE33" s="724"/>
      <c r="AF33" s="724"/>
      <c r="AG33" s="724"/>
      <c r="AH33" s="724"/>
      <c r="AI33" s="724"/>
      <c r="AJ33" s="724"/>
      <c r="AK33" s="724"/>
      <c r="AL33" s="724"/>
      <c r="AM33" s="724"/>
      <c r="AN33" s="724"/>
      <c r="AO33" s="724"/>
      <c r="AP33" s="724"/>
      <c r="AQ33" s="724"/>
      <c r="AR33" s="724"/>
      <c r="AS33" s="724"/>
      <c r="AT33" s="724"/>
      <c r="AU33" s="724"/>
      <c r="AV33" s="724"/>
      <c r="AW33" s="724"/>
      <c r="AX33" s="724"/>
      <c r="AY33" s="724"/>
      <c r="AZ33" s="724"/>
      <c r="BA33" s="724"/>
      <c r="BB33" s="724"/>
      <c r="BC33" s="724"/>
      <c r="BD33" s="724"/>
      <c r="BE33" s="724"/>
      <c r="BF33" s="724"/>
      <c r="BG33" s="724"/>
      <c r="BH33" s="724"/>
      <c r="BI33" s="724"/>
      <c r="BJ33" s="724"/>
      <c r="BK33" s="724"/>
      <c r="BL33" s="724"/>
      <c r="BM33" s="724"/>
      <c r="BN33" s="724"/>
      <c r="BO33" s="724"/>
      <c r="BP33" s="724"/>
      <c r="BQ33" s="724"/>
      <c r="BR33" s="724"/>
      <c r="BS33" s="724"/>
      <c r="BT33" s="724"/>
      <c r="BU33" s="724"/>
      <c r="BV33" s="724"/>
      <c r="BW33" s="724"/>
      <c r="BX33" s="724"/>
      <c r="BY33" s="724"/>
      <c r="BZ33" s="724"/>
      <c r="CA33" s="724"/>
      <c r="CB33" s="724"/>
      <c r="CC33" s="724"/>
      <c r="CD33" s="724"/>
      <c r="CE33" s="724"/>
      <c r="CF33" s="724"/>
      <c r="CG33" s="724"/>
      <c r="CH33" s="724"/>
      <c r="CI33" s="724"/>
      <c r="CJ33" s="724"/>
      <c r="CK33" s="724"/>
      <c r="CL33" s="724"/>
      <c r="CM33" s="724"/>
      <c r="CN33" s="724"/>
      <c r="CO33" s="724"/>
      <c r="CP33" s="724"/>
      <c r="CQ33" s="724"/>
      <c r="CR33" s="724"/>
      <c r="CS33" s="724"/>
      <c r="CT33" s="724"/>
      <c r="CU33" s="724"/>
      <c r="CV33" s="724"/>
      <c r="CW33" s="724"/>
      <c r="CX33" s="724"/>
      <c r="CY33" s="724"/>
      <c r="CZ33" s="724"/>
      <c r="DA33" s="724"/>
      <c r="DB33" s="724"/>
      <c r="DC33" s="724"/>
      <c r="DD33" s="724"/>
      <c r="DE33" s="724"/>
      <c r="DF33" s="724"/>
      <c r="DG33" s="724"/>
      <c r="DH33" s="724"/>
      <c r="DI33" s="724"/>
      <c r="DJ33" s="724"/>
      <c r="DK33" s="724"/>
      <c r="DL33" s="724"/>
      <c r="DM33" s="724"/>
      <c r="DN33" s="724"/>
      <c r="DO33" s="724"/>
      <c r="DP33" s="724"/>
      <c r="DQ33" s="724"/>
      <c r="DR33" s="724"/>
      <c r="DS33" s="724"/>
      <c r="DT33" s="724"/>
      <c r="DU33" s="724"/>
      <c r="DV33" s="724"/>
      <c r="DW33" s="724"/>
      <c r="DX33" s="724"/>
      <c r="DY33" s="724"/>
      <c r="DZ33" s="724"/>
      <c r="EA33" s="724"/>
      <c r="EB33" s="724"/>
      <c r="EC33" s="724"/>
      <c r="ED33" s="724"/>
      <c r="EE33" s="724"/>
      <c r="EF33" s="724"/>
      <c r="EG33" s="724"/>
      <c r="EH33" s="724"/>
      <c r="EI33" s="724"/>
      <c r="EJ33" s="724"/>
      <c r="EK33" s="724"/>
      <c r="EL33" s="724"/>
      <c r="EM33" s="724"/>
      <c r="EN33" s="724"/>
      <c r="EO33" s="724"/>
      <c r="EP33" s="724"/>
      <c r="EQ33" s="724"/>
      <c r="ER33" s="724"/>
      <c r="ES33" s="724"/>
      <c r="ET33" s="724"/>
      <c r="EU33" s="724"/>
      <c r="EV33" s="724"/>
      <c r="EW33" s="724"/>
      <c r="EX33" s="724"/>
      <c r="EY33" s="724"/>
      <c r="EZ33" s="724"/>
      <c r="FA33" s="724"/>
      <c r="FB33" s="724"/>
      <c r="FC33" s="724"/>
      <c r="FD33" s="724"/>
      <c r="FE33" s="724"/>
      <c r="FF33" s="724"/>
      <c r="FG33" s="724"/>
      <c r="FH33" s="724"/>
      <c r="FI33" s="724"/>
      <c r="FJ33" s="724"/>
      <c r="FK33" s="724"/>
      <c r="FL33" s="724"/>
      <c r="FM33" s="724"/>
      <c r="FN33" s="724"/>
      <c r="FO33" s="724"/>
      <c r="FP33" s="724"/>
      <c r="FQ33" s="724"/>
      <c r="FR33" s="724"/>
      <c r="FS33" s="724"/>
      <c r="FT33" s="724"/>
      <c r="FU33" s="724"/>
      <c r="FV33" s="724"/>
      <c r="FW33" s="724"/>
      <c r="FX33" s="724"/>
      <c r="FY33" s="724"/>
      <c r="FZ33" s="724"/>
      <c r="GA33" s="724"/>
      <c r="GB33" s="724"/>
      <c r="GC33" s="724"/>
      <c r="GD33" s="724"/>
      <c r="GE33" s="724"/>
      <c r="GF33" s="724"/>
      <c r="GG33" s="724"/>
      <c r="GH33" s="724"/>
      <c r="GI33" s="724"/>
      <c r="GJ33" s="724"/>
      <c r="GK33" s="724"/>
      <c r="GL33" s="724"/>
      <c r="GM33" s="724"/>
      <c r="GN33" s="724"/>
      <c r="GO33" s="724"/>
      <c r="GP33" s="724"/>
      <c r="GQ33" s="724"/>
      <c r="GR33" s="724"/>
      <c r="GS33" s="724"/>
      <c r="GT33" s="724"/>
      <c r="GU33" s="724"/>
      <c r="GV33" s="724"/>
      <c r="GW33" s="724"/>
      <c r="GX33" s="724"/>
      <c r="GY33" s="724"/>
      <c r="GZ33" s="724"/>
      <c r="HA33" s="724"/>
      <c r="HB33" s="724"/>
      <c r="HC33" s="724"/>
      <c r="HD33" s="724"/>
      <c r="HE33" s="724"/>
      <c r="HF33" s="724"/>
      <c r="HG33" s="724"/>
      <c r="HH33" s="724"/>
      <c r="HI33" s="724"/>
      <c r="HJ33" s="724"/>
      <c r="HK33" s="724"/>
      <c r="HL33" s="724"/>
      <c r="HM33" s="724"/>
      <c r="HN33" s="724"/>
      <c r="HO33" s="724"/>
      <c r="HP33" s="724"/>
      <c r="HQ33" s="724"/>
      <c r="HR33" s="724"/>
      <c r="HS33" s="724"/>
      <c r="HT33" s="724"/>
      <c r="HU33" s="724"/>
      <c r="HV33" s="724"/>
      <c r="HW33" s="724"/>
      <c r="HX33" s="724"/>
      <c r="HY33" s="724"/>
      <c r="HZ33" s="724"/>
      <c r="IA33" s="724"/>
      <c r="IB33" s="724"/>
      <c r="IC33" s="724"/>
      <c r="ID33" s="724"/>
      <c r="IE33" s="724"/>
      <c r="IF33" s="724"/>
      <c r="IG33" s="724"/>
      <c r="IH33" s="724"/>
      <c r="II33" s="724"/>
      <c r="IJ33" s="724"/>
      <c r="IK33" s="724"/>
      <c r="IL33" s="724"/>
      <c r="IM33" s="724"/>
      <c r="IN33" s="724"/>
      <c r="IO33" s="724"/>
      <c r="IP33" s="724"/>
      <c r="IQ33" s="724"/>
      <c r="IR33" s="724"/>
      <c r="IS33" s="724"/>
      <c r="IT33" s="724"/>
      <c r="IU33" s="724"/>
      <c r="IV33" s="724"/>
    </row>
    <row r="34" spans="1:256" ht="20.25" customHeight="1">
      <c r="A34" s="677" t="s">
        <v>864</v>
      </c>
      <c r="B34" s="679" t="s">
        <v>863</v>
      </c>
      <c r="C34" s="677"/>
      <c r="D34" s="677" t="s">
        <v>673</v>
      </c>
      <c r="E34" s="678">
        <v>242000</v>
      </c>
      <c r="F34" s="678">
        <v>242000</v>
      </c>
      <c r="G34" s="678">
        <v>242000</v>
      </c>
      <c r="H34" s="720">
        <f>(E34*0.05)/12*6</f>
        <v>6050</v>
      </c>
      <c r="I34" s="721">
        <f t="shared" si="6"/>
        <v>248050</v>
      </c>
      <c r="J34" s="722">
        <f t="shared" si="7"/>
        <v>235950</v>
      </c>
      <c r="K34" s="723" t="s">
        <v>862</v>
      </c>
      <c r="L34" s="723"/>
      <c r="M34" s="723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4"/>
      <c r="AA34" s="724"/>
      <c r="AB34" s="724"/>
      <c r="AC34" s="724"/>
      <c r="AD34" s="724"/>
      <c r="AE34" s="724"/>
      <c r="AF34" s="724"/>
      <c r="AG34" s="724"/>
      <c r="AH34" s="724"/>
      <c r="AI34" s="724"/>
      <c r="AJ34" s="724"/>
      <c r="AK34" s="724"/>
      <c r="AL34" s="724"/>
      <c r="AM34" s="724"/>
      <c r="AN34" s="724"/>
      <c r="AO34" s="724"/>
      <c r="AP34" s="724"/>
      <c r="AQ34" s="724"/>
      <c r="AR34" s="724"/>
      <c r="AS34" s="724"/>
      <c r="AT34" s="724"/>
      <c r="AU34" s="724"/>
      <c r="AV34" s="724"/>
      <c r="AW34" s="724"/>
      <c r="AX34" s="724"/>
      <c r="AY34" s="724"/>
      <c r="AZ34" s="724"/>
      <c r="BA34" s="724"/>
      <c r="BB34" s="724"/>
      <c r="BC34" s="724"/>
      <c r="BD34" s="724"/>
      <c r="BE34" s="724"/>
      <c r="BF34" s="724"/>
      <c r="BG34" s="724"/>
      <c r="BH34" s="724"/>
      <c r="BI34" s="724"/>
      <c r="BJ34" s="724"/>
      <c r="BK34" s="724"/>
      <c r="BL34" s="724"/>
      <c r="BM34" s="724"/>
      <c r="BN34" s="724"/>
      <c r="BO34" s="724"/>
      <c r="BP34" s="724"/>
      <c r="BQ34" s="724"/>
      <c r="BR34" s="724"/>
      <c r="BS34" s="724"/>
      <c r="BT34" s="724"/>
      <c r="BU34" s="724"/>
      <c r="BV34" s="724"/>
      <c r="BW34" s="724"/>
      <c r="BX34" s="724"/>
      <c r="BY34" s="724"/>
      <c r="BZ34" s="724"/>
      <c r="CA34" s="724"/>
      <c r="CB34" s="724"/>
      <c r="CC34" s="724"/>
      <c r="CD34" s="724"/>
      <c r="CE34" s="724"/>
      <c r="CF34" s="724"/>
      <c r="CG34" s="724"/>
      <c r="CH34" s="724"/>
      <c r="CI34" s="724"/>
      <c r="CJ34" s="724"/>
      <c r="CK34" s="724"/>
      <c r="CL34" s="724"/>
      <c r="CM34" s="724"/>
      <c r="CN34" s="724"/>
      <c r="CO34" s="724"/>
      <c r="CP34" s="724"/>
      <c r="CQ34" s="724"/>
      <c r="CR34" s="724"/>
      <c r="CS34" s="724"/>
      <c r="CT34" s="724"/>
      <c r="CU34" s="724"/>
      <c r="CV34" s="724"/>
      <c r="CW34" s="724"/>
      <c r="CX34" s="724"/>
      <c r="CY34" s="724"/>
      <c r="CZ34" s="724"/>
      <c r="DA34" s="724"/>
      <c r="DB34" s="724"/>
      <c r="DC34" s="724"/>
      <c r="DD34" s="724"/>
      <c r="DE34" s="724"/>
      <c r="DF34" s="724"/>
      <c r="DG34" s="724"/>
      <c r="DH34" s="724"/>
      <c r="DI34" s="724"/>
      <c r="DJ34" s="724"/>
      <c r="DK34" s="724"/>
      <c r="DL34" s="724"/>
      <c r="DM34" s="724"/>
      <c r="DN34" s="724"/>
      <c r="DO34" s="724"/>
      <c r="DP34" s="724"/>
      <c r="DQ34" s="724"/>
      <c r="DR34" s="724"/>
      <c r="DS34" s="724"/>
      <c r="DT34" s="724"/>
      <c r="DU34" s="724"/>
      <c r="DV34" s="724"/>
      <c r="DW34" s="724"/>
      <c r="DX34" s="724"/>
      <c r="DY34" s="724"/>
      <c r="DZ34" s="724"/>
      <c r="EA34" s="724"/>
      <c r="EB34" s="724"/>
      <c r="EC34" s="724"/>
      <c r="ED34" s="724"/>
      <c r="EE34" s="724"/>
      <c r="EF34" s="724"/>
      <c r="EG34" s="724"/>
      <c r="EH34" s="724"/>
      <c r="EI34" s="724"/>
      <c r="EJ34" s="724"/>
      <c r="EK34" s="724"/>
      <c r="EL34" s="724"/>
      <c r="EM34" s="724"/>
      <c r="EN34" s="724"/>
      <c r="EO34" s="724"/>
      <c r="EP34" s="724"/>
      <c r="EQ34" s="724"/>
      <c r="ER34" s="724"/>
      <c r="ES34" s="724"/>
      <c r="ET34" s="724"/>
      <c r="EU34" s="724"/>
      <c r="EV34" s="724"/>
      <c r="EW34" s="724"/>
      <c r="EX34" s="724"/>
      <c r="EY34" s="724"/>
      <c r="EZ34" s="724"/>
      <c r="FA34" s="724"/>
      <c r="FB34" s="724"/>
      <c r="FC34" s="724"/>
      <c r="FD34" s="724"/>
      <c r="FE34" s="724"/>
      <c r="FF34" s="724"/>
      <c r="FG34" s="724"/>
      <c r="FH34" s="724"/>
      <c r="FI34" s="724"/>
      <c r="FJ34" s="724"/>
      <c r="FK34" s="724"/>
      <c r="FL34" s="724"/>
      <c r="FM34" s="724"/>
      <c r="FN34" s="724"/>
      <c r="FO34" s="724"/>
      <c r="FP34" s="724"/>
      <c r="FQ34" s="724"/>
      <c r="FR34" s="724"/>
      <c r="FS34" s="724"/>
      <c r="FT34" s="724"/>
      <c r="FU34" s="724"/>
      <c r="FV34" s="724"/>
      <c r="FW34" s="724"/>
      <c r="FX34" s="724"/>
      <c r="FY34" s="724"/>
      <c r="FZ34" s="724"/>
      <c r="GA34" s="724"/>
      <c r="GB34" s="724"/>
      <c r="GC34" s="724"/>
      <c r="GD34" s="724"/>
      <c r="GE34" s="724"/>
      <c r="GF34" s="724"/>
      <c r="GG34" s="724"/>
      <c r="GH34" s="724"/>
      <c r="GI34" s="724"/>
      <c r="GJ34" s="724"/>
      <c r="GK34" s="724"/>
      <c r="GL34" s="724"/>
      <c r="GM34" s="724"/>
      <c r="GN34" s="724"/>
      <c r="GO34" s="724"/>
      <c r="GP34" s="724"/>
      <c r="GQ34" s="724"/>
      <c r="GR34" s="724"/>
      <c r="GS34" s="724"/>
      <c r="GT34" s="724"/>
      <c r="GU34" s="724"/>
      <c r="GV34" s="724"/>
      <c r="GW34" s="724"/>
      <c r="GX34" s="724"/>
      <c r="GY34" s="724"/>
      <c r="GZ34" s="724"/>
      <c r="HA34" s="724"/>
      <c r="HB34" s="724"/>
      <c r="HC34" s="724"/>
      <c r="HD34" s="724"/>
      <c r="HE34" s="724"/>
      <c r="HF34" s="724"/>
      <c r="HG34" s="724"/>
      <c r="HH34" s="724"/>
      <c r="HI34" s="724"/>
      <c r="HJ34" s="724"/>
      <c r="HK34" s="724"/>
      <c r="HL34" s="724"/>
      <c r="HM34" s="724"/>
      <c r="HN34" s="724"/>
      <c r="HO34" s="724"/>
      <c r="HP34" s="724"/>
      <c r="HQ34" s="724"/>
      <c r="HR34" s="724"/>
      <c r="HS34" s="724"/>
      <c r="HT34" s="724"/>
      <c r="HU34" s="724"/>
      <c r="HV34" s="724"/>
      <c r="HW34" s="724"/>
      <c r="HX34" s="724"/>
      <c r="HY34" s="724"/>
      <c r="HZ34" s="724"/>
      <c r="IA34" s="724"/>
      <c r="IB34" s="724"/>
      <c r="IC34" s="724"/>
      <c r="ID34" s="724"/>
      <c r="IE34" s="724"/>
      <c r="IF34" s="724"/>
      <c r="IG34" s="724"/>
      <c r="IH34" s="724"/>
      <c r="II34" s="724"/>
      <c r="IJ34" s="724"/>
      <c r="IK34" s="724"/>
      <c r="IL34" s="724"/>
      <c r="IM34" s="724"/>
      <c r="IN34" s="724"/>
      <c r="IO34" s="724"/>
      <c r="IP34" s="724"/>
      <c r="IQ34" s="724"/>
      <c r="IR34" s="724"/>
      <c r="IS34" s="724"/>
      <c r="IT34" s="724"/>
      <c r="IU34" s="724"/>
      <c r="IV34" s="724"/>
    </row>
    <row r="35" spans="1:256" ht="20.25" customHeight="1">
      <c r="A35" s="677" t="s">
        <v>865</v>
      </c>
      <c r="B35" s="679" t="s">
        <v>673</v>
      </c>
      <c r="C35" s="677"/>
      <c r="D35" s="677" t="s">
        <v>673</v>
      </c>
      <c r="E35" s="678">
        <v>56000</v>
      </c>
      <c r="F35" s="678">
        <v>56000</v>
      </c>
      <c r="G35" s="678">
        <v>56000</v>
      </c>
      <c r="H35" s="720">
        <f>(E35*0.05)/12*6</f>
        <v>1400</v>
      </c>
      <c r="I35" s="721">
        <f t="shared" si="6"/>
        <v>57400</v>
      </c>
      <c r="J35" s="722">
        <f t="shared" si="7"/>
        <v>54600</v>
      </c>
      <c r="K35" s="723" t="s">
        <v>862</v>
      </c>
      <c r="L35" s="723"/>
      <c r="M35" s="723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  <c r="AB35" s="724"/>
      <c r="AC35" s="724"/>
      <c r="AD35" s="724"/>
      <c r="AE35" s="724"/>
      <c r="AF35" s="724"/>
      <c r="AG35" s="724"/>
      <c r="AH35" s="724"/>
      <c r="AI35" s="724"/>
      <c r="AJ35" s="724"/>
      <c r="AK35" s="724"/>
      <c r="AL35" s="724"/>
      <c r="AM35" s="724"/>
      <c r="AN35" s="724"/>
      <c r="AO35" s="724"/>
      <c r="AP35" s="724"/>
      <c r="AQ35" s="724"/>
      <c r="AR35" s="724"/>
      <c r="AS35" s="724"/>
      <c r="AT35" s="724"/>
      <c r="AU35" s="724"/>
      <c r="AV35" s="724"/>
      <c r="AW35" s="724"/>
      <c r="AX35" s="724"/>
      <c r="AY35" s="724"/>
      <c r="AZ35" s="724"/>
      <c r="BA35" s="724"/>
      <c r="BB35" s="724"/>
      <c r="BC35" s="724"/>
      <c r="BD35" s="724"/>
      <c r="BE35" s="724"/>
      <c r="BF35" s="724"/>
      <c r="BG35" s="724"/>
      <c r="BH35" s="724"/>
      <c r="BI35" s="724"/>
      <c r="BJ35" s="724"/>
      <c r="BK35" s="724"/>
      <c r="BL35" s="724"/>
      <c r="BM35" s="724"/>
      <c r="BN35" s="724"/>
      <c r="BO35" s="724"/>
      <c r="BP35" s="724"/>
      <c r="BQ35" s="724"/>
      <c r="BR35" s="724"/>
      <c r="BS35" s="724"/>
      <c r="BT35" s="724"/>
      <c r="BU35" s="724"/>
      <c r="BV35" s="724"/>
      <c r="BW35" s="724"/>
      <c r="BX35" s="724"/>
      <c r="BY35" s="724"/>
      <c r="BZ35" s="724"/>
      <c r="CA35" s="724"/>
      <c r="CB35" s="724"/>
      <c r="CC35" s="724"/>
      <c r="CD35" s="724"/>
      <c r="CE35" s="724"/>
      <c r="CF35" s="724"/>
      <c r="CG35" s="724"/>
      <c r="CH35" s="724"/>
      <c r="CI35" s="724"/>
      <c r="CJ35" s="724"/>
      <c r="CK35" s="724"/>
      <c r="CL35" s="724"/>
      <c r="CM35" s="724"/>
      <c r="CN35" s="724"/>
      <c r="CO35" s="724"/>
      <c r="CP35" s="724"/>
      <c r="CQ35" s="724"/>
      <c r="CR35" s="724"/>
      <c r="CS35" s="724"/>
      <c r="CT35" s="724"/>
      <c r="CU35" s="724"/>
      <c r="CV35" s="724"/>
      <c r="CW35" s="724"/>
      <c r="CX35" s="724"/>
      <c r="CY35" s="724"/>
      <c r="CZ35" s="724"/>
      <c r="DA35" s="724"/>
      <c r="DB35" s="724"/>
      <c r="DC35" s="724"/>
      <c r="DD35" s="724"/>
      <c r="DE35" s="724"/>
      <c r="DF35" s="724"/>
      <c r="DG35" s="724"/>
      <c r="DH35" s="724"/>
      <c r="DI35" s="724"/>
      <c r="DJ35" s="724"/>
      <c r="DK35" s="724"/>
      <c r="DL35" s="724"/>
      <c r="DM35" s="724"/>
      <c r="DN35" s="724"/>
      <c r="DO35" s="724"/>
      <c r="DP35" s="724"/>
      <c r="DQ35" s="724"/>
      <c r="DR35" s="724"/>
      <c r="DS35" s="724"/>
      <c r="DT35" s="724"/>
      <c r="DU35" s="724"/>
      <c r="DV35" s="724"/>
      <c r="DW35" s="724"/>
      <c r="DX35" s="724"/>
      <c r="DY35" s="724"/>
      <c r="DZ35" s="724"/>
      <c r="EA35" s="724"/>
      <c r="EB35" s="724"/>
      <c r="EC35" s="724"/>
      <c r="ED35" s="724"/>
      <c r="EE35" s="724"/>
      <c r="EF35" s="724"/>
      <c r="EG35" s="724"/>
      <c r="EH35" s="724"/>
      <c r="EI35" s="724"/>
      <c r="EJ35" s="724"/>
      <c r="EK35" s="724"/>
      <c r="EL35" s="724"/>
      <c r="EM35" s="724"/>
      <c r="EN35" s="724"/>
      <c r="EO35" s="724"/>
      <c r="EP35" s="724"/>
      <c r="EQ35" s="724"/>
      <c r="ER35" s="724"/>
      <c r="ES35" s="724"/>
      <c r="ET35" s="724"/>
      <c r="EU35" s="724"/>
      <c r="EV35" s="724"/>
      <c r="EW35" s="724"/>
      <c r="EX35" s="724"/>
      <c r="EY35" s="724"/>
      <c r="EZ35" s="724"/>
      <c r="FA35" s="724"/>
      <c r="FB35" s="724"/>
      <c r="FC35" s="724"/>
      <c r="FD35" s="724"/>
      <c r="FE35" s="724"/>
      <c r="FF35" s="724"/>
      <c r="FG35" s="724"/>
      <c r="FH35" s="724"/>
      <c r="FI35" s="724"/>
      <c r="FJ35" s="724"/>
      <c r="FK35" s="724"/>
      <c r="FL35" s="724"/>
      <c r="FM35" s="724"/>
      <c r="FN35" s="724"/>
      <c r="FO35" s="724"/>
      <c r="FP35" s="724"/>
      <c r="FQ35" s="724"/>
      <c r="FR35" s="724"/>
      <c r="FS35" s="724"/>
      <c r="FT35" s="724"/>
      <c r="FU35" s="724"/>
      <c r="FV35" s="724"/>
      <c r="FW35" s="724"/>
      <c r="FX35" s="724"/>
      <c r="FY35" s="724"/>
      <c r="FZ35" s="724"/>
      <c r="GA35" s="724"/>
      <c r="GB35" s="724"/>
      <c r="GC35" s="724"/>
      <c r="GD35" s="724"/>
      <c r="GE35" s="724"/>
      <c r="GF35" s="724"/>
      <c r="GG35" s="724"/>
      <c r="GH35" s="724"/>
      <c r="GI35" s="724"/>
      <c r="GJ35" s="724"/>
      <c r="GK35" s="724"/>
      <c r="GL35" s="724"/>
      <c r="GM35" s="724"/>
      <c r="GN35" s="724"/>
      <c r="GO35" s="724"/>
      <c r="GP35" s="724"/>
      <c r="GQ35" s="724"/>
      <c r="GR35" s="724"/>
      <c r="GS35" s="724"/>
      <c r="GT35" s="724"/>
      <c r="GU35" s="724"/>
      <c r="GV35" s="724"/>
      <c r="GW35" s="724"/>
      <c r="GX35" s="724"/>
      <c r="GY35" s="724"/>
      <c r="GZ35" s="724"/>
      <c r="HA35" s="724"/>
      <c r="HB35" s="724"/>
      <c r="HC35" s="724"/>
      <c r="HD35" s="724"/>
      <c r="HE35" s="724"/>
      <c r="HF35" s="724"/>
      <c r="HG35" s="724"/>
      <c r="HH35" s="724"/>
      <c r="HI35" s="724"/>
      <c r="HJ35" s="724"/>
      <c r="HK35" s="724"/>
      <c r="HL35" s="724"/>
      <c r="HM35" s="724"/>
      <c r="HN35" s="724"/>
      <c r="HO35" s="724"/>
      <c r="HP35" s="724"/>
      <c r="HQ35" s="724"/>
      <c r="HR35" s="724"/>
      <c r="HS35" s="724"/>
      <c r="HT35" s="724"/>
      <c r="HU35" s="724"/>
      <c r="HV35" s="724"/>
      <c r="HW35" s="724"/>
      <c r="HX35" s="724"/>
      <c r="HY35" s="724"/>
      <c r="HZ35" s="724"/>
      <c r="IA35" s="724"/>
      <c r="IB35" s="724"/>
      <c r="IC35" s="724"/>
      <c r="ID35" s="724"/>
      <c r="IE35" s="724"/>
      <c r="IF35" s="724"/>
      <c r="IG35" s="724"/>
      <c r="IH35" s="724"/>
      <c r="II35" s="724"/>
      <c r="IJ35" s="724"/>
      <c r="IK35" s="724"/>
      <c r="IL35" s="724"/>
      <c r="IM35" s="724"/>
      <c r="IN35" s="724"/>
      <c r="IO35" s="724"/>
      <c r="IP35" s="724"/>
      <c r="IQ35" s="724"/>
      <c r="IR35" s="724"/>
      <c r="IS35" s="724"/>
      <c r="IT35" s="724"/>
      <c r="IU35" s="724"/>
      <c r="IV35" s="724"/>
    </row>
    <row r="36" spans="1:256" ht="20.25" customHeight="1">
      <c r="A36" s="677" t="s">
        <v>866</v>
      </c>
      <c r="B36" s="679" t="s">
        <v>673</v>
      </c>
      <c r="C36" s="677"/>
      <c r="D36" s="677" t="s">
        <v>673</v>
      </c>
      <c r="E36" s="678">
        <v>38000</v>
      </c>
      <c r="F36" s="678">
        <v>38000</v>
      </c>
      <c r="G36" s="678">
        <v>38000</v>
      </c>
      <c r="H36" s="720">
        <f>(E36*0.05)/12*6</f>
        <v>950</v>
      </c>
      <c r="I36" s="721">
        <f t="shared" si="6"/>
        <v>38950</v>
      </c>
      <c r="J36" s="722">
        <f t="shared" si="7"/>
        <v>37050</v>
      </c>
      <c r="K36" s="723" t="s">
        <v>862</v>
      </c>
      <c r="L36" s="723"/>
      <c r="M36" s="723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4"/>
      <c r="AA36" s="724"/>
      <c r="AB36" s="724"/>
      <c r="AC36" s="724"/>
      <c r="AD36" s="724"/>
      <c r="AE36" s="724"/>
      <c r="AF36" s="724"/>
      <c r="AG36" s="724"/>
      <c r="AH36" s="724"/>
      <c r="AI36" s="724"/>
      <c r="AJ36" s="724"/>
      <c r="AK36" s="724"/>
      <c r="AL36" s="724"/>
      <c r="AM36" s="724"/>
      <c r="AN36" s="724"/>
      <c r="AO36" s="724"/>
      <c r="AP36" s="724"/>
      <c r="AQ36" s="724"/>
      <c r="AR36" s="724"/>
      <c r="AS36" s="724"/>
      <c r="AT36" s="724"/>
      <c r="AU36" s="724"/>
      <c r="AV36" s="724"/>
      <c r="AW36" s="724"/>
      <c r="AX36" s="724"/>
      <c r="AY36" s="724"/>
      <c r="AZ36" s="724"/>
      <c r="BA36" s="724"/>
      <c r="BB36" s="724"/>
      <c r="BC36" s="724"/>
      <c r="BD36" s="724"/>
      <c r="BE36" s="724"/>
      <c r="BF36" s="724"/>
      <c r="BG36" s="724"/>
      <c r="BH36" s="724"/>
      <c r="BI36" s="724"/>
      <c r="BJ36" s="724"/>
      <c r="BK36" s="724"/>
      <c r="BL36" s="724"/>
      <c r="BM36" s="724"/>
      <c r="BN36" s="724"/>
      <c r="BO36" s="724"/>
      <c r="BP36" s="724"/>
      <c r="BQ36" s="724"/>
      <c r="BR36" s="724"/>
      <c r="BS36" s="724"/>
      <c r="BT36" s="724"/>
      <c r="BU36" s="724"/>
      <c r="BV36" s="724"/>
      <c r="BW36" s="724"/>
      <c r="BX36" s="724"/>
      <c r="BY36" s="724"/>
      <c r="BZ36" s="724"/>
      <c r="CA36" s="724"/>
      <c r="CB36" s="724"/>
      <c r="CC36" s="724"/>
      <c r="CD36" s="724"/>
      <c r="CE36" s="724"/>
      <c r="CF36" s="724"/>
      <c r="CG36" s="724"/>
      <c r="CH36" s="724"/>
      <c r="CI36" s="724"/>
      <c r="CJ36" s="724"/>
      <c r="CK36" s="724"/>
      <c r="CL36" s="724"/>
      <c r="CM36" s="724"/>
      <c r="CN36" s="724"/>
      <c r="CO36" s="724"/>
      <c r="CP36" s="724"/>
      <c r="CQ36" s="724"/>
      <c r="CR36" s="724"/>
      <c r="CS36" s="724"/>
      <c r="CT36" s="724"/>
      <c r="CU36" s="724"/>
      <c r="CV36" s="724"/>
      <c r="CW36" s="724"/>
      <c r="CX36" s="724"/>
      <c r="CY36" s="724"/>
      <c r="CZ36" s="724"/>
      <c r="DA36" s="724"/>
      <c r="DB36" s="724"/>
      <c r="DC36" s="724"/>
      <c r="DD36" s="724"/>
      <c r="DE36" s="724"/>
      <c r="DF36" s="724"/>
      <c r="DG36" s="724"/>
      <c r="DH36" s="724"/>
      <c r="DI36" s="724"/>
      <c r="DJ36" s="724"/>
      <c r="DK36" s="724"/>
      <c r="DL36" s="724"/>
      <c r="DM36" s="724"/>
      <c r="DN36" s="724"/>
      <c r="DO36" s="724"/>
      <c r="DP36" s="724"/>
      <c r="DQ36" s="724"/>
      <c r="DR36" s="724"/>
      <c r="DS36" s="724"/>
      <c r="DT36" s="724"/>
      <c r="DU36" s="724"/>
      <c r="DV36" s="724"/>
      <c r="DW36" s="724"/>
      <c r="DX36" s="724"/>
      <c r="DY36" s="724"/>
      <c r="DZ36" s="724"/>
      <c r="EA36" s="724"/>
      <c r="EB36" s="724"/>
      <c r="EC36" s="724"/>
      <c r="ED36" s="724"/>
      <c r="EE36" s="724"/>
      <c r="EF36" s="724"/>
      <c r="EG36" s="724"/>
      <c r="EH36" s="724"/>
      <c r="EI36" s="724"/>
      <c r="EJ36" s="724"/>
      <c r="EK36" s="724"/>
      <c r="EL36" s="724"/>
      <c r="EM36" s="724"/>
      <c r="EN36" s="724"/>
      <c r="EO36" s="724"/>
      <c r="EP36" s="724"/>
      <c r="EQ36" s="724"/>
      <c r="ER36" s="724"/>
      <c r="ES36" s="724"/>
      <c r="ET36" s="724"/>
      <c r="EU36" s="724"/>
      <c r="EV36" s="724"/>
      <c r="EW36" s="724"/>
      <c r="EX36" s="724"/>
      <c r="EY36" s="724"/>
      <c r="EZ36" s="724"/>
      <c r="FA36" s="724"/>
      <c r="FB36" s="724"/>
      <c r="FC36" s="724"/>
      <c r="FD36" s="724"/>
      <c r="FE36" s="724"/>
      <c r="FF36" s="724"/>
      <c r="FG36" s="724"/>
      <c r="FH36" s="724"/>
      <c r="FI36" s="724"/>
      <c r="FJ36" s="724"/>
      <c r="FK36" s="724"/>
      <c r="FL36" s="724"/>
      <c r="FM36" s="724"/>
      <c r="FN36" s="724"/>
      <c r="FO36" s="724"/>
      <c r="FP36" s="724"/>
      <c r="FQ36" s="724"/>
      <c r="FR36" s="724"/>
      <c r="FS36" s="724"/>
      <c r="FT36" s="724"/>
      <c r="FU36" s="724"/>
      <c r="FV36" s="724"/>
      <c r="FW36" s="724"/>
      <c r="FX36" s="724"/>
      <c r="FY36" s="724"/>
      <c r="FZ36" s="724"/>
      <c r="GA36" s="724"/>
      <c r="GB36" s="724"/>
      <c r="GC36" s="724"/>
      <c r="GD36" s="724"/>
      <c r="GE36" s="724"/>
      <c r="GF36" s="724"/>
      <c r="GG36" s="724"/>
      <c r="GH36" s="724"/>
      <c r="GI36" s="724"/>
      <c r="GJ36" s="724"/>
      <c r="GK36" s="724"/>
      <c r="GL36" s="724"/>
      <c r="GM36" s="724"/>
      <c r="GN36" s="724"/>
      <c r="GO36" s="724"/>
      <c r="GP36" s="724"/>
      <c r="GQ36" s="724"/>
      <c r="GR36" s="724"/>
      <c r="GS36" s="724"/>
      <c r="GT36" s="724"/>
      <c r="GU36" s="724"/>
      <c r="GV36" s="724"/>
      <c r="GW36" s="724"/>
      <c r="GX36" s="724"/>
      <c r="GY36" s="724"/>
      <c r="GZ36" s="724"/>
      <c r="HA36" s="724"/>
      <c r="HB36" s="724"/>
      <c r="HC36" s="724"/>
      <c r="HD36" s="724"/>
      <c r="HE36" s="724"/>
      <c r="HF36" s="724"/>
      <c r="HG36" s="724"/>
      <c r="HH36" s="724"/>
      <c r="HI36" s="724"/>
      <c r="HJ36" s="724"/>
      <c r="HK36" s="724"/>
      <c r="HL36" s="724"/>
      <c r="HM36" s="724"/>
      <c r="HN36" s="724"/>
      <c r="HO36" s="724"/>
      <c r="HP36" s="724"/>
      <c r="HQ36" s="724"/>
      <c r="HR36" s="724"/>
      <c r="HS36" s="724"/>
      <c r="HT36" s="724"/>
      <c r="HU36" s="724"/>
      <c r="HV36" s="724"/>
      <c r="HW36" s="724"/>
      <c r="HX36" s="724"/>
      <c r="HY36" s="724"/>
      <c r="HZ36" s="724"/>
      <c r="IA36" s="724"/>
      <c r="IB36" s="724"/>
      <c r="IC36" s="724"/>
      <c r="ID36" s="724"/>
      <c r="IE36" s="724"/>
      <c r="IF36" s="724"/>
      <c r="IG36" s="724"/>
      <c r="IH36" s="724"/>
      <c r="II36" s="724"/>
      <c r="IJ36" s="724"/>
      <c r="IK36" s="724"/>
      <c r="IL36" s="724"/>
      <c r="IM36" s="724"/>
      <c r="IN36" s="724"/>
      <c r="IO36" s="724"/>
      <c r="IP36" s="724"/>
      <c r="IQ36" s="724"/>
      <c r="IR36" s="724"/>
      <c r="IS36" s="724"/>
      <c r="IT36" s="724"/>
      <c r="IU36" s="724"/>
      <c r="IV36" s="724"/>
    </row>
    <row r="37" spans="1:256" ht="20.25" customHeight="1">
      <c r="A37" s="677" t="s">
        <v>867</v>
      </c>
      <c r="B37" s="679" t="s">
        <v>673</v>
      </c>
      <c r="C37" s="677"/>
      <c r="D37" s="677" t="s">
        <v>673</v>
      </c>
      <c r="E37" s="678">
        <v>8250</v>
      </c>
      <c r="F37" s="678">
        <v>8250</v>
      </c>
      <c r="G37" s="678">
        <v>8250</v>
      </c>
      <c r="H37" s="720">
        <f>(E37*0.05)/12*6</f>
        <v>206.25</v>
      </c>
      <c r="I37" s="721">
        <f t="shared" si="6"/>
        <v>8456.25</v>
      </c>
      <c r="J37" s="722">
        <f t="shared" si="7"/>
        <v>8043.75</v>
      </c>
      <c r="K37" s="723" t="s">
        <v>862</v>
      </c>
      <c r="L37" s="723"/>
      <c r="M37" s="723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4"/>
      <c r="AA37" s="724"/>
      <c r="AB37" s="724"/>
      <c r="AC37" s="724"/>
      <c r="AD37" s="724"/>
      <c r="AE37" s="724"/>
      <c r="AF37" s="724"/>
      <c r="AG37" s="724"/>
      <c r="AH37" s="724"/>
      <c r="AI37" s="724"/>
      <c r="AJ37" s="724"/>
      <c r="AK37" s="724"/>
      <c r="AL37" s="724"/>
      <c r="AM37" s="724"/>
      <c r="AN37" s="724"/>
      <c r="AO37" s="724"/>
      <c r="AP37" s="724"/>
      <c r="AQ37" s="724"/>
      <c r="AR37" s="724"/>
      <c r="AS37" s="724"/>
      <c r="AT37" s="724"/>
      <c r="AU37" s="724"/>
      <c r="AV37" s="724"/>
      <c r="AW37" s="724"/>
      <c r="AX37" s="724"/>
      <c r="AY37" s="724"/>
      <c r="AZ37" s="724"/>
      <c r="BA37" s="724"/>
      <c r="BB37" s="724"/>
      <c r="BC37" s="724"/>
      <c r="BD37" s="724"/>
      <c r="BE37" s="724"/>
      <c r="BF37" s="724"/>
      <c r="BG37" s="724"/>
      <c r="BH37" s="724"/>
      <c r="BI37" s="724"/>
      <c r="BJ37" s="724"/>
      <c r="BK37" s="724"/>
      <c r="BL37" s="724"/>
      <c r="BM37" s="724"/>
      <c r="BN37" s="724"/>
      <c r="BO37" s="724"/>
      <c r="BP37" s="724"/>
      <c r="BQ37" s="724"/>
      <c r="BR37" s="724"/>
      <c r="BS37" s="724"/>
      <c r="BT37" s="724"/>
      <c r="BU37" s="724"/>
      <c r="BV37" s="724"/>
      <c r="BW37" s="724"/>
      <c r="BX37" s="724"/>
      <c r="BY37" s="724"/>
      <c r="BZ37" s="724"/>
      <c r="CA37" s="724"/>
      <c r="CB37" s="724"/>
      <c r="CC37" s="724"/>
      <c r="CD37" s="724"/>
      <c r="CE37" s="724"/>
      <c r="CF37" s="724"/>
      <c r="CG37" s="724"/>
      <c r="CH37" s="724"/>
      <c r="CI37" s="724"/>
      <c r="CJ37" s="724"/>
      <c r="CK37" s="724"/>
      <c r="CL37" s="724"/>
      <c r="CM37" s="724"/>
      <c r="CN37" s="724"/>
      <c r="CO37" s="724"/>
      <c r="CP37" s="724"/>
      <c r="CQ37" s="724"/>
      <c r="CR37" s="724"/>
      <c r="CS37" s="724"/>
      <c r="CT37" s="724"/>
      <c r="CU37" s="724"/>
      <c r="CV37" s="724"/>
      <c r="CW37" s="724"/>
      <c r="CX37" s="724"/>
      <c r="CY37" s="724"/>
      <c r="CZ37" s="724"/>
      <c r="DA37" s="724"/>
      <c r="DB37" s="724"/>
      <c r="DC37" s="724"/>
      <c r="DD37" s="724"/>
      <c r="DE37" s="724"/>
      <c r="DF37" s="724"/>
      <c r="DG37" s="724"/>
      <c r="DH37" s="724"/>
      <c r="DI37" s="724"/>
      <c r="DJ37" s="724"/>
      <c r="DK37" s="724"/>
      <c r="DL37" s="724"/>
      <c r="DM37" s="724"/>
      <c r="DN37" s="724"/>
      <c r="DO37" s="724"/>
      <c r="DP37" s="724"/>
      <c r="DQ37" s="724"/>
      <c r="DR37" s="724"/>
      <c r="DS37" s="724"/>
      <c r="DT37" s="724"/>
      <c r="DU37" s="724"/>
      <c r="DV37" s="724"/>
      <c r="DW37" s="724"/>
      <c r="DX37" s="724"/>
      <c r="DY37" s="724"/>
      <c r="DZ37" s="724"/>
      <c r="EA37" s="724"/>
      <c r="EB37" s="724"/>
      <c r="EC37" s="724"/>
      <c r="ED37" s="724"/>
      <c r="EE37" s="724"/>
      <c r="EF37" s="724"/>
      <c r="EG37" s="724"/>
      <c r="EH37" s="724"/>
      <c r="EI37" s="724"/>
      <c r="EJ37" s="724"/>
      <c r="EK37" s="724"/>
      <c r="EL37" s="724"/>
      <c r="EM37" s="724"/>
      <c r="EN37" s="724"/>
      <c r="EO37" s="724"/>
      <c r="EP37" s="724"/>
      <c r="EQ37" s="724"/>
      <c r="ER37" s="724"/>
      <c r="ES37" s="724"/>
      <c r="ET37" s="724"/>
      <c r="EU37" s="724"/>
      <c r="EV37" s="724"/>
      <c r="EW37" s="724"/>
      <c r="EX37" s="724"/>
      <c r="EY37" s="724"/>
      <c r="EZ37" s="724"/>
      <c r="FA37" s="724"/>
      <c r="FB37" s="724"/>
      <c r="FC37" s="724"/>
      <c r="FD37" s="724"/>
      <c r="FE37" s="724"/>
      <c r="FF37" s="724"/>
      <c r="FG37" s="724"/>
      <c r="FH37" s="724"/>
      <c r="FI37" s="724"/>
      <c r="FJ37" s="724"/>
      <c r="FK37" s="724"/>
      <c r="FL37" s="724"/>
      <c r="FM37" s="724"/>
      <c r="FN37" s="724"/>
      <c r="FO37" s="724"/>
      <c r="FP37" s="724"/>
      <c r="FQ37" s="724"/>
      <c r="FR37" s="724"/>
      <c r="FS37" s="724"/>
      <c r="FT37" s="724"/>
      <c r="FU37" s="724"/>
      <c r="FV37" s="724"/>
      <c r="FW37" s="724"/>
      <c r="FX37" s="724"/>
      <c r="FY37" s="724"/>
      <c r="FZ37" s="724"/>
      <c r="GA37" s="724"/>
      <c r="GB37" s="724"/>
      <c r="GC37" s="724"/>
      <c r="GD37" s="724"/>
      <c r="GE37" s="724"/>
      <c r="GF37" s="724"/>
      <c r="GG37" s="724"/>
      <c r="GH37" s="724"/>
      <c r="GI37" s="724"/>
      <c r="GJ37" s="724"/>
      <c r="GK37" s="724"/>
      <c r="GL37" s="724"/>
      <c r="GM37" s="724"/>
      <c r="GN37" s="724"/>
      <c r="GO37" s="724"/>
      <c r="GP37" s="724"/>
      <c r="GQ37" s="724"/>
      <c r="GR37" s="724"/>
      <c r="GS37" s="724"/>
      <c r="GT37" s="724"/>
      <c r="GU37" s="724"/>
      <c r="GV37" s="724"/>
      <c r="GW37" s="724"/>
      <c r="GX37" s="724"/>
      <c r="GY37" s="724"/>
      <c r="GZ37" s="724"/>
      <c r="HA37" s="724"/>
      <c r="HB37" s="724"/>
      <c r="HC37" s="724"/>
      <c r="HD37" s="724"/>
      <c r="HE37" s="724"/>
      <c r="HF37" s="724"/>
      <c r="HG37" s="724"/>
      <c r="HH37" s="724"/>
      <c r="HI37" s="724"/>
      <c r="HJ37" s="724"/>
      <c r="HK37" s="724"/>
      <c r="HL37" s="724"/>
      <c r="HM37" s="724"/>
      <c r="HN37" s="724"/>
      <c r="HO37" s="724"/>
      <c r="HP37" s="724"/>
      <c r="HQ37" s="724"/>
      <c r="HR37" s="724"/>
      <c r="HS37" s="724"/>
      <c r="HT37" s="724"/>
      <c r="HU37" s="724"/>
      <c r="HV37" s="724"/>
      <c r="HW37" s="724"/>
      <c r="HX37" s="724"/>
      <c r="HY37" s="724"/>
      <c r="HZ37" s="724"/>
      <c r="IA37" s="724"/>
      <c r="IB37" s="724"/>
      <c r="IC37" s="724"/>
      <c r="ID37" s="724"/>
      <c r="IE37" s="724"/>
      <c r="IF37" s="724"/>
      <c r="IG37" s="724"/>
      <c r="IH37" s="724"/>
      <c r="II37" s="724"/>
      <c r="IJ37" s="724"/>
      <c r="IK37" s="724"/>
      <c r="IL37" s="724"/>
      <c r="IM37" s="724"/>
      <c r="IN37" s="724"/>
      <c r="IO37" s="724"/>
      <c r="IP37" s="724"/>
      <c r="IQ37" s="724"/>
      <c r="IR37" s="724"/>
      <c r="IS37" s="724"/>
      <c r="IT37" s="724"/>
      <c r="IU37" s="724"/>
      <c r="IV37" s="724"/>
    </row>
    <row r="38" spans="1:256" s="425" customFormat="1" ht="20.25" customHeight="1">
      <c r="A38" s="677" t="s">
        <v>869</v>
      </c>
      <c r="B38" s="679" t="s">
        <v>868</v>
      </c>
      <c r="C38" s="677"/>
      <c r="D38" s="677" t="s">
        <v>673</v>
      </c>
      <c r="E38" s="678">
        <v>136800</v>
      </c>
      <c r="F38" s="678">
        <v>136800</v>
      </c>
      <c r="G38" s="678">
        <v>136800</v>
      </c>
      <c r="H38" s="720">
        <f>(E38*0.05)/12</f>
        <v>570</v>
      </c>
      <c r="I38" s="721">
        <f t="shared" si="6"/>
        <v>137370</v>
      </c>
      <c r="J38" s="722">
        <f t="shared" si="7"/>
        <v>136230</v>
      </c>
      <c r="K38" s="723" t="s">
        <v>862</v>
      </c>
      <c r="L38" s="723"/>
      <c r="M38" s="723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4"/>
      <c r="AA38" s="724"/>
      <c r="AB38" s="724"/>
      <c r="AC38" s="724"/>
      <c r="AD38" s="724"/>
      <c r="AE38" s="724"/>
      <c r="AF38" s="724"/>
      <c r="AG38" s="724"/>
      <c r="AH38" s="724"/>
      <c r="AI38" s="724"/>
      <c r="AJ38" s="724"/>
      <c r="AK38" s="724"/>
      <c r="AL38" s="724"/>
      <c r="AM38" s="724"/>
      <c r="AN38" s="724"/>
      <c r="AO38" s="724"/>
      <c r="AP38" s="724"/>
      <c r="AQ38" s="724"/>
      <c r="AR38" s="724"/>
      <c r="AS38" s="724"/>
      <c r="AT38" s="724"/>
      <c r="AU38" s="724"/>
      <c r="AV38" s="724"/>
      <c r="AW38" s="724"/>
      <c r="AX38" s="724"/>
      <c r="AY38" s="724"/>
      <c r="AZ38" s="724"/>
      <c r="BA38" s="724"/>
      <c r="BB38" s="724"/>
      <c r="BC38" s="724"/>
      <c r="BD38" s="724"/>
      <c r="BE38" s="724"/>
      <c r="BF38" s="724"/>
      <c r="BG38" s="724"/>
      <c r="BH38" s="724"/>
      <c r="BI38" s="724"/>
      <c r="BJ38" s="724"/>
      <c r="BK38" s="724"/>
      <c r="BL38" s="724"/>
      <c r="BM38" s="724"/>
      <c r="BN38" s="724"/>
      <c r="BO38" s="724"/>
      <c r="BP38" s="724"/>
      <c r="BQ38" s="724"/>
      <c r="BR38" s="724"/>
      <c r="BS38" s="724"/>
      <c r="BT38" s="724"/>
      <c r="BU38" s="724"/>
      <c r="BV38" s="724"/>
      <c r="BW38" s="724"/>
      <c r="BX38" s="724"/>
      <c r="BY38" s="724"/>
      <c r="BZ38" s="724"/>
      <c r="CA38" s="724"/>
      <c r="CB38" s="724"/>
      <c r="CC38" s="724"/>
      <c r="CD38" s="724"/>
      <c r="CE38" s="724"/>
      <c r="CF38" s="724"/>
      <c r="CG38" s="724"/>
      <c r="CH38" s="724"/>
      <c r="CI38" s="724"/>
      <c r="CJ38" s="724"/>
      <c r="CK38" s="724"/>
      <c r="CL38" s="724"/>
      <c r="CM38" s="724"/>
      <c r="CN38" s="724"/>
      <c r="CO38" s="724"/>
      <c r="CP38" s="724"/>
      <c r="CQ38" s="724"/>
      <c r="CR38" s="724"/>
      <c r="CS38" s="724"/>
      <c r="CT38" s="724"/>
      <c r="CU38" s="724"/>
      <c r="CV38" s="724"/>
      <c r="CW38" s="724"/>
      <c r="CX38" s="724"/>
      <c r="CY38" s="724"/>
      <c r="CZ38" s="724"/>
      <c r="DA38" s="724"/>
      <c r="DB38" s="724"/>
      <c r="DC38" s="724"/>
      <c r="DD38" s="724"/>
      <c r="DE38" s="724"/>
      <c r="DF38" s="724"/>
      <c r="DG38" s="724"/>
      <c r="DH38" s="724"/>
      <c r="DI38" s="724"/>
      <c r="DJ38" s="724"/>
      <c r="DK38" s="724"/>
      <c r="DL38" s="724"/>
      <c r="DM38" s="724"/>
      <c r="DN38" s="724"/>
      <c r="DO38" s="724"/>
      <c r="DP38" s="724"/>
      <c r="DQ38" s="724"/>
      <c r="DR38" s="724"/>
      <c r="DS38" s="724"/>
      <c r="DT38" s="724"/>
      <c r="DU38" s="724"/>
      <c r="DV38" s="724"/>
      <c r="DW38" s="724"/>
      <c r="DX38" s="724"/>
      <c r="DY38" s="724"/>
      <c r="DZ38" s="724"/>
      <c r="EA38" s="724"/>
      <c r="EB38" s="724"/>
      <c r="EC38" s="724"/>
      <c r="ED38" s="724"/>
      <c r="EE38" s="724"/>
      <c r="EF38" s="724"/>
      <c r="EG38" s="724"/>
      <c r="EH38" s="724"/>
      <c r="EI38" s="724"/>
      <c r="EJ38" s="724"/>
      <c r="EK38" s="724"/>
      <c r="EL38" s="724"/>
      <c r="EM38" s="724"/>
      <c r="EN38" s="724"/>
      <c r="EO38" s="724"/>
      <c r="EP38" s="724"/>
      <c r="EQ38" s="724"/>
      <c r="ER38" s="724"/>
      <c r="ES38" s="724"/>
      <c r="ET38" s="724"/>
      <c r="EU38" s="724"/>
      <c r="EV38" s="724"/>
      <c r="EW38" s="724"/>
      <c r="EX38" s="724"/>
      <c r="EY38" s="724"/>
      <c r="EZ38" s="724"/>
      <c r="FA38" s="724"/>
      <c r="FB38" s="724"/>
      <c r="FC38" s="724"/>
      <c r="FD38" s="724"/>
      <c r="FE38" s="724"/>
      <c r="FF38" s="724"/>
      <c r="FG38" s="724"/>
      <c r="FH38" s="724"/>
      <c r="FI38" s="724"/>
      <c r="FJ38" s="724"/>
      <c r="FK38" s="724"/>
      <c r="FL38" s="724"/>
      <c r="FM38" s="724"/>
      <c r="FN38" s="724"/>
      <c r="FO38" s="724"/>
      <c r="FP38" s="724"/>
      <c r="FQ38" s="724"/>
      <c r="FR38" s="724"/>
      <c r="FS38" s="724"/>
      <c r="FT38" s="724"/>
      <c r="FU38" s="724"/>
      <c r="FV38" s="724"/>
      <c r="FW38" s="724"/>
      <c r="FX38" s="724"/>
      <c r="FY38" s="724"/>
      <c r="FZ38" s="724"/>
      <c r="GA38" s="724"/>
      <c r="GB38" s="724"/>
      <c r="GC38" s="724"/>
      <c r="GD38" s="724"/>
      <c r="GE38" s="724"/>
      <c r="GF38" s="724"/>
      <c r="GG38" s="724"/>
      <c r="GH38" s="724"/>
      <c r="GI38" s="724"/>
      <c r="GJ38" s="724"/>
      <c r="GK38" s="724"/>
      <c r="GL38" s="724"/>
      <c r="GM38" s="724"/>
      <c r="GN38" s="724"/>
      <c r="GO38" s="724"/>
      <c r="GP38" s="724"/>
      <c r="GQ38" s="724"/>
      <c r="GR38" s="724"/>
      <c r="GS38" s="724"/>
      <c r="GT38" s="724"/>
      <c r="GU38" s="724"/>
      <c r="GV38" s="724"/>
      <c r="GW38" s="724"/>
      <c r="GX38" s="724"/>
      <c r="GY38" s="724"/>
      <c r="GZ38" s="724"/>
      <c r="HA38" s="724"/>
      <c r="HB38" s="724"/>
      <c r="HC38" s="724"/>
      <c r="HD38" s="724"/>
      <c r="HE38" s="724"/>
      <c r="HF38" s="724"/>
      <c r="HG38" s="724"/>
      <c r="HH38" s="724"/>
      <c r="HI38" s="724"/>
      <c r="HJ38" s="724"/>
      <c r="HK38" s="724"/>
      <c r="HL38" s="724"/>
      <c r="HM38" s="724"/>
      <c r="HN38" s="724"/>
      <c r="HO38" s="724"/>
      <c r="HP38" s="724"/>
      <c r="HQ38" s="724"/>
      <c r="HR38" s="724"/>
      <c r="HS38" s="724"/>
      <c r="HT38" s="724"/>
      <c r="HU38" s="724"/>
      <c r="HV38" s="724"/>
      <c r="HW38" s="724"/>
      <c r="HX38" s="724"/>
      <c r="HY38" s="724"/>
      <c r="HZ38" s="724"/>
      <c r="IA38" s="724"/>
      <c r="IB38" s="724"/>
      <c r="IC38" s="724"/>
      <c r="ID38" s="724"/>
      <c r="IE38" s="724"/>
      <c r="IF38" s="724"/>
      <c r="IG38" s="724"/>
      <c r="IH38" s="724"/>
      <c r="II38" s="724"/>
      <c r="IJ38" s="724"/>
      <c r="IK38" s="724"/>
      <c r="IL38" s="724"/>
      <c r="IM38" s="724"/>
      <c r="IN38" s="724"/>
      <c r="IO38" s="724"/>
      <c r="IP38" s="724"/>
      <c r="IQ38" s="724"/>
      <c r="IR38" s="724"/>
      <c r="IS38" s="724"/>
      <c r="IT38" s="724"/>
      <c r="IU38" s="724"/>
      <c r="IV38" s="724"/>
    </row>
    <row r="39" spans="1:256" ht="20.25" customHeight="1">
      <c r="C39" s="433"/>
      <c r="D39" s="686"/>
      <c r="E39" s="414"/>
      <c r="F39" s="423"/>
      <c r="G39" s="680">
        <f>SUM(G33:G38)</f>
        <v>743050</v>
      </c>
      <c r="H39" s="411"/>
      <c r="I39" s="411"/>
      <c r="J39" s="411"/>
      <c r="K39" s="411"/>
      <c r="L39" s="421"/>
      <c r="M39" s="725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26"/>
      <c r="AA39" s="726"/>
      <c r="AB39" s="726"/>
      <c r="AC39" s="726"/>
      <c r="AD39" s="726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6"/>
      <c r="AP39" s="726"/>
      <c r="AQ39" s="726"/>
      <c r="AR39" s="726"/>
      <c r="AS39" s="726"/>
      <c r="AT39" s="726"/>
      <c r="AU39" s="726"/>
      <c r="AV39" s="726"/>
      <c r="AW39" s="726"/>
      <c r="AX39" s="726"/>
      <c r="AY39" s="726"/>
      <c r="AZ39" s="726"/>
      <c r="BA39" s="726"/>
      <c r="BB39" s="726"/>
      <c r="BC39" s="726"/>
      <c r="BD39" s="726"/>
      <c r="BE39" s="726"/>
      <c r="BF39" s="726"/>
      <c r="BG39" s="726"/>
      <c r="BH39" s="726"/>
      <c r="BI39" s="726"/>
      <c r="BJ39" s="726"/>
      <c r="BK39" s="726"/>
      <c r="BL39" s="726"/>
      <c r="BM39" s="726"/>
      <c r="BN39" s="726"/>
      <c r="BO39" s="726"/>
      <c r="BP39" s="726"/>
      <c r="BQ39" s="726"/>
      <c r="BR39" s="726"/>
      <c r="BS39" s="726"/>
      <c r="BT39" s="726"/>
      <c r="BU39" s="726"/>
      <c r="BV39" s="726"/>
      <c r="BW39" s="726"/>
      <c r="BX39" s="726"/>
      <c r="BY39" s="726"/>
      <c r="BZ39" s="726"/>
      <c r="CA39" s="726"/>
      <c r="CB39" s="726"/>
      <c r="CC39" s="726"/>
      <c r="CD39" s="726"/>
      <c r="CE39" s="726"/>
      <c r="CF39" s="726"/>
      <c r="CG39" s="726"/>
      <c r="CH39" s="726"/>
      <c r="CI39" s="726"/>
      <c r="CJ39" s="726"/>
      <c r="CK39" s="726"/>
      <c r="CL39" s="726"/>
      <c r="CM39" s="726"/>
      <c r="CN39" s="726"/>
      <c r="CO39" s="726"/>
      <c r="CP39" s="726"/>
      <c r="CQ39" s="726"/>
      <c r="CR39" s="726"/>
      <c r="CS39" s="726"/>
      <c r="CT39" s="726"/>
      <c r="CU39" s="726"/>
      <c r="CV39" s="726"/>
      <c r="CW39" s="726"/>
      <c r="CX39" s="726"/>
      <c r="CY39" s="726"/>
      <c r="CZ39" s="726"/>
      <c r="DA39" s="726"/>
      <c r="DB39" s="726"/>
      <c r="DC39" s="726"/>
      <c r="DD39" s="726"/>
      <c r="DE39" s="726"/>
      <c r="DF39" s="726"/>
      <c r="DG39" s="726"/>
      <c r="DH39" s="726"/>
      <c r="DI39" s="726"/>
      <c r="DJ39" s="726"/>
      <c r="DK39" s="726"/>
      <c r="DL39" s="726"/>
      <c r="DM39" s="726"/>
      <c r="DN39" s="726"/>
      <c r="DO39" s="726"/>
      <c r="DP39" s="726"/>
      <c r="DQ39" s="726"/>
      <c r="DR39" s="726"/>
      <c r="DS39" s="726"/>
      <c r="DT39" s="726"/>
      <c r="DU39" s="726"/>
      <c r="DV39" s="726"/>
      <c r="DW39" s="726"/>
      <c r="DX39" s="726"/>
      <c r="DY39" s="726"/>
      <c r="DZ39" s="726"/>
      <c r="EA39" s="726"/>
      <c r="EB39" s="726"/>
      <c r="EC39" s="726"/>
      <c r="ED39" s="726"/>
      <c r="EE39" s="726"/>
      <c r="EF39" s="726"/>
      <c r="EG39" s="726"/>
      <c r="EH39" s="726"/>
      <c r="EI39" s="726"/>
      <c r="EJ39" s="726"/>
      <c r="EK39" s="726"/>
      <c r="EL39" s="726"/>
      <c r="EM39" s="726"/>
      <c r="EN39" s="726"/>
      <c r="EO39" s="726"/>
      <c r="EP39" s="726"/>
      <c r="EQ39" s="726"/>
      <c r="ER39" s="726"/>
      <c r="ES39" s="726"/>
      <c r="ET39" s="726"/>
      <c r="EU39" s="726"/>
      <c r="EV39" s="726"/>
      <c r="EW39" s="726"/>
      <c r="EX39" s="726"/>
      <c r="EY39" s="726"/>
      <c r="EZ39" s="726"/>
      <c r="FA39" s="726"/>
      <c r="FB39" s="726"/>
      <c r="FC39" s="726"/>
      <c r="FD39" s="726"/>
      <c r="FE39" s="726"/>
      <c r="FF39" s="726"/>
      <c r="FG39" s="726"/>
      <c r="FH39" s="726"/>
      <c r="FI39" s="726"/>
      <c r="FJ39" s="726"/>
      <c r="FK39" s="726"/>
      <c r="FL39" s="726"/>
      <c r="FM39" s="726"/>
      <c r="FN39" s="726"/>
      <c r="FO39" s="726"/>
      <c r="FP39" s="726"/>
      <c r="FQ39" s="726"/>
      <c r="FR39" s="726"/>
      <c r="FS39" s="726"/>
      <c r="FT39" s="726"/>
      <c r="FU39" s="726"/>
      <c r="FV39" s="726"/>
      <c r="FW39" s="726"/>
      <c r="FX39" s="726"/>
      <c r="FY39" s="726"/>
      <c r="FZ39" s="726"/>
      <c r="GA39" s="726"/>
      <c r="GB39" s="726"/>
      <c r="GC39" s="726"/>
      <c r="GD39" s="726"/>
      <c r="GE39" s="726"/>
      <c r="GF39" s="726"/>
      <c r="GG39" s="726"/>
      <c r="GH39" s="726"/>
      <c r="GI39" s="726"/>
      <c r="GJ39" s="726"/>
      <c r="GK39" s="726"/>
      <c r="GL39" s="726"/>
      <c r="GM39" s="726"/>
      <c r="GN39" s="726"/>
      <c r="GO39" s="726"/>
      <c r="GP39" s="726"/>
      <c r="GQ39" s="726"/>
      <c r="GR39" s="726"/>
      <c r="GS39" s="726"/>
      <c r="GT39" s="726"/>
      <c r="GU39" s="726"/>
      <c r="GV39" s="726"/>
      <c r="GW39" s="726"/>
      <c r="GX39" s="726"/>
      <c r="GY39" s="726"/>
      <c r="GZ39" s="726"/>
      <c r="HA39" s="726"/>
      <c r="HB39" s="726"/>
      <c r="HC39" s="726"/>
      <c r="HD39" s="726"/>
      <c r="HE39" s="726"/>
      <c r="HF39" s="726"/>
      <c r="HG39" s="726"/>
      <c r="HH39" s="726"/>
      <c r="HI39" s="726"/>
      <c r="HJ39" s="726"/>
      <c r="HK39" s="726"/>
      <c r="HL39" s="726"/>
      <c r="HM39" s="726"/>
      <c r="HN39" s="726"/>
      <c r="HO39" s="726"/>
      <c r="HP39" s="726"/>
      <c r="HQ39" s="726"/>
      <c r="HR39" s="726"/>
      <c r="HS39" s="726"/>
      <c r="HT39" s="726"/>
      <c r="HU39" s="726"/>
      <c r="HV39" s="726"/>
      <c r="HW39" s="726"/>
      <c r="HX39" s="726"/>
      <c r="HY39" s="726"/>
      <c r="HZ39" s="726"/>
      <c r="IA39" s="726"/>
      <c r="IB39" s="726"/>
      <c r="IC39" s="726"/>
      <c r="ID39" s="726"/>
      <c r="IE39" s="726"/>
      <c r="IF39" s="726"/>
      <c r="IG39" s="726"/>
      <c r="IH39" s="726"/>
      <c r="II39" s="726"/>
      <c r="IJ39" s="726"/>
      <c r="IK39" s="726"/>
      <c r="IL39" s="726"/>
      <c r="IM39" s="726"/>
      <c r="IN39" s="726"/>
      <c r="IO39" s="726"/>
      <c r="IP39" s="726"/>
      <c r="IQ39" s="726"/>
      <c r="IR39" s="726"/>
      <c r="IS39" s="726"/>
      <c r="IT39" s="726"/>
      <c r="IU39" s="726"/>
      <c r="IV39" s="726"/>
    </row>
    <row r="40" spans="1:256" s="729" customFormat="1" ht="20.25" customHeight="1">
      <c r="A40" s="431"/>
      <c r="B40" s="431"/>
      <c r="C40" s="431"/>
      <c r="D40" s="431"/>
      <c r="E40" s="431"/>
      <c r="F40" s="431"/>
      <c r="G40" s="433"/>
      <c r="H40" s="431"/>
      <c r="I40" s="431"/>
      <c r="J40" s="431"/>
      <c r="K40" s="431"/>
      <c r="L40" s="727"/>
      <c r="M40" s="728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  <c r="AA40" s="431"/>
      <c r="AB40" s="431"/>
      <c r="AC40" s="431"/>
      <c r="AD40" s="431"/>
      <c r="AE40" s="431"/>
      <c r="AF40" s="431"/>
      <c r="AG40" s="431"/>
      <c r="AH40" s="431"/>
      <c r="AI40" s="431"/>
      <c r="AJ40" s="431"/>
      <c r="AK40" s="431"/>
      <c r="AL40" s="431"/>
      <c r="AM40" s="431"/>
      <c r="AN40" s="431"/>
      <c r="AO40" s="431"/>
      <c r="AP40" s="431"/>
      <c r="AQ40" s="431"/>
      <c r="AR40" s="431"/>
      <c r="AS40" s="431"/>
      <c r="AT40" s="431"/>
      <c r="AU40" s="431"/>
      <c r="AV40" s="431"/>
      <c r="AW40" s="431"/>
      <c r="AX40" s="431"/>
      <c r="AY40" s="431"/>
      <c r="AZ40" s="431"/>
      <c r="BA40" s="431"/>
      <c r="BB40" s="431"/>
      <c r="BC40" s="431"/>
      <c r="BD40" s="431"/>
      <c r="BE40" s="431"/>
      <c r="BF40" s="431"/>
      <c r="BG40" s="431"/>
      <c r="BH40" s="431"/>
      <c r="BI40" s="431"/>
      <c r="BJ40" s="431"/>
      <c r="BK40" s="431"/>
      <c r="BL40" s="431"/>
      <c r="BM40" s="431"/>
      <c r="BN40" s="431"/>
      <c r="BO40" s="431"/>
      <c r="BP40" s="431"/>
      <c r="BQ40" s="431"/>
      <c r="BR40" s="431"/>
      <c r="BS40" s="431"/>
      <c r="BT40" s="431"/>
      <c r="BU40" s="431"/>
      <c r="BV40" s="431"/>
      <c r="BW40" s="431"/>
      <c r="BX40" s="431"/>
      <c r="BY40" s="431"/>
      <c r="BZ40" s="431"/>
      <c r="CA40" s="431"/>
      <c r="CB40" s="431"/>
      <c r="CC40" s="431"/>
      <c r="CD40" s="431"/>
      <c r="CE40" s="431"/>
      <c r="CF40" s="431"/>
      <c r="CG40" s="431"/>
      <c r="CH40" s="431"/>
      <c r="CI40" s="431"/>
      <c r="CJ40" s="431"/>
      <c r="CK40" s="431"/>
      <c r="CL40" s="431"/>
      <c r="CM40" s="431"/>
      <c r="CN40" s="431"/>
      <c r="CO40" s="431"/>
      <c r="CP40" s="431"/>
      <c r="CQ40" s="431"/>
      <c r="CR40" s="431"/>
      <c r="CS40" s="431"/>
      <c r="CT40" s="431"/>
      <c r="CU40" s="431"/>
      <c r="CV40" s="431"/>
      <c r="CW40" s="431"/>
      <c r="CX40" s="431"/>
      <c r="CY40" s="431"/>
      <c r="CZ40" s="431"/>
      <c r="DA40" s="431"/>
      <c r="DB40" s="431"/>
      <c r="DC40" s="431"/>
      <c r="DD40" s="431"/>
      <c r="DE40" s="431"/>
      <c r="DF40" s="431"/>
      <c r="DG40" s="431"/>
      <c r="DH40" s="431"/>
      <c r="DI40" s="431"/>
      <c r="DJ40" s="431"/>
      <c r="DK40" s="431"/>
      <c r="DL40" s="431"/>
      <c r="DM40" s="431"/>
      <c r="DN40" s="431"/>
      <c r="DO40" s="431"/>
      <c r="DP40" s="431"/>
      <c r="DQ40" s="431"/>
      <c r="DR40" s="431"/>
      <c r="DS40" s="431"/>
      <c r="DT40" s="431"/>
      <c r="DU40" s="431"/>
      <c r="DV40" s="431"/>
      <c r="DW40" s="431"/>
      <c r="DX40" s="431"/>
      <c r="DY40" s="431"/>
      <c r="DZ40" s="431"/>
      <c r="EA40" s="431"/>
      <c r="EB40" s="431"/>
      <c r="EC40" s="431"/>
      <c r="ED40" s="431"/>
      <c r="EE40" s="431"/>
      <c r="EF40" s="431"/>
      <c r="EG40" s="431"/>
      <c r="EH40" s="431"/>
      <c r="EI40" s="431"/>
      <c r="EJ40" s="431"/>
      <c r="EK40" s="431"/>
      <c r="EL40" s="431"/>
      <c r="EM40" s="431"/>
      <c r="EN40" s="431"/>
      <c r="EO40" s="431"/>
      <c r="EP40" s="431"/>
      <c r="EQ40" s="431"/>
      <c r="ER40" s="431"/>
      <c r="ES40" s="431"/>
      <c r="ET40" s="431"/>
      <c r="EU40" s="431"/>
      <c r="EV40" s="431"/>
      <c r="EW40" s="431"/>
      <c r="EX40" s="431"/>
      <c r="EY40" s="431"/>
      <c r="EZ40" s="431"/>
      <c r="FA40" s="431"/>
      <c r="FB40" s="431"/>
      <c r="FC40" s="431"/>
      <c r="FD40" s="431"/>
      <c r="FE40" s="431"/>
      <c r="FF40" s="431"/>
      <c r="FG40" s="431"/>
      <c r="FH40" s="431"/>
      <c r="FI40" s="431"/>
      <c r="FJ40" s="431"/>
      <c r="FK40" s="431"/>
      <c r="FL40" s="431"/>
      <c r="FM40" s="431"/>
      <c r="FN40" s="431"/>
      <c r="FO40" s="431"/>
      <c r="FP40" s="431"/>
      <c r="FQ40" s="431"/>
      <c r="FR40" s="431"/>
      <c r="FS40" s="431"/>
      <c r="FT40" s="431"/>
      <c r="FU40" s="431"/>
      <c r="FV40" s="431"/>
      <c r="FW40" s="431"/>
      <c r="FX40" s="431"/>
      <c r="FY40" s="431"/>
      <c r="FZ40" s="431"/>
      <c r="GA40" s="431"/>
      <c r="GB40" s="431"/>
      <c r="GC40" s="431"/>
      <c r="GD40" s="431"/>
      <c r="GE40" s="431"/>
      <c r="GF40" s="431"/>
      <c r="GG40" s="431"/>
      <c r="GH40" s="431"/>
      <c r="GI40" s="431"/>
      <c r="GJ40" s="431"/>
      <c r="GK40" s="431"/>
      <c r="GL40" s="431"/>
      <c r="GM40" s="431"/>
      <c r="GN40" s="431"/>
      <c r="GO40" s="431"/>
      <c r="GP40" s="431"/>
      <c r="GQ40" s="431"/>
      <c r="GR40" s="431"/>
      <c r="GS40" s="431"/>
      <c r="GT40" s="431"/>
      <c r="GU40" s="431"/>
      <c r="GV40" s="431"/>
      <c r="GW40" s="431"/>
      <c r="GX40" s="431"/>
      <c r="GY40" s="431"/>
      <c r="GZ40" s="431"/>
      <c r="HA40" s="431"/>
      <c r="HB40" s="431"/>
      <c r="HC40" s="431"/>
      <c r="HD40" s="431"/>
      <c r="HE40" s="431"/>
      <c r="HF40" s="431"/>
      <c r="HG40" s="431"/>
      <c r="HH40" s="431"/>
      <c r="HI40" s="431"/>
      <c r="HJ40" s="431"/>
      <c r="HK40" s="431"/>
      <c r="HL40" s="431"/>
      <c r="HM40" s="431"/>
      <c r="HN40" s="431"/>
      <c r="HO40" s="431"/>
      <c r="HP40" s="431"/>
      <c r="HQ40" s="431"/>
      <c r="HR40" s="431"/>
      <c r="HS40" s="431"/>
      <c r="HT40" s="431"/>
      <c r="HU40" s="431"/>
      <c r="HV40" s="431"/>
      <c r="HW40" s="431"/>
      <c r="HX40" s="431"/>
      <c r="HY40" s="431"/>
      <c r="HZ40" s="431"/>
      <c r="IA40" s="431"/>
      <c r="IB40" s="431"/>
      <c r="IC40" s="431"/>
      <c r="ID40" s="431"/>
      <c r="IE40" s="431"/>
      <c r="IF40" s="431"/>
      <c r="IG40" s="431"/>
      <c r="IH40" s="431"/>
      <c r="II40" s="431"/>
      <c r="IJ40" s="431"/>
      <c r="IK40" s="431"/>
      <c r="IL40" s="431"/>
      <c r="IM40" s="431"/>
      <c r="IN40" s="431"/>
      <c r="IO40" s="431"/>
      <c r="IP40" s="431"/>
      <c r="IQ40" s="431"/>
      <c r="IR40" s="431"/>
      <c r="IS40" s="431"/>
      <c r="IT40" s="431"/>
      <c r="IU40" s="431"/>
      <c r="IV40" s="431"/>
    </row>
    <row r="41" spans="1:256" ht="20.25" customHeight="1">
      <c r="A41" s="677" t="s">
        <v>851</v>
      </c>
      <c r="B41" s="679" t="s">
        <v>850</v>
      </c>
      <c r="C41" s="677"/>
      <c r="D41" s="677" t="s">
        <v>852</v>
      </c>
      <c r="E41" s="678">
        <f>4*64000</f>
        <v>256000</v>
      </c>
      <c r="F41" s="678">
        <f>4*64000</f>
        <v>256000</v>
      </c>
      <c r="G41" s="678">
        <f>4*64000</f>
        <v>256000</v>
      </c>
      <c r="H41" s="720"/>
      <c r="I41" s="721">
        <f>F41+H41</f>
        <v>256000</v>
      </c>
      <c r="J41" s="722">
        <f>G41-H41</f>
        <v>256000</v>
      </c>
      <c r="K41" s="723" t="s">
        <v>853</v>
      </c>
      <c r="L41" s="723"/>
      <c r="M41" s="723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4"/>
      <c r="AA41" s="724"/>
      <c r="AB41" s="724"/>
      <c r="AC41" s="724"/>
      <c r="AD41" s="724"/>
      <c r="AE41" s="724"/>
      <c r="AF41" s="724"/>
      <c r="AG41" s="724"/>
      <c r="AH41" s="724"/>
      <c r="AI41" s="724"/>
      <c r="AJ41" s="724"/>
      <c r="AK41" s="724"/>
      <c r="AL41" s="724"/>
      <c r="AM41" s="724"/>
      <c r="AN41" s="724"/>
      <c r="AO41" s="724"/>
      <c r="AP41" s="724"/>
      <c r="AQ41" s="724"/>
      <c r="AR41" s="724"/>
      <c r="AS41" s="724"/>
      <c r="AT41" s="724"/>
      <c r="AU41" s="724"/>
      <c r="AV41" s="724"/>
      <c r="AW41" s="724"/>
      <c r="AX41" s="724"/>
      <c r="AY41" s="724"/>
      <c r="AZ41" s="724"/>
      <c r="BA41" s="724"/>
      <c r="BB41" s="724"/>
      <c r="BC41" s="724"/>
      <c r="BD41" s="724"/>
      <c r="BE41" s="724"/>
      <c r="BF41" s="724"/>
      <c r="BG41" s="724"/>
      <c r="BH41" s="724"/>
      <c r="BI41" s="724"/>
      <c r="BJ41" s="724"/>
      <c r="BK41" s="724"/>
      <c r="BL41" s="724"/>
      <c r="BM41" s="724"/>
      <c r="BN41" s="724"/>
      <c r="BO41" s="724"/>
      <c r="BP41" s="724"/>
      <c r="BQ41" s="724"/>
      <c r="BR41" s="724"/>
      <c r="BS41" s="724"/>
      <c r="BT41" s="724"/>
      <c r="BU41" s="724"/>
      <c r="BV41" s="724"/>
      <c r="BW41" s="724"/>
      <c r="BX41" s="724"/>
      <c r="BY41" s="724"/>
      <c r="BZ41" s="724"/>
      <c r="CA41" s="724"/>
      <c r="CB41" s="724"/>
      <c r="CC41" s="724"/>
      <c r="CD41" s="724"/>
      <c r="CE41" s="724"/>
      <c r="CF41" s="724"/>
      <c r="CG41" s="724"/>
      <c r="CH41" s="724"/>
      <c r="CI41" s="724"/>
      <c r="CJ41" s="724"/>
      <c r="CK41" s="724"/>
      <c r="CL41" s="724"/>
      <c r="CM41" s="724"/>
      <c r="CN41" s="724"/>
      <c r="CO41" s="724"/>
      <c r="CP41" s="724"/>
      <c r="CQ41" s="724"/>
      <c r="CR41" s="724"/>
      <c r="CS41" s="724"/>
      <c r="CT41" s="724"/>
      <c r="CU41" s="724"/>
      <c r="CV41" s="724"/>
      <c r="CW41" s="724"/>
      <c r="CX41" s="724"/>
      <c r="CY41" s="724"/>
      <c r="CZ41" s="724"/>
      <c r="DA41" s="724"/>
      <c r="DB41" s="724"/>
      <c r="DC41" s="724"/>
      <c r="DD41" s="724"/>
      <c r="DE41" s="724"/>
      <c r="DF41" s="724"/>
      <c r="DG41" s="724"/>
      <c r="DH41" s="724"/>
      <c r="DI41" s="724"/>
      <c r="DJ41" s="724"/>
      <c r="DK41" s="724"/>
      <c r="DL41" s="724"/>
      <c r="DM41" s="724"/>
      <c r="DN41" s="724"/>
      <c r="DO41" s="724"/>
      <c r="DP41" s="724"/>
      <c r="DQ41" s="724"/>
      <c r="DR41" s="724"/>
      <c r="DS41" s="724"/>
      <c r="DT41" s="724"/>
      <c r="DU41" s="724"/>
      <c r="DV41" s="724"/>
      <c r="DW41" s="724"/>
      <c r="DX41" s="724"/>
      <c r="DY41" s="724"/>
      <c r="DZ41" s="724"/>
      <c r="EA41" s="724"/>
      <c r="EB41" s="724"/>
      <c r="EC41" s="724"/>
      <c r="ED41" s="724"/>
      <c r="EE41" s="724"/>
      <c r="EF41" s="724"/>
      <c r="EG41" s="724"/>
      <c r="EH41" s="724"/>
      <c r="EI41" s="724"/>
      <c r="EJ41" s="724"/>
      <c r="EK41" s="724"/>
      <c r="EL41" s="724"/>
      <c r="EM41" s="724"/>
      <c r="EN41" s="724"/>
      <c r="EO41" s="724"/>
      <c r="EP41" s="724"/>
      <c r="EQ41" s="724"/>
      <c r="ER41" s="724"/>
      <c r="ES41" s="724"/>
      <c r="ET41" s="724"/>
      <c r="EU41" s="724"/>
      <c r="EV41" s="724"/>
      <c r="EW41" s="724"/>
      <c r="EX41" s="724"/>
      <c r="EY41" s="724"/>
      <c r="EZ41" s="724"/>
      <c r="FA41" s="724"/>
      <c r="FB41" s="724"/>
      <c r="FC41" s="724"/>
      <c r="FD41" s="724"/>
      <c r="FE41" s="724"/>
      <c r="FF41" s="724"/>
      <c r="FG41" s="724"/>
      <c r="FH41" s="724"/>
      <c r="FI41" s="724"/>
      <c r="FJ41" s="724"/>
      <c r="FK41" s="724"/>
      <c r="FL41" s="724"/>
      <c r="FM41" s="724"/>
      <c r="FN41" s="724"/>
      <c r="FO41" s="724"/>
      <c r="FP41" s="724"/>
      <c r="FQ41" s="724"/>
      <c r="FR41" s="724"/>
      <c r="FS41" s="724"/>
      <c r="FT41" s="724"/>
      <c r="FU41" s="724"/>
      <c r="FV41" s="724"/>
      <c r="FW41" s="724"/>
      <c r="FX41" s="724"/>
      <c r="FY41" s="724"/>
      <c r="FZ41" s="724"/>
      <c r="GA41" s="724"/>
      <c r="GB41" s="724"/>
      <c r="GC41" s="724"/>
      <c r="GD41" s="724"/>
      <c r="GE41" s="724"/>
      <c r="GF41" s="724"/>
      <c r="GG41" s="724"/>
      <c r="GH41" s="724"/>
      <c r="GI41" s="724"/>
      <c r="GJ41" s="724"/>
      <c r="GK41" s="724"/>
      <c r="GL41" s="724"/>
      <c r="GM41" s="724"/>
      <c r="GN41" s="724"/>
      <c r="GO41" s="724"/>
      <c r="GP41" s="724"/>
      <c r="GQ41" s="724"/>
      <c r="GR41" s="724"/>
      <c r="GS41" s="724"/>
      <c r="GT41" s="724"/>
      <c r="GU41" s="724"/>
      <c r="GV41" s="724"/>
      <c r="GW41" s="724"/>
      <c r="GX41" s="724"/>
      <c r="GY41" s="724"/>
      <c r="GZ41" s="724"/>
      <c r="HA41" s="724"/>
      <c r="HB41" s="724"/>
      <c r="HC41" s="724"/>
      <c r="HD41" s="724"/>
      <c r="HE41" s="724"/>
      <c r="HF41" s="724"/>
      <c r="HG41" s="724"/>
      <c r="HH41" s="724"/>
      <c r="HI41" s="724"/>
      <c r="HJ41" s="724"/>
      <c r="HK41" s="724"/>
      <c r="HL41" s="724"/>
      <c r="HM41" s="724"/>
      <c r="HN41" s="724"/>
      <c r="HO41" s="724"/>
      <c r="HP41" s="724"/>
      <c r="HQ41" s="724"/>
      <c r="HR41" s="724"/>
      <c r="HS41" s="724"/>
      <c r="HT41" s="724"/>
      <c r="HU41" s="724"/>
      <c r="HV41" s="724"/>
      <c r="HW41" s="724"/>
      <c r="HX41" s="724"/>
      <c r="HY41" s="724"/>
      <c r="HZ41" s="724"/>
      <c r="IA41" s="724"/>
      <c r="IB41" s="724"/>
      <c r="IC41" s="724"/>
      <c r="ID41" s="724"/>
      <c r="IE41" s="724"/>
      <c r="IF41" s="724"/>
      <c r="IG41" s="724"/>
      <c r="IH41" s="724"/>
      <c r="II41" s="724"/>
      <c r="IJ41" s="724"/>
      <c r="IK41" s="724"/>
      <c r="IL41" s="724"/>
      <c r="IM41" s="724"/>
      <c r="IN41" s="724"/>
      <c r="IO41" s="724"/>
      <c r="IP41" s="724"/>
      <c r="IQ41" s="724"/>
      <c r="IR41" s="724"/>
      <c r="IS41" s="724"/>
      <c r="IT41" s="724"/>
      <c r="IU41" s="724"/>
      <c r="IV41" s="724"/>
    </row>
    <row r="42" spans="1:256" s="716" customFormat="1" ht="20.25" customHeight="1">
      <c r="A42" s="677" t="s">
        <v>854</v>
      </c>
      <c r="B42" s="679" t="s">
        <v>850</v>
      </c>
      <c r="C42" s="677"/>
      <c r="D42" s="677" t="s">
        <v>855</v>
      </c>
      <c r="E42" s="678">
        <f>4*77000</f>
        <v>308000</v>
      </c>
      <c r="F42" s="678">
        <f>4*77000</f>
        <v>308000</v>
      </c>
      <c r="G42" s="678">
        <f>4*77000</f>
        <v>308000</v>
      </c>
      <c r="H42" s="720"/>
      <c r="I42" s="721">
        <f>F42+H42</f>
        <v>308000</v>
      </c>
      <c r="J42" s="722">
        <f>G42-H42</f>
        <v>308000</v>
      </c>
      <c r="K42" s="723" t="s">
        <v>853</v>
      </c>
      <c r="L42" s="723"/>
      <c r="M42" s="723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  <c r="AB42" s="724"/>
      <c r="AC42" s="724"/>
      <c r="AD42" s="724"/>
      <c r="AE42" s="724"/>
      <c r="AF42" s="724"/>
      <c r="AG42" s="724"/>
      <c r="AH42" s="724"/>
      <c r="AI42" s="724"/>
      <c r="AJ42" s="724"/>
      <c r="AK42" s="724"/>
      <c r="AL42" s="724"/>
      <c r="AM42" s="724"/>
      <c r="AN42" s="724"/>
      <c r="AO42" s="724"/>
      <c r="AP42" s="724"/>
      <c r="AQ42" s="724"/>
      <c r="AR42" s="724"/>
      <c r="AS42" s="724"/>
      <c r="AT42" s="724"/>
      <c r="AU42" s="724"/>
      <c r="AV42" s="724"/>
      <c r="AW42" s="724"/>
      <c r="AX42" s="724"/>
      <c r="AY42" s="724"/>
      <c r="AZ42" s="724"/>
      <c r="BA42" s="724"/>
      <c r="BB42" s="724"/>
      <c r="BC42" s="724"/>
      <c r="BD42" s="724"/>
      <c r="BE42" s="724"/>
      <c r="BF42" s="724"/>
      <c r="BG42" s="724"/>
      <c r="BH42" s="724"/>
      <c r="BI42" s="724"/>
      <c r="BJ42" s="724"/>
      <c r="BK42" s="724"/>
      <c r="BL42" s="724"/>
      <c r="BM42" s="724"/>
      <c r="BN42" s="724"/>
      <c r="BO42" s="724"/>
      <c r="BP42" s="724"/>
      <c r="BQ42" s="724"/>
      <c r="BR42" s="724"/>
      <c r="BS42" s="724"/>
      <c r="BT42" s="724"/>
      <c r="BU42" s="724"/>
      <c r="BV42" s="724"/>
      <c r="BW42" s="724"/>
      <c r="BX42" s="724"/>
      <c r="BY42" s="724"/>
      <c r="BZ42" s="724"/>
      <c r="CA42" s="724"/>
      <c r="CB42" s="724"/>
      <c r="CC42" s="724"/>
      <c r="CD42" s="724"/>
      <c r="CE42" s="724"/>
      <c r="CF42" s="724"/>
      <c r="CG42" s="724"/>
      <c r="CH42" s="724"/>
      <c r="CI42" s="724"/>
      <c r="CJ42" s="724"/>
      <c r="CK42" s="724"/>
      <c r="CL42" s="724"/>
      <c r="CM42" s="724"/>
      <c r="CN42" s="724"/>
      <c r="CO42" s="724"/>
      <c r="CP42" s="724"/>
      <c r="CQ42" s="724"/>
      <c r="CR42" s="724"/>
      <c r="CS42" s="724"/>
      <c r="CT42" s="724"/>
      <c r="CU42" s="724"/>
      <c r="CV42" s="724"/>
      <c r="CW42" s="724"/>
      <c r="CX42" s="724"/>
      <c r="CY42" s="724"/>
      <c r="CZ42" s="724"/>
      <c r="DA42" s="724"/>
      <c r="DB42" s="724"/>
      <c r="DC42" s="724"/>
      <c r="DD42" s="724"/>
      <c r="DE42" s="724"/>
      <c r="DF42" s="724"/>
      <c r="DG42" s="724"/>
      <c r="DH42" s="724"/>
      <c r="DI42" s="724"/>
      <c r="DJ42" s="724"/>
      <c r="DK42" s="724"/>
      <c r="DL42" s="724"/>
      <c r="DM42" s="724"/>
      <c r="DN42" s="724"/>
      <c r="DO42" s="724"/>
      <c r="DP42" s="724"/>
      <c r="DQ42" s="724"/>
      <c r="DR42" s="724"/>
      <c r="DS42" s="724"/>
      <c r="DT42" s="724"/>
      <c r="DU42" s="724"/>
      <c r="DV42" s="724"/>
      <c r="DW42" s="724"/>
      <c r="DX42" s="724"/>
      <c r="DY42" s="724"/>
      <c r="DZ42" s="724"/>
      <c r="EA42" s="724"/>
      <c r="EB42" s="724"/>
      <c r="EC42" s="724"/>
      <c r="ED42" s="724"/>
      <c r="EE42" s="724"/>
      <c r="EF42" s="724"/>
      <c r="EG42" s="724"/>
      <c r="EH42" s="724"/>
      <c r="EI42" s="724"/>
      <c r="EJ42" s="724"/>
      <c r="EK42" s="724"/>
      <c r="EL42" s="724"/>
      <c r="EM42" s="724"/>
      <c r="EN42" s="724"/>
      <c r="EO42" s="724"/>
      <c r="EP42" s="724"/>
      <c r="EQ42" s="724"/>
      <c r="ER42" s="724"/>
      <c r="ES42" s="724"/>
      <c r="ET42" s="724"/>
      <c r="EU42" s="724"/>
      <c r="EV42" s="724"/>
      <c r="EW42" s="724"/>
      <c r="EX42" s="724"/>
      <c r="EY42" s="724"/>
      <c r="EZ42" s="724"/>
      <c r="FA42" s="724"/>
      <c r="FB42" s="724"/>
      <c r="FC42" s="724"/>
      <c r="FD42" s="724"/>
      <c r="FE42" s="724"/>
      <c r="FF42" s="724"/>
      <c r="FG42" s="724"/>
      <c r="FH42" s="724"/>
      <c r="FI42" s="724"/>
      <c r="FJ42" s="724"/>
      <c r="FK42" s="724"/>
      <c r="FL42" s="724"/>
      <c r="FM42" s="724"/>
      <c r="FN42" s="724"/>
      <c r="FO42" s="724"/>
      <c r="FP42" s="724"/>
      <c r="FQ42" s="724"/>
      <c r="FR42" s="724"/>
      <c r="FS42" s="724"/>
      <c r="FT42" s="724"/>
      <c r="FU42" s="724"/>
      <c r="FV42" s="724"/>
      <c r="FW42" s="724"/>
      <c r="FX42" s="724"/>
      <c r="FY42" s="724"/>
      <c r="FZ42" s="724"/>
      <c r="GA42" s="724"/>
      <c r="GB42" s="724"/>
      <c r="GC42" s="724"/>
      <c r="GD42" s="724"/>
      <c r="GE42" s="724"/>
      <c r="GF42" s="724"/>
      <c r="GG42" s="724"/>
      <c r="GH42" s="724"/>
      <c r="GI42" s="724"/>
      <c r="GJ42" s="724"/>
      <c r="GK42" s="724"/>
      <c r="GL42" s="724"/>
      <c r="GM42" s="724"/>
      <c r="GN42" s="724"/>
      <c r="GO42" s="724"/>
      <c r="GP42" s="724"/>
      <c r="GQ42" s="724"/>
      <c r="GR42" s="724"/>
      <c r="GS42" s="724"/>
      <c r="GT42" s="724"/>
      <c r="GU42" s="724"/>
      <c r="GV42" s="724"/>
      <c r="GW42" s="724"/>
      <c r="GX42" s="724"/>
      <c r="GY42" s="724"/>
      <c r="GZ42" s="724"/>
      <c r="HA42" s="724"/>
      <c r="HB42" s="724"/>
      <c r="HC42" s="724"/>
      <c r="HD42" s="724"/>
      <c r="HE42" s="724"/>
      <c r="HF42" s="724"/>
      <c r="HG42" s="724"/>
      <c r="HH42" s="724"/>
      <c r="HI42" s="724"/>
      <c r="HJ42" s="724"/>
      <c r="HK42" s="724"/>
      <c r="HL42" s="724"/>
      <c r="HM42" s="724"/>
      <c r="HN42" s="724"/>
      <c r="HO42" s="724"/>
      <c r="HP42" s="724"/>
      <c r="HQ42" s="724"/>
      <c r="HR42" s="724"/>
      <c r="HS42" s="724"/>
      <c r="HT42" s="724"/>
      <c r="HU42" s="724"/>
      <c r="HV42" s="724"/>
      <c r="HW42" s="724"/>
      <c r="HX42" s="724"/>
      <c r="HY42" s="724"/>
      <c r="HZ42" s="724"/>
      <c r="IA42" s="724"/>
      <c r="IB42" s="724"/>
      <c r="IC42" s="724"/>
      <c r="ID42" s="724"/>
      <c r="IE42" s="724"/>
      <c r="IF42" s="724"/>
      <c r="IG42" s="724"/>
      <c r="IH42" s="724"/>
      <c r="II42" s="724"/>
      <c r="IJ42" s="724"/>
      <c r="IK42" s="724"/>
      <c r="IL42" s="724"/>
      <c r="IM42" s="724"/>
      <c r="IN42" s="724"/>
      <c r="IO42" s="724"/>
      <c r="IP42" s="724"/>
      <c r="IQ42" s="724"/>
      <c r="IR42" s="724"/>
      <c r="IS42" s="724"/>
      <c r="IT42" s="724"/>
      <c r="IU42" s="724"/>
      <c r="IV42" s="724"/>
    </row>
    <row r="43" spans="1:256" ht="20.25" customHeight="1">
      <c r="A43" s="677" t="s">
        <v>856</v>
      </c>
      <c r="B43" s="679" t="s">
        <v>850</v>
      </c>
      <c r="C43" s="677"/>
      <c r="D43" s="677" t="s">
        <v>857</v>
      </c>
      <c r="E43" s="678">
        <f>3*18000</f>
        <v>54000</v>
      </c>
      <c r="F43" s="678">
        <f>3*18000</f>
        <v>54000</v>
      </c>
      <c r="G43" s="678">
        <f>3*18000</f>
        <v>54000</v>
      </c>
      <c r="H43" s="720"/>
      <c r="I43" s="721">
        <f>F43+H43</f>
        <v>54000</v>
      </c>
      <c r="J43" s="722">
        <f>G43-H43</f>
        <v>54000</v>
      </c>
      <c r="K43" s="723" t="s">
        <v>853</v>
      </c>
      <c r="L43" s="723"/>
      <c r="M43" s="723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  <c r="AB43" s="724"/>
      <c r="AC43" s="724"/>
      <c r="AD43" s="724"/>
      <c r="AE43" s="724"/>
      <c r="AF43" s="724"/>
      <c r="AG43" s="724"/>
      <c r="AH43" s="724"/>
      <c r="AI43" s="724"/>
      <c r="AJ43" s="724"/>
      <c r="AK43" s="724"/>
      <c r="AL43" s="724"/>
      <c r="AM43" s="724"/>
      <c r="AN43" s="724"/>
      <c r="AO43" s="724"/>
      <c r="AP43" s="724"/>
      <c r="AQ43" s="724"/>
      <c r="AR43" s="724"/>
      <c r="AS43" s="724"/>
      <c r="AT43" s="724"/>
      <c r="AU43" s="724"/>
      <c r="AV43" s="724"/>
      <c r="AW43" s="724"/>
      <c r="AX43" s="724"/>
      <c r="AY43" s="724"/>
      <c r="AZ43" s="724"/>
      <c r="BA43" s="724"/>
      <c r="BB43" s="724"/>
      <c r="BC43" s="724"/>
      <c r="BD43" s="724"/>
      <c r="BE43" s="724"/>
      <c r="BF43" s="724"/>
      <c r="BG43" s="724"/>
      <c r="BH43" s="724"/>
      <c r="BI43" s="724"/>
      <c r="BJ43" s="724"/>
      <c r="BK43" s="724"/>
      <c r="BL43" s="724"/>
      <c r="BM43" s="724"/>
      <c r="BN43" s="724"/>
      <c r="BO43" s="724"/>
      <c r="BP43" s="724"/>
      <c r="BQ43" s="724"/>
      <c r="BR43" s="724"/>
      <c r="BS43" s="724"/>
      <c r="BT43" s="724"/>
      <c r="BU43" s="724"/>
      <c r="BV43" s="724"/>
      <c r="BW43" s="724"/>
      <c r="BX43" s="724"/>
      <c r="BY43" s="724"/>
      <c r="BZ43" s="724"/>
      <c r="CA43" s="724"/>
      <c r="CB43" s="724"/>
      <c r="CC43" s="724"/>
      <c r="CD43" s="724"/>
      <c r="CE43" s="724"/>
      <c r="CF43" s="724"/>
      <c r="CG43" s="724"/>
      <c r="CH43" s="724"/>
      <c r="CI43" s="724"/>
      <c r="CJ43" s="724"/>
      <c r="CK43" s="724"/>
      <c r="CL43" s="724"/>
      <c r="CM43" s="724"/>
      <c r="CN43" s="724"/>
      <c r="CO43" s="724"/>
      <c r="CP43" s="724"/>
      <c r="CQ43" s="724"/>
      <c r="CR43" s="724"/>
      <c r="CS43" s="724"/>
      <c r="CT43" s="724"/>
      <c r="CU43" s="724"/>
      <c r="CV43" s="724"/>
      <c r="CW43" s="724"/>
      <c r="CX43" s="724"/>
      <c r="CY43" s="724"/>
      <c r="CZ43" s="724"/>
      <c r="DA43" s="724"/>
      <c r="DB43" s="724"/>
      <c r="DC43" s="724"/>
      <c r="DD43" s="724"/>
      <c r="DE43" s="724"/>
      <c r="DF43" s="724"/>
      <c r="DG43" s="724"/>
      <c r="DH43" s="724"/>
      <c r="DI43" s="724"/>
      <c r="DJ43" s="724"/>
      <c r="DK43" s="724"/>
      <c r="DL43" s="724"/>
      <c r="DM43" s="724"/>
      <c r="DN43" s="724"/>
      <c r="DO43" s="724"/>
      <c r="DP43" s="724"/>
      <c r="DQ43" s="724"/>
      <c r="DR43" s="724"/>
      <c r="DS43" s="724"/>
      <c r="DT43" s="724"/>
      <c r="DU43" s="724"/>
      <c r="DV43" s="724"/>
      <c r="DW43" s="724"/>
      <c r="DX43" s="724"/>
      <c r="DY43" s="724"/>
      <c r="DZ43" s="724"/>
      <c r="EA43" s="724"/>
      <c r="EB43" s="724"/>
      <c r="EC43" s="724"/>
      <c r="ED43" s="724"/>
      <c r="EE43" s="724"/>
      <c r="EF43" s="724"/>
      <c r="EG43" s="724"/>
      <c r="EH43" s="724"/>
      <c r="EI43" s="724"/>
      <c r="EJ43" s="724"/>
      <c r="EK43" s="724"/>
      <c r="EL43" s="724"/>
      <c r="EM43" s="724"/>
      <c r="EN43" s="724"/>
      <c r="EO43" s="724"/>
      <c r="EP43" s="724"/>
      <c r="EQ43" s="724"/>
      <c r="ER43" s="724"/>
      <c r="ES43" s="724"/>
      <c r="ET43" s="724"/>
      <c r="EU43" s="724"/>
      <c r="EV43" s="724"/>
      <c r="EW43" s="724"/>
      <c r="EX43" s="724"/>
      <c r="EY43" s="724"/>
      <c r="EZ43" s="724"/>
      <c r="FA43" s="724"/>
      <c r="FB43" s="724"/>
      <c r="FC43" s="724"/>
      <c r="FD43" s="724"/>
      <c r="FE43" s="724"/>
      <c r="FF43" s="724"/>
      <c r="FG43" s="724"/>
      <c r="FH43" s="724"/>
      <c r="FI43" s="724"/>
      <c r="FJ43" s="724"/>
      <c r="FK43" s="724"/>
      <c r="FL43" s="724"/>
      <c r="FM43" s="724"/>
      <c r="FN43" s="724"/>
      <c r="FO43" s="724"/>
      <c r="FP43" s="724"/>
      <c r="FQ43" s="724"/>
      <c r="FR43" s="724"/>
      <c r="FS43" s="724"/>
      <c r="FT43" s="724"/>
      <c r="FU43" s="724"/>
      <c r="FV43" s="724"/>
      <c r="FW43" s="724"/>
      <c r="FX43" s="724"/>
      <c r="FY43" s="724"/>
      <c r="FZ43" s="724"/>
      <c r="GA43" s="724"/>
      <c r="GB43" s="724"/>
      <c r="GC43" s="724"/>
      <c r="GD43" s="724"/>
      <c r="GE43" s="724"/>
      <c r="GF43" s="724"/>
      <c r="GG43" s="724"/>
      <c r="GH43" s="724"/>
      <c r="GI43" s="724"/>
      <c r="GJ43" s="724"/>
      <c r="GK43" s="724"/>
      <c r="GL43" s="724"/>
      <c r="GM43" s="724"/>
      <c r="GN43" s="724"/>
      <c r="GO43" s="724"/>
      <c r="GP43" s="724"/>
      <c r="GQ43" s="724"/>
      <c r="GR43" s="724"/>
      <c r="GS43" s="724"/>
      <c r="GT43" s="724"/>
      <c r="GU43" s="724"/>
      <c r="GV43" s="724"/>
      <c r="GW43" s="724"/>
      <c r="GX43" s="724"/>
      <c r="GY43" s="724"/>
      <c r="GZ43" s="724"/>
      <c r="HA43" s="724"/>
      <c r="HB43" s="724"/>
      <c r="HC43" s="724"/>
      <c r="HD43" s="724"/>
      <c r="HE43" s="724"/>
      <c r="HF43" s="724"/>
      <c r="HG43" s="724"/>
      <c r="HH43" s="724"/>
      <c r="HI43" s="724"/>
      <c r="HJ43" s="724"/>
      <c r="HK43" s="724"/>
      <c r="HL43" s="724"/>
      <c r="HM43" s="724"/>
      <c r="HN43" s="724"/>
      <c r="HO43" s="724"/>
      <c r="HP43" s="724"/>
      <c r="HQ43" s="724"/>
      <c r="HR43" s="724"/>
      <c r="HS43" s="724"/>
      <c r="HT43" s="724"/>
      <c r="HU43" s="724"/>
      <c r="HV43" s="724"/>
      <c r="HW43" s="724"/>
      <c r="HX43" s="724"/>
      <c r="HY43" s="724"/>
      <c r="HZ43" s="724"/>
      <c r="IA43" s="724"/>
      <c r="IB43" s="724"/>
      <c r="IC43" s="724"/>
      <c r="ID43" s="724"/>
      <c r="IE43" s="724"/>
      <c r="IF43" s="724"/>
      <c r="IG43" s="724"/>
      <c r="IH43" s="724"/>
      <c r="II43" s="724"/>
      <c r="IJ43" s="724"/>
      <c r="IK43" s="724"/>
      <c r="IL43" s="724"/>
      <c r="IM43" s="724"/>
      <c r="IN43" s="724"/>
      <c r="IO43" s="724"/>
      <c r="IP43" s="724"/>
      <c r="IQ43" s="724"/>
      <c r="IR43" s="724"/>
      <c r="IS43" s="724"/>
      <c r="IT43" s="724"/>
      <c r="IU43" s="724"/>
      <c r="IV43" s="724"/>
    </row>
    <row r="44" spans="1:256" ht="20.25" customHeight="1">
      <c r="A44" s="677" t="s">
        <v>858</v>
      </c>
      <c r="B44" s="679" t="s">
        <v>850</v>
      </c>
      <c r="C44" s="677"/>
      <c r="D44" s="677" t="s">
        <v>859</v>
      </c>
      <c r="E44" s="678">
        <v>172000</v>
      </c>
      <c r="F44" s="678">
        <v>172000</v>
      </c>
      <c r="G44" s="678">
        <v>172000</v>
      </c>
      <c r="H44" s="720"/>
      <c r="I44" s="721">
        <f>F44+H44</f>
        <v>172000</v>
      </c>
      <c r="J44" s="722">
        <f>G44-H44</f>
        <v>172000</v>
      </c>
      <c r="K44" s="723" t="s">
        <v>853</v>
      </c>
      <c r="L44" s="723"/>
      <c r="M44" s="723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4"/>
      <c r="AA44" s="724"/>
      <c r="AB44" s="724"/>
      <c r="AC44" s="724"/>
      <c r="AD44" s="724"/>
      <c r="AE44" s="724"/>
      <c r="AF44" s="724"/>
      <c r="AG44" s="724"/>
      <c r="AH44" s="724"/>
      <c r="AI44" s="724"/>
      <c r="AJ44" s="724"/>
      <c r="AK44" s="724"/>
      <c r="AL44" s="724"/>
      <c r="AM44" s="724"/>
      <c r="AN44" s="724"/>
      <c r="AO44" s="724"/>
      <c r="AP44" s="724"/>
      <c r="AQ44" s="724"/>
      <c r="AR44" s="724"/>
      <c r="AS44" s="724"/>
      <c r="AT44" s="724"/>
      <c r="AU44" s="724"/>
      <c r="AV44" s="724"/>
      <c r="AW44" s="724"/>
      <c r="AX44" s="724"/>
      <c r="AY44" s="724"/>
      <c r="AZ44" s="724"/>
      <c r="BA44" s="724"/>
      <c r="BB44" s="724"/>
      <c r="BC44" s="724"/>
      <c r="BD44" s="724"/>
      <c r="BE44" s="724"/>
      <c r="BF44" s="724"/>
      <c r="BG44" s="724"/>
      <c r="BH44" s="724"/>
      <c r="BI44" s="724"/>
      <c r="BJ44" s="724"/>
      <c r="BK44" s="724"/>
      <c r="BL44" s="724"/>
      <c r="BM44" s="724"/>
      <c r="BN44" s="724"/>
      <c r="BO44" s="724"/>
      <c r="BP44" s="724"/>
      <c r="BQ44" s="724"/>
      <c r="BR44" s="724"/>
      <c r="BS44" s="724"/>
      <c r="BT44" s="724"/>
      <c r="BU44" s="724"/>
      <c r="BV44" s="724"/>
      <c r="BW44" s="724"/>
      <c r="BX44" s="724"/>
      <c r="BY44" s="724"/>
      <c r="BZ44" s="724"/>
      <c r="CA44" s="724"/>
      <c r="CB44" s="724"/>
      <c r="CC44" s="724"/>
      <c r="CD44" s="724"/>
      <c r="CE44" s="724"/>
      <c r="CF44" s="724"/>
      <c r="CG44" s="724"/>
      <c r="CH44" s="724"/>
      <c r="CI44" s="724"/>
      <c r="CJ44" s="724"/>
      <c r="CK44" s="724"/>
      <c r="CL44" s="724"/>
      <c r="CM44" s="724"/>
      <c r="CN44" s="724"/>
      <c r="CO44" s="724"/>
      <c r="CP44" s="724"/>
      <c r="CQ44" s="724"/>
      <c r="CR44" s="724"/>
      <c r="CS44" s="724"/>
      <c r="CT44" s="724"/>
      <c r="CU44" s="724"/>
      <c r="CV44" s="724"/>
      <c r="CW44" s="724"/>
      <c r="CX44" s="724"/>
      <c r="CY44" s="724"/>
      <c r="CZ44" s="724"/>
      <c r="DA44" s="724"/>
      <c r="DB44" s="724"/>
      <c r="DC44" s="724"/>
      <c r="DD44" s="724"/>
      <c r="DE44" s="724"/>
      <c r="DF44" s="724"/>
      <c r="DG44" s="724"/>
      <c r="DH44" s="724"/>
      <c r="DI44" s="724"/>
      <c r="DJ44" s="724"/>
      <c r="DK44" s="724"/>
      <c r="DL44" s="724"/>
      <c r="DM44" s="724"/>
      <c r="DN44" s="724"/>
      <c r="DO44" s="724"/>
      <c r="DP44" s="724"/>
      <c r="DQ44" s="724"/>
      <c r="DR44" s="724"/>
      <c r="DS44" s="724"/>
      <c r="DT44" s="724"/>
      <c r="DU44" s="724"/>
      <c r="DV44" s="724"/>
      <c r="DW44" s="724"/>
      <c r="DX44" s="724"/>
      <c r="DY44" s="724"/>
      <c r="DZ44" s="724"/>
      <c r="EA44" s="724"/>
      <c r="EB44" s="724"/>
      <c r="EC44" s="724"/>
      <c r="ED44" s="724"/>
      <c r="EE44" s="724"/>
      <c r="EF44" s="724"/>
      <c r="EG44" s="724"/>
      <c r="EH44" s="724"/>
      <c r="EI44" s="724"/>
      <c r="EJ44" s="724"/>
      <c r="EK44" s="724"/>
      <c r="EL44" s="724"/>
      <c r="EM44" s="724"/>
      <c r="EN44" s="724"/>
      <c r="EO44" s="724"/>
      <c r="EP44" s="724"/>
      <c r="EQ44" s="724"/>
      <c r="ER44" s="724"/>
      <c r="ES44" s="724"/>
      <c r="ET44" s="724"/>
      <c r="EU44" s="724"/>
      <c r="EV44" s="724"/>
      <c r="EW44" s="724"/>
      <c r="EX44" s="724"/>
      <c r="EY44" s="724"/>
      <c r="EZ44" s="724"/>
      <c r="FA44" s="724"/>
      <c r="FB44" s="724"/>
      <c r="FC44" s="724"/>
      <c r="FD44" s="724"/>
      <c r="FE44" s="724"/>
      <c r="FF44" s="724"/>
      <c r="FG44" s="724"/>
      <c r="FH44" s="724"/>
      <c r="FI44" s="724"/>
      <c r="FJ44" s="724"/>
      <c r="FK44" s="724"/>
      <c r="FL44" s="724"/>
      <c r="FM44" s="724"/>
      <c r="FN44" s="724"/>
      <c r="FO44" s="724"/>
      <c r="FP44" s="724"/>
      <c r="FQ44" s="724"/>
      <c r="FR44" s="724"/>
      <c r="FS44" s="724"/>
      <c r="FT44" s="724"/>
      <c r="FU44" s="724"/>
      <c r="FV44" s="724"/>
      <c r="FW44" s="724"/>
      <c r="FX44" s="724"/>
      <c r="FY44" s="724"/>
      <c r="FZ44" s="724"/>
      <c r="GA44" s="724"/>
      <c r="GB44" s="724"/>
      <c r="GC44" s="724"/>
      <c r="GD44" s="724"/>
      <c r="GE44" s="724"/>
      <c r="GF44" s="724"/>
      <c r="GG44" s="724"/>
      <c r="GH44" s="724"/>
      <c r="GI44" s="724"/>
      <c r="GJ44" s="724"/>
      <c r="GK44" s="724"/>
      <c r="GL44" s="724"/>
      <c r="GM44" s="724"/>
      <c r="GN44" s="724"/>
      <c r="GO44" s="724"/>
      <c r="GP44" s="724"/>
      <c r="GQ44" s="724"/>
      <c r="GR44" s="724"/>
      <c r="GS44" s="724"/>
      <c r="GT44" s="724"/>
      <c r="GU44" s="724"/>
      <c r="GV44" s="724"/>
      <c r="GW44" s="724"/>
      <c r="GX44" s="724"/>
      <c r="GY44" s="724"/>
      <c r="GZ44" s="724"/>
      <c r="HA44" s="724"/>
      <c r="HB44" s="724"/>
      <c r="HC44" s="724"/>
      <c r="HD44" s="724"/>
      <c r="HE44" s="724"/>
      <c r="HF44" s="724"/>
      <c r="HG44" s="724"/>
      <c r="HH44" s="724"/>
      <c r="HI44" s="724"/>
      <c r="HJ44" s="724"/>
      <c r="HK44" s="724"/>
      <c r="HL44" s="724"/>
      <c r="HM44" s="724"/>
      <c r="HN44" s="724"/>
      <c r="HO44" s="724"/>
      <c r="HP44" s="724"/>
      <c r="HQ44" s="724"/>
      <c r="HR44" s="724"/>
      <c r="HS44" s="724"/>
      <c r="HT44" s="724"/>
      <c r="HU44" s="724"/>
      <c r="HV44" s="724"/>
      <c r="HW44" s="724"/>
      <c r="HX44" s="724"/>
      <c r="HY44" s="724"/>
      <c r="HZ44" s="724"/>
      <c r="IA44" s="724"/>
      <c r="IB44" s="724"/>
      <c r="IC44" s="724"/>
      <c r="ID44" s="724"/>
      <c r="IE44" s="724"/>
      <c r="IF44" s="724"/>
      <c r="IG44" s="724"/>
      <c r="IH44" s="724"/>
      <c r="II44" s="724"/>
      <c r="IJ44" s="724"/>
      <c r="IK44" s="724"/>
      <c r="IL44" s="724"/>
      <c r="IM44" s="724"/>
      <c r="IN44" s="724"/>
      <c r="IO44" s="724"/>
      <c r="IP44" s="724"/>
      <c r="IQ44" s="724"/>
      <c r="IR44" s="724"/>
      <c r="IS44" s="724"/>
      <c r="IT44" s="724"/>
      <c r="IU44" s="724"/>
      <c r="IV44" s="724"/>
    </row>
    <row r="45" spans="1:256" ht="20.25" customHeight="1">
      <c r="G45" s="741">
        <f>SUM(G41:G44)</f>
        <v>790000</v>
      </c>
      <c r="L45" s="727"/>
      <c r="M45" s="728"/>
      <c r="O45" s="431"/>
    </row>
    <row r="46" spans="1:256" ht="20.25" customHeight="1">
      <c r="G46" s="433"/>
      <c r="L46" s="727"/>
      <c r="M46" s="728"/>
      <c r="O46" s="431"/>
    </row>
    <row r="47" spans="1:256" s="729" customFormat="1" ht="20.25" customHeight="1">
      <c r="A47" s="677" t="s">
        <v>871</v>
      </c>
      <c r="B47" s="679" t="s">
        <v>870</v>
      </c>
      <c r="C47" s="677"/>
      <c r="D47" s="677"/>
      <c r="E47" s="678">
        <v>636400</v>
      </c>
      <c r="F47" s="678">
        <v>636400</v>
      </c>
      <c r="G47" s="678">
        <v>636400</v>
      </c>
      <c r="H47" s="720">
        <f>(E47*0.05)/12*10</f>
        <v>26516.666666666664</v>
      </c>
      <c r="I47" s="721">
        <f t="shared" ref="I47:I52" si="8">F47+H47</f>
        <v>662916.66666666663</v>
      </c>
      <c r="J47" s="722">
        <f t="shared" ref="J47:J52" si="9">G47-H47</f>
        <v>609883.33333333337</v>
      </c>
      <c r="K47" s="723" t="s">
        <v>872</v>
      </c>
      <c r="L47" s="723"/>
      <c r="M47" s="723"/>
      <c r="N47" s="724"/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4"/>
      <c r="AB47" s="724"/>
      <c r="AC47" s="724"/>
      <c r="AD47" s="724"/>
      <c r="AE47" s="724"/>
      <c r="AF47" s="724"/>
      <c r="AG47" s="724"/>
      <c r="AH47" s="724"/>
      <c r="AI47" s="724"/>
      <c r="AJ47" s="724"/>
      <c r="AK47" s="724"/>
      <c r="AL47" s="724"/>
      <c r="AM47" s="724"/>
      <c r="AN47" s="724"/>
      <c r="AO47" s="724"/>
      <c r="AP47" s="724"/>
      <c r="AQ47" s="724"/>
      <c r="AR47" s="724"/>
      <c r="AS47" s="724"/>
      <c r="AT47" s="724"/>
      <c r="AU47" s="724"/>
      <c r="AV47" s="724"/>
      <c r="AW47" s="724"/>
      <c r="AX47" s="724"/>
      <c r="AY47" s="724"/>
      <c r="AZ47" s="724"/>
      <c r="BA47" s="724"/>
      <c r="BB47" s="724"/>
      <c r="BC47" s="724"/>
      <c r="BD47" s="724"/>
      <c r="BE47" s="724"/>
      <c r="BF47" s="724"/>
      <c r="BG47" s="724"/>
      <c r="BH47" s="724"/>
      <c r="BI47" s="724"/>
      <c r="BJ47" s="724"/>
      <c r="BK47" s="724"/>
      <c r="BL47" s="724"/>
      <c r="BM47" s="724"/>
      <c r="BN47" s="724"/>
      <c r="BO47" s="724"/>
      <c r="BP47" s="724"/>
      <c r="BQ47" s="724"/>
      <c r="BR47" s="724"/>
      <c r="BS47" s="724"/>
      <c r="BT47" s="724"/>
      <c r="BU47" s="724"/>
      <c r="BV47" s="724"/>
      <c r="BW47" s="724"/>
      <c r="BX47" s="724"/>
      <c r="BY47" s="724"/>
      <c r="BZ47" s="724"/>
      <c r="CA47" s="724"/>
      <c r="CB47" s="724"/>
      <c r="CC47" s="724"/>
      <c r="CD47" s="724"/>
      <c r="CE47" s="724"/>
      <c r="CF47" s="724"/>
      <c r="CG47" s="724"/>
      <c r="CH47" s="724"/>
      <c r="CI47" s="724"/>
      <c r="CJ47" s="724"/>
      <c r="CK47" s="724"/>
      <c r="CL47" s="724"/>
      <c r="CM47" s="724"/>
      <c r="CN47" s="724"/>
      <c r="CO47" s="724"/>
      <c r="CP47" s="724"/>
      <c r="CQ47" s="724"/>
      <c r="CR47" s="724"/>
      <c r="CS47" s="724"/>
      <c r="CT47" s="724"/>
      <c r="CU47" s="724"/>
      <c r="CV47" s="724"/>
      <c r="CW47" s="724"/>
      <c r="CX47" s="724"/>
      <c r="CY47" s="724"/>
      <c r="CZ47" s="724"/>
      <c r="DA47" s="724"/>
      <c r="DB47" s="724"/>
      <c r="DC47" s="724"/>
      <c r="DD47" s="724"/>
      <c r="DE47" s="724"/>
      <c r="DF47" s="724"/>
      <c r="DG47" s="724"/>
      <c r="DH47" s="724"/>
      <c r="DI47" s="724"/>
      <c r="DJ47" s="724"/>
      <c r="DK47" s="724"/>
      <c r="DL47" s="724"/>
      <c r="DM47" s="724"/>
      <c r="DN47" s="724"/>
      <c r="DO47" s="724"/>
      <c r="DP47" s="724"/>
      <c r="DQ47" s="724"/>
      <c r="DR47" s="724"/>
      <c r="DS47" s="724"/>
      <c r="DT47" s="724"/>
      <c r="DU47" s="724"/>
      <c r="DV47" s="724"/>
      <c r="DW47" s="724"/>
      <c r="DX47" s="724"/>
      <c r="DY47" s="724"/>
      <c r="DZ47" s="724"/>
      <c r="EA47" s="724"/>
      <c r="EB47" s="724"/>
      <c r="EC47" s="724"/>
      <c r="ED47" s="724"/>
      <c r="EE47" s="724"/>
      <c r="EF47" s="724"/>
      <c r="EG47" s="724"/>
      <c r="EH47" s="724"/>
      <c r="EI47" s="724"/>
      <c r="EJ47" s="724"/>
      <c r="EK47" s="724"/>
      <c r="EL47" s="724"/>
      <c r="EM47" s="724"/>
      <c r="EN47" s="724"/>
      <c r="EO47" s="724"/>
      <c r="EP47" s="724"/>
      <c r="EQ47" s="724"/>
      <c r="ER47" s="724"/>
      <c r="ES47" s="724"/>
      <c r="ET47" s="724"/>
      <c r="EU47" s="724"/>
      <c r="EV47" s="724"/>
      <c r="EW47" s="724"/>
      <c r="EX47" s="724"/>
      <c r="EY47" s="724"/>
      <c r="EZ47" s="724"/>
      <c r="FA47" s="724"/>
      <c r="FB47" s="724"/>
      <c r="FC47" s="724"/>
      <c r="FD47" s="724"/>
      <c r="FE47" s="724"/>
      <c r="FF47" s="724"/>
      <c r="FG47" s="724"/>
      <c r="FH47" s="724"/>
      <c r="FI47" s="724"/>
      <c r="FJ47" s="724"/>
      <c r="FK47" s="724"/>
      <c r="FL47" s="724"/>
      <c r="FM47" s="724"/>
      <c r="FN47" s="724"/>
      <c r="FO47" s="724"/>
      <c r="FP47" s="724"/>
      <c r="FQ47" s="724"/>
      <c r="FR47" s="724"/>
      <c r="FS47" s="724"/>
      <c r="FT47" s="724"/>
      <c r="FU47" s="724"/>
      <c r="FV47" s="724"/>
      <c r="FW47" s="724"/>
      <c r="FX47" s="724"/>
      <c r="FY47" s="724"/>
      <c r="FZ47" s="724"/>
      <c r="GA47" s="724"/>
      <c r="GB47" s="724"/>
      <c r="GC47" s="724"/>
      <c r="GD47" s="724"/>
      <c r="GE47" s="724"/>
      <c r="GF47" s="724"/>
      <c r="GG47" s="724"/>
      <c r="GH47" s="724"/>
      <c r="GI47" s="724"/>
      <c r="GJ47" s="724"/>
      <c r="GK47" s="724"/>
      <c r="GL47" s="724"/>
      <c r="GM47" s="724"/>
      <c r="GN47" s="724"/>
      <c r="GO47" s="724"/>
      <c r="GP47" s="724"/>
      <c r="GQ47" s="724"/>
      <c r="GR47" s="724"/>
      <c r="GS47" s="724"/>
      <c r="GT47" s="724"/>
      <c r="GU47" s="724"/>
      <c r="GV47" s="724"/>
      <c r="GW47" s="724"/>
      <c r="GX47" s="724"/>
      <c r="GY47" s="724"/>
      <c r="GZ47" s="724"/>
      <c r="HA47" s="724"/>
      <c r="HB47" s="724"/>
      <c r="HC47" s="724"/>
      <c r="HD47" s="724"/>
      <c r="HE47" s="724"/>
      <c r="HF47" s="724"/>
      <c r="HG47" s="724"/>
      <c r="HH47" s="724"/>
      <c r="HI47" s="724"/>
      <c r="HJ47" s="724"/>
      <c r="HK47" s="724"/>
      <c r="HL47" s="724"/>
      <c r="HM47" s="724"/>
      <c r="HN47" s="724"/>
      <c r="HO47" s="724"/>
      <c r="HP47" s="724"/>
      <c r="HQ47" s="724"/>
      <c r="HR47" s="724"/>
      <c r="HS47" s="724"/>
      <c r="HT47" s="724"/>
      <c r="HU47" s="724"/>
      <c r="HV47" s="724"/>
      <c r="HW47" s="724"/>
      <c r="HX47" s="724"/>
      <c r="HY47" s="724"/>
      <c r="HZ47" s="724"/>
      <c r="IA47" s="724"/>
      <c r="IB47" s="724"/>
      <c r="IC47" s="724"/>
      <c r="ID47" s="724"/>
      <c r="IE47" s="724"/>
      <c r="IF47" s="724"/>
      <c r="IG47" s="724"/>
      <c r="IH47" s="724"/>
      <c r="II47" s="724"/>
      <c r="IJ47" s="724"/>
      <c r="IK47" s="724"/>
      <c r="IL47" s="724"/>
      <c r="IM47" s="724"/>
      <c r="IN47" s="724"/>
      <c r="IO47" s="724"/>
      <c r="IP47" s="724"/>
      <c r="IQ47" s="724"/>
      <c r="IR47" s="724"/>
      <c r="IS47" s="724"/>
      <c r="IT47" s="724"/>
      <c r="IU47" s="724"/>
      <c r="IV47" s="724"/>
    </row>
    <row r="48" spans="1:256" ht="20.25" customHeight="1">
      <c r="A48" s="677" t="s">
        <v>874</v>
      </c>
      <c r="B48" s="679" t="s">
        <v>873</v>
      </c>
      <c r="C48" s="677"/>
      <c r="D48" s="677"/>
      <c r="E48" s="678">
        <v>624000</v>
      </c>
      <c r="F48" s="678">
        <v>624000</v>
      </c>
      <c r="G48" s="678">
        <v>624000</v>
      </c>
      <c r="H48" s="720">
        <f>(E48*0.05)/12*6</f>
        <v>15600</v>
      </c>
      <c r="I48" s="721">
        <f t="shared" si="8"/>
        <v>639600</v>
      </c>
      <c r="J48" s="722">
        <f t="shared" si="9"/>
        <v>608400</v>
      </c>
      <c r="K48" s="723" t="s">
        <v>872</v>
      </c>
      <c r="L48" s="723"/>
      <c r="M48" s="723"/>
      <c r="N48" s="724"/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  <c r="AB48" s="724"/>
      <c r="AC48" s="724"/>
      <c r="AD48" s="724"/>
      <c r="AE48" s="724"/>
      <c r="AF48" s="724"/>
      <c r="AG48" s="724"/>
      <c r="AH48" s="724"/>
      <c r="AI48" s="724"/>
      <c r="AJ48" s="724"/>
      <c r="AK48" s="724"/>
      <c r="AL48" s="724"/>
      <c r="AM48" s="724"/>
      <c r="AN48" s="724"/>
      <c r="AO48" s="724"/>
      <c r="AP48" s="724"/>
      <c r="AQ48" s="724"/>
      <c r="AR48" s="724"/>
      <c r="AS48" s="724"/>
      <c r="AT48" s="724"/>
      <c r="AU48" s="724"/>
      <c r="AV48" s="724"/>
      <c r="AW48" s="724"/>
      <c r="AX48" s="724"/>
      <c r="AY48" s="724"/>
      <c r="AZ48" s="724"/>
      <c r="BA48" s="724"/>
      <c r="BB48" s="724"/>
      <c r="BC48" s="724"/>
      <c r="BD48" s="724"/>
      <c r="BE48" s="724"/>
      <c r="BF48" s="724"/>
      <c r="BG48" s="724"/>
      <c r="BH48" s="724"/>
      <c r="BI48" s="724"/>
      <c r="BJ48" s="724"/>
      <c r="BK48" s="724"/>
      <c r="BL48" s="724"/>
      <c r="BM48" s="724"/>
      <c r="BN48" s="724"/>
      <c r="BO48" s="724"/>
      <c r="BP48" s="724"/>
      <c r="BQ48" s="724"/>
      <c r="BR48" s="724"/>
      <c r="BS48" s="724"/>
      <c r="BT48" s="724"/>
      <c r="BU48" s="724"/>
      <c r="BV48" s="724"/>
      <c r="BW48" s="724"/>
      <c r="BX48" s="724"/>
      <c r="BY48" s="724"/>
      <c r="BZ48" s="724"/>
      <c r="CA48" s="724"/>
      <c r="CB48" s="724"/>
      <c r="CC48" s="724"/>
      <c r="CD48" s="724"/>
      <c r="CE48" s="724"/>
      <c r="CF48" s="724"/>
      <c r="CG48" s="724"/>
      <c r="CH48" s="724"/>
      <c r="CI48" s="724"/>
      <c r="CJ48" s="724"/>
      <c r="CK48" s="724"/>
      <c r="CL48" s="724"/>
      <c r="CM48" s="724"/>
      <c r="CN48" s="724"/>
      <c r="CO48" s="724"/>
      <c r="CP48" s="724"/>
      <c r="CQ48" s="724"/>
      <c r="CR48" s="724"/>
      <c r="CS48" s="724"/>
      <c r="CT48" s="724"/>
      <c r="CU48" s="724"/>
      <c r="CV48" s="724"/>
      <c r="CW48" s="724"/>
      <c r="CX48" s="724"/>
      <c r="CY48" s="724"/>
      <c r="CZ48" s="724"/>
      <c r="DA48" s="724"/>
      <c r="DB48" s="724"/>
      <c r="DC48" s="724"/>
      <c r="DD48" s="724"/>
      <c r="DE48" s="724"/>
      <c r="DF48" s="724"/>
      <c r="DG48" s="724"/>
      <c r="DH48" s="724"/>
      <c r="DI48" s="724"/>
      <c r="DJ48" s="724"/>
      <c r="DK48" s="724"/>
      <c r="DL48" s="724"/>
      <c r="DM48" s="724"/>
      <c r="DN48" s="724"/>
      <c r="DO48" s="724"/>
      <c r="DP48" s="724"/>
      <c r="DQ48" s="724"/>
      <c r="DR48" s="724"/>
      <c r="DS48" s="724"/>
      <c r="DT48" s="724"/>
      <c r="DU48" s="724"/>
      <c r="DV48" s="724"/>
      <c r="DW48" s="724"/>
      <c r="DX48" s="724"/>
      <c r="DY48" s="724"/>
      <c r="DZ48" s="724"/>
      <c r="EA48" s="724"/>
      <c r="EB48" s="724"/>
      <c r="EC48" s="724"/>
      <c r="ED48" s="724"/>
      <c r="EE48" s="724"/>
      <c r="EF48" s="724"/>
      <c r="EG48" s="724"/>
      <c r="EH48" s="724"/>
      <c r="EI48" s="724"/>
      <c r="EJ48" s="724"/>
      <c r="EK48" s="724"/>
      <c r="EL48" s="724"/>
      <c r="EM48" s="724"/>
      <c r="EN48" s="724"/>
      <c r="EO48" s="724"/>
      <c r="EP48" s="724"/>
      <c r="EQ48" s="724"/>
      <c r="ER48" s="724"/>
      <c r="ES48" s="724"/>
      <c r="ET48" s="724"/>
      <c r="EU48" s="724"/>
      <c r="EV48" s="724"/>
      <c r="EW48" s="724"/>
      <c r="EX48" s="724"/>
      <c r="EY48" s="724"/>
      <c r="EZ48" s="724"/>
      <c r="FA48" s="724"/>
      <c r="FB48" s="724"/>
      <c r="FC48" s="724"/>
      <c r="FD48" s="724"/>
      <c r="FE48" s="724"/>
      <c r="FF48" s="724"/>
      <c r="FG48" s="724"/>
      <c r="FH48" s="724"/>
      <c r="FI48" s="724"/>
      <c r="FJ48" s="724"/>
      <c r="FK48" s="724"/>
      <c r="FL48" s="724"/>
      <c r="FM48" s="724"/>
      <c r="FN48" s="724"/>
      <c r="FO48" s="724"/>
      <c r="FP48" s="724"/>
      <c r="FQ48" s="724"/>
      <c r="FR48" s="724"/>
      <c r="FS48" s="724"/>
      <c r="FT48" s="724"/>
      <c r="FU48" s="724"/>
      <c r="FV48" s="724"/>
      <c r="FW48" s="724"/>
      <c r="FX48" s="724"/>
      <c r="FY48" s="724"/>
      <c r="FZ48" s="724"/>
      <c r="GA48" s="724"/>
      <c r="GB48" s="724"/>
      <c r="GC48" s="724"/>
      <c r="GD48" s="724"/>
      <c r="GE48" s="724"/>
      <c r="GF48" s="724"/>
      <c r="GG48" s="724"/>
      <c r="GH48" s="724"/>
      <c r="GI48" s="724"/>
      <c r="GJ48" s="724"/>
      <c r="GK48" s="724"/>
      <c r="GL48" s="724"/>
      <c r="GM48" s="724"/>
      <c r="GN48" s="724"/>
      <c r="GO48" s="724"/>
      <c r="GP48" s="724"/>
      <c r="GQ48" s="724"/>
      <c r="GR48" s="724"/>
      <c r="GS48" s="724"/>
      <c r="GT48" s="724"/>
      <c r="GU48" s="724"/>
      <c r="GV48" s="724"/>
      <c r="GW48" s="724"/>
      <c r="GX48" s="724"/>
      <c r="GY48" s="724"/>
      <c r="GZ48" s="724"/>
      <c r="HA48" s="724"/>
      <c r="HB48" s="724"/>
      <c r="HC48" s="724"/>
      <c r="HD48" s="724"/>
      <c r="HE48" s="724"/>
      <c r="HF48" s="724"/>
      <c r="HG48" s="724"/>
      <c r="HH48" s="724"/>
      <c r="HI48" s="724"/>
      <c r="HJ48" s="724"/>
      <c r="HK48" s="724"/>
      <c r="HL48" s="724"/>
      <c r="HM48" s="724"/>
      <c r="HN48" s="724"/>
      <c r="HO48" s="724"/>
      <c r="HP48" s="724"/>
      <c r="HQ48" s="724"/>
      <c r="HR48" s="724"/>
      <c r="HS48" s="724"/>
      <c r="HT48" s="724"/>
      <c r="HU48" s="724"/>
      <c r="HV48" s="724"/>
      <c r="HW48" s="724"/>
      <c r="HX48" s="724"/>
      <c r="HY48" s="724"/>
      <c r="HZ48" s="724"/>
      <c r="IA48" s="724"/>
      <c r="IB48" s="724"/>
      <c r="IC48" s="724"/>
      <c r="ID48" s="724"/>
      <c r="IE48" s="724"/>
      <c r="IF48" s="724"/>
      <c r="IG48" s="724"/>
      <c r="IH48" s="724"/>
      <c r="II48" s="724"/>
      <c r="IJ48" s="724"/>
      <c r="IK48" s="724"/>
      <c r="IL48" s="724"/>
      <c r="IM48" s="724"/>
      <c r="IN48" s="724"/>
      <c r="IO48" s="724"/>
      <c r="IP48" s="724"/>
      <c r="IQ48" s="724"/>
      <c r="IR48" s="724"/>
      <c r="IS48" s="724"/>
      <c r="IT48" s="724"/>
      <c r="IU48" s="724"/>
      <c r="IV48" s="724"/>
    </row>
    <row r="49" spans="1:256" ht="20.25" customHeight="1">
      <c r="A49" s="677" t="s">
        <v>876</v>
      </c>
      <c r="B49" s="679" t="s">
        <v>875</v>
      </c>
      <c r="C49" s="677"/>
      <c r="D49" s="677"/>
      <c r="E49" s="678">
        <v>720000</v>
      </c>
      <c r="F49" s="678">
        <v>720000</v>
      </c>
      <c r="G49" s="678">
        <v>720000</v>
      </c>
      <c r="H49" s="720">
        <f>(E49*0.05)/126</f>
        <v>285.71428571428572</v>
      </c>
      <c r="I49" s="721">
        <f t="shared" si="8"/>
        <v>720285.71428571432</v>
      </c>
      <c r="J49" s="722">
        <f t="shared" si="9"/>
        <v>719714.28571428568</v>
      </c>
      <c r="K49" s="723" t="s">
        <v>877</v>
      </c>
      <c r="L49" s="723"/>
      <c r="M49" s="723"/>
      <c r="N49" s="724"/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4"/>
      <c r="AB49" s="724"/>
      <c r="AC49" s="724"/>
      <c r="AD49" s="724"/>
      <c r="AE49" s="724"/>
      <c r="AF49" s="724"/>
      <c r="AG49" s="724"/>
      <c r="AH49" s="724"/>
      <c r="AI49" s="724"/>
      <c r="AJ49" s="724"/>
      <c r="AK49" s="724"/>
      <c r="AL49" s="724"/>
      <c r="AM49" s="724"/>
      <c r="AN49" s="724"/>
      <c r="AO49" s="724"/>
      <c r="AP49" s="724"/>
      <c r="AQ49" s="724"/>
      <c r="AR49" s="724"/>
      <c r="AS49" s="724"/>
      <c r="AT49" s="724"/>
      <c r="AU49" s="724"/>
      <c r="AV49" s="724"/>
      <c r="AW49" s="724"/>
      <c r="AX49" s="724"/>
      <c r="AY49" s="724"/>
      <c r="AZ49" s="724"/>
      <c r="BA49" s="724"/>
      <c r="BB49" s="724"/>
      <c r="BC49" s="724"/>
      <c r="BD49" s="724"/>
      <c r="BE49" s="724"/>
      <c r="BF49" s="724"/>
      <c r="BG49" s="724"/>
      <c r="BH49" s="724"/>
      <c r="BI49" s="724"/>
      <c r="BJ49" s="724"/>
      <c r="BK49" s="724"/>
      <c r="BL49" s="724"/>
      <c r="BM49" s="724"/>
      <c r="BN49" s="724"/>
      <c r="BO49" s="724"/>
      <c r="BP49" s="724"/>
      <c r="BQ49" s="724"/>
      <c r="BR49" s="724"/>
      <c r="BS49" s="724"/>
      <c r="BT49" s="724"/>
      <c r="BU49" s="724"/>
      <c r="BV49" s="724"/>
      <c r="BW49" s="724"/>
      <c r="BX49" s="724"/>
      <c r="BY49" s="724"/>
      <c r="BZ49" s="724"/>
      <c r="CA49" s="724"/>
      <c r="CB49" s="724"/>
      <c r="CC49" s="724"/>
      <c r="CD49" s="724"/>
      <c r="CE49" s="724"/>
      <c r="CF49" s="724"/>
      <c r="CG49" s="724"/>
      <c r="CH49" s="724"/>
      <c r="CI49" s="724"/>
      <c r="CJ49" s="724"/>
      <c r="CK49" s="724"/>
      <c r="CL49" s="724"/>
      <c r="CM49" s="724"/>
      <c r="CN49" s="724"/>
      <c r="CO49" s="724"/>
      <c r="CP49" s="724"/>
      <c r="CQ49" s="724"/>
      <c r="CR49" s="724"/>
      <c r="CS49" s="724"/>
      <c r="CT49" s="724"/>
      <c r="CU49" s="724"/>
      <c r="CV49" s="724"/>
      <c r="CW49" s="724"/>
      <c r="CX49" s="724"/>
      <c r="CY49" s="724"/>
      <c r="CZ49" s="724"/>
      <c r="DA49" s="724"/>
      <c r="DB49" s="724"/>
      <c r="DC49" s="724"/>
      <c r="DD49" s="724"/>
      <c r="DE49" s="724"/>
      <c r="DF49" s="724"/>
      <c r="DG49" s="724"/>
      <c r="DH49" s="724"/>
      <c r="DI49" s="724"/>
      <c r="DJ49" s="724"/>
      <c r="DK49" s="724"/>
      <c r="DL49" s="724"/>
      <c r="DM49" s="724"/>
      <c r="DN49" s="724"/>
      <c r="DO49" s="724"/>
      <c r="DP49" s="724"/>
      <c r="DQ49" s="724"/>
      <c r="DR49" s="724"/>
      <c r="DS49" s="724"/>
      <c r="DT49" s="724"/>
      <c r="DU49" s="724"/>
      <c r="DV49" s="724"/>
      <c r="DW49" s="724"/>
      <c r="DX49" s="724"/>
      <c r="DY49" s="724"/>
      <c r="DZ49" s="724"/>
      <c r="EA49" s="724"/>
      <c r="EB49" s="724"/>
      <c r="EC49" s="724"/>
      <c r="ED49" s="724"/>
      <c r="EE49" s="724"/>
      <c r="EF49" s="724"/>
      <c r="EG49" s="724"/>
      <c r="EH49" s="724"/>
      <c r="EI49" s="724"/>
      <c r="EJ49" s="724"/>
      <c r="EK49" s="724"/>
      <c r="EL49" s="724"/>
      <c r="EM49" s="724"/>
      <c r="EN49" s="724"/>
      <c r="EO49" s="724"/>
      <c r="EP49" s="724"/>
      <c r="EQ49" s="724"/>
      <c r="ER49" s="724"/>
      <c r="ES49" s="724"/>
      <c r="ET49" s="724"/>
      <c r="EU49" s="724"/>
      <c r="EV49" s="724"/>
      <c r="EW49" s="724"/>
      <c r="EX49" s="724"/>
      <c r="EY49" s="724"/>
      <c r="EZ49" s="724"/>
      <c r="FA49" s="724"/>
      <c r="FB49" s="724"/>
      <c r="FC49" s="724"/>
      <c r="FD49" s="724"/>
      <c r="FE49" s="724"/>
      <c r="FF49" s="724"/>
      <c r="FG49" s="724"/>
      <c r="FH49" s="724"/>
      <c r="FI49" s="724"/>
      <c r="FJ49" s="724"/>
      <c r="FK49" s="724"/>
      <c r="FL49" s="724"/>
      <c r="FM49" s="724"/>
      <c r="FN49" s="724"/>
      <c r="FO49" s="724"/>
      <c r="FP49" s="724"/>
      <c r="FQ49" s="724"/>
      <c r="FR49" s="724"/>
      <c r="FS49" s="724"/>
      <c r="FT49" s="724"/>
      <c r="FU49" s="724"/>
      <c r="FV49" s="724"/>
      <c r="FW49" s="724"/>
      <c r="FX49" s="724"/>
      <c r="FY49" s="724"/>
      <c r="FZ49" s="724"/>
      <c r="GA49" s="724"/>
      <c r="GB49" s="724"/>
      <c r="GC49" s="724"/>
      <c r="GD49" s="724"/>
      <c r="GE49" s="724"/>
      <c r="GF49" s="724"/>
      <c r="GG49" s="724"/>
      <c r="GH49" s="724"/>
      <c r="GI49" s="724"/>
      <c r="GJ49" s="724"/>
      <c r="GK49" s="724"/>
      <c r="GL49" s="724"/>
      <c r="GM49" s="724"/>
      <c r="GN49" s="724"/>
      <c r="GO49" s="724"/>
      <c r="GP49" s="724"/>
      <c r="GQ49" s="724"/>
      <c r="GR49" s="724"/>
      <c r="GS49" s="724"/>
      <c r="GT49" s="724"/>
      <c r="GU49" s="724"/>
      <c r="GV49" s="724"/>
      <c r="GW49" s="724"/>
      <c r="GX49" s="724"/>
      <c r="GY49" s="724"/>
      <c r="GZ49" s="724"/>
      <c r="HA49" s="724"/>
      <c r="HB49" s="724"/>
      <c r="HC49" s="724"/>
      <c r="HD49" s="724"/>
      <c r="HE49" s="724"/>
      <c r="HF49" s="724"/>
      <c r="HG49" s="724"/>
      <c r="HH49" s="724"/>
      <c r="HI49" s="724"/>
      <c r="HJ49" s="724"/>
      <c r="HK49" s="724"/>
      <c r="HL49" s="724"/>
      <c r="HM49" s="724"/>
      <c r="HN49" s="724"/>
      <c r="HO49" s="724"/>
      <c r="HP49" s="724"/>
      <c r="HQ49" s="724"/>
      <c r="HR49" s="724"/>
      <c r="HS49" s="724"/>
      <c r="HT49" s="724"/>
      <c r="HU49" s="724"/>
      <c r="HV49" s="724"/>
      <c r="HW49" s="724"/>
      <c r="HX49" s="724"/>
      <c r="HY49" s="724"/>
      <c r="HZ49" s="724"/>
      <c r="IA49" s="724"/>
      <c r="IB49" s="724"/>
      <c r="IC49" s="724"/>
      <c r="ID49" s="724"/>
      <c r="IE49" s="724"/>
      <c r="IF49" s="724"/>
      <c r="IG49" s="724"/>
      <c r="IH49" s="724"/>
      <c r="II49" s="724"/>
      <c r="IJ49" s="724"/>
      <c r="IK49" s="724"/>
      <c r="IL49" s="724"/>
      <c r="IM49" s="724"/>
      <c r="IN49" s="724"/>
      <c r="IO49" s="724"/>
      <c r="IP49" s="724"/>
      <c r="IQ49" s="724"/>
      <c r="IR49" s="724"/>
      <c r="IS49" s="724"/>
      <c r="IT49" s="724"/>
      <c r="IU49" s="724"/>
      <c r="IV49" s="724"/>
    </row>
    <row r="50" spans="1:256" ht="20.25" customHeight="1">
      <c r="A50" s="677" t="s">
        <v>879</v>
      </c>
      <c r="B50" s="679" t="s">
        <v>878</v>
      </c>
      <c r="C50" s="677"/>
      <c r="D50" s="677"/>
      <c r="E50" s="678">
        <f>45400+2896660</f>
        <v>2942060</v>
      </c>
      <c r="F50" s="678">
        <f>45400+2896660</f>
        <v>2942060</v>
      </c>
      <c r="G50" s="678">
        <f>45400+2896660</f>
        <v>2942060</v>
      </c>
      <c r="H50" s="720">
        <f>(E50*0.05)/12*4</f>
        <v>49034.333333333336</v>
      </c>
      <c r="I50" s="721">
        <f t="shared" si="8"/>
        <v>2991094.3333333335</v>
      </c>
      <c r="J50" s="722">
        <f t="shared" si="9"/>
        <v>2893025.6666666665</v>
      </c>
      <c r="K50" s="723" t="s">
        <v>872</v>
      </c>
      <c r="L50" s="723"/>
      <c r="M50" s="723"/>
      <c r="N50" s="724"/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4"/>
      <c r="AB50" s="724"/>
      <c r="AC50" s="724"/>
      <c r="AD50" s="724"/>
      <c r="AE50" s="724"/>
      <c r="AF50" s="724"/>
      <c r="AG50" s="724"/>
      <c r="AH50" s="724"/>
      <c r="AI50" s="724"/>
      <c r="AJ50" s="724"/>
      <c r="AK50" s="724"/>
      <c r="AL50" s="724"/>
      <c r="AM50" s="724"/>
      <c r="AN50" s="724"/>
      <c r="AO50" s="724"/>
      <c r="AP50" s="724"/>
      <c r="AQ50" s="724"/>
      <c r="AR50" s="724"/>
      <c r="AS50" s="724"/>
      <c r="AT50" s="724"/>
      <c r="AU50" s="724"/>
      <c r="AV50" s="724"/>
      <c r="AW50" s="724"/>
      <c r="AX50" s="724"/>
      <c r="AY50" s="724"/>
      <c r="AZ50" s="724"/>
      <c r="BA50" s="724"/>
      <c r="BB50" s="724"/>
      <c r="BC50" s="724"/>
      <c r="BD50" s="724"/>
      <c r="BE50" s="724"/>
      <c r="BF50" s="724"/>
      <c r="BG50" s="724"/>
      <c r="BH50" s="724"/>
      <c r="BI50" s="724"/>
      <c r="BJ50" s="724"/>
      <c r="BK50" s="724"/>
      <c r="BL50" s="724"/>
      <c r="BM50" s="724"/>
      <c r="BN50" s="724"/>
      <c r="BO50" s="724"/>
      <c r="BP50" s="724"/>
      <c r="BQ50" s="724"/>
      <c r="BR50" s="724"/>
      <c r="BS50" s="724"/>
      <c r="BT50" s="724"/>
      <c r="BU50" s="724"/>
      <c r="BV50" s="724"/>
      <c r="BW50" s="724"/>
      <c r="BX50" s="724"/>
      <c r="BY50" s="724"/>
      <c r="BZ50" s="724"/>
      <c r="CA50" s="724"/>
      <c r="CB50" s="724"/>
      <c r="CC50" s="724"/>
      <c r="CD50" s="724"/>
      <c r="CE50" s="724"/>
      <c r="CF50" s="724"/>
      <c r="CG50" s="724"/>
      <c r="CH50" s="724"/>
      <c r="CI50" s="724"/>
      <c r="CJ50" s="724"/>
      <c r="CK50" s="724"/>
      <c r="CL50" s="724"/>
      <c r="CM50" s="724"/>
      <c r="CN50" s="724"/>
      <c r="CO50" s="724"/>
      <c r="CP50" s="724"/>
      <c r="CQ50" s="724"/>
      <c r="CR50" s="724"/>
      <c r="CS50" s="724"/>
      <c r="CT50" s="724"/>
      <c r="CU50" s="724"/>
      <c r="CV50" s="724"/>
      <c r="CW50" s="724"/>
      <c r="CX50" s="724"/>
      <c r="CY50" s="724"/>
      <c r="CZ50" s="724"/>
      <c r="DA50" s="724"/>
      <c r="DB50" s="724"/>
      <c r="DC50" s="724"/>
      <c r="DD50" s="724"/>
      <c r="DE50" s="724"/>
      <c r="DF50" s="724"/>
      <c r="DG50" s="724"/>
      <c r="DH50" s="724"/>
      <c r="DI50" s="724"/>
      <c r="DJ50" s="724"/>
      <c r="DK50" s="724"/>
      <c r="DL50" s="724"/>
      <c r="DM50" s="724"/>
      <c r="DN50" s="724"/>
      <c r="DO50" s="724"/>
      <c r="DP50" s="724"/>
      <c r="DQ50" s="724"/>
      <c r="DR50" s="724"/>
      <c r="DS50" s="724"/>
      <c r="DT50" s="724"/>
      <c r="DU50" s="724"/>
      <c r="DV50" s="724"/>
      <c r="DW50" s="724"/>
      <c r="DX50" s="724"/>
      <c r="DY50" s="724"/>
      <c r="DZ50" s="724"/>
      <c r="EA50" s="724"/>
      <c r="EB50" s="724"/>
      <c r="EC50" s="724"/>
      <c r="ED50" s="724"/>
      <c r="EE50" s="724"/>
      <c r="EF50" s="724"/>
      <c r="EG50" s="724"/>
      <c r="EH50" s="724"/>
      <c r="EI50" s="724"/>
      <c r="EJ50" s="724"/>
      <c r="EK50" s="724"/>
      <c r="EL50" s="724"/>
      <c r="EM50" s="724"/>
      <c r="EN50" s="724"/>
      <c r="EO50" s="724"/>
      <c r="EP50" s="724"/>
      <c r="EQ50" s="724"/>
      <c r="ER50" s="724"/>
      <c r="ES50" s="724"/>
      <c r="ET50" s="724"/>
      <c r="EU50" s="724"/>
      <c r="EV50" s="724"/>
      <c r="EW50" s="724"/>
      <c r="EX50" s="724"/>
      <c r="EY50" s="724"/>
      <c r="EZ50" s="724"/>
      <c r="FA50" s="724"/>
      <c r="FB50" s="724"/>
      <c r="FC50" s="724"/>
      <c r="FD50" s="724"/>
      <c r="FE50" s="724"/>
      <c r="FF50" s="724"/>
      <c r="FG50" s="724"/>
      <c r="FH50" s="724"/>
      <c r="FI50" s="724"/>
      <c r="FJ50" s="724"/>
      <c r="FK50" s="724"/>
      <c r="FL50" s="724"/>
      <c r="FM50" s="724"/>
      <c r="FN50" s="724"/>
      <c r="FO50" s="724"/>
      <c r="FP50" s="724"/>
      <c r="FQ50" s="724"/>
      <c r="FR50" s="724"/>
      <c r="FS50" s="724"/>
      <c r="FT50" s="724"/>
      <c r="FU50" s="724"/>
      <c r="FV50" s="724"/>
      <c r="FW50" s="724"/>
      <c r="FX50" s="724"/>
      <c r="FY50" s="724"/>
      <c r="FZ50" s="724"/>
      <c r="GA50" s="724"/>
      <c r="GB50" s="724"/>
      <c r="GC50" s="724"/>
      <c r="GD50" s="724"/>
      <c r="GE50" s="724"/>
      <c r="GF50" s="724"/>
      <c r="GG50" s="724"/>
      <c r="GH50" s="724"/>
      <c r="GI50" s="724"/>
      <c r="GJ50" s="724"/>
      <c r="GK50" s="724"/>
      <c r="GL50" s="724"/>
      <c r="GM50" s="724"/>
      <c r="GN50" s="724"/>
      <c r="GO50" s="724"/>
      <c r="GP50" s="724"/>
      <c r="GQ50" s="724"/>
      <c r="GR50" s="724"/>
      <c r="GS50" s="724"/>
      <c r="GT50" s="724"/>
      <c r="GU50" s="724"/>
      <c r="GV50" s="724"/>
      <c r="GW50" s="724"/>
      <c r="GX50" s="724"/>
      <c r="GY50" s="724"/>
      <c r="GZ50" s="724"/>
      <c r="HA50" s="724"/>
      <c r="HB50" s="724"/>
      <c r="HC50" s="724"/>
      <c r="HD50" s="724"/>
      <c r="HE50" s="724"/>
      <c r="HF50" s="724"/>
      <c r="HG50" s="724"/>
      <c r="HH50" s="724"/>
      <c r="HI50" s="724"/>
      <c r="HJ50" s="724"/>
      <c r="HK50" s="724"/>
      <c r="HL50" s="724"/>
      <c r="HM50" s="724"/>
      <c r="HN50" s="724"/>
      <c r="HO50" s="724"/>
      <c r="HP50" s="724"/>
      <c r="HQ50" s="724"/>
      <c r="HR50" s="724"/>
      <c r="HS50" s="724"/>
      <c r="HT50" s="724"/>
      <c r="HU50" s="724"/>
      <c r="HV50" s="724"/>
      <c r="HW50" s="724"/>
      <c r="HX50" s="724"/>
      <c r="HY50" s="724"/>
      <c r="HZ50" s="724"/>
      <c r="IA50" s="724"/>
      <c r="IB50" s="724"/>
      <c r="IC50" s="724"/>
      <c r="ID50" s="724"/>
      <c r="IE50" s="724"/>
      <c r="IF50" s="724"/>
      <c r="IG50" s="724"/>
      <c r="IH50" s="724"/>
      <c r="II50" s="724"/>
      <c r="IJ50" s="724"/>
      <c r="IK50" s="724"/>
      <c r="IL50" s="724"/>
      <c r="IM50" s="724"/>
      <c r="IN50" s="724"/>
      <c r="IO50" s="724"/>
      <c r="IP50" s="724"/>
      <c r="IQ50" s="724"/>
      <c r="IR50" s="724"/>
      <c r="IS50" s="724"/>
      <c r="IT50" s="724"/>
      <c r="IU50" s="724"/>
      <c r="IV50" s="724"/>
    </row>
    <row r="51" spans="1:256" ht="20.25" customHeight="1">
      <c r="A51" s="677" t="s">
        <v>881</v>
      </c>
      <c r="B51" s="679" t="s">
        <v>880</v>
      </c>
      <c r="C51" s="677"/>
      <c r="D51" s="677"/>
      <c r="E51" s="678">
        <v>780003</v>
      </c>
      <c r="F51" s="678">
        <v>780003</v>
      </c>
      <c r="G51" s="678">
        <v>780003</v>
      </c>
      <c r="H51" s="720"/>
      <c r="I51" s="721">
        <f t="shared" si="8"/>
        <v>780003</v>
      </c>
      <c r="J51" s="722">
        <f t="shared" si="9"/>
        <v>780003</v>
      </c>
      <c r="K51" s="723" t="s">
        <v>877</v>
      </c>
      <c r="L51" s="723"/>
      <c r="M51" s="723"/>
      <c r="N51" s="724"/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4"/>
      <c r="AB51" s="724"/>
      <c r="AC51" s="724"/>
      <c r="AD51" s="724"/>
      <c r="AE51" s="724"/>
      <c r="AF51" s="724"/>
      <c r="AG51" s="724"/>
      <c r="AH51" s="724"/>
      <c r="AI51" s="724"/>
      <c r="AJ51" s="724"/>
      <c r="AK51" s="724"/>
      <c r="AL51" s="724"/>
      <c r="AM51" s="724"/>
      <c r="AN51" s="724"/>
      <c r="AO51" s="724"/>
      <c r="AP51" s="724"/>
      <c r="AQ51" s="724"/>
      <c r="AR51" s="724"/>
      <c r="AS51" s="724"/>
      <c r="AT51" s="724"/>
      <c r="AU51" s="724"/>
      <c r="AV51" s="724"/>
      <c r="AW51" s="724"/>
      <c r="AX51" s="724"/>
      <c r="AY51" s="724"/>
      <c r="AZ51" s="724"/>
      <c r="BA51" s="724"/>
      <c r="BB51" s="724"/>
      <c r="BC51" s="724"/>
      <c r="BD51" s="724"/>
      <c r="BE51" s="724"/>
      <c r="BF51" s="724"/>
      <c r="BG51" s="724"/>
      <c r="BH51" s="724"/>
      <c r="BI51" s="724"/>
      <c r="BJ51" s="724"/>
      <c r="BK51" s="724"/>
      <c r="BL51" s="724"/>
      <c r="BM51" s="724"/>
      <c r="BN51" s="724"/>
      <c r="BO51" s="724"/>
      <c r="BP51" s="724"/>
      <c r="BQ51" s="724"/>
      <c r="BR51" s="724"/>
      <c r="BS51" s="724"/>
      <c r="BT51" s="724"/>
      <c r="BU51" s="724"/>
      <c r="BV51" s="724"/>
      <c r="BW51" s="724"/>
      <c r="BX51" s="724"/>
      <c r="BY51" s="724"/>
      <c r="BZ51" s="724"/>
      <c r="CA51" s="724"/>
      <c r="CB51" s="724"/>
      <c r="CC51" s="724"/>
      <c r="CD51" s="724"/>
      <c r="CE51" s="724"/>
      <c r="CF51" s="724"/>
      <c r="CG51" s="724"/>
      <c r="CH51" s="724"/>
      <c r="CI51" s="724"/>
      <c r="CJ51" s="724"/>
      <c r="CK51" s="724"/>
      <c r="CL51" s="724"/>
      <c r="CM51" s="724"/>
      <c r="CN51" s="724"/>
      <c r="CO51" s="724"/>
      <c r="CP51" s="724"/>
      <c r="CQ51" s="724"/>
      <c r="CR51" s="724"/>
      <c r="CS51" s="724"/>
      <c r="CT51" s="724"/>
      <c r="CU51" s="724"/>
      <c r="CV51" s="724"/>
      <c r="CW51" s="724"/>
      <c r="CX51" s="724"/>
      <c r="CY51" s="724"/>
      <c r="CZ51" s="724"/>
      <c r="DA51" s="724"/>
      <c r="DB51" s="724"/>
      <c r="DC51" s="724"/>
      <c r="DD51" s="724"/>
      <c r="DE51" s="724"/>
      <c r="DF51" s="724"/>
      <c r="DG51" s="724"/>
      <c r="DH51" s="724"/>
      <c r="DI51" s="724"/>
      <c r="DJ51" s="724"/>
      <c r="DK51" s="724"/>
      <c r="DL51" s="724"/>
      <c r="DM51" s="724"/>
      <c r="DN51" s="724"/>
      <c r="DO51" s="724"/>
      <c r="DP51" s="724"/>
      <c r="DQ51" s="724"/>
      <c r="DR51" s="724"/>
      <c r="DS51" s="724"/>
      <c r="DT51" s="724"/>
      <c r="DU51" s="724"/>
      <c r="DV51" s="724"/>
      <c r="DW51" s="724"/>
      <c r="DX51" s="724"/>
      <c r="DY51" s="724"/>
      <c r="DZ51" s="724"/>
      <c r="EA51" s="724"/>
      <c r="EB51" s="724"/>
      <c r="EC51" s="724"/>
      <c r="ED51" s="724"/>
      <c r="EE51" s="724"/>
      <c r="EF51" s="724"/>
      <c r="EG51" s="724"/>
      <c r="EH51" s="724"/>
      <c r="EI51" s="724"/>
      <c r="EJ51" s="724"/>
      <c r="EK51" s="724"/>
      <c r="EL51" s="724"/>
      <c r="EM51" s="724"/>
      <c r="EN51" s="724"/>
      <c r="EO51" s="724"/>
      <c r="EP51" s="724"/>
      <c r="EQ51" s="724"/>
      <c r="ER51" s="724"/>
      <c r="ES51" s="724"/>
      <c r="ET51" s="724"/>
      <c r="EU51" s="724"/>
      <c r="EV51" s="724"/>
      <c r="EW51" s="724"/>
      <c r="EX51" s="724"/>
      <c r="EY51" s="724"/>
      <c r="EZ51" s="724"/>
      <c r="FA51" s="724"/>
      <c r="FB51" s="724"/>
      <c r="FC51" s="724"/>
      <c r="FD51" s="724"/>
      <c r="FE51" s="724"/>
      <c r="FF51" s="724"/>
      <c r="FG51" s="724"/>
      <c r="FH51" s="724"/>
      <c r="FI51" s="724"/>
      <c r="FJ51" s="724"/>
      <c r="FK51" s="724"/>
      <c r="FL51" s="724"/>
      <c r="FM51" s="724"/>
      <c r="FN51" s="724"/>
      <c r="FO51" s="724"/>
      <c r="FP51" s="724"/>
      <c r="FQ51" s="724"/>
      <c r="FR51" s="724"/>
      <c r="FS51" s="724"/>
      <c r="FT51" s="724"/>
      <c r="FU51" s="724"/>
      <c r="FV51" s="724"/>
      <c r="FW51" s="724"/>
      <c r="FX51" s="724"/>
      <c r="FY51" s="724"/>
      <c r="FZ51" s="724"/>
      <c r="GA51" s="724"/>
      <c r="GB51" s="724"/>
      <c r="GC51" s="724"/>
      <c r="GD51" s="724"/>
      <c r="GE51" s="724"/>
      <c r="GF51" s="724"/>
      <c r="GG51" s="724"/>
      <c r="GH51" s="724"/>
      <c r="GI51" s="724"/>
      <c r="GJ51" s="724"/>
      <c r="GK51" s="724"/>
      <c r="GL51" s="724"/>
      <c r="GM51" s="724"/>
      <c r="GN51" s="724"/>
      <c r="GO51" s="724"/>
      <c r="GP51" s="724"/>
      <c r="GQ51" s="724"/>
      <c r="GR51" s="724"/>
      <c r="GS51" s="724"/>
      <c r="GT51" s="724"/>
      <c r="GU51" s="724"/>
      <c r="GV51" s="724"/>
      <c r="GW51" s="724"/>
      <c r="GX51" s="724"/>
      <c r="GY51" s="724"/>
      <c r="GZ51" s="724"/>
      <c r="HA51" s="724"/>
      <c r="HB51" s="724"/>
      <c r="HC51" s="724"/>
      <c r="HD51" s="724"/>
      <c r="HE51" s="724"/>
      <c r="HF51" s="724"/>
      <c r="HG51" s="724"/>
      <c r="HH51" s="724"/>
      <c r="HI51" s="724"/>
      <c r="HJ51" s="724"/>
      <c r="HK51" s="724"/>
      <c r="HL51" s="724"/>
      <c r="HM51" s="724"/>
      <c r="HN51" s="724"/>
      <c r="HO51" s="724"/>
      <c r="HP51" s="724"/>
      <c r="HQ51" s="724"/>
      <c r="HR51" s="724"/>
      <c r="HS51" s="724"/>
      <c r="HT51" s="724"/>
      <c r="HU51" s="724"/>
      <c r="HV51" s="724"/>
      <c r="HW51" s="724"/>
      <c r="HX51" s="724"/>
      <c r="HY51" s="724"/>
      <c r="HZ51" s="724"/>
      <c r="IA51" s="724"/>
      <c r="IB51" s="724"/>
      <c r="IC51" s="724"/>
      <c r="ID51" s="724"/>
      <c r="IE51" s="724"/>
      <c r="IF51" s="724"/>
      <c r="IG51" s="724"/>
      <c r="IH51" s="724"/>
      <c r="II51" s="724"/>
      <c r="IJ51" s="724"/>
      <c r="IK51" s="724"/>
      <c r="IL51" s="724"/>
      <c r="IM51" s="724"/>
      <c r="IN51" s="724"/>
      <c r="IO51" s="724"/>
      <c r="IP51" s="724"/>
      <c r="IQ51" s="724"/>
      <c r="IR51" s="724"/>
      <c r="IS51" s="724"/>
      <c r="IT51" s="724"/>
      <c r="IU51" s="724"/>
      <c r="IV51" s="724"/>
    </row>
    <row r="52" spans="1:256" ht="20.25" customHeight="1">
      <c r="A52" s="677" t="s">
        <v>883</v>
      </c>
      <c r="B52" s="679" t="s">
        <v>882</v>
      </c>
      <c r="C52" s="677"/>
      <c r="D52" s="677" t="s">
        <v>884</v>
      </c>
      <c r="E52" s="678">
        <f>4*58333.33</f>
        <v>233333.32</v>
      </c>
      <c r="F52" s="678">
        <f>4*58333.33</f>
        <v>233333.32</v>
      </c>
      <c r="G52" s="678">
        <f>4*58333.33</f>
        <v>233333.32</v>
      </c>
      <c r="H52" s="720">
        <f>(E52*0.05)/12*3</f>
        <v>2916.6665000000003</v>
      </c>
      <c r="I52" s="721">
        <f t="shared" si="8"/>
        <v>236249.9865</v>
      </c>
      <c r="J52" s="722">
        <f t="shared" si="9"/>
        <v>230416.65350000001</v>
      </c>
      <c r="K52" s="723" t="s">
        <v>872</v>
      </c>
      <c r="L52" s="723"/>
      <c r="M52" s="723"/>
      <c r="N52" s="724"/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4"/>
      <c r="AB52" s="724"/>
      <c r="AC52" s="724"/>
      <c r="AD52" s="724"/>
      <c r="AE52" s="724"/>
      <c r="AF52" s="724"/>
      <c r="AG52" s="724"/>
      <c r="AH52" s="724"/>
      <c r="AI52" s="724"/>
      <c r="AJ52" s="724"/>
      <c r="AK52" s="724"/>
      <c r="AL52" s="724"/>
      <c r="AM52" s="724"/>
      <c r="AN52" s="724"/>
      <c r="AO52" s="724"/>
      <c r="AP52" s="724"/>
      <c r="AQ52" s="724"/>
      <c r="AR52" s="724"/>
      <c r="AS52" s="724"/>
      <c r="AT52" s="724"/>
      <c r="AU52" s="724"/>
      <c r="AV52" s="724"/>
      <c r="AW52" s="724"/>
      <c r="AX52" s="724"/>
      <c r="AY52" s="724"/>
      <c r="AZ52" s="724"/>
      <c r="BA52" s="724"/>
      <c r="BB52" s="724"/>
      <c r="BC52" s="724"/>
      <c r="BD52" s="724"/>
      <c r="BE52" s="724"/>
      <c r="BF52" s="724"/>
      <c r="BG52" s="724"/>
      <c r="BH52" s="724"/>
      <c r="BI52" s="724"/>
      <c r="BJ52" s="724"/>
      <c r="BK52" s="724"/>
      <c r="BL52" s="724"/>
      <c r="BM52" s="724"/>
      <c r="BN52" s="724"/>
      <c r="BO52" s="724"/>
      <c r="BP52" s="724"/>
      <c r="BQ52" s="724"/>
      <c r="BR52" s="724"/>
      <c r="BS52" s="724"/>
      <c r="BT52" s="724"/>
      <c r="BU52" s="724"/>
      <c r="BV52" s="724"/>
      <c r="BW52" s="724"/>
      <c r="BX52" s="724"/>
      <c r="BY52" s="724"/>
      <c r="BZ52" s="724"/>
      <c r="CA52" s="724"/>
      <c r="CB52" s="724"/>
      <c r="CC52" s="724"/>
      <c r="CD52" s="724"/>
      <c r="CE52" s="724"/>
      <c r="CF52" s="724"/>
      <c r="CG52" s="724"/>
      <c r="CH52" s="724"/>
      <c r="CI52" s="724"/>
      <c r="CJ52" s="724"/>
      <c r="CK52" s="724"/>
      <c r="CL52" s="724"/>
      <c r="CM52" s="724"/>
      <c r="CN52" s="724"/>
      <c r="CO52" s="724"/>
      <c r="CP52" s="724"/>
      <c r="CQ52" s="724"/>
      <c r="CR52" s="724"/>
      <c r="CS52" s="724"/>
      <c r="CT52" s="724"/>
      <c r="CU52" s="724"/>
      <c r="CV52" s="724"/>
      <c r="CW52" s="724"/>
      <c r="CX52" s="724"/>
      <c r="CY52" s="724"/>
      <c r="CZ52" s="724"/>
      <c r="DA52" s="724"/>
      <c r="DB52" s="724"/>
      <c r="DC52" s="724"/>
      <c r="DD52" s="724"/>
      <c r="DE52" s="724"/>
      <c r="DF52" s="724"/>
      <c r="DG52" s="724"/>
      <c r="DH52" s="724"/>
      <c r="DI52" s="724"/>
      <c r="DJ52" s="724"/>
      <c r="DK52" s="724"/>
      <c r="DL52" s="724"/>
      <c r="DM52" s="724"/>
      <c r="DN52" s="724"/>
      <c r="DO52" s="724"/>
      <c r="DP52" s="724"/>
      <c r="DQ52" s="724"/>
      <c r="DR52" s="724"/>
      <c r="DS52" s="724"/>
      <c r="DT52" s="724"/>
      <c r="DU52" s="724"/>
      <c r="DV52" s="724"/>
      <c r="DW52" s="724"/>
      <c r="DX52" s="724"/>
      <c r="DY52" s="724"/>
      <c r="DZ52" s="724"/>
      <c r="EA52" s="724"/>
      <c r="EB52" s="724"/>
      <c r="EC52" s="724"/>
      <c r="ED52" s="724"/>
      <c r="EE52" s="724"/>
      <c r="EF52" s="724"/>
      <c r="EG52" s="724"/>
      <c r="EH52" s="724"/>
      <c r="EI52" s="724"/>
      <c r="EJ52" s="724"/>
      <c r="EK52" s="724"/>
      <c r="EL52" s="724"/>
      <c r="EM52" s="724"/>
      <c r="EN52" s="724"/>
      <c r="EO52" s="724"/>
      <c r="EP52" s="724"/>
      <c r="EQ52" s="724"/>
      <c r="ER52" s="724"/>
      <c r="ES52" s="724"/>
      <c r="ET52" s="724"/>
      <c r="EU52" s="724"/>
      <c r="EV52" s="724"/>
      <c r="EW52" s="724"/>
      <c r="EX52" s="724"/>
      <c r="EY52" s="724"/>
      <c r="EZ52" s="724"/>
      <c r="FA52" s="724"/>
      <c r="FB52" s="724"/>
      <c r="FC52" s="724"/>
      <c r="FD52" s="724"/>
      <c r="FE52" s="724"/>
      <c r="FF52" s="724"/>
      <c r="FG52" s="724"/>
      <c r="FH52" s="724"/>
      <c r="FI52" s="724"/>
      <c r="FJ52" s="724"/>
      <c r="FK52" s="724"/>
      <c r="FL52" s="724"/>
      <c r="FM52" s="724"/>
      <c r="FN52" s="724"/>
      <c r="FO52" s="724"/>
      <c r="FP52" s="724"/>
      <c r="FQ52" s="724"/>
      <c r="FR52" s="724"/>
      <c r="FS52" s="724"/>
      <c r="FT52" s="724"/>
      <c r="FU52" s="724"/>
      <c r="FV52" s="724"/>
      <c r="FW52" s="724"/>
      <c r="FX52" s="724"/>
      <c r="FY52" s="724"/>
      <c r="FZ52" s="724"/>
      <c r="GA52" s="724"/>
      <c r="GB52" s="724"/>
      <c r="GC52" s="724"/>
      <c r="GD52" s="724"/>
      <c r="GE52" s="724"/>
      <c r="GF52" s="724"/>
      <c r="GG52" s="724"/>
      <c r="GH52" s="724"/>
      <c r="GI52" s="724"/>
      <c r="GJ52" s="724"/>
      <c r="GK52" s="724"/>
      <c r="GL52" s="724"/>
      <c r="GM52" s="724"/>
      <c r="GN52" s="724"/>
      <c r="GO52" s="724"/>
      <c r="GP52" s="724"/>
      <c r="GQ52" s="724"/>
      <c r="GR52" s="724"/>
      <c r="GS52" s="724"/>
      <c r="GT52" s="724"/>
      <c r="GU52" s="724"/>
      <c r="GV52" s="724"/>
      <c r="GW52" s="724"/>
      <c r="GX52" s="724"/>
      <c r="GY52" s="724"/>
      <c r="GZ52" s="724"/>
      <c r="HA52" s="724"/>
      <c r="HB52" s="724"/>
      <c r="HC52" s="724"/>
      <c r="HD52" s="724"/>
      <c r="HE52" s="724"/>
      <c r="HF52" s="724"/>
      <c r="HG52" s="724"/>
      <c r="HH52" s="724"/>
      <c r="HI52" s="724"/>
      <c r="HJ52" s="724"/>
      <c r="HK52" s="724"/>
      <c r="HL52" s="724"/>
      <c r="HM52" s="724"/>
      <c r="HN52" s="724"/>
      <c r="HO52" s="724"/>
      <c r="HP52" s="724"/>
      <c r="HQ52" s="724"/>
      <c r="HR52" s="724"/>
      <c r="HS52" s="724"/>
      <c r="HT52" s="724"/>
      <c r="HU52" s="724"/>
      <c r="HV52" s="724"/>
      <c r="HW52" s="724"/>
      <c r="HX52" s="724"/>
      <c r="HY52" s="724"/>
      <c r="HZ52" s="724"/>
      <c r="IA52" s="724"/>
      <c r="IB52" s="724"/>
      <c r="IC52" s="724"/>
      <c r="ID52" s="724"/>
      <c r="IE52" s="724"/>
      <c r="IF52" s="724"/>
      <c r="IG52" s="724"/>
      <c r="IH52" s="724"/>
      <c r="II52" s="724"/>
      <c r="IJ52" s="724"/>
      <c r="IK52" s="724"/>
      <c r="IL52" s="724"/>
      <c r="IM52" s="724"/>
      <c r="IN52" s="724"/>
      <c r="IO52" s="724"/>
      <c r="IP52" s="724"/>
      <c r="IQ52" s="724"/>
      <c r="IR52" s="724"/>
      <c r="IS52" s="724"/>
      <c r="IT52" s="724"/>
      <c r="IU52" s="724"/>
      <c r="IV52" s="724"/>
    </row>
    <row r="53" spans="1:256" ht="20.25" customHeight="1">
      <c r="A53" s="723" t="s">
        <v>899</v>
      </c>
      <c r="B53" s="745" t="s">
        <v>900</v>
      </c>
      <c r="C53" s="723"/>
      <c r="D53" s="723"/>
      <c r="E53" s="746"/>
      <c r="F53" s="746"/>
      <c r="G53" s="746">
        <v>15500</v>
      </c>
      <c r="H53" s="747"/>
      <c r="I53" s="748"/>
      <c r="J53" s="747"/>
      <c r="K53" s="723"/>
      <c r="L53" s="723"/>
      <c r="M53" s="723"/>
      <c r="N53" s="724"/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4"/>
      <c r="AB53" s="724"/>
      <c r="AC53" s="724"/>
      <c r="AD53" s="724"/>
      <c r="AE53" s="724"/>
      <c r="AF53" s="724"/>
      <c r="AG53" s="724"/>
      <c r="AH53" s="724"/>
      <c r="AI53" s="724"/>
      <c r="AJ53" s="724"/>
      <c r="AK53" s="724"/>
      <c r="AL53" s="724"/>
      <c r="AM53" s="724"/>
      <c r="AN53" s="724"/>
      <c r="AO53" s="724"/>
      <c r="AP53" s="724"/>
      <c r="AQ53" s="724"/>
      <c r="AR53" s="724"/>
      <c r="AS53" s="724"/>
      <c r="AT53" s="724"/>
      <c r="AU53" s="724"/>
      <c r="AV53" s="724"/>
      <c r="AW53" s="724"/>
      <c r="AX53" s="724"/>
      <c r="AY53" s="724"/>
      <c r="AZ53" s="724"/>
      <c r="BA53" s="724"/>
      <c r="BB53" s="724"/>
      <c r="BC53" s="724"/>
      <c r="BD53" s="724"/>
      <c r="BE53" s="724"/>
      <c r="BF53" s="724"/>
      <c r="BG53" s="724"/>
      <c r="BH53" s="724"/>
      <c r="BI53" s="724"/>
      <c r="BJ53" s="724"/>
      <c r="BK53" s="724"/>
      <c r="BL53" s="724"/>
      <c r="BM53" s="724"/>
      <c r="BN53" s="724"/>
      <c r="BO53" s="724"/>
      <c r="BP53" s="724"/>
      <c r="BQ53" s="724"/>
      <c r="BR53" s="724"/>
      <c r="BS53" s="724"/>
      <c r="BT53" s="724"/>
      <c r="BU53" s="724"/>
      <c r="BV53" s="724"/>
      <c r="BW53" s="724"/>
      <c r="BX53" s="724"/>
      <c r="BY53" s="724"/>
      <c r="BZ53" s="724"/>
      <c r="CA53" s="724"/>
      <c r="CB53" s="724"/>
      <c r="CC53" s="724"/>
      <c r="CD53" s="724"/>
      <c r="CE53" s="724"/>
      <c r="CF53" s="724"/>
      <c r="CG53" s="724"/>
      <c r="CH53" s="724"/>
      <c r="CI53" s="724"/>
      <c r="CJ53" s="724"/>
      <c r="CK53" s="724"/>
      <c r="CL53" s="724"/>
      <c r="CM53" s="724"/>
      <c r="CN53" s="724"/>
      <c r="CO53" s="724"/>
      <c r="CP53" s="724"/>
      <c r="CQ53" s="724"/>
      <c r="CR53" s="724"/>
      <c r="CS53" s="724"/>
      <c r="CT53" s="724"/>
      <c r="CU53" s="724"/>
      <c r="CV53" s="724"/>
      <c r="CW53" s="724"/>
      <c r="CX53" s="724"/>
      <c r="CY53" s="724"/>
      <c r="CZ53" s="724"/>
      <c r="DA53" s="724"/>
      <c r="DB53" s="724"/>
      <c r="DC53" s="724"/>
      <c r="DD53" s="724"/>
      <c r="DE53" s="724"/>
      <c r="DF53" s="724"/>
      <c r="DG53" s="724"/>
      <c r="DH53" s="724"/>
      <c r="DI53" s="724"/>
      <c r="DJ53" s="724"/>
      <c r="DK53" s="724"/>
      <c r="DL53" s="724"/>
      <c r="DM53" s="724"/>
      <c r="DN53" s="724"/>
      <c r="DO53" s="724"/>
      <c r="DP53" s="724"/>
      <c r="DQ53" s="724"/>
      <c r="DR53" s="724"/>
      <c r="DS53" s="724"/>
      <c r="DT53" s="724"/>
      <c r="DU53" s="724"/>
      <c r="DV53" s="724"/>
      <c r="DW53" s="724"/>
      <c r="DX53" s="724"/>
      <c r="DY53" s="724"/>
      <c r="DZ53" s="724"/>
      <c r="EA53" s="724"/>
      <c r="EB53" s="724"/>
      <c r="EC53" s="724"/>
      <c r="ED53" s="724"/>
      <c r="EE53" s="724"/>
      <c r="EF53" s="724"/>
      <c r="EG53" s="724"/>
      <c r="EH53" s="724"/>
      <c r="EI53" s="724"/>
      <c r="EJ53" s="724"/>
      <c r="EK53" s="724"/>
      <c r="EL53" s="724"/>
      <c r="EM53" s="724"/>
      <c r="EN53" s="724"/>
      <c r="EO53" s="724"/>
      <c r="EP53" s="724"/>
      <c r="EQ53" s="724"/>
      <c r="ER53" s="724"/>
      <c r="ES53" s="724"/>
      <c r="ET53" s="724"/>
      <c r="EU53" s="724"/>
      <c r="EV53" s="724"/>
      <c r="EW53" s="724"/>
      <c r="EX53" s="724"/>
      <c r="EY53" s="724"/>
      <c r="EZ53" s="724"/>
      <c r="FA53" s="724"/>
      <c r="FB53" s="724"/>
      <c r="FC53" s="724"/>
      <c r="FD53" s="724"/>
      <c r="FE53" s="724"/>
      <c r="FF53" s="724"/>
      <c r="FG53" s="724"/>
      <c r="FH53" s="724"/>
      <c r="FI53" s="724"/>
      <c r="FJ53" s="724"/>
      <c r="FK53" s="724"/>
      <c r="FL53" s="724"/>
      <c r="FM53" s="724"/>
      <c r="FN53" s="724"/>
      <c r="FO53" s="724"/>
      <c r="FP53" s="724"/>
      <c r="FQ53" s="724"/>
      <c r="FR53" s="724"/>
      <c r="FS53" s="724"/>
      <c r="FT53" s="724"/>
      <c r="FU53" s="724"/>
      <c r="FV53" s="724"/>
      <c r="FW53" s="724"/>
      <c r="FX53" s="724"/>
      <c r="FY53" s="724"/>
      <c r="FZ53" s="724"/>
      <c r="GA53" s="724"/>
      <c r="GB53" s="724"/>
      <c r="GC53" s="724"/>
      <c r="GD53" s="724"/>
      <c r="GE53" s="724"/>
      <c r="GF53" s="724"/>
      <c r="GG53" s="724"/>
      <c r="GH53" s="724"/>
      <c r="GI53" s="724"/>
      <c r="GJ53" s="724"/>
      <c r="GK53" s="724"/>
      <c r="GL53" s="724"/>
      <c r="GM53" s="724"/>
      <c r="GN53" s="724"/>
      <c r="GO53" s="724"/>
      <c r="GP53" s="724"/>
      <c r="GQ53" s="724"/>
      <c r="GR53" s="724"/>
      <c r="GS53" s="724"/>
      <c r="GT53" s="724"/>
      <c r="GU53" s="724"/>
      <c r="GV53" s="724"/>
      <c r="GW53" s="724"/>
      <c r="GX53" s="724"/>
      <c r="GY53" s="724"/>
      <c r="GZ53" s="724"/>
      <c r="HA53" s="724"/>
      <c r="HB53" s="724"/>
      <c r="HC53" s="724"/>
      <c r="HD53" s="724"/>
      <c r="HE53" s="724"/>
      <c r="HF53" s="724"/>
      <c r="HG53" s="724"/>
      <c r="HH53" s="724"/>
      <c r="HI53" s="724"/>
      <c r="HJ53" s="724"/>
      <c r="HK53" s="724"/>
      <c r="HL53" s="724"/>
      <c r="HM53" s="724"/>
      <c r="HN53" s="724"/>
      <c r="HO53" s="724"/>
      <c r="HP53" s="724"/>
      <c r="HQ53" s="724"/>
      <c r="HR53" s="724"/>
      <c r="HS53" s="724"/>
      <c r="HT53" s="724"/>
      <c r="HU53" s="724"/>
      <c r="HV53" s="724"/>
      <c r="HW53" s="724"/>
      <c r="HX53" s="724"/>
      <c r="HY53" s="724"/>
      <c r="HZ53" s="724"/>
      <c r="IA53" s="724"/>
      <c r="IB53" s="724"/>
      <c r="IC53" s="724"/>
      <c r="ID53" s="724"/>
      <c r="IE53" s="724"/>
      <c r="IF53" s="724"/>
      <c r="IG53" s="724"/>
      <c r="IH53" s="724"/>
      <c r="II53" s="724"/>
      <c r="IJ53" s="724"/>
      <c r="IK53" s="724"/>
      <c r="IL53" s="724"/>
      <c r="IM53" s="724"/>
      <c r="IN53" s="724"/>
      <c r="IO53" s="724"/>
      <c r="IP53" s="724"/>
      <c r="IQ53" s="724"/>
      <c r="IR53" s="724"/>
      <c r="IS53" s="724"/>
      <c r="IT53" s="724"/>
      <c r="IU53" s="724"/>
      <c r="IV53" s="724"/>
    </row>
    <row r="54" spans="1:256" ht="20.25" customHeight="1">
      <c r="A54" s="723" t="s">
        <v>899</v>
      </c>
      <c r="B54" s="745" t="s">
        <v>901</v>
      </c>
      <c r="C54" s="723"/>
      <c r="D54" s="723"/>
      <c r="E54" s="746"/>
      <c r="F54" s="746"/>
      <c r="G54" s="746">
        <v>45000</v>
      </c>
      <c r="H54" s="747"/>
      <c r="I54" s="748"/>
      <c r="J54" s="747"/>
      <c r="K54" s="723"/>
      <c r="L54" s="723"/>
      <c r="M54" s="723"/>
      <c r="N54" s="724"/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4"/>
      <c r="AB54" s="724"/>
      <c r="AC54" s="724"/>
      <c r="AD54" s="724"/>
      <c r="AE54" s="724"/>
      <c r="AF54" s="724"/>
      <c r="AG54" s="724"/>
      <c r="AH54" s="724"/>
      <c r="AI54" s="724"/>
      <c r="AJ54" s="724"/>
      <c r="AK54" s="724"/>
      <c r="AL54" s="724"/>
      <c r="AM54" s="724"/>
      <c r="AN54" s="724"/>
      <c r="AO54" s="724"/>
      <c r="AP54" s="724"/>
      <c r="AQ54" s="724"/>
      <c r="AR54" s="724"/>
      <c r="AS54" s="724"/>
      <c r="AT54" s="724"/>
      <c r="AU54" s="724"/>
      <c r="AV54" s="724"/>
      <c r="AW54" s="724"/>
      <c r="AX54" s="724"/>
      <c r="AY54" s="724"/>
      <c r="AZ54" s="724"/>
      <c r="BA54" s="724"/>
      <c r="BB54" s="724"/>
      <c r="BC54" s="724"/>
      <c r="BD54" s="724"/>
      <c r="BE54" s="724"/>
      <c r="BF54" s="724"/>
      <c r="BG54" s="724"/>
      <c r="BH54" s="724"/>
      <c r="BI54" s="724"/>
      <c r="BJ54" s="724"/>
      <c r="BK54" s="724"/>
      <c r="BL54" s="724"/>
      <c r="BM54" s="724"/>
      <c r="BN54" s="724"/>
      <c r="BO54" s="724"/>
      <c r="BP54" s="724"/>
      <c r="BQ54" s="724"/>
      <c r="BR54" s="724"/>
      <c r="BS54" s="724"/>
      <c r="BT54" s="724"/>
      <c r="BU54" s="724"/>
      <c r="BV54" s="724"/>
      <c r="BW54" s="724"/>
      <c r="BX54" s="724"/>
      <c r="BY54" s="724"/>
      <c r="BZ54" s="724"/>
      <c r="CA54" s="724"/>
      <c r="CB54" s="724"/>
      <c r="CC54" s="724"/>
      <c r="CD54" s="724"/>
      <c r="CE54" s="724"/>
      <c r="CF54" s="724"/>
      <c r="CG54" s="724"/>
      <c r="CH54" s="724"/>
      <c r="CI54" s="724"/>
      <c r="CJ54" s="724"/>
      <c r="CK54" s="724"/>
      <c r="CL54" s="724"/>
      <c r="CM54" s="724"/>
      <c r="CN54" s="724"/>
      <c r="CO54" s="724"/>
      <c r="CP54" s="724"/>
      <c r="CQ54" s="724"/>
      <c r="CR54" s="724"/>
      <c r="CS54" s="724"/>
      <c r="CT54" s="724"/>
      <c r="CU54" s="724"/>
      <c r="CV54" s="724"/>
      <c r="CW54" s="724"/>
      <c r="CX54" s="724"/>
      <c r="CY54" s="724"/>
      <c r="CZ54" s="724"/>
      <c r="DA54" s="724"/>
      <c r="DB54" s="724"/>
      <c r="DC54" s="724"/>
      <c r="DD54" s="724"/>
      <c r="DE54" s="724"/>
      <c r="DF54" s="724"/>
      <c r="DG54" s="724"/>
      <c r="DH54" s="724"/>
      <c r="DI54" s="724"/>
      <c r="DJ54" s="724"/>
      <c r="DK54" s="724"/>
      <c r="DL54" s="724"/>
      <c r="DM54" s="724"/>
      <c r="DN54" s="724"/>
      <c r="DO54" s="724"/>
      <c r="DP54" s="724"/>
      <c r="DQ54" s="724"/>
      <c r="DR54" s="724"/>
      <c r="DS54" s="724"/>
      <c r="DT54" s="724"/>
      <c r="DU54" s="724"/>
      <c r="DV54" s="724"/>
      <c r="DW54" s="724"/>
      <c r="DX54" s="724"/>
      <c r="DY54" s="724"/>
      <c r="DZ54" s="724"/>
      <c r="EA54" s="724"/>
      <c r="EB54" s="724"/>
      <c r="EC54" s="724"/>
      <c r="ED54" s="724"/>
      <c r="EE54" s="724"/>
      <c r="EF54" s="724"/>
      <c r="EG54" s="724"/>
      <c r="EH54" s="724"/>
      <c r="EI54" s="724"/>
      <c r="EJ54" s="724"/>
      <c r="EK54" s="724"/>
      <c r="EL54" s="724"/>
      <c r="EM54" s="724"/>
      <c r="EN54" s="724"/>
      <c r="EO54" s="724"/>
      <c r="EP54" s="724"/>
      <c r="EQ54" s="724"/>
      <c r="ER54" s="724"/>
      <c r="ES54" s="724"/>
      <c r="ET54" s="724"/>
      <c r="EU54" s="724"/>
      <c r="EV54" s="724"/>
      <c r="EW54" s="724"/>
      <c r="EX54" s="724"/>
      <c r="EY54" s="724"/>
      <c r="EZ54" s="724"/>
      <c r="FA54" s="724"/>
      <c r="FB54" s="724"/>
      <c r="FC54" s="724"/>
      <c r="FD54" s="724"/>
      <c r="FE54" s="724"/>
      <c r="FF54" s="724"/>
      <c r="FG54" s="724"/>
      <c r="FH54" s="724"/>
      <c r="FI54" s="724"/>
      <c r="FJ54" s="724"/>
      <c r="FK54" s="724"/>
      <c r="FL54" s="724"/>
      <c r="FM54" s="724"/>
      <c r="FN54" s="724"/>
      <c r="FO54" s="724"/>
      <c r="FP54" s="724"/>
      <c r="FQ54" s="724"/>
      <c r="FR54" s="724"/>
      <c r="FS54" s="724"/>
      <c r="FT54" s="724"/>
      <c r="FU54" s="724"/>
      <c r="FV54" s="724"/>
      <c r="FW54" s="724"/>
      <c r="FX54" s="724"/>
      <c r="FY54" s="724"/>
      <c r="FZ54" s="724"/>
      <c r="GA54" s="724"/>
      <c r="GB54" s="724"/>
      <c r="GC54" s="724"/>
      <c r="GD54" s="724"/>
      <c r="GE54" s="724"/>
      <c r="GF54" s="724"/>
      <c r="GG54" s="724"/>
      <c r="GH54" s="724"/>
      <c r="GI54" s="724"/>
      <c r="GJ54" s="724"/>
      <c r="GK54" s="724"/>
      <c r="GL54" s="724"/>
      <c r="GM54" s="724"/>
      <c r="GN54" s="724"/>
      <c r="GO54" s="724"/>
      <c r="GP54" s="724"/>
      <c r="GQ54" s="724"/>
      <c r="GR54" s="724"/>
      <c r="GS54" s="724"/>
      <c r="GT54" s="724"/>
      <c r="GU54" s="724"/>
      <c r="GV54" s="724"/>
      <c r="GW54" s="724"/>
      <c r="GX54" s="724"/>
      <c r="GY54" s="724"/>
      <c r="GZ54" s="724"/>
      <c r="HA54" s="724"/>
      <c r="HB54" s="724"/>
      <c r="HC54" s="724"/>
      <c r="HD54" s="724"/>
      <c r="HE54" s="724"/>
      <c r="HF54" s="724"/>
      <c r="HG54" s="724"/>
      <c r="HH54" s="724"/>
      <c r="HI54" s="724"/>
      <c r="HJ54" s="724"/>
      <c r="HK54" s="724"/>
      <c r="HL54" s="724"/>
      <c r="HM54" s="724"/>
      <c r="HN54" s="724"/>
      <c r="HO54" s="724"/>
      <c r="HP54" s="724"/>
      <c r="HQ54" s="724"/>
      <c r="HR54" s="724"/>
      <c r="HS54" s="724"/>
      <c r="HT54" s="724"/>
      <c r="HU54" s="724"/>
      <c r="HV54" s="724"/>
      <c r="HW54" s="724"/>
      <c r="HX54" s="724"/>
      <c r="HY54" s="724"/>
      <c r="HZ54" s="724"/>
      <c r="IA54" s="724"/>
      <c r="IB54" s="724"/>
      <c r="IC54" s="724"/>
      <c r="ID54" s="724"/>
      <c r="IE54" s="724"/>
      <c r="IF54" s="724"/>
      <c r="IG54" s="724"/>
      <c r="IH54" s="724"/>
      <c r="II54" s="724"/>
      <c r="IJ54" s="724"/>
      <c r="IK54" s="724"/>
      <c r="IL54" s="724"/>
      <c r="IM54" s="724"/>
      <c r="IN54" s="724"/>
      <c r="IO54" s="724"/>
      <c r="IP54" s="724"/>
      <c r="IQ54" s="724"/>
      <c r="IR54" s="724"/>
      <c r="IS54" s="724"/>
      <c r="IT54" s="724"/>
      <c r="IU54" s="724"/>
      <c r="IV54" s="724"/>
    </row>
    <row r="55" spans="1:256" ht="20.25" customHeight="1">
      <c r="A55" s="723"/>
      <c r="B55" s="745"/>
      <c r="C55" s="723"/>
      <c r="D55" s="723"/>
      <c r="E55" s="746"/>
      <c r="F55" s="746"/>
      <c r="G55" s="746"/>
      <c r="H55" s="747"/>
      <c r="I55" s="748"/>
      <c r="J55" s="747"/>
      <c r="K55" s="723"/>
      <c r="L55" s="723"/>
      <c r="M55" s="723"/>
      <c r="N55" s="724"/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4"/>
      <c r="AB55" s="724"/>
      <c r="AC55" s="724"/>
      <c r="AD55" s="724"/>
      <c r="AE55" s="724"/>
      <c r="AF55" s="724"/>
      <c r="AG55" s="724"/>
      <c r="AH55" s="724"/>
      <c r="AI55" s="724"/>
      <c r="AJ55" s="724"/>
      <c r="AK55" s="724"/>
      <c r="AL55" s="724"/>
      <c r="AM55" s="724"/>
      <c r="AN55" s="724"/>
      <c r="AO55" s="724"/>
      <c r="AP55" s="724"/>
      <c r="AQ55" s="724"/>
      <c r="AR55" s="724"/>
      <c r="AS55" s="724"/>
      <c r="AT55" s="724"/>
      <c r="AU55" s="724"/>
      <c r="AV55" s="724"/>
      <c r="AW55" s="724"/>
      <c r="AX55" s="724"/>
      <c r="AY55" s="724"/>
      <c r="AZ55" s="724"/>
      <c r="BA55" s="724"/>
      <c r="BB55" s="724"/>
      <c r="BC55" s="724"/>
      <c r="BD55" s="724"/>
      <c r="BE55" s="724"/>
      <c r="BF55" s="724"/>
      <c r="BG55" s="724"/>
      <c r="BH55" s="724"/>
      <c r="BI55" s="724"/>
      <c r="BJ55" s="724"/>
      <c r="BK55" s="724"/>
      <c r="BL55" s="724"/>
      <c r="BM55" s="724"/>
      <c r="BN55" s="724"/>
      <c r="BO55" s="724"/>
      <c r="BP55" s="724"/>
      <c r="BQ55" s="724"/>
      <c r="BR55" s="724"/>
      <c r="BS55" s="724"/>
      <c r="BT55" s="724"/>
      <c r="BU55" s="724"/>
      <c r="BV55" s="724"/>
      <c r="BW55" s="724"/>
      <c r="BX55" s="724"/>
      <c r="BY55" s="724"/>
      <c r="BZ55" s="724"/>
      <c r="CA55" s="724"/>
      <c r="CB55" s="724"/>
      <c r="CC55" s="724"/>
      <c r="CD55" s="724"/>
      <c r="CE55" s="724"/>
      <c r="CF55" s="724"/>
      <c r="CG55" s="724"/>
      <c r="CH55" s="724"/>
      <c r="CI55" s="724"/>
      <c r="CJ55" s="724"/>
      <c r="CK55" s="724"/>
      <c r="CL55" s="724"/>
      <c r="CM55" s="724"/>
      <c r="CN55" s="724"/>
      <c r="CO55" s="724"/>
      <c r="CP55" s="724"/>
      <c r="CQ55" s="724"/>
      <c r="CR55" s="724"/>
      <c r="CS55" s="724"/>
      <c r="CT55" s="724"/>
      <c r="CU55" s="724"/>
      <c r="CV55" s="724"/>
      <c r="CW55" s="724"/>
      <c r="CX55" s="724"/>
      <c r="CY55" s="724"/>
      <c r="CZ55" s="724"/>
      <c r="DA55" s="724"/>
      <c r="DB55" s="724"/>
      <c r="DC55" s="724"/>
      <c r="DD55" s="724"/>
      <c r="DE55" s="724"/>
      <c r="DF55" s="724"/>
      <c r="DG55" s="724"/>
      <c r="DH55" s="724"/>
      <c r="DI55" s="724"/>
      <c r="DJ55" s="724"/>
      <c r="DK55" s="724"/>
      <c r="DL55" s="724"/>
      <c r="DM55" s="724"/>
      <c r="DN55" s="724"/>
      <c r="DO55" s="724"/>
      <c r="DP55" s="724"/>
      <c r="DQ55" s="724"/>
      <c r="DR55" s="724"/>
      <c r="DS55" s="724"/>
      <c r="DT55" s="724"/>
      <c r="DU55" s="724"/>
      <c r="DV55" s="724"/>
      <c r="DW55" s="724"/>
      <c r="DX55" s="724"/>
      <c r="DY55" s="724"/>
      <c r="DZ55" s="724"/>
      <c r="EA55" s="724"/>
      <c r="EB55" s="724"/>
      <c r="EC55" s="724"/>
      <c r="ED55" s="724"/>
      <c r="EE55" s="724"/>
      <c r="EF55" s="724"/>
      <c r="EG55" s="724"/>
      <c r="EH55" s="724"/>
      <c r="EI55" s="724"/>
      <c r="EJ55" s="724"/>
      <c r="EK55" s="724"/>
      <c r="EL55" s="724"/>
      <c r="EM55" s="724"/>
      <c r="EN55" s="724"/>
      <c r="EO55" s="724"/>
      <c r="EP55" s="724"/>
      <c r="EQ55" s="724"/>
      <c r="ER55" s="724"/>
      <c r="ES55" s="724"/>
      <c r="ET55" s="724"/>
      <c r="EU55" s="724"/>
      <c r="EV55" s="724"/>
      <c r="EW55" s="724"/>
      <c r="EX55" s="724"/>
      <c r="EY55" s="724"/>
      <c r="EZ55" s="724"/>
      <c r="FA55" s="724"/>
      <c r="FB55" s="724"/>
      <c r="FC55" s="724"/>
      <c r="FD55" s="724"/>
      <c r="FE55" s="724"/>
      <c r="FF55" s="724"/>
      <c r="FG55" s="724"/>
      <c r="FH55" s="724"/>
      <c r="FI55" s="724"/>
      <c r="FJ55" s="724"/>
      <c r="FK55" s="724"/>
      <c r="FL55" s="724"/>
      <c r="FM55" s="724"/>
      <c r="FN55" s="724"/>
      <c r="FO55" s="724"/>
      <c r="FP55" s="724"/>
      <c r="FQ55" s="724"/>
      <c r="FR55" s="724"/>
      <c r="FS55" s="724"/>
      <c r="FT55" s="724"/>
      <c r="FU55" s="724"/>
      <c r="FV55" s="724"/>
      <c r="FW55" s="724"/>
      <c r="FX55" s="724"/>
      <c r="FY55" s="724"/>
      <c r="FZ55" s="724"/>
      <c r="GA55" s="724"/>
      <c r="GB55" s="724"/>
      <c r="GC55" s="724"/>
      <c r="GD55" s="724"/>
      <c r="GE55" s="724"/>
      <c r="GF55" s="724"/>
      <c r="GG55" s="724"/>
      <c r="GH55" s="724"/>
      <c r="GI55" s="724"/>
      <c r="GJ55" s="724"/>
      <c r="GK55" s="724"/>
      <c r="GL55" s="724"/>
      <c r="GM55" s="724"/>
      <c r="GN55" s="724"/>
      <c r="GO55" s="724"/>
      <c r="GP55" s="724"/>
      <c r="GQ55" s="724"/>
      <c r="GR55" s="724"/>
      <c r="GS55" s="724"/>
      <c r="GT55" s="724"/>
      <c r="GU55" s="724"/>
      <c r="GV55" s="724"/>
      <c r="GW55" s="724"/>
      <c r="GX55" s="724"/>
      <c r="GY55" s="724"/>
      <c r="GZ55" s="724"/>
      <c r="HA55" s="724"/>
      <c r="HB55" s="724"/>
      <c r="HC55" s="724"/>
      <c r="HD55" s="724"/>
      <c r="HE55" s="724"/>
      <c r="HF55" s="724"/>
      <c r="HG55" s="724"/>
      <c r="HH55" s="724"/>
      <c r="HI55" s="724"/>
      <c r="HJ55" s="724"/>
      <c r="HK55" s="724"/>
      <c r="HL55" s="724"/>
      <c r="HM55" s="724"/>
      <c r="HN55" s="724"/>
      <c r="HO55" s="724"/>
      <c r="HP55" s="724"/>
      <c r="HQ55" s="724"/>
      <c r="HR55" s="724"/>
      <c r="HS55" s="724"/>
      <c r="HT55" s="724"/>
      <c r="HU55" s="724"/>
      <c r="HV55" s="724"/>
      <c r="HW55" s="724"/>
      <c r="HX55" s="724"/>
      <c r="HY55" s="724"/>
      <c r="HZ55" s="724"/>
      <c r="IA55" s="724"/>
      <c r="IB55" s="724"/>
      <c r="IC55" s="724"/>
      <c r="ID55" s="724"/>
      <c r="IE55" s="724"/>
      <c r="IF55" s="724"/>
      <c r="IG55" s="724"/>
      <c r="IH55" s="724"/>
      <c r="II55" s="724"/>
      <c r="IJ55" s="724"/>
      <c r="IK55" s="724"/>
      <c r="IL55" s="724"/>
      <c r="IM55" s="724"/>
      <c r="IN55" s="724"/>
      <c r="IO55" s="724"/>
      <c r="IP55" s="724"/>
      <c r="IQ55" s="724"/>
      <c r="IR55" s="724"/>
      <c r="IS55" s="724"/>
      <c r="IT55" s="724"/>
      <c r="IU55" s="724"/>
      <c r="IV55" s="724"/>
    </row>
    <row r="56" spans="1:256" ht="20.25" customHeight="1">
      <c r="G56" s="741">
        <f>SUM(G47:G54)</f>
        <v>5996296.3200000003</v>
      </c>
    </row>
    <row r="57" spans="1:256" ht="20.25" customHeight="1"/>
    <row r="58" spans="1:256" s="100" customFormat="1" ht="20.25" customHeight="1" thickBot="1">
      <c r="A58" s="733" t="s">
        <v>890</v>
      </c>
      <c r="B58" s="732" t="s">
        <v>889</v>
      </c>
      <c r="C58" s="733"/>
      <c r="D58" s="733"/>
      <c r="E58" s="734">
        <v>196000</v>
      </c>
      <c r="F58" s="734">
        <v>0</v>
      </c>
      <c r="G58" s="734">
        <f>E58-F58</f>
        <v>196000</v>
      </c>
      <c r="H58" s="734">
        <f>G58*0.05/12*7</f>
        <v>5716.6666666666661</v>
      </c>
      <c r="I58" s="735">
        <f>F58+H58</f>
        <v>5716.6666666666661</v>
      </c>
      <c r="J58" s="736">
        <f>G58-H58</f>
        <v>190283.33333333334</v>
      </c>
      <c r="K58" s="737"/>
      <c r="L58" s="737"/>
      <c r="M58" s="675"/>
    </row>
    <row r="59" spans="1:256" s="100" customFormat="1" ht="20.25" customHeight="1">
      <c r="A59" s="675"/>
      <c r="B59" s="738"/>
      <c r="C59" s="675"/>
      <c r="D59" s="675"/>
      <c r="E59" s="737"/>
      <c r="F59" s="737"/>
      <c r="G59" s="737"/>
      <c r="H59" s="737"/>
      <c r="I59" s="739"/>
      <c r="J59" s="737"/>
      <c r="K59" s="737"/>
      <c r="L59" s="737"/>
      <c r="M59" s="675"/>
    </row>
    <row r="60" spans="1:256" ht="20.25" customHeight="1">
      <c r="E60" s="740">
        <f t="shared" ref="E60:J60" si="10">E56+E45+E39+E58</f>
        <v>196000</v>
      </c>
      <c r="F60" s="740">
        <f t="shared" si="10"/>
        <v>0</v>
      </c>
      <c r="G60" s="740">
        <f t="shared" si="10"/>
        <v>7725346.3200000003</v>
      </c>
      <c r="H60" s="740">
        <f t="shared" si="10"/>
        <v>5716.6666666666661</v>
      </c>
      <c r="I60" s="740">
        <f t="shared" si="10"/>
        <v>5716.6666666666661</v>
      </c>
      <c r="J60" s="740">
        <f t="shared" si="10"/>
        <v>190283.33333333334</v>
      </c>
    </row>
    <row r="64" spans="1:256">
      <c r="G64" s="730"/>
    </row>
  </sheetData>
  <mergeCells count="5">
    <mergeCell ref="A2:K2"/>
    <mergeCell ref="B4:B5"/>
    <mergeCell ref="C4:G4"/>
    <mergeCell ref="H4:J4"/>
    <mergeCell ref="K4:K5"/>
  </mergeCells>
  <printOptions horizontalCentered="1"/>
  <pageMargins left="0" right="0" top="0.5" bottom="0" header="0.5" footer="0.5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2:IV58"/>
  <sheetViews>
    <sheetView workbookViewId="0">
      <selection activeCell="L30" sqref="L30"/>
    </sheetView>
  </sheetViews>
  <sheetFormatPr defaultRowHeight="12.75"/>
  <cols>
    <col min="1" max="1" width="24.140625" style="426" customWidth="1"/>
    <col min="2" max="2" width="17.5703125" style="426" customWidth="1"/>
    <col min="3" max="3" width="19.140625" style="426" customWidth="1"/>
    <col min="4" max="4" width="12" style="426" customWidth="1"/>
    <col min="5" max="5" width="5.85546875" style="426" customWidth="1"/>
    <col min="6" max="7" width="12" style="426" customWidth="1"/>
    <col min="8" max="11" width="3.5703125" style="426" customWidth="1"/>
    <col min="12" max="12" width="15.7109375" style="427" customWidth="1"/>
    <col min="13" max="13" width="10.7109375" style="428" customWidth="1"/>
    <col min="14" max="14" width="15" style="426" bestFit="1" customWidth="1"/>
    <col min="15" max="15" width="17.85546875" style="426" customWidth="1"/>
    <col min="16" max="16384" width="9.140625" style="426"/>
  </cols>
  <sheetData>
    <row r="2" spans="1:15" s="368" customFormat="1" ht="15.75">
      <c r="A2" s="1001" t="s">
        <v>887</v>
      </c>
      <c r="B2" s="1001"/>
      <c r="C2" s="1001"/>
      <c r="D2" s="363"/>
      <c r="E2" s="364"/>
      <c r="F2" s="364"/>
      <c r="G2" s="364"/>
      <c r="H2" s="364"/>
      <c r="I2" s="364"/>
      <c r="J2" s="365" t="s">
        <v>744</v>
      </c>
      <c r="K2" s="365"/>
      <c r="L2" s="366"/>
      <c r="M2" s="367"/>
    </row>
    <row r="3" spans="1:15" s="368" customFormat="1" ht="15.75">
      <c r="A3" s="1001" t="s">
        <v>745</v>
      </c>
      <c r="B3" s="1001"/>
      <c r="C3" s="1001"/>
      <c r="D3" s="363"/>
      <c r="E3" s="364"/>
      <c r="F3" s="364"/>
      <c r="G3" s="364"/>
      <c r="H3" s="364"/>
      <c r="I3" s="369"/>
      <c r="J3" s="367"/>
      <c r="K3" s="370"/>
      <c r="L3" s="371"/>
      <c r="M3" s="367"/>
    </row>
    <row r="4" spans="1:15" s="368" customFormat="1" ht="16.5" thickBot="1">
      <c r="A4" s="372"/>
      <c r="B4" s="372"/>
      <c r="C4" s="372"/>
      <c r="D4" s="372"/>
      <c r="E4" s="1002" t="s">
        <v>746</v>
      </c>
      <c r="F4" s="1002"/>
      <c r="G4" s="1002"/>
      <c r="H4" s="1002"/>
      <c r="I4" s="1002"/>
      <c r="J4" s="1002"/>
      <c r="K4" s="1002"/>
      <c r="L4" s="371"/>
      <c r="M4" s="367"/>
    </row>
    <row r="5" spans="1:15" s="368" customFormat="1" ht="12.75" customHeight="1">
      <c r="A5" s="1003" t="s">
        <v>747</v>
      </c>
      <c r="B5" s="1006" t="s">
        <v>748</v>
      </c>
      <c r="C5" s="1009" t="s">
        <v>749</v>
      </c>
      <c r="D5" s="1010"/>
      <c r="E5" s="1011"/>
      <c r="F5" s="1011"/>
      <c r="G5" s="1012"/>
      <c r="H5" s="1009" t="s">
        <v>750</v>
      </c>
      <c r="I5" s="1011"/>
      <c r="J5" s="1011"/>
      <c r="K5" s="1011"/>
      <c r="L5" s="983" t="s">
        <v>751</v>
      </c>
      <c r="M5" s="367"/>
    </row>
    <row r="6" spans="1:15" s="368" customFormat="1">
      <c r="A6" s="1004"/>
      <c r="B6" s="1007"/>
      <c r="C6" s="1013"/>
      <c r="D6" s="1014"/>
      <c r="E6" s="1014"/>
      <c r="F6" s="1014"/>
      <c r="G6" s="1015"/>
      <c r="H6" s="1013"/>
      <c r="I6" s="1014"/>
      <c r="J6" s="1014"/>
      <c r="K6" s="1014"/>
      <c r="L6" s="984"/>
      <c r="M6" s="367"/>
    </row>
    <row r="7" spans="1:15" s="368" customFormat="1">
      <c r="A7" s="1004"/>
      <c r="B7" s="1007"/>
      <c r="C7" s="986" t="s">
        <v>752</v>
      </c>
      <c r="D7" s="989" t="s">
        <v>753</v>
      </c>
      <c r="E7" s="992" t="s">
        <v>754</v>
      </c>
      <c r="F7" s="992" t="s">
        <v>755</v>
      </c>
      <c r="G7" s="992" t="s">
        <v>485</v>
      </c>
      <c r="H7" s="992" t="s">
        <v>756</v>
      </c>
      <c r="I7" s="995" t="s">
        <v>757</v>
      </c>
      <c r="J7" s="989" t="s">
        <v>758</v>
      </c>
      <c r="K7" s="998" t="s">
        <v>759</v>
      </c>
      <c r="L7" s="984"/>
      <c r="M7" s="367"/>
    </row>
    <row r="8" spans="1:15" s="368" customFormat="1">
      <c r="A8" s="1004"/>
      <c r="B8" s="1007"/>
      <c r="C8" s="987"/>
      <c r="D8" s="990"/>
      <c r="E8" s="993"/>
      <c r="F8" s="993"/>
      <c r="G8" s="993"/>
      <c r="H8" s="993"/>
      <c r="I8" s="996"/>
      <c r="J8" s="990"/>
      <c r="K8" s="999"/>
      <c r="L8" s="984"/>
      <c r="M8" s="367"/>
    </row>
    <row r="9" spans="1:15" s="368" customFormat="1">
      <c r="A9" s="1005"/>
      <c r="B9" s="1008"/>
      <c r="C9" s="988"/>
      <c r="D9" s="991"/>
      <c r="E9" s="994"/>
      <c r="F9" s="994"/>
      <c r="G9" s="994"/>
      <c r="H9" s="994"/>
      <c r="I9" s="997"/>
      <c r="J9" s="991"/>
      <c r="K9" s="1000"/>
      <c r="L9" s="985"/>
      <c r="M9" s="367" t="s">
        <v>760</v>
      </c>
    </row>
    <row r="10" spans="1:15" s="368" customFormat="1">
      <c r="A10" s="373" t="s">
        <v>761</v>
      </c>
      <c r="B10" s="374">
        <f>'[3]centraliz  (2)'!$N$6</f>
        <v>1820800</v>
      </c>
      <c r="C10" s="375">
        <f>'[4]pasqyra 4 2015'!$G$31</f>
        <v>915996</v>
      </c>
      <c r="D10" s="375"/>
      <c r="E10" s="375"/>
      <c r="F10" s="376">
        <f>'[4]Assete   &amp; Amort per dosje)'!$H$200</f>
        <v>62318.75</v>
      </c>
      <c r="G10" s="377">
        <f>E10+F10</f>
        <v>62318.75</v>
      </c>
      <c r="H10" s="378"/>
      <c r="I10" s="378"/>
      <c r="J10" s="379"/>
      <c r="K10" s="380"/>
      <c r="L10" s="381">
        <f>C10+G10-K10</f>
        <v>978314.75</v>
      </c>
      <c r="M10" s="382">
        <f>B10-L10</f>
        <v>842485.25</v>
      </c>
      <c r="O10" s="383"/>
    </row>
    <row r="11" spans="1:15" s="368" customFormat="1">
      <c r="A11" s="384" t="s">
        <v>762</v>
      </c>
      <c r="B11" s="385">
        <f>SUM(B12:B20)</f>
        <v>891323187</v>
      </c>
      <c r="C11" s="385">
        <f t="shared" ref="C11:L11" si="0">SUM(C12:C20)</f>
        <v>584311281</v>
      </c>
      <c r="D11" s="385">
        <f t="shared" si="0"/>
        <v>39663244.269999996</v>
      </c>
      <c r="E11" s="385">
        <f t="shared" si="0"/>
        <v>0</v>
      </c>
      <c r="F11" s="385">
        <f t="shared" si="0"/>
        <v>752228.60000000009</v>
      </c>
      <c r="G11" s="385">
        <f t="shared" si="0"/>
        <v>752228.60000000009</v>
      </c>
      <c r="H11" s="385">
        <f t="shared" si="0"/>
        <v>0</v>
      </c>
      <c r="I11" s="385">
        <f t="shared" si="0"/>
        <v>0</v>
      </c>
      <c r="J11" s="385">
        <f t="shared" si="0"/>
        <v>0</v>
      </c>
      <c r="K11" s="385">
        <f t="shared" si="0"/>
        <v>0</v>
      </c>
      <c r="L11" s="385">
        <f t="shared" si="0"/>
        <v>585063509.60000002</v>
      </c>
      <c r="M11" s="382"/>
      <c r="O11" s="383"/>
    </row>
    <row r="12" spans="1:15" s="368" customFormat="1">
      <c r="A12" s="387" t="s">
        <v>763</v>
      </c>
      <c r="B12" s="388">
        <f>'[4]OK LLOG Assete   &amp; Amort -16'!$F$220</f>
        <v>56160</v>
      </c>
      <c r="C12" s="375"/>
      <c r="D12" s="376"/>
      <c r="E12" s="376"/>
      <c r="F12" s="376"/>
      <c r="G12" s="377">
        <f t="shared" ref="G12:G20" si="1">E12+F12</f>
        <v>0</v>
      </c>
      <c r="H12" s="376"/>
      <c r="I12" s="376"/>
      <c r="J12" s="376"/>
      <c r="K12" s="386"/>
      <c r="L12" s="381">
        <f>C12+G12-K12</f>
        <v>0</v>
      </c>
      <c r="M12" s="382">
        <f>B12-L12</f>
        <v>56160</v>
      </c>
      <c r="O12" s="383"/>
    </row>
    <row r="13" spans="1:15" s="368" customFormat="1">
      <c r="A13" s="387" t="s">
        <v>764</v>
      </c>
      <c r="B13" s="388">
        <f>'[4]pasqyra 4 2015'!$G$9</f>
        <v>10731903</v>
      </c>
      <c r="C13" s="375">
        <f>'[4]pasqyra 4 2015'!$G$25</f>
        <v>5171560</v>
      </c>
      <c r="D13" s="376">
        <v>271492.05</v>
      </c>
      <c r="E13" s="376"/>
      <c r="F13" s="376">
        <f>'[4]Assete   &amp; Amort per dosje)'!$H$144</f>
        <v>44059</v>
      </c>
      <c r="G13" s="377">
        <f t="shared" si="1"/>
        <v>44059</v>
      </c>
      <c r="H13" s="376"/>
      <c r="I13" s="376"/>
      <c r="J13" s="376"/>
      <c r="K13" s="386">
        <f t="shared" ref="K13:K20" si="2">H13+I13+J13</f>
        <v>0</v>
      </c>
      <c r="L13" s="381">
        <f>C13+G13-K13</f>
        <v>5215619</v>
      </c>
      <c r="M13" s="382">
        <f>B13-L13</f>
        <v>5516284</v>
      </c>
      <c r="O13" s="383"/>
    </row>
    <row r="14" spans="1:15" s="368" customFormat="1">
      <c r="A14" s="387" t="s">
        <v>765</v>
      </c>
      <c r="B14" s="388">
        <f>'[4]pasqyra 4 2015'!$G$14+'[4]pasqyra 4 2015'!$G$16</f>
        <v>644155982</v>
      </c>
      <c r="C14" s="375">
        <f>'[4]pasqyra 4 2015'!$G$30+'[4]pasqyra 4 2015'!$G$32</f>
        <v>406077803</v>
      </c>
      <c r="D14" s="376">
        <v>36115828.469999999</v>
      </c>
      <c r="E14" s="376"/>
      <c r="F14" s="376">
        <f>'[4]OK LLOG Assete   &amp; Amort -16'!$H$108</f>
        <v>0</v>
      </c>
      <c r="G14" s="377">
        <f t="shared" si="1"/>
        <v>0</v>
      </c>
      <c r="H14" s="376"/>
      <c r="I14" s="376"/>
      <c r="J14" s="376"/>
      <c r="K14" s="386">
        <f t="shared" si="2"/>
        <v>0</v>
      </c>
      <c r="L14" s="381">
        <f t="shared" ref="L14:L20" si="3">C14+G14-K14</f>
        <v>406077803</v>
      </c>
      <c r="M14" s="382">
        <f>'[2]Assets '!K16-Amortizimi!L14</f>
        <v>-379354115</v>
      </c>
      <c r="O14" s="383"/>
    </row>
    <row r="15" spans="1:15" s="368" customFormat="1">
      <c r="A15" s="387" t="s">
        <v>766</v>
      </c>
      <c r="B15" s="388">
        <f>'[4]pasqyra 4 2015'!$G$10</f>
        <v>208013934</v>
      </c>
      <c r="C15" s="375">
        <f>'[4]pasqyra 4 2015'!$G$26</f>
        <v>148128826</v>
      </c>
      <c r="D15" s="376">
        <v>2525757.6</v>
      </c>
      <c r="E15" s="376"/>
      <c r="F15" s="376">
        <f>'[4]OK LLOG Assete   &amp; Amort -16'!$H$136</f>
        <v>265829.2</v>
      </c>
      <c r="G15" s="377">
        <f>E15+F15</f>
        <v>265829.2</v>
      </c>
      <c r="H15" s="376"/>
      <c r="I15" s="376"/>
      <c r="J15" s="376"/>
      <c r="K15" s="386">
        <f t="shared" si="2"/>
        <v>0</v>
      </c>
      <c r="L15" s="381">
        <f t="shared" si="3"/>
        <v>148394655.19999999</v>
      </c>
      <c r="M15" s="382">
        <f>'[2]Assets '!K17-Amortizimi!L15</f>
        <v>-100558456.39999999</v>
      </c>
      <c r="O15" s="383"/>
    </row>
    <row r="16" spans="1:15" s="368" customFormat="1">
      <c r="A16" s="387" t="s">
        <v>767</v>
      </c>
      <c r="B16" s="388">
        <f>'[4]pasqyra 4 2015'!$G$11</f>
        <v>20085995</v>
      </c>
      <c r="C16" s="375">
        <f>'[4]pasqyra 4 2015'!$G$27</f>
        <v>18008529</v>
      </c>
      <c r="D16" s="376">
        <v>415493.4</v>
      </c>
      <c r="E16" s="376"/>
      <c r="F16" s="376">
        <f>'[4]OK LLOG Assete   &amp; Amort -16'!$H$18</f>
        <v>415493.4</v>
      </c>
      <c r="G16" s="377">
        <f t="shared" si="1"/>
        <v>415493.4</v>
      </c>
      <c r="H16" s="376"/>
      <c r="I16" s="376"/>
      <c r="J16" s="376"/>
      <c r="K16" s="386">
        <f t="shared" si="2"/>
        <v>0</v>
      </c>
      <c r="L16" s="381">
        <f t="shared" si="3"/>
        <v>18424022.399999999</v>
      </c>
      <c r="M16" s="382">
        <f>'[2]Assets '!K18-Amortizimi!L16</f>
        <v>-15840688.399999999</v>
      </c>
      <c r="O16" s="383"/>
    </row>
    <row r="17" spans="1:256" s="368" customFormat="1">
      <c r="A17" s="387" t="s">
        <v>768</v>
      </c>
      <c r="B17" s="388">
        <f>'[4]pasqyra 4 2015'!$G$12</f>
        <v>6499184</v>
      </c>
      <c r="C17" s="375">
        <f>'[4]pasqyra 4 2015'!$G$28</f>
        <v>5326329</v>
      </c>
      <c r="D17" s="376">
        <v>307825.75</v>
      </c>
      <c r="E17" s="376"/>
      <c r="F17" s="376">
        <f>'[4]OK LLOG Assete   &amp; Amort -16'!$H$190</f>
        <v>0</v>
      </c>
      <c r="G17" s="377">
        <f t="shared" si="1"/>
        <v>0</v>
      </c>
      <c r="H17" s="376"/>
      <c r="I17" s="376"/>
      <c r="J17" s="376"/>
      <c r="K17" s="386">
        <f t="shared" si="2"/>
        <v>0</v>
      </c>
      <c r="L17" s="381">
        <f t="shared" si="3"/>
        <v>5326329</v>
      </c>
      <c r="M17" s="382">
        <f>'[2]Assets '!K19-Amortizimi!L17</f>
        <v>11155747</v>
      </c>
      <c r="O17" s="383"/>
    </row>
    <row r="18" spans="1:256" s="368" customFormat="1">
      <c r="A18" s="387" t="s">
        <v>769</v>
      </c>
      <c r="B18" s="388">
        <f>'[4]pasqyra 4 2015'!$G$13</f>
        <v>1780029</v>
      </c>
      <c r="C18" s="375">
        <f>'[4]pasqyra 4 2015'!$G$29</f>
        <v>1598234</v>
      </c>
      <c r="D18" s="376">
        <v>26847</v>
      </c>
      <c r="E18" s="376"/>
      <c r="F18" s="376">
        <f>'[4]OK LLOG Assete   &amp; Amort -16'!$H$53</f>
        <v>26846.999999999993</v>
      </c>
      <c r="G18" s="377">
        <f t="shared" si="1"/>
        <v>26846.999999999993</v>
      </c>
      <c r="H18" s="376"/>
      <c r="I18" s="376"/>
      <c r="J18" s="376"/>
      <c r="K18" s="386">
        <f t="shared" si="2"/>
        <v>0</v>
      </c>
      <c r="L18" s="381">
        <f>C18+G18-K18</f>
        <v>1625081</v>
      </c>
      <c r="M18" s="382">
        <f>'[2]Assets  (2)'!K20-'[2]Amortizimi (2)'!L18</f>
        <v>1.999999993131496E-3</v>
      </c>
      <c r="O18" s="383"/>
    </row>
    <row r="19" spans="1:256" s="368" customFormat="1">
      <c r="A19" s="387" t="s">
        <v>770</v>
      </c>
      <c r="B19" s="388"/>
      <c r="C19" s="375"/>
      <c r="D19" s="376"/>
      <c r="E19" s="376"/>
      <c r="F19" s="376">
        <f>(((B19-C19)*0.1)/12)*12</f>
        <v>0</v>
      </c>
      <c r="G19" s="377">
        <f t="shared" si="1"/>
        <v>0</v>
      </c>
      <c r="H19" s="376"/>
      <c r="I19" s="376"/>
      <c r="J19" s="376"/>
      <c r="K19" s="386">
        <f t="shared" si="2"/>
        <v>0</v>
      </c>
      <c r="L19" s="381">
        <f t="shared" si="3"/>
        <v>0</v>
      </c>
      <c r="M19" s="382">
        <f>'[2]Assets '!K21-Amortizimi!L19</f>
        <v>987000</v>
      </c>
      <c r="O19" s="383"/>
    </row>
    <row r="20" spans="1:256" s="368" customFormat="1">
      <c r="A20" s="389" t="s">
        <v>771</v>
      </c>
      <c r="B20" s="390"/>
      <c r="C20" s="375">
        <v>0</v>
      </c>
      <c r="D20" s="376"/>
      <c r="E20" s="376"/>
      <c r="F20" s="376"/>
      <c r="G20" s="377">
        <f t="shared" si="1"/>
        <v>0</v>
      </c>
      <c r="H20" s="376"/>
      <c r="I20" s="376"/>
      <c r="J20" s="376"/>
      <c r="K20" s="386">
        <f t="shared" si="2"/>
        <v>0</v>
      </c>
      <c r="L20" s="381">
        <f t="shared" si="3"/>
        <v>0</v>
      </c>
      <c r="M20" s="382">
        <f>'[2]Assets  (2)'!K22-'[2]Amortizimi (2)'!L20</f>
        <v>0</v>
      </c>
      <c r="O20" s="383"/>
    </row>
    <row r="21" spans="1:256" s="368" customFormat="1" ht="13.5" thickBot="1">
      <c r="A21" s="391" t="s">
        <v>772</v>
      </c>
      <c r="B21" s="375">
        <f>SUM(B12:B20)</f>
        <v>891323187</v>
      </c>
      <c r="C21" s="375">
        <f>SUM(C13:C20)</f>
        <v>584311281</v>
      </c>
      <c r="D21" s="375">
        <f t="shared" ref="D21:L21" si="4">SUM(D13:D20)</f>
        <v>39663244.269999996</v>
      </c>
      <c r="E21" s="375">
        <f t="shared" si="4"/>
        <v>0</v>
      </c>
      <c r="F21" s="375">
        <f t="shared" si="4"/>
        <v>752228.60000000009</v>
      </c>
      <c r="G21" s="375">
        <f t="shared" si="4"/>
        <v>752228.60000000009</v>
      </c>
      <c r="H21" s="375">
        <f t="shared" si="4"/>
        <v>0</v>
      </c>
      <c r="I21" s="375">
        <f t="shared" si="4"/>
        <v>0</v>
      </c>
      <c r="J21" s="375">
        <f t="shared" si="4"/>
        <v>0</v>
      </c>
      <c r="K21" s="386">
        <f t="shared" si="4"/>
        <v>0</v>
      </c>
      <c r="L21" s="381">
        <f t="shared" si="4"/>
        <v>585063509.60000002</v>
      </c>
      <c r="M21" s="381">
        <f>SUM(M12:M20)</f>
        <v>-478038068.79799998</v>
      </c>
      <c r="O21" s="383"/>
    </row>
    <row r="22" spans="1:256" s="368" customFormat="1">
      <c r="A22" s="392" t="s">
        <v>773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86"/>
      <c r="L22" s="381"/>
      <c r="M22" s="382">
        <f>B22-L22</f>
        <v>0</v>
      </c>
      <c r="O22" s="383"/>
    </row>
    <row r="23" spans="1:256" s="368" customFormat="1">
      <c r="A23" s="393"/>
      <c r="B23" s="376"/>
      <c r="C23" s="375">
        <v>0</v>
      </c>
      <c r="D23" s="376"/>
      <c r="E23" s="376"/>
      <c r="F23" s="375"/>
      <c r="G23" s="375"/>
      <c r="H23" s="376"/>
      <c r="I23" s="376"/>
      <c r="J23" s="375"/>
      <c r="K23" s="386"/>
      <c r="L23" s="381">
        <v>0</v>
      </c>
      <c r="M23" s="382">
        <f>B23-L23</f>
        <v>0</v>
      </c>
      <c r="O23" s="383"/>
    </row>
    <row r="24" spans="1:256" s="368" customFormat="1" ht="13.5" thickBot="1">
      <c r="A24" s="392" t="s">
        <v>774</v>
      </c>
      <c r="B24" s="375">
        <f>B21+B10</f>
        <v>893143987</v>
      </c>
      <c r="C24" s="375">
        <f t="shared" ref="C24:L24" si="5">C21+C10</f>
        <v>585227277</v>
      </c>
      <c r="D24" s="375">
        <f t="shared" si="5"/>
        <v>39663244.269999996</v>
      </c>
      <c r="E24" s="375">
        <f t="shared" si="5"/>
        <v>0</v>
      </c>
      <c r="F24" s="375">
        <f t="shared" si="5"/>
        <v>814547.35000000009</v>
      </c>
      <c r="G24" s="375">
        <f t="shared" si="5"/>
        <v>814547.35000000009</v>
      </c>
      <c r="H24" s="375">
        <f t="shared" si="5"/>
        <v>0</v>
      </c>
      <c r="I24" s="375">
        <f t="shared" si="5"/>
        <v>0</v>
      </c>
      <c r="J24" s="375">
        <f t="shared" si="5"/>
        <v>0</v>
      </c>
      <c r="K24" s="375">
        <f t="shared" si="5"/>
        <v>0</v>
      </c>
      <c r="L24" s="375">
        <f t="shared" si="5"/>
        <v>586041824.35000002</v>
      </c>
      <c r="M24" s="394">
        <f>M21+M10</f>
        <v>-477195583.54799998</v>
      </c>
      <c r="N24" s="394">
        <f>N21+N10</f>
        <v>0</v>
      </c>
      <c r="O24" s="394"/>
    </row>
    <row r="25" spans="1:256" s="368" customFormat="1">
      <c r="A25" s="395"/>
      <c r="B25" s="396"/>
      <c r="D25" s="397"/>
      <c r="F25" s="368">
        <f>-'[4]OK LLOG Assete   &amp; Amort -16'!$B$3</f>
        <v>0</v>
      </c>
      <c r="G25" s="397">
        <f>-'[4]OK LLOG Assete   &amp; Amort -16'!$H$222</f>
        <v>0</v>
      </c>
      <c r="L25" s="398"/>
      <c r="M25" s="367"/>
    </row>
    <row r="26" spans="1:256" s="368" customFormat="1" ht="15.75">
      <c r="A26" s="399"/>
      <c r="B26" s="399"/>
      <c r="C26" s="400"/>
      <c r="D26" s="401"/>
      <c r="E26" s="399"/>
      <c r="F26" s="402"/>
      <c r="G26" s="401">
        <f>SUM(G24:G25)</f>
        <v>814547.35000000009</v>
      </c>
      <c r="H26" s="383"/>
      <c r="I26" s="403"/>
      <c r="J26" s="400"/>
      <c r="K26" s="399"/>
      <c r="L26" s="404"/>
      <c r="M26" s="405"/>
      <c r="N26" s="383"/>
    </row>
    <row r="27" spans="1:256" s="368" customFormat="1" ht="15.75">
      <c r="A27" s="399"/>
      <c r="B27" s="406"/>
      <c r="C27" s="400"/>
      <c r="D27" s="399"/>
      <c r="E27" s="399"/>
      <c r="F27" s="407"/>
      <c r="G27" s="399"/>
      <c r="I27" s="400"/>
      <c r="J27" s="400"/>
      <c r="K27" s="399"/>
      <c r="L27" s="404"/>
      <c r="M27" s="367"/>
    </row>
    <row r="28" spans="1:256" s="411" customFormat="1" ht="15.75">
      <c r="A28" s="408"/>
      <c r="B28" s="409"/>
      <c r="C28" s="410"/>
      <c r="D28" s="408"/>
      <c r="E28" s="399"/>
      <c r="F28" s="402"/>
      <c r="G28" s="408"/>
      <c r="L28" s="412"/>
      <c r="M28" s="413"/>
    </row>
    <row r="29" spans="1:256" s="411" customFormat="1" ht="15.75">
      <c r="A29" s="408"/>
      <c r="B29" s="400"/>
      <c r="D29" s="408"/>
      <c r="E29" s="408"/>
      <c r="F29" s="414"/>
      <c r="G29" s="408"/>
      <c r="L29" s="412"/>
      <c r="M29" s="413"/>
    </row>
    <row r="30" spans="1:256" s="411" customFormat="1" ht="15.75">
      <c r="A30" s="415"/>
      <c r="B30" s="416"/>
      <c r="C30" s="417"/>
      <c r="D30" s="418"/>
      <c r="E30" s="399"/>
      <c r="F30" s="402"/>
      <c r="G30" s="408"/>
      <c r="L30" s="412"/>
      <c r="M30" s="413"/>
      <c r="N30" s="419"/>
    </row>
    <row r="31" spans="1:256" s="368" customFormat="1" ht="15">
      <c r="A31" s="676"/>
      <c r="B31" s="669" t="s">
        <v>860</v>
      </c>
      <c r="C31" s="677" t="s">
        <v>861</v>
      </c>
      <c r="D31" s="677" t="s">
        <v>859</v>
      </c>
      <c r="E31" s="678">
        <v>262000</v>
      </c>
      <c r="F31" s="678">
        <v>262000</v>
      </c>
      <c r="G31" s="678">
        <v>262000</v>
      </c>
      <c r="H31" s="672">
        <f>(E31*0.05)/12*6</f>
        <v>6550</v>
      </c>
      <c r="I31" s="673">
        <f t="shared" ref="I31:I36" si="6">F31+H31</f>
        <v>268550</v>
      </c>
      <c r="J31" s="674">
        <f t="shared" ref="J31:J36" si="7">G31-H31</f>
        <v>255450</v>
      </c>
      <c r="K31" s="675" t="s">
        <v>862</v>
      </c>
      <c r="L31" s="675"/>
      <c r="M31" s="675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pans="1:256" s="411" customFormat="1" ht="15">
      <c r="A32" s="676"/>
      <c r="B32" s="669" t="s">
        <v>863</v>
      </c>
      <c r="C32" s="677" t="s">
        <v>864</v>
      </c>
      <c r="D32" s="677" t="s">
        <v>673</v>
      </c>
      <c r="E32" s="671">
        <v>242000</v>
      </c>
      <c r="F32" s="671">
        <v>242000</v>
      </c>
      <c r="G32" s="671">
        <v>242000</v>
      </c>
      <c r="H32" s="672">
        <f>(E32*0.05)/12*6</f>
        <v>6050</v>
      </c>
      <c r="I32" s="673">
        <f t="shared" si="6"/>
        <v>248050</v>
      </c>
      <c r="J32" s="674">
        <f t="shared" si="7"/>
        <v>235950</v>
      </c>
      <c r="K32" s="675" t="s">
        <v>862</v>
      </c>
      <c r="L32" s="675"/>
      <c r="M32" s="675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256" s="411" customFormat="1" ht="15">
      <c r="A33" s="676"/>
      <c r="B33" s="679" t="s">
        <v>673</v>
      </c>
      <c r="C33" s="677" t="s">
        <v>865</v>
      </c>
      <c r="D33" s="677" t="s">
        <v>673</v>
      </c>
      <c r="E33" s="671">
        <v>56000</v>
      </c>
      <c r="F33" s="671">
        <v>56000</v>
      </c>
      <c r="G33" s="671">
        <v>56000</v>
      </c>
      <c r="H33" s="672">
        <f>(E33*0.05)/12*6</f>
        <v>1400</v>
      </c>
      <c r="I33" s="673">
        <f t="shared" si="6"/>
        <v>57400</v>
      </c>
      <c r="J33" s="674">
        <f t="shared" si="7"/>
        <v>54600</v>
      </c>
      <c r="K33" s="675" t="s">
        <v>862</v>
      </c>
      <c r="L33" s="675"/>
      <c r="M33" s="675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spans="1:256" s="411" customFormat="1" ht="15">
      <c r="A34" s="676"/>
      <c r="B34" s="679" t="s">
        <v>673</v>
      </c>
      <c r="C34" s="677" t="s">
        <v>866</v>
      </c>
      <c r="D34" s="677" t="s">
        <v>673</v>
      </c>
      <c r="E34" s="671">
        <v>38000</v>
      </c>
      <c r="F34" s="671">
        <v>38000</v>
      </c>
      <c r="G34" s="671">
        <v>38000</v>
      </c>
      <c r="H34" s="672">
        <f>(E34*0.05)/12*6</f>
        <v>950</v>
      </c>
      <c r="I34" s="673">
        <f t="shared" si="6"/>
        <v>38950</v>
      </c>
      <c r="J34" s="674">
        <f t="shared" si="7"/>
        <v>37050</v>
      </c>
      <c r="K34" s="675" t="s">
        <v>862</v>
      </c>
      <c r="L34" s="675"/>
      <c r="M34" s="675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spans="1:256" s="411" customFormat="1" ht="15">
      <c r="A35" s="676"/>
      <c r="B35" s="679" t="s">
        <v>673</v>
      </c>
      <c r="C35" s="677" t="s">
        <v>867</v>
      </c>
      <c r="D35" s="677" t="s">
        <v>673</v>
      </c>
      <c r="E35" s="671">
        <v>8250</v>
      </c>
      <c r="F35" s="671">
        <v>8250</v>
      </c>
      <c r="G35" s="671">
        <v>8250</v>
      </c>
      <c r="H35" s="672">
        <f>(E35*0.05)/12*6</f>
        <v>206.25</v>
      </c>
      <c r="I35" s="673">
        <f t="shared" si="6"/>
        <v>8456.25</v>
      </c>
      <c r="J35" s="674">
        <f t="shared" si="7"/>
        <v>8043.75</v>
      </c>
      <c r="K35" s="675" t="s">
        <v>862</v>
      </c>
      <c r="L35" s="675"/>
      <c r="M35" s="675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spans="1:256" s="411" customFormat="1" ht="15">
      <c r="A36" s="676"/>
      <c r="B36" s="679" t="s">
        <v>868</v>
      </c>
      <c r="C36" s="677" t="s">
        <v>869</v>
      </c>
      <c r="D36" s="677" t="s">
        <v>673</v>
      </c>
      <c r="E36" s="671">
        <v>136800</v>
      </c>
      <c r="F36" s="671">
        <v>136800</v>
      </c>
      <c r="G36" s="671">
        <v>136800</v>
      </c>
      <c r="H36" s="672">
        <f>(E36*0.05)/12</f>
        <v>570</v>
      </c>
      <c r="I36" s="673">
        <f t="shared" si="6"/>
        <v>137370</v>
      </c>
      <c r="J36" s="674">
        <f t="shared" si="7"/>
        <v>136230</v>
      </c>
      <c r="K36" s="675" t="s">
        <v>862</v>
      </c>
      <c r="L36" s="675"/>
      <c r="M36" s="675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</row>
    <row r="37" spans="1:256" s="368" customFormat="1" ht="15">
      <c r="A37" s="417"/>
      <c r="B37" s="417"/>
      <c r="C37" s="422"/>
      <c r="D37" s="420"/>
      <c r="E37" s="414"/>
      <c r="F37" s="681">
        <f>SUM(F31:F36)</f>
        <v>743050</v>
      </c>
      <c r="G37" s="681">
        <f>SUM(G31:G36)</f>
        <v>743050</v>
      </c>
      <c r="H37" s="681">
        <f>SUM(H31:H36)</f>
        <v>15726.25</v>
      </c>
      <c r="I37" s="681">
        <f>SUM(I31:I36)</f>
        <v>758776.25</v>
      </c>
      <c r="J37" s="681">
        <f>SUM(J31:J36)</f>
        <v>727323.75</v>
      </c>
      <c r="K37" s="411"/>
      <c r="L37" s="421"/>
      <c r="M37" s="367"/>
    </row>
    <row r="38" spans="1:256" s="368" customFormat="1" ht="15.75">
      <c r="A38" s="424"/>
      <c r="B38" s="424"/>
      <c r="C38" s="424"/>
      <c r="D38" s="668"/>
      <c r="E38" s="668"/>
      <c r="F38" s="668"/>
      <c r="G38" s="668"/>
      <c r="H38" s="668"/>
      <c r="I38" s="668"/>
      <c r="J38" s="668"/>
      <c r="L38" s="398"/>
      <c r="M38" s="367"/>
    </row>
    <row r="39" spans="1:256" s="100" customFormat="1" ht="15.75" thickBot="1">
      <c r="A39" s="731"/>
      <c r="B39" s="732" t="s">
        <v>889</v>
      </c>
      <c r="C39" s="733" t="s">
        <v>890</v>
      </c>
      <c r="D39" s="733"/>
      <c r="E39" s="742">
        <v>196000</v>
      </c>
      <c r="F39" s="742">
        <v>196000</v>
      </c>
      <c r="G39" s="742">
        <v>196000</v>
      </c>
      <c r="H39" s="734">
        <f>G39*0.05/12*7</f>
        <v>5716.6666666666661</v>
      </c>
      <c r="I39" s="735">
        <f>F39+H39</f>
        <v>201716.66666666666</v>
      </c>
      <c r="J39" s="736">
        <f>G39-H39</f>
        <v>190283.33333333334</v>
      </c>
      <c r="K39" s="737"/>
      <c r="L39" s="737"/>
      <c r="M39" s="675"/>
    </row>
    <row r="40" spans="1:256" ht="15">
      <c r="A40" s="417"/>
      <c r="B40" s="417"/>
      <c r="C40" s="417"/>
      <c r="D40" s="417"/>
      <c r="F40" s="430"/>
      <c r="G40" s="430"/>
      <c r="H40" s="430"/>
      <c r="I40" s="430"/>
      <c r="J40" s="430"/>
    </row>
    <row r="41" spans="1:256" ht="15">
      <c r="A41" s="100"/>
      <c r="B41" s="669" t="s">
        <v>850</v>
      </c>
      <c r="C41" s="670" t="s">
        <v>851</v>
      </c>
      <c r="D41" s="670" t="s">
        <v>852</v>
      </c>
      <c r="E41" s="671">
        <f>4*64000</f>
        <v>256000</v>
      </c>
      <c r="F41" s="671">
        <f>4*64000</f>
        <v>256000</v>
      </c>
      <c r="G41" s="671">
        <f>4*64000</f>
        <v>256000</v>
      </c>
      <c r="H41" s="672"/>
      <c r="I41" s="673">
        <f>F41+H41</f>
        <v>256000</v>
      </c>
      <c r="J41" s="674">
        <f>G41-H41</f>
        <v>256000</v>
      </c>
      <c r="K41" s="675" t="s">
        <v>853</v>
      </c>
      <c r="L41" s="675"/>
      <c r="M41" s="675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spans="1:256" ht="15">
      <c r="A42" s="100"/>
      <c r="B42" s="669" t="s">
        <v>850</v>
      </c>
      <c r="C42" s="670" t="s">
        <v>854</v>
      </c>
      <c r="D42" s="670" t="s">
        <v>855</v>
      </c>
      <c r="E42" s="671">
        <f>4*77000</f>
        <v>308000</v>
      </c>
      <c r="F42" s="671">
        <f>4*77000</f>
        <v>308000</v>
      </c>
      <c r="G42" s="671">
        <f>4*77000</f>
        <v>308000</v>
      </c>
      <c r="H42" s="672"/>
      <c r="I42" s="673">
        <f>F42+H42</f>
        <v>308000</v>
      </c>
      <c r="J42" s="674">
        <f>G42-H42</f>
        <v>308000</v>
      </c>
      <c r="K42" s="675" t="s">
        <v>853</v>
      </c>
      <c r="L42" s="675"/>
      <c r="M42" s="675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  <row r="43" spans="1:256" ht="15">
      <c r="A43" s="100"/>
      <c r="B43" s="669" t="s">
        <v>850</v>
      </c>
      <c r="C43" s="670" t="s">
        <v>856</v>
      </c>
      <c r="D43" s="670" t="s">
        <v>857</v>
      </c>
      <c r="E43" s="671">
        <f>3*18000</f>
        <v>54000</v>
      </c>
      <c r="F43" s="671">
        <f>3*18000</f>
        <v>54000</v>
      </c>
      <c r="G43" s="671">
        <f>3*18000</f>
        <v>54000</v>
      </c>
      <c r="H43" s="672"/>
      <c r="I43" s="673">
        <f>F43+H43</f>
        <v>54000</v>
      </c>
      <c r="J43" s="674">
        <f>G43-H43</f>
        <v>54000</v>
      </c>
      <c r="K43" s="675" t="s">
        <v>853</v>
      </c>
      <c r="L43" s="675"/>
      <c r="M43" s="675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</row>
    <row r="44" spans="1:256" ht="15">
      <c r="A44" s="100"/>
      <c r="B44" s="669" t="s">
        <v>850</v>
      </c>
      <c r="C44" s="670" t="s">
        <v>858</v>
      </c>
      <c r="D44" s="670" t="s">
        <v>859</v>
      </c>
      <c r="E44" s="671">
        <v>172000</v>
      </c>
      <c r="F44" s="671">
        <v>172000</v>
      </c>
      <c r="G44" s="671">
        <v>172000</v>
      </c>
      <c r="H44" s="672"/>
      <c r="I44" s="673">
        <f>F44+H44</f>
        <v>172000</v>
      </c>
      <c r="J44" s="674">
        <f>G44-H44</f>
        <v>172000</v>
      </c>
      <c r="K44" s="675" t="s">
        <v>853</v>
      </c>
      <c r="L44" s="675"/>
      <c r="M44" s="675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</row>
    <row r="45" spans="1:256">
      <c r="F45" s="683">
        <f>SUM(F41:F44)</f>
        <v>790000</v>
      </c>
      <c r="G45" s="683">
        <f>SUM(G41:G44)</f>
        <v>790000</v>
      </c>
      <c r="H45" s="683">
        <f>SUM(H41:H44)</f>
        <v>0</v>
      </c>
      <c r="I45" s="683">
        <f>SUM(I41:I44)</f>
        <v>790000</v>
      </c>
      <c r="J45" s="683">
        <f>SUM(J41:J44)</f>
        <v>790000</v>
      </c>
    </row>
    <row r="46" spans="1:256">
      <c r="F46" s="682"/>
      <c r="G46" s="682"/>
      <c r="H46" s="682"/>
      <c r="I46" s="682"/>
      <c r="J46" s="682"/>
    </row>
    <row r="47" spans="1:256">
      <c r="F47" s="430"/>
      <c r="G47" s="430"/>
      <c r="H47" s="430"/>
      <c r="I47" s="430"/>
      <c r="J47" s="430"/>
    </row>
    <row r="48" spans="1:256">
      <c r="F48" s="430"/>
      <c r="G48" s="430"/>
      <c r="H48" s="430"/>
      <c r="I48" s="430"/>
      <c r="J48" s="430"/>
    </row>
    <row r="49" spans="1:256" ht="15">
      <c r="A49" s="676"/>
      <c r="B49" s="679" t="s">
        <v>870</v>
      </c>
      <c r="C49" s="677" t="s">
        <v>871</v>
      </c>
      <c r="D49" s="677"/>
      <c r="E49" s="671">
        <v>636400</v>
      </c>
      <c r="F49" s="671">
        <v>636400</v>
      </c>
      <c r="G49" s="671">
        <v>636400</v>
      </c>
      <c r="H49" s="672">
        <f>(E49*0.05)/12*10</f>
        <v>26516.666666666664</v>
      </c>
      <c r="I49" s="673">
        <f t="shared" ref="I49:I54" si="8">F49+H49</f>
        <v>662916.66666666663</v>
      </c>
      <c r="J49" s="674">
        <f t="shared" ref="J49:J54" si="9">G49-H49</f>
        <v>609883.33333333337</v>
      </c>
      <c r="K49" s="675" t="s">
        <v>872</v>
      </c>
      <c r="L49" s="675"/>
      <c r="M49" s="675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</row>
    <row r="50" spans="1:256" ht="15">
      <c r="A50" s="676"/>
      <c r="B50" s="679" t="s">
        <v>873</v>
      </c>
      <c r="C50" s="677" t="s">
        <v>874</v>
      </c>
      <c r="D50" s="677"/>
      <c r="E50" s="671">
        <v>624000</v>
      </c>
      <c r="F50" s="671">
        <v>624000</v>
      </c>
      <c r="G50" s="671">
        <v>624000</v>
      </c>
      <c r="H50" s="672">
        <f>(E50*0.05)/12*6</f>
        <v>15600</v>
      </c>
      <c r="I50" s="673">
        <f t="shared" si="8"/>
        <v>639600</v>
      </c>
      <c r="J50" s="674">
        <f t="shared" si="9"/>
        <v>608400</v>
      </c>
      <c r="K50" s="675" t="s">
        <v>872</v>
      </c>
      <c r="L50" s="675"/>
      <c r="M50" s="675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</row>
    <row r="51" spans="1:256" ht="15">
      <c r="A51" s="676"/>
      <c r="B51" s="679" t="s">
        <v>875</v>
      </c>
      <c r="C51" s="677" t="s">
        <v>876</v>
      </c>
      <c r="D51" s="677"/>
      <c r="E51" s="671">
        <v>720000</v>
      </c>
      <c r="F51" s="671">
        <v>720000</v>
      </c>
      <c r="G51" s="671">
        <v>720000</v>
      </c>
      <c r="H51" s="672">
        <f>(E51*0.05)/12*6</f>
        <v>18000</v>
      </c>
      <c r="I51" s="673">
        <f t="shared" si="8"/>
        <v>738000</v>
      </c>
      <c r="J51" s="674">
        <f t="shared" si="9"/>
        <v>702000</v>
      </c>
      <c r="K51" s="675" t="s">
        <v>877</v>
      </c>
      <c r="L51" s="675"/>
      <c r="M51" s="675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</row>
    <row r="52" spans="1:256" ht="15">
      <c r="A52" s="676"/>
      <c r="B52" s="669" t="s">
        <v>878</v>
      </c>
      <c r="C52" s="670" t="s">
        <v>879</v>
      </c>
      <c r="D52" s="670"/>
      <c r="E52" s="671">
        <f>45400+2896660</f>
        <v>2942060</v>
      </c>
      <c r="F52" s="671">
        <f>45400+2896660</f>
        <v>2942060</v>
      </c>
      <c r="G52" s="671">
        <f>45400+2896660</f>
        <v>2942060</v>
      </c>
      <c r="H52" s="672">
        <f>(E52*0.05)/12*4</f>
        <v>49034.333333333336</v>
      </c>
      <c r="I52" s="673">
        <f t="shared" si="8"/>
        <v>2991094.3333333335</v>
      </c>
      <c r="J52" s="674">
        <f t="shared" si="9"/>
        <v>2893025.6666666665</v>
      </c>
      <c r="K52" s="675" t="s">
        <v>872</v>
      </c>
      <c r="L52" s="675"/>
      <c r="M52" s="675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</row>
    <row r="53" spans="1:256" ht="15">
      <c r="A53" s="676"/>
      <c r="B53" s="669" t="s">
        <v>880</v>
      </c>
      <c r="C53" s="670" t="s">
        <v>881</v>
      </c>
      <c r="D53" s="670"/>
      <c r="E53" s="671">
        <v>780003</v>
      </c>
      <c r="F53" s="671">
        <v>780003</v>
      </c>
      <c r="G53" s="671">
        <v>780003</v>
      </c>
      <c r="H53" s="672"/>
      <c r="I53" s="673">
        <f t="shared" si="8"/>
        <v>780003</v>
      </c>
      <c r="J53" s="674">
        <f t="shared" si="9"/>
        <v>780003</v>
      </c>
      <c r="K53" s="675" t="s">
        <v>877</v>
      </c>
      <c r="L53" s="675"/>
      <c r="M53" s="675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</row>
    <row r="54" spans="1:256" ht="15">
      <c r="A54" s="676"/>
      <c r="B54" s="669" t="s">
        <v>882</v>
      </c>
      <c r="C54" s="670" t="s">
        <v>883</v>
      </c>
      <c r="D54" s="670" t="s">
        <v>884</v>
      </c>
      <c r="E54" s="671">
        <f>4*58333.33</f>
        <v>233333.32</v>
      </c>
      <c r="F54" s="671">
        <f>4*58333.33</f>
        <v>233333.32</v>
      </c>
      <c r="G54" s="671">
        <f>4*58333.33</f>
        <v>233333.32</v>
      </c>
      <c r="H54" s="672">
        <f>(E54*0.05)/12*3</f>
        <v>2916.6665000000003</v>
      </c>
      <c r="I54" s="673">
        <f t="shared" si="8"/>
        <v>236249.9865</v>
      </c>
      <c r="J54" s="674">
        <f t="shared" si="9"/>
        <v>230416.65350000001</v>
      </c>
      <c r="K54" s="675" t="s">
        <v>872</v>
      </c>
      <c r="L54" s="675"/>
      <c r="M54" s="675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</row>
    <row r="55" spans="1:256">
      <c r="F55" s="683">
        <f>SUM(F49:F54)</f>
        <v>5935796.3200000003</v>
      </c>
      <c r="G55" s="683">
        <f>SUM(G49:G54)</f>
        <v>5935796.3200000003</v>
      </c>
      <c r="H55" s="683">
        <f>SUM(H49:H54)</f>
        <v>112067.66650000001</v>
      </c>
      <c r="I55" s="683">
        <f>SUM(I49:I54)</f>
        <v>6047863.9864999996</v>
      </c>
      <c r="J55" s="683">
        <f>SUM(J49:J54)</f>
        <v>5823728.6535</v>
      </c>
    </row>
    <row r="56" spans="1:256">
      <c r="F56" s="684"/>
      <c r="G56" s="684"/>
      <c r="H56" s="684"/>
      <c r="I56" s="684"/>
      <c r="J56" s="684"/>
    </row>
    <row r="57" spans="1:256">
      <c r="F57" s="685">
        <f>F37+F45+F55+F39</f>
        <v>7664846.3200000003</v>
      </c>
      <c r="G57" s="685">
        <f>G37+G45+G55+G39</f>
        <v>7664846.3200000003</v>
      </c>
      <c r="H57" s="685">
        <f>H37+H45+H55+H39</f>
        <v>133510.58316666668</v>
      </c>
      <c r="I57" s="685">
        <f>I37+I45+I55+I39</f>
        <v>7798356.9031666666</v>
      </c>
      <c r="J57" s="685">
        <f>J37+J45+J55+J39</f>
        <v>7531335.736833333</v>
      </c>
      <c r="K57" s="425"/>
    </row>
    <row r="58" spans="1:256">
      <c r="F58" s="425"/>
      <c r="G58" s="425"/>
      <c r="H58" s="425"/>
      <c r="I58" s="425"/>
      <c r="J58" s="425"/>
      <c r="K58" s="425"/>
    </row>
  </sheetData>
  <mergeCells count="17">
    <mergeCell ref="A2:C2"/>
    <mergeCell ref="A3:C3"/>
    <mergeCell ref="E4:K4"/>
    <mergeCell ref="A5:A9"/>
    <mergeCell ref="B5:B9"/>
    <mergeCell ref="C5:G6"/>
    <mergeCell ref="H5:K6"/>
    <mergeCell ref="L5:L9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rintOptions horizontalCentered="1"/>
  <pageMargins left="0" right="0" top="0.5" bottom="0.2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</sheetPr>
  <dimension ref="A1:O24"/>
  <sheetViews>
    <sheetView workbookViewId="0">
      <selection activeCell="J21" sqref="J21"/>
    </sheetView>
  </sheetViews>
  <sheetFormatPr defaultRowHeight="11.25"/>
  <cols>
    <col min="1" max="1" width="19.5703125" style="436" customWidth="1"/>
    <col min="2" max="2" width="11.140625" style="436" customWidth="1"/>
    <col min="3" max="3" width="1.7109375" style="436" customWidth="1"/>
    <col min="4" max="4" width="10.7109375" style="436" customWidth="1"/>
    <col min="5" max="5" width="2" style="436" customWidth="1"/>
    <col min="6" max="6" width="12.42578125" style="436" customWidth="1"/>
    <col min="7" max="7" width="1.42578125" style="436" customWidth="1"/>
    <col min="8" max="8" width="11.7109375" style="436" customWidth="1"/>
    <col min="9" max="9" width="1.85546875" style="436" customWidth="1"/>
    <col min="10" max="10" width="10.85546875" style="436" customWidth="1"/>
    <col min="11" max="11" width="1.85546875" style="436" customWidth="1"/>
    <col min="12" max="12" width="10.7109375" style="436" customWidth="1"/>
    <col min="13" max="13" width="9.140625" style="436"/>
    <col min="14" max="14" width="9" style="436" bestFit="1" customWidth="1"/>
    <col min="15" max="15" width="15" style="436" bestFit="1" customWidth="1"/>
    <col min="16" max="16384" width="9.140625" style="436"/>
  </cols>
  <sheetData>
    <row r="1" spans="1:15" ht="22.5" customHeight="1">
      <c r="A1" s="435" t="s">
        <v>730</v>
      </c>
    </row>
    <row r="3" spans="1:15" s="437" customFormat="1">
      <c r="A3" s="1016" t="s">
        <v>739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</row>
    <row r="4" spans="1:15">
      <c r="A4" s="438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</row>
    <row r="5" spans="1:15" ht="39" customHeight="1">
      <c r="A5" s="440"/>
      <c r="B5" s="441" t="s">
        <v>672</v>
      </c>
      <c r="C5" s="441"/>
      <c r="D5" s="441" t="s">
        <v>731</v>
      </c>
      <c r="E5" s="441"/>
      <c r="F5" s="441" t="s">
        <v>732</v>
      </c>
      <c r="G5" s="441"/>
      <c r="H5" s="441" t="s">
        <v>733</v>
      </c>
      <c r="I5" s="441"/>
      <c r="J5" s="441" t="s">
        <v>734</v>
      </c>
      <c r="K5" s="441"/>
      <c r="L5" s="441" t="s">
        <v>11</v>
      </c>
    </row>
    <row r="6" spans="1:15" ht="12.75">
      <c r="A6" s="442" t="s">
        <v>735</v>
      </c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</row>
    <row r="7" spans="1:15" ht="12.75">
      <c r="A7" s="444" t="s">
        <v>740</v>
      </c>
      <c r="B7" s="445">
        <f>4389430+564338153</f>
        <v>568727583</v>
      </c>
      <c r="C7" s="445"/>
      <c r="D7" s="445">
        <v>26723688</v>
      </c>
      <c r="E7" s="445"/>
      <c r="F7" s="445">
        <v>50780382.799999997</v>
      </c>
      <c r="G7" s="445"/>
      <c r="H7" s="445">
        <v>2583334</v>
      </c>
      <c r="I7" s="445"/>
      <c r="J7" s="445">
        <f>16598841+75020+987000</f>
        <v>17660861</v>
      </c>
      <c r="K7" s="445"/>
      <c r="L7" s="445">
        <f>SUM(B7:J7)</f>
        <v>666475848.79999995</v>
      </c>
    </row>
    <row r="8" spans="1:15" ht="12.75">
      <c r="A8" s="444" t="s">
        <v>736</v>
      </c>
      <c r="B8" s="446"/>
      <c r="C8" s="446"/>
      <c r="D8" s="446">
        <v>0</v>
      </c>
      <c r="E8" s="446"/>
      <c r="F8" s="446"/>
      <c r="G8" s="446"/>
      <c r="H8" s="446">
        <v>0</v>
      </c>
      <c r="I8" s="446"/>
      <c r="J8" s="446">
        <v>0</v>
      </c>
      <c r="K8" s="446"/>
      <c r="L8" s="445">
        <f>SUM(B8:J8)</f>
        <v>0</v>
      </c>
    </row>
    <row r="9" spans="1:15" ht="12.75">
      <c r="A9" s="444" t="s">
        <v>737</v>
      </c>
      <c r="B9" s="446">
        <v>0</v>
      </c>
      <c r="C9" s="446"/>
      <c r="D9" s="446">
        <v>0</v>
      </c>
      <c r="E9" s="446"/>
      <c r="F9" s="446">
        <v>2944184</v>
      </c>
      <c r="G9" s="446"/>
      <c r="H9" s="446">
        <v>0</v>
      </c>
      <c r="I9" s="446"/>
      <c r="J9" s="446">
        <f>116765+75020</f>
        <v>191785</v>
      </c>
      <c r="K9" s="446"/>
      <c r="L9" s="446">
        <f>SUM(B9:J9)</f>
        <v>3135969</v>
      </c>
    </row>
    <row r="10" spans="1:15" ht="13.5" thickBot="1">
      <c r="A10" s="444" t="s">
        <v>741</v>
      </c>
      <c r="B10" s="447">
        <f>B7+B8-B9</f>
        <v>568727583</v>
      </c>
      <c r="C10" s="448"/>
      <c r="D10" s="447">
        <f>D7+D8-D9</f>
        <v>26723688</v>
      </c>
      <c r="E10" s="445"/>
      <c r="F10" s="447">
        <f>F7+F8-F9</f>
        <v>47836198.799999997</v>
      </c>
      <c r="G10" s="445"/>
      <c r="H10" s="447">
        <f>H7+H8-H9</f>
        <v>2583334</v>
      </c>
      <c r="I10" s="445"/>
      <c r="J10" s="447">
        <f>J7+J8-J9</f>
        <v>17469076</v>
      </c>
      <c r="K10" s="445"/>
      <c r="L10" s="447">
        <f>L7+L8-L9</f>
        <v>663339879.79999995</v>
      </c>
    </row>
    <row r="11" spans="1:15" ht="13.5" thickTop="1">
      <c r="A11" s="442" t="s">
        <v>738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</row>
    <row r="12" spans="1:15" ht="12.75">
      <c r="A12" s="444" t="str">
        <f>A7</f>
        <v>Gjendje 01.01.2016</v>
      </c>
      <c r="B12" s="445">
        <v>233611569.88</v>
      </c>
      <c r="C12" s="445">
        <v>0</v>
      </c>
      <c r="D12" s="445">
        <v>12028066.5</v>
      </c>
      <c r="E12" s="445"/>
      <c r="F12" s="445">
        <v>45486351.340000004</v>
      </c>
      <c r="G12" s="445"/>
      <c r="H12" s="445">
        <v>2314401.29</v>
      </c>
      <c r="I12" s="446"/>
      <c r="J12" s="446">
        <f>15036241.47+67216.71+704307.67</f>
        <v>15807765.850000001</v>
      </c>
      <c r="K12" s="446"/>
      <c r="L12" s="445">
        <f>SUM(B12:J12)</f>
        <v>309248154.86000007</v>
      </c>
      <c r="O12" s="449">
        <v>233611569.88</v>
      </c>
    </row>
    <row r="13" spans="1:15" ht="12.75">
      <c r="A13" s="444" t="s">
        <v>736</v>
      </c>
      <c r="B13" s="445">
        <f>16536329.16</f>
        <v>16536329.16</v>
      </c>
      <c r="C13" s="445"/>
      <c r="D13" s="445">
        <v>734781.08</v>
      </c>
      <c r="E13" s="445"/>
      <c r="F13" s="445">
        <v>1266408.29</v>
      </c>
      <c r="G13" s="445"/>
      <c r="H13" s="445">
        <v>53786.54</v>
      </c>
      <c r="I13" s="446"/>
      <c r="J13" s="446">
        <f>394672.88+7803.29+28269.23</f>
        <v>430745.39999999997</v>
      </c>
      <c r="K13" s="446"/>
      <c r="L13" s="445">
        <f>SUM(B13:J13)</f>
        <v>19022050.469999995</v>
      </c>
      <c r="O13" s="449">
        <v>12028066.5</v>
      </c>
    </row>
    <row r="14" spans="1:15" ht="12.75">
      <c r="A14" s="444" t="s">
        <v>737</v>
      </c>
      <c r="B14" s="446">
        <v>0</v>
      </c>
      <c r="C14" s="446"/>
      <c r="D14" s="446"/>
      <c r="E14" s="446"/>
      <c r="F14" s="446">
        <v>2948073.63</v>
      </c>
      <c r="G14" s="445"/>
      <c r="H14" s="445">
        <v>0</v>
      </c>
      <c r="I14" s="446"/>
      <c r="J14" s="446">
        <f>112743+75020+1.1</f>
        <v>187764.1</v>
      </c>
      <c r="K14" s="446"/>
      <c r="L14" s="445">
        <f>SUM(B14:J14)</f>
        <v>3135837.73</v>
      </c>
      <c r="O14" s="450">
        <f>SUM(O12:O13)</f>
        <v>245639636.38</v>
      </c>
    </row>
    <row r="15" spans="1:15" ht="13.5" thickBot="1">
      <c r="A15" s="444" t="str">
        <f>A10</f>
        <v>Gjendje 31.12.2016</v>
      </c>
      <c r="B15" s="447">
        <f>+B12+B13-B14</f>
        <v>250147899.03999999</v>
      </c>
      <c r="C15" s="448">
        <f>+C12+C13</f>
        <v>0</v>
      </c>
      <c r="D15" s="447">
        <f>+D12+D13-D14</f>
        <v>12762847.58</v>
      </c>
      <c r="E15" s="445"/>
      <c r="F15" s="447">
        <f>+F12+F13-F14</f>
        <v>43804686</v>
      </c>
      <c r="G15" s="445"/>
      <c r="H15" s="447">
        <f>+H12+H13-H14</f>
        <v>2368187.83</v>
      </c>
      <c r="I15" s="448"/>
      <c r="J15" s="447">
        <f>+J12+J13-J14</f>
        <v>16050747.150000002</v>
      </c>
      <c r="K15" s="448"/>
      <c r="L15" s="447">
        <f>+L12+L13-L14</f>
        <v>325134367.60000002</v>
      </c>
    </row>
    <row r="16" spans="1:15" ht="13.5" thickTop="1">
      <c r="A16" s="444"/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</row>
    <row r="17" spans="1:12" ht="12.75">
      <c r="A17" s="442" t="s">
        <v>742</v>
      </c>
      <c r="B17" s="446">
        <f>+B7-B12</f>
        <v>335116013.12</v>
      </c>
      <c r="C17" s="446"/>
      <c r="D17" s="446">
        <f>+D7-D12</f>
        <v>14695621.5</v>
      </c>
      <c r="E17" s="446"/>
      <c r="F17" s="446">
        <f>+F7-F12</f>
        <v>5294031.4599999934</v>
      </c>
      <c r="G17" s="446"/>
      <c r="H17" s="446">
        <f>+H7-H12</f>
        <v>268932.70999999996</v>
      </c>
      <c r="I17" s="446"/>
      <c r="J17" s="446">
        <f>+J7-J12</f>
        <v>1853095.1499999985</v>
      </c>
      <c r="K17" s="446"/>
      <c r="L17" s="446">
        <f>+L7-L12</f>
        <v>357227693.93999988</v>
      </c>
    </row>
    <row r="18" spans="1:12" ht="13.5" thickBot="1">
      <c r="A18" s="442" t="s">
        <v>743</v>
      </c>
      <c r="B18" s="451">
        <f>+B10-B15</f>
        <v>318579683.96000004</v>
      </c>
      <c r="C18" s="452"/>
      <c r="D18" s="451">
        <f>+D10-D15</f>
        <v>13960840.42</v>
      </c>
      <c r="E18" s="446"/>
      <c r="F18" s="451">
        <f>+F10-F15</f>
        <v>4031512.799999997</v>
      </c>
      <c r="G18" s="446"/>
      <c r="H18" s="451">
        <f>+H10-H15</f>
        <v>215146.16999999993</v>
      </c>
      <c r="I18" s="452"/>
      <c r="J18" s="451">
        <f>+J10-J15</f>
        <v>1418328.8499999978</v>
      </c>
      <c r="K18" s="452"/>
      <c r="L18" s="451">
        <f>+L10-L15</f>
        <v>338205512.19999993</v>
      </c>
    </row>
    <row r="19" spans="1:12" ht="12" thickTop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</row>
    <row r="20" spans="1:12">
      <c r="L20" s="453"/>
    </row>
    <row r="21" spans="1:12">
      <c r="B21" s="454">
        <f>B13/B17</f>
        <v>4.9345088007115283E-2</v>
      </c>
      <c r="C21" s="454"/>
      <c r="D21" s="454">
        <f t="shared" ref="D21:J21" si="0">D13/D17</f>
        <v>5.0000000340237397E-2</v>
      </c>
      <c r="E21" s="454"/>
      <c r="F21" s="454">
        <f t="shared" si="0"/>
        <v>0.23921434913422324</v>
      </c>
      <c r="G21" s="454"/>
      <c r="H21" s="454">
        <f t="shared" si="0"/>
        <v>0.19999999256319548</v>
      </c>
      <c r="I21" s="454"/>
      <c r="J21" s="454">
        <f t="shared" si="0"/>
        <v>0.2324464558660144</v>
      </c>
      <c r="L21" s="455"/>
    </row>
    <row r="22" spans="1:12">
      <c r="L22" s="455"/>
    </row>
    <row r="24" spans="1:12">
      <c r="L24" s="456"/>
    </row>
  </sheetData>
  <mergeCells count="1">
    <mergeCell ref="A3:L3"/>
  </mergeCells>
  <pageMargins left="0.75" right="0.41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C8:J55"/>
  <sheetViews>
    <sheetView topLeftCell="A13" workbookViewId="0">
      <selection activeCell="O26" sqref="O26"/>
    </sheetView>
  </sheetViews>
  <sheetFormatPr defaultRowHeight="11.25"/>
  <cols>
    <col min="1" max="1" width="6.5703125" style="57" customWidth="1"/>
    <col min="2" max="2" width="5.5703125" style="57" customWidth="1"/>
    <col min="3" max="3" width="13.140625" style="57" customWidth="1"/>
    <col min="4" max="4" width="9.140625" style="57" customWidth="1"/>
    <col min="5" max="5" width="9.140625" style="57"/>
    <col min="6" max="6" width="10.140625" style="57" customWidth="1"/>
    <col min="7" max="8" width="9.140625" style="57"/>
    <col min="9" max="9" width="7.7109375" style="57" customWidth="1"/>
    <col min="10" max="10" width="7.28515625" style="57" customWidth="1"/>
    <col min="11" max="16384" width="9.140625" style="57"/>
  </cols>
  <sheetData>
    <row r="8" spans="3:10" ht="12.75">
      <c r="C8" s="58"/>
      <c r="D8" s="59" t="s">
        <v>909</v>
      </c>
      <c r="E8" s="59"/>
      <c r="F8" s="59"/>
      <c r="G8" s="59"/>
      <c r="H8" s="59"/>
      <c r="I8" s="58"/>
      <c r="J8" s="58"/>
    </row>
    <row r="9" spans="3:10" ht="12.75">
      <c r="C9" s="58"/>
      <c r="D9" s="59" t="s">
        <v>910</v>
      </c>
      <c r="E9" s="59"/>
      <c r="F9" s="59"/>
      <c r="G9" s="59"/>
      <c r="H9" s="59"/>
      <c r="I9" s="58"/>
      <c r="J9" s="58"/>
    </row>
    <row r="10" spans="3:10" ht="12.75">
      <c r="C10" s="58"/>
      <c r="D10" s="59" t="s">
        <v>911</v>
      </c>
      <c r="E10" s="59"/>
      <c r="F10" s="59"/>
      <c r="G10" s="59"/>
      <c r="H10" s="59"/>
      <c r="I10" s="58"/>
      <c r="J10" s="58"/>
    </row>
    <row r="11" spans="3:10" ht="12.75">
      <c r="C11" s="58"/>
      <c r="D11" s="59" t="s">
        <v>923</v>
      </c>
      <c r="E11" s="59"/>
      <c r="F11" s="59"/>
      <c r="G11" s="59"/>
      <c r="H11" s="59"/>
      <c r="I11" s="58"/>
      <c r="J11" s="58"/>
    </row>
    <row r="12" spans="3:10" ht="12.75">
      <c r="C12" s="58"/>
      <c r="D12" s="59" t="s">
        <v>924</v>
      </c>
      <c r="E12" s="59"/>
      <c r="F12" s="59"/>
      <c r="G12" s="59"/>
      <c r="H12" s="59"/>
      <c r="I12" s="58"/>
      <c r="J12" s="58"/>
    </row>
    <row r="13" spans="3:10">
      <c r="C13" s="58"/>
      <c r="D13" s="58"/>
      <c r="E13" s="58"/>
      <c r="F13" s="58"/>
      <c r="G13" s="58"/>
      <c r="H13" s="58"/>
      <c r="I13" s="58"/>
      <c r="J13" s="58"/>
    </row>
    <row r="14" spans="3:10">
      <c r="C14" s="58"/>
      <c r="D14" s="58"/>
      <c r="E14" s="58"/>
      <c r="F14" s="58"/>
      <c r="G14" s="58"/>
      <c r="H14" s="58"/>
      <c r="I14" s="58"/>
      <c r="J14" s="58"/>
    </row>
    <row r="15" spans="3:10" ht="12.75">
      <c r="C15" s="58"/>
      <c r="D15" s="60" t="s">
        <v>245</v>
      </c>
      <c r="E15" s="60"/>
      <c r="F15" s="60"/>
      <c r="G15" s="60"/>
      <c r="H15" s="60"/>
      <c r="I15" s="58"/>
      <c r="J15" s="58"/>
    </row>
    <row r="16" spans="3:10" ht="15">
      <c r="C16" s="58"/>
      <c r="D16" s="754" t="s">
        <v>912</v>
      </c>
      <c r="E16" s="754"/>
      <c r="F16" s="755"/>
      <c r="G16" s="755"/>
      <c r="H16" s="755"/>
      <c r="I16" s="755"/>
      <c r="J16" s="58"/>
    </row>
    <row r="17" spans="3:10" ht="15">
      <c r="C17" s="58"/>
      <c r="D17" s="754" t="s">
        <v>913</v>
      </c>
      <c r="E17" s="754"/>
      <c r="F17" s="755"/>
      <c r="G17" s="755"/>
      <c r="H17" s="755"/>
      <c r="I17" s="755"/>
      <c r="J17" s="58"/>
    </row>
    <row r="18" spans="3:10" ht="15">
      <c r="C18" s="58"/>
      <c r="D18" s="754" t="s">
        <v>914</v>
      </c>
      <c r="E18" s="754"/>
      <c r="F18" s="755"/>
      <c r="G18" s="755"/>
      <c r="H18" s="755"/>
      <c r="I18" s="755"/>
      <c r="J18" s="58"/>
    </row>
    <row r="19" spans="3:10" ht="15">
      <c r="C19" s="58"/>
      <c r="D19" s="754" t="s">
        <v>915</v>
      </c>
      <c r="E19" s="754"/>
      <c r="F19" s="755"/>
      <c r="G19" s="755"/>
      <c r="H19" s="755"/>
      <c r="I19" s="755"/>
      <c r="J19" s="58"/>
    </row>
    <row r="20" spans="3:10" ht="15">
      <c r="C20" s="58"/>
      <c r="D20" s="754" t="s">
        <v>916</v>
      </c>
      <c r="E20" s="754"/>
      <c r="F20" s="755"/>
      <c r="G20" s="755"/>
      <c r="H20" s="755"/>
      <c r="I20" s="755"/>
      <c r="J20" s="58"/>
    </row>
    <row r="21" spans="3:10" ht="15">
      <c r="C21" s="58"/>
      <c r="D21" s="754" t="s">
        <v>917</v>
      </c>
      <c r="E21" s="754"/>
      <c r="F21" s="755"/>
      <c r="G21" s="755"/>
      <c r="H21" s="755"/>
      <c r="I21" s="755"/>
      <c r="J21" s="58"/>
    </row>
    <row r="22" spans="3:10" ht="15">
      <c r="C22" s="58"/>
      <c r="D22" s="754" t="s">
        <v>918</v>
      </c>
      <c r="E22" s="754"/>
      <c r="F22" s="755"/>
      <c r="G22" s="755"/>
      <c r="H22" s="755"/>
      <c r="I22" s="755"/>
      <c r="J22" s="58"/>
    </row>
    <row r="23" spans="3:10" ht="15">
      <c r="C23" s="58"/>
      <c r="D23" s="754" t="s">
        <v>919</v>
      </c>
      <c r="E23" s="754"/>
      <c r="F23" s="755"/>
      <c r="G23" s="755"/>
      <c r="H23" s="755"/>
      <c r="I23" s="755"/>
      <c r="J23" s="58"/>
    </row>
    <row r="24" spans="3:10" ht="15">
      <c r="C24" s="58"/>
      <c r="D24" s="754" t="s">
        <v>920</v>
      </c>
      <c r="E24" s="754"/>
      <c r="F24" s="755"/>
      <c r="G24" s="755"/>
      <c r="H24" s="755"/>
      <c r="I24" s="755"/>
      <c r="J24" s="58"/>
    </row>
    <row r="25" spans="3:10" ht="15">
      <c r="C25" s="58"/>
      <c r="D25" s="754" t="s">
        <v>921</v>
      </c>
      <c r="E25" s="754"/>
      <c r="F25" s="755"/>
      <c r="G25" s="755"/>
      <c r="H25" s="755"/>
      <c r="I25" s="755"/>
      <c r="J25" s="58"/>
    </row>
    <row r="26" spans="3:10" ht="15">
      <c r="C26" s="58"/>
      <c r="D26" s="754"/>
      <c r="E26" s="754"/>
      <c r="F26" s="755"/>
      <c r="G26" s="755"/>
      <c r="H26" s="755"/>
      <c r="I26" s="755"/>
      <c r="J26" s="58"/>
    </row>
    <row r="27" spans="3:10" ht="15">
      <c r="C27" s="58"/>
      <c r="D27" s="754"/>
      <c r="E27" s="754"/>
      <c r="F27" s="755"/>
      <c r="G27" s="755"/>
      <c r="H27" s="755"/>
      <c r="I27" s="755"/>
      <c r="J27" s="58"/>
    </row>
    <row r="28" spans="3:10" ht="15.75">
      <c r="C28" s="1019" t="s">
        <v>246</v>
      </c>
      <c r="D28" s="1019"/>
      <c r="E28" s="1019"/>
      <c r="F28" s="1019"/>
      <c r="G28" s="1019"/>
      <c r="H28" s="1019"/>
      <c r="I28" s="1019"/>
      <c r="J28" s="62"/>
    </row>
    <row r="29" spans="3:10">
      <c r="C29" s="1017" t="s">
        <v>243</v>
      </c>
      <c r="D29" s="1017"/>
      <c r="E29" s="1017"/>
      <c r="F29" s="1017"/>
      <c r="G29" s="1017"/>
      <c r="H29" s="1017"/>
      <c r="I29" s="1017"/>
      <c r="J29" s="61"/>
    </row>
    <row r="30" spans="3:10">
      <c r="C30" s="1017" t="s">
        <v>244</v>
      </c>
      <c r="D30" s="1017"/>
      <c r="E30" s="1017"/>
      <c r="F30" s="1017"/>
      <c r="G30" s="1017"/>
      <c r="H30" s="1017"/>
      <c r="I30" s="1017"/>
      <c r="J30" s="61"/>
    </row>
    <row r="31" spans="3:10">
      <c r="C31" s="58"/>
      <c r="D31" s="58"/>
      <c r="E31" s="58"/>
      <c r="F31" s="58"/>
      <c r="G31" s="58"/>
      <c r="H31" s="58"/>
      <c r="I31" s="58"/>
      <c r="J31" s="58"/>
    </row>
    <row r="32" spans="3:10">
      <c r="C32" s="58"/>
      <c r="D32" s="58"/>
      <c r="E32" s="58"/>
      <c r="F32" s="58"/>
      <c r="G32" s="58"/>
      <c r="H32" s="58"/>
      <c r="I32" s="58"/>
      <c r="J32" s="58"/>
    </row>
    <row r="33" spans="3:10">
      <c r="C33" s="58"/>
      <c r="D33" s="58"/>
      <c r="E33" s="58"/>
      <c r="F33" s="58"/>
      <c r="G33" s="58"/>
      <c r="H33" s="58"/>
      <c r="I33" s="58"/>
      <c r="J33" s="58"/>
    </row>
    <row r="34" spans="3:10" ht="12.75">
      <c r="C34" s="58"/>
      <c r="D34" s="59"/>
      <c r="E34" s="1018" t="s">
        <v>715</v>
      </c>
      <c r="F34" s="1018"/>
      <c r="G34" s="1018"/>
      <c r="H34" s="58"/>
      <c r="I34" s="58"/>
      <c r="J34" s="58"/>
    </row>
    <row r="35" spans="3:10" ht="15" customHeight="1">
      <c r="C35" s="58"/>
      <c r="D35" s="58"/>
      <c r="E35" s="1018"/>
      <c r="F35" s="1018"/>
      <c r="G35" s="1018"/>
      <c r="H35" s="58"/>
      <c r="I35" s="58"/>
      <c r="J35" s="58"/>
    </row>
    <row r="36" spans="3:10">
      <c r="C36" s="58"/>
      <c r="D36" s="58"/>
      <c r="E36" s="58"/>
      <c r="F36" s="58"/>
      <c r="G36" s="58"/>
      <c r="H36" s="58"/>
      <c r="I36" s="58"/>
      <c r="J36" s="58"/>
    </row>
    <row r="37" spans="3:10" ht="12.75">
      <c r="C37" s="58"/>
      <c r="D37" s="59" t="s">
        <v>247</v>
      </c>
      <c r="E37" s="59"/>
      <c r="F37" s="59"/>
      <c r="G37" s="63"/>
      <c r="H37" s="64" t="s">
        <v>248</v>
      </c>
      <c r="I37" s="58"/>
      <c r="J37" s="58"/>
    </row>
    <row r="38" spans="3:10" ht="12.75">
      <c r="C38" s="58"/>
      <c r="D38" s="59" t="s">
        <v>249</v>
      </c>
      <c r="E38" s="59"/>
      <c r="F38" s="59"/>
      <c r="G38" s="59"/>
      <c r="H38" s="59"/>
      <c r="I38" s="58"/>
      <c r="J38" s="58"/>
    </row>
    <row r="39" spans="3:10" ht="12.75">
      <c r="C39" s="58"/>
      <c r="D39" s="59" t="s">
        <v>250</v>
      </c>
      <c r="E39" s="59"/>
      <c r="F39" s="59"/>
      <c r="G39" s="63"/>
      <c r="H39" s="64" t="s">
        <v>254</v>
      </c>
      <c r="I39" s="58"/>
      <c r="J39" s="58"/>
    </row>
    <row r="40" spans="3:10" ht="12.75">
      <c r="C40" s="58"/>
      <c r="D40" s="59" t="s">
        <v>251</v>
      </c>
      <c r="E40" s="59"/>
      <c r="F40" s="59"/>
      <c r="G40" s="59"/>
      <c r="H40" s="63" t="s">
        <v>255</v>
      </c>
      <c r="I40" s="58"/>
      <c r="J40" s="58"/>
    </row>
    <row r="41" spans="3:10" ht="12.75">
      <c r="C41" s="58"/>
      <c r="D41" s="59"/>
      <c r="E41" s="59"/>
      <c r="F41" s="59"/>
      <c r="G41" s="59"/>
      <c r="H41" s="59"/>
      <c r="I41" s="58"/>
      <c r="J41" s="58"/>
    </row>
    <row r="42" spans="3:10" ht="12.75">
      <c r="C42" s="58"/>
      <c r="D42" s="59" t="s">
        <v>252</v>
      </c>
      <c r="E42" s="59"/>
      <c r="F42" s="59"/>
      <c r="G42" s="59"/>
      <c r="H42" s="59" t="s">
        <v>716</v>
      </c>
      <c r="I42" s="58"/>
      <c r="J42" s="58"/>
    </row>
    <row r="43" spans="3:10" ht="12.75">
      <c r="C43" s="58"/>
      <c r="D43" s="59"/>
      <c r="E43" s="59"/>
      <c r="F43" s="59"/>
      <c r="G43" s="59"/>
      <c r="H43" s="59" t="s">
        <v>717</v>
      </c>
      <c r="I43" s="58"/>
      <c r="J43" s="58"/>
    </row>
    <row r="44" spans="3:10">
      <c r="C44" s="58"/>
      <c r="D44" s="58"/>
      <c r="E44" s="58"/>
      <c r="F44" s="58"/>
      <c r="G44" s="58"/>
      <c r="H44" s="58"/>
      <c r="I44" s="58"/>
      <c r="J44" s="58"/>
    </row>
    <row r="45" spans="3:10" ht="12.75">
      <c r="C45" s="58"/>
      <c r="D45" s="59" t="s">
        <v>253</v>
      </c>
      <c r="E45" s="59"/>
      <c r="F45" s="59"/>
      <c r="G45" s="59"/>
      <c r="H45" s="63" t="s">
        <v>922</v>
      </c>
      <c r="I45" s="58"/>
      <c r="J45" s="58"/>
    </row>
    <row r="46" spans="3:10" ht="12.75">
      <c r="C46" s="58"/>
      <c r="D46" s="59"/>
      <c r="E46" s="59"/>
      <c r="F46" s="59"/>
      <c r="G46" s="59"/>
      <c r="H46" s="59"/>
      <c r="I46" s="58"/>
      <c r="J46" s="58"/>
    </row>
    <row r="47" spans="3:10">
      <c r="C47" s="58"/>
      <c r="D47" s="58"/>
      <c r="E47" s="58"/>
      <c r="F47" s="58"/>
      <c r="G47" s="58"/>
      <c r="H47" s="58"/>
      <c r="I47" s="58"/>
      <c r="J47" s="58"/>
    </row>
    <row r="48" spans="3:10">
      <c r="C48" s="58"/>
      <c r="D48" s="58"/>
      <c r="E48" s="58"/>
      <c r="F48" s="58"/>
      <c r="G48" s="58"/>
      <c r="H48" s="58"/>
      <c r="I48" s="58"/>
      <c r="J48" s="58"/>
    </row>
    <row r="49" spans="3:10">
      <c r="C49" s="58"/>
      <c r="D49" s="58"/>
      <c r="E49" s="58"/>
      <c r="F49" s="58"/>
      <c r="G49" s="58"/>
      <c r="H49" s="58"/>
      <c r="I49" s="58"/>
      <c r="J49" s="58"/>
    </row>
    <row r="50" spans="3:10">
      <c r="C50" s="58"/>
      <c r="D50" s="58"/>
      <c r="E50" s="58"/>
      <c r="F50" s="58"/>
      <c r="G50" s="58"/>
      <c r="H50" s="58"/>
      <c r="I50" s="58"/>
      <c r="J50" s="58"/>
    </row>
    <row r="51" spans="3:10">
      <c r="C51" s="58"/>
      <c r="D51" s="58"/>
      <c r="E51" s="58"/>
      <c r="F51" s="58"/>
      <c r="G51" s="58"/>
      <c r="H51" s="58"/>
      <c r="I51" s="58"/>
      <c r="J51" s="58"/>
    </row>
    <row r="52" spans="3:10">
      <c r="C52" s="58"/>
      <c r="D52" s="58"/>
      <c r="E52" s="58"/>
      <c r="F52" s="58"/>
      <c r="G52" s="58"/>
      <c r="H52" s="58"/>
      <c r="I52" s="58"/>
      <c r="J52" s="58"/>
    </row>
    <row r="53" spans="3:10">
      <c r="C53" s="58"/>
      <c r="D53" s="58"/>
      <c r="E53" s="58"/>
      <c r="F53" s="58"/>
      <c r="G53" s="58"/>
      <c r="H53" s="58"/>
      <c r="I53" s="58"/>
      <c r="J53" s="58"/>
    </row>
    <row r="54" spans="3:10">
      <c r="C54" s="58"/>
      <c r="D54" s="58"/>
      <c r="E54" s="58"/>
      <c r="F54" s="58"/>
      <c r="G54" s="58"/>
      <c r="H54" s="58"/>
      <c r="I54" s="58"/>
      <c r="J54" s="58"/>
    </row>
    <row r="55" spans="3:10">
      <c r="C55" s="58"/>
      <c r="D55" s="58"/>
      <c r="E55" s="58"/>
      <c r="F55" s="58"/>
      <c r="G55" s="58"/>
      <c r="H55" s="58"/>
      <c r="I55" s="58"/>
      <c r="J55" s="58"/>
    </row>
  </sheetData>
  <mergeCells count="4">
    <mergeCell ref="C29:I29"/>
    <mergeCell ref="C30:I30"/>
    <mergeCell ref="E34:G35"/>
    <mergeCell ref="C28:I28"/>
  </mergeCells>
  <pageMargins left="0.2" right="0.2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B1:K58"/>
  <sheetViews>
    <sheetView topLeftCell="B8" workbookViewId="0">
      <selection activeCell="G18" sqref="G18"/>
    </sheetView>
  </sheetViews>
  <sheetFormatPr defaultRowHeight="12.75"/>
  <cols>
    <col min="1" max="1" width="8.140625" style="348" customWidth="1"/>
    <col min="2" max="3" width="3.7109375" style="358" customWidth="1"/>
    <col min="4" max="4" width="4" style="358" customWidth="1"/>
    <col min="5" max="5" width="36.42578125" style="348" customWidth="1"/>
    <col min="6" max="6" width="7.5703125" style="358" customWidth="1"/>
    <col min="7" max="8" width="15.5703125" style="815" customWidth="1"/>
    <col min="9" max="9" width="13.7109375" style="724" customWidth="1"/>
    <col min="10" max="16384" width="9.140625" style="348"/>
  </cols>
  <sheetData>
    <row r="1" spans="2:9" s="353" customFormat="1" ht="9" customHeight="1">
      <c r="B1" s="838"/>
      <c r="C1" s="839"/>
      <c r="D1" s="839"/>
      <c r="E1" s="840"/>
      <c r="F1" s="839"/>
      <c r="G1" s="841"/>
      <c r="H1" s="841"/>
      <c r="I1" s="842"/>
    </row>
    <row r="2" spans="2:9" s="353" customFormat="1" ht="18" customHeight="1">
      <c r="B2" s="1024" t="s">
        <v>195</v>
      </c>
      <c r="C2" s="1024"/>
      <c r="D2" s="1024"/>
      <c r="E2" s="1024"/>
      <c r="F2" s="1024"/>
      <c r="G2" s="1024"/>
      <c r="H2" s="1024"/>
      <c r="I2" s="842"/>
    </row>
    <row r="3" spans="2:9" ht="6.75" customHeight="1"/>
    <row r="4" spans="2:9" s="847" customFormat="1" ht="21" customHeight="1">
      <c r="B4" s="843" t="s">
        <v>0</v>
      </c>
      <c r="C4" s="1028" t="s">
        <v>3</v>
      </c>
      <c r="D4" s="1029"/>
      <c r="E4" s="1030"/>
      <c r="F4" s="844" t="s">
        <v>217</v>
      </c>
      <c r="G4" s="845">
        <v>2016</v>
      </c>
      <c r="H4" s="845">
        <v>2015</v>
      </c>
      <c r="I4" s="846"/>
    </row>
    <row r="5" spans="2:9" s="353" customFormat="1" ht="12.75" customHeight="1">
      <c r="B5" s="355"/>
      <c r="C5" s="1025" t="s">
        <v>54</v>
      </c>
      <c r="D5" s="1026"/>
      <c r="E5" s="1027"/>
      <c r="F5" s="849"/>
      <c r="G5" s="764"/>
      <c r="H5" s="764"/>
      <c r="I5" s="842"/>
    </row>
    <row r="6" spans="2:9" s="353" customFormat="1" ht="12.75" customHeight="1">
      <c r="B6" s="355"/>
      <c r="C6" s="850" t="s">
        <v>79</v>
      </c>
      <c r="D6" s="848" t="s">
        <v>4</v>
      </c>
      <c r="E6" s="851"/>
      <c r="F6" s="849">
        <v>1</v>
      </c>
      <c r="G6" s="852">
        <f>G7+G8</f>
        <v>20543643.899999999</v>
      </c>
      <c r="H6" s="852">
        <f>H7+H8</f>
        <v>56930901</v>
      </c>
      <c r="I6" s="853">
        <f>G6-H6</f>
        <v>-36387257.100000001</v>
      </c>
    </row>
    <row r="7" spans="2:9" s="353" customFormat="1" ht="12.75" customHeight="1">
      <c r="B7" s="355"/>
      <c r="C7" s="854"/>
      <c r="D7" s="855">
        <v>1</v>
      </c>
      <c r="E7" s="357" t="s">
        <v>5</v>
      </c>
      <c r="F7" s="856"/>
      <c r="G7" s="56">
        <v>20543643.899999999</v>
      </c>
      <c r="H7" s="56">
        <v>56930901</v>
      </c>
      <c r="I7" s="853">
        <f t="shared" ref="I7:I52" si="0">G7-H7</f>
        <v>-36387257.100000001</v>
      </c>
    </row>
    <row r="8" spans="2:9" s="353" customFormat="1" ht="12.75" customHeight="1">
      <c r="B8" s="355"/>
      <c r="C8" s="854"/>
      <c r="D8" s="855">
        <v>2</v>
      </c>
      <c r="E8" s="357" t="s">
        <v>6</v>
      </c>
      <c r="F8" s="849"/>
      <c r="G8" s="56">
        <v>0</v>
      </c>
      <c r="H8" s="56"/>
      <c r="I8" s="853">
        <f t="shared" si="0"/>
        <v>0</v>
      </c>
    </row>
    <row r="9" spans="2:9" s="353" customFormat="1" ht="12.75" customHeight="1">
      <c r="B9" s="355"/>
      <c r="C9" s="850" t="s">
        <v>79</v>
      </c>
      <c r="D9" s="848" t="s">
        <v>16</v>
      </c>
      <c r="E9" s="357"/>
      <c r="F9" s="856">
        <v>2</v>
      </c>
      <c r="G9" s="852">
        <f>G10+G11+G12</f>
        <v>0</v>
      </c>
      <c r="H9" s="852">
        <f>H10+H11+H12</f>
        <v>0</v>
      </c>
      <c r="I9" s="853">
        <f t="shared" si="0"/>
        <v>0</v>
      </c>
    </row>
    <row r="10" spans="2:9" s="353" customFormat="1" ht="12.75" customHeight="1">
      <c r="B10" s="355"/>
      <c r="C10" s="854"/>
      <c r="D10" s="855">
        <v>1</v>
      </c>
      <c r="E10" s="356" t="s">
        <v>18</v>
      </c>
      <c r="F10" s="849">
        <v>2.1</v>
      </c>
      <c r="G10" s="56"/>
      <c r="H10" s="56"/>
      <c r="I10" s="853">
        <f t="shared" si="0"/>
        <v>0</v>
      </c>
    </row>
    <row r="11" spans="2:9" s="353" customFormat="1" ht="12.75" customHeight="1">
      <c r="B11" s="355"/>
      <c r="C11" s="854"/>
      <c r="D11" s="855">
        <v>2</v>
      </c>
      <c r="E11" s="356" t="s">
        <v>19</v>
      </c>
      <c r="F11" s="856">
        <v>2.2000000000000002</v>
      </c>
      <c r="G11" s="56"/>
      <c r="H11" s="56"/>
      <c r="I11" s="853">
        <f t="shared" si="0"/>
        <v>0</v>
      </c>
    </row>
    <row r="12" spans="2:9" s="353" customFormat="1" ht="12.75" customHeight="1">
      <c r="B12" s="355"/>
      <c r="C12" s="854"/>
      <c r="D12" s="855">
        <v>3</v>
      </c>
      <c r="E12" s="356" t="s">
        <v>17</v>
      </c>
      <c r="F12" s="849">
        <v>2.2999999999999998</v>
      </c>
      <c r="G12" s="56"/>
      <c r="H12" s="56"/>
      <c r="I12" s="853">
        <f t="shared" si="0"/>
        <v>0</v>
      </c>
    </row>
    <row r="13" spans="2:9" s="353" customFormat="1" ht="12.75" customHeight="1">
      <c r="B13" s="355"/>
      <c r="C13" s="850" t="s">
        <v>79</v>
      </c>
      <c r="D13" s="848" t="s">
        <v>20</v>
      </c>
      <c r="E13" s="357"/>
      <c r="F13" s="849">
        <v>3</v>
      </c>
      <c r="G13" s="852">
        <f>G14+G15+G16+G17+G19+G18</f>
        <v>278197932.99000001</v>
      </c>
      <c r="H13" s="852">
        <f>H14+H15+H16+H17+H19+H18</f>
        <v>231921195</v>
      </c>
      <c r="I13" s="853">
        <f t="shared" si="0"/>
        <v>46276737.99000001</v>
      </c>
    </row>
    <row r="14" spans="2:9" s="353" customFormat="1" ht="12.75" customHeight="1">
      <c r="B14" s="355"/>
      <c r="C14" s="857"/>
      <c r="D14" s="858">
        <v>1</v>
      </c>
      <c r="E14" s="356" t="s">
        <v>21</v>
      </c>
      <c r="F14" s="856">
        <v>3.1</v>
      </c>
      <c r="G14" s="56">
        <v>277700030.69</v>
      </c>
      <c r="H14" s="56">
        <v>231911859</v>
      </c>
      <c r="I14" s="853">
        <f t="shared" si="0"/>
        <v>45788171.689999998</v>
      </c>
    </row>
    <row r="15" spans="2:9" s="353" customFormat="1" ht="12.75" customHeight="1">
      <c r="B15" s="355"/>
      <c r="C15" s="857"/>
      <c r="D15" s="858">
        <v>2</v>
      </c>
      <c r="E15" s="356" t="s">
        <v>22</v>
      </c>
      <c r="F15" s="849">
        <v>3.2</v>
      </c>
      <c r="G15" s="56"/>
      <c r="H15" s="56"/>
      <c r="I15" s="853">
        <f t="shared" si="0"/>
        <v>0</v>
      </c>
    </row>
    <row r="16" spans="2:9" s="353" customFormat="1" ht="12.75" customHeight="1">
      <c r="B16" s="355"/>
      <c r="C16" s="857"/>
      <c r="D16" s="858">
        <v>3</v>
      </c>
      <c r="E16" s="356" t="s">
        <v>23</v>
      </c>
      <c r="F16" s="856">
        <v>3.3</v>
      </c>
      <c r="G16" s="56"/>
      <c r="H16" s="56"/>
      <c r="I16" s="853">
        <f t="shared" si="0"/>
        <v>0</v>
      </c>
    </row>
    <row r="17" spans="2:9" s="353" customFormat="1" ht="12.75" customHeight="1">
      <c r="B17" s="355"/>
      <c r="C17" s="857"/>
      <c r="D17" s="858">
        <v>4</v>
      </c>
      <c r="E17" s="356" t="s">
        <v>718</v>
      </c>
      <c r="F17" s="849">
        <v>3.4</v>
      </c>
      <c r="G17" s="56">
        <v>363054.3</v>
      </c>
      <c r="H17" s="56">
        <v>6453</v>
      </c>
      <c r="I17" s="853">
        <f t="shared" si="0"/>
        <v>356601.3</v>
      </c>
    </row>
    <row r="18" spans="2:9" s="353" customFormat="1" ht="12.75" customHeight="1">
      <c r="B18" s="355"/>
      <c r="C18" s="857"/>
      <c r="D18" s="858">
        <v>5</v>
      </c>
      <c r="E18" s="356" t="s">
        <v>925</v>
      </c>
      <c r="F18" s="849">
        <v>3.4</v>
      </c>
      <c r="G18" s="56">
        <f>-504000+638848</f>
        <v>134848</v>
      </c>
      <c r="H18" s="56">
        <v>2883</v>
      </c>
      <c r="I18" s="853">
        <f t="shared" si="0"/>
        <v>131965</v>
      </c>
    </row>
    <row r="19" spans="2:9" s="353" customFormat="1" ht="12.75" customHeight="1">
      <c r="B19" s="355"/>
      <c r="C19" s="857"/>
      <c r="D19" s="858">
        <v>6</v>
      </c>
      <c r="E19" s="356" t="s">
        <v>24</v>
      </c>
      <c r="F19" s="856">
        <v>3.5</v>
      </c>
      <c r="G19" s="56"/>
      <c r="H19" s="56"/>
      <c r="I19" s="853">
        <f t="shared" si="0"/>
        <v>0</v>
      </c>
    </row>
    <row r="20" spans="2:9" s="353" customFormat="1" ht="12.75" customHeight="1">
      <c r="B20" s="355"/>
      <c r="C20" s="850" t="s">
        <v>79</v>
      </c>
      <c r="D20" s="848" t="s">
        <v>25</v>
      </c>
      <c r="E20" s="851"/>
      <c r="F20" s="856">
        <v>4</v>
      </c>
      <c r="G20" s="852">
        <f>G21+G22+G23+G24+G25+G26+G27</f>
        <v>15111356.49</v>
      </c>
      <c r="H20" s="852">
        <f>H21+H22+H23+H24+H25+H26+H27</f>
        <v>9072893</v>
      </c>
      <c r="I20" s="853">
        <f t="shared" si="0"/>
        <v>6038463.4900000002</v>
      </c>
    </row>
    <row r="21" spans="2:9" s="353" customFormat="1" ht="12.75" customHeight="1">
      <c r="B21" s="355"/>
      <c r="C21" s="859"/>
      <c r="D21" s="858">
        <v>1</v>
      </c>
      <c r="E21" s="356" t="s">
        <v>26</v>
      </c>
      <c r="F21" s="849">
        <v>4.0999999999999996</v>
      </c>
      <c r="G21" s="56">
        <f>13976592.69+1381564.8-246801</f>
        <v>15111356.49</v>
      </c>
      <c r="H21" s="56">
        <v>9072893</v>
      </c>
      <c r="I21" s="853">
        <f t="shared" si="0"/>
        <v>6038463.4900000002</v>
      </c>
    </row>
    <row r="22" spans="2:9" s="353" customFormat="1" ht="12.75" customHeight="1">
      <c r="B22" s="355"/>
      <c r="C22" s="859"/>
      <c r="D22" s="858">
        <v>2</v>
      </c>
      <c r="E22" s="356" t="s">
        <v>27</v>
      </c>
      <c r="F22" s="856">
        <v>4.2</v>
      </c>
      <c r="G22" s="56"/>
      <c r="H22" s="56"/>
      <c r="I22" s="853">
        <f t="shared" si="0"/>
        <v>0</v>
      </c>
    </row>
    <row r="23" spans="2:9" s="353" customFormat="1" ht="12.75" customHeight="1">
      <c r="B23" s="355"/>
      <c r="C23" s="859"/>
      <c r="D23" s="858">
        <v>3</v>
      </c>
      <c r="E23" s="356" t="s">
        <v>28</v>
      </c>
      <c r="F23" s="849">
        <v>4.3</v>
      </c>
      <c r="G23" s="56"/>
      <c r="H23" s="56"/>
      <c r="I23" s="853">
        <f t="shared" si="0"/>
        <v>0</v>
      </c>
    </row>
    <row r="24" spans="2:9" s="353" customFormat="1" ht="12.75" customHeight="1">
      <c r="B24" s="355"/>
      <c r="C24" s="859"/>
      <c r="D24" s="858">
        <v>4</v>
      </c>
      <c r="E24" s="356" t="s">
        <v>29</v>
      </c>
      <c r="F24" s="856">
        <v>4.4000000000000004</v>
      </c>
      <c r="G24" s="56"/>
      <c r="H24" s="56"/>
      <c r="I24" s="853">
        <f t="shared" si="0"/>
        <v>0</v>
      </c>
    </row>
    <row r="25" spans="2:9" s="353" customFormat="1" ht="12.75" customHeight="1">
      <c r="B25" s="355"/>
      <c r="C25" s="859"/>
      <c r="D25" s="858">
        <v>5</v>
      </c>
      <c r="E25" s="356" t="s">
        <v>30</v>
      </c>
      <c r="F25" s="849">
        <v>4.5</v>
      </c>
      <c r="G25" s="56"/>
      <c r="H25" s="56"/>
      <c r="I25" s="853">
        <f t="shared" si="0"/>
        <v>0</v>
      </c>
    </row>
    <row r="26" spans="2:9" s="353" customFormat="1" ht="12.75" customHeight="1">
      <c r="B26" s="355"/>
      <c r="C26" s="859"/>
      <c r="D26" s="858">
        <v>6</v>
      </c>
      <c r="E26" s="356" t="s">
        <v>31</v>
      </c>
      <c r="F26" s="856">
        <v>4.5999999999999996</v>
      </c>
      <c r="G26" s="56"/>
      <c r="H26" s="56"/>
      <c r="I26" s="853">
        <f t="shared" si="0"/>
        <v>0</v>
      </c>
    </row>
    <row r="27" spans="2:9" s="353" customFormat="1" ht="12.75" customHeight="1">
      <c r="B27" s="355"/>
      <c r="C27" s="859"/>
      <c r="D27" s="858">
        <v>7</v>
      </c>
      <c r="E27" s="356" t="s">
        <v>32</v>
      </c>
      <c r="F27" s="849">
        <v>4.7</v>
      </c>
      <c r="G27" s="56"/>
      <c r="H27" s="56"/>
      <c r="I27" s="853">
        <f t="shared" si="0"/>
        <v>0</v>
      </c>
    </row>
    <row r="28" spans="2:9" s="353" customFormat="1" ht="12.75" customHeight="1">
      <c r="B28" s="355"/>
      <c r="C28" s="850" t="s">
        <v>79</v>
      </c>
      <c r="D28" s="848" t="s">
        <v>33</v>
      </c>
      <c r="E28" s="851"/>
      <c r="F28" s="849">
        <v>5</v>
      </c>
      <c r="G28" s="852">
        <v>0</v>
      </c>
      <c r="H28" s="852"/>
      <c r="I28" s="853">
        <f t="shared" si="0"/>
        <v>0</v>
      </c>
    </row>
    <row r="29" spans="2:9" s="353" customFormat="1" ht="12.75" customHeight="1">
      <c r="B29" s="355"/>
      <c r="C29" s="850" t="s">
        <v>79</v>
      </c>
      <c r="D29" s="848" t="s">
        <v>34</v>
      </c>
      <c r="E29" s="851"/>
      <c r="F29" s="856">
        <v>6</v>
      </c>
      <c r="G29" s="56"/>
      <c r="H29" s="56"/>
      <c r="I29" s="853">
        <f t="shared" si="0"/>
        <v>0</v>
      </c>
    </row>
    <row r="30" spans="2:9" s="353" customFormat="1" ht="12.75" customHeight="1">
      <c r="B30" s="860" t="s">
        <v>1</v>
      </c>
      <c r="C30" s="1021" t="s">
        <v>53</v>
      </c>
      <c r="D30" s="1022"/>
      <c r="E30" s="1023"/>
      <c r="F30" s="856"/>
      <c r="G30" s="852">
        <f>G6+G9+G13+G20+G28+G29</f>
        <v>313852933.38</v>
      </c>
      <c r="H30" s="852">
        <f>H6+H9+H13+H20+H28+H29</f>
        <v>297924989</v>
      </c>
      <c r="I30" s="853">
        <f t="shared" si="0"/>
        <v>15927944.379999995</v>
      </c>
    </row>
    <row r="31" spans="2:9" s="353" customFormat="1" ht="12.75" customHeight="1">
      <c r="B31" s="355"/>
      <c r="C31" s="1025" t="s">
        <v>56</v>
      </c>
      <c r="D31" s="1026"/>
      <c r="E31" s="1027"/>
      <c r="F31" s="849"/>
      <c r="G31" s="56"/>
      <c r="H31" s="56"/>
      <c r="I31" s="853">
        <f t="shared" si="0"/>
        <v>0</v>
      </c>
    </row>
    <row r="32" spans="2:9" s="353" customFormat="1" ht="12.75" customHeight="1">
      <c r="B32" s="355"/>
      <c r="C32" s="850" t="s">
        <v>79</v>
      </c>
      <c r="D32" s="848" t="s">
        <v>37</v>
      </c>
      <c r="E32" s="851"/>
      <c r="F32" s="856">
        <v>7</v>
      </c>
      <c r="G32" s="852">
        <f>G33+G34+G35+G36+G37+G38</f>
        <v>0</v>
      </c>
      <c r="H32" s="852">
        <f>H33+H34+H35+H36+H37+H38</f>
        <v>0</v>
      </c>
      <c r="I32" s="853">
        <f t="shared" si="0"/>
        <v>0</v>
      </c>
    </row>
    <row r="33" spans="2:11" s="353" customFormat="1" ht="12.75" customHeight="1">
      <c r="B33" s="355"/>
      <c r="C33" s="862"/>
      <c r="D33" s="858">
        <v>1</v>
      </c>
      <c r="E33" s="356" t="s">
        <v>38</v>
      </c>
      <c r="F33" s="849">
        <v>7.1</v>
      </c>
      <c r="G33" s="56"/>
      <c r="H33" s="56"/>
      <c r="I33" s="853">
        <f t="shared" si="0"/>
        <v>0</v>
      </c>
    </row>
    <row r="34" spans="2:11" s="353" customFormat="1" ht="12.75" customHeight="1">
      <c r="B34" s="355"/>
      <c r="C34" s="862"/>
      <c r="D34" s="858">
        <v>2</v>
      </c>
      <c r="E34" s="356" t="s">
        <v>39</v>
      </c>
      <c r="F34" s="856">
        <v>7.2</v>
      </c>
      <c r="G34" s="56"/>
      <c r="H34" s="56"/>
      <c r="I34" s="853">
        <f t="shared" si="0"/>
        <v>0</v>
      </c>
    </row>
    <row r="35" spans="2:11" s="353" customFormat="1" ht="12.75" customHeight="1">
      <c r="B35" s="355"/>
      <c r="C35" s="862"/>
      <c r="D35" s="858">
        <v>3</v>
      </c>
      <c r="E35" s="356" t="s">
        <v>40</v>
      </c>
      <c r="F35" s="849">
        <v>7.3</v>
      </c>
      <c r="G35" s="56"/>
      <c r="H35" s="56"/>
      <c r="I35" s="853">
        <f t="shared" si="0"/>
        <v>0</v>
      </c>
    </row>
    <row r="36" spans="2:11" s="353" customFormat="1" ht="12.75" customHeight="1">
      <c r="B36" s="355"/>
      <c r="C36" s="862"/>
      <c r="D36" s="858">
        <v>4</v>
      </c>
      <c r="E36" s="356" t="s">
        <v>41</v>
      </c>
      <c r="F36" s="856">
        <v>7.4</v>
      </c>
      <c r="G36" s="56"/>
      <c r="H36" s="56"/>
      <c r="I36" s="853">
        <f t="shared" si="0"/>
        <v>0</v>
      </c>
    </row>
    <row r="37" spans="2:11" s="353" customFormat="1" ht="12.75" customHeight="1">
      <c r="B37" s="355"/>
      <c r="C37" s="862"/>
      <c r="D37" s="858">
        <v>5</v>
      </c>
      <c r="E37" s="356" t="s">
        <v>42</v>
      </c>
      <c r="F37" s="849">
        <v>7.5</v>
      </c>
      <c r="G37" s="56"/>
      <c r="H37" s="56"/>
      <c r="I37" s="853">
        <f t="shared" si="0"/>
        <v>0</v>
      </c>
    </row>
    <row r="38" spans="2:11" s="353" customFormat="1" ht="12.75" customHeight="1">
      <c r="B38" s="355"/>
      <c r="C38" s="862"/>
      <c r="D38" s="858">
        <v>6</v>
      </c>
      <c r="E38" s="356" t="s">
        <v>43</v>
      </c>
      <c r="F38" s="856">
        <v>7.6</v>
      </c>
      <c r="G38" s="56"/>
      <c r="H38" s="56"/>
      <c r="I38" s="853">
        <f t="shared" si="0"/>
        <v>0</v>
      </c>
    </row>
    <row r="39" spans="2:11" s="353" customFormat="1" ht="12.75" customHeight="1">
      <c r="B39" s="355"/>
      <c r="C39" s="850" t="s">
        <v>79</v>
      </c>
      <c r="D39" s="848" t="s">
        <v>44</v>
      </c>
      <c r="E39" s="351"/>
      <c r="F39" s="856">
        <v>8</v>
      </c>
      <c r="G39" s="852">
        <f>G40+G41+G42+G43</f>
        <v>283264279</v>
      </c>
      <c r="H39" s="852">
        <f>H40+H41+H42+H43</f>
        <v>315145575</v>
      </c>
      <c r="I39" s="853">
        <f t="shared" si="0"/>
        <v>-31881296</v>
      </c>
      <c r="K39" s="835">
        <f>G39-[4]Amortizimi!$M$21</f>
        <v>-0.13683342933654785</v>
      </c>
    </row>
    <row r="40" spans="2:11" s="353" customFormat="1" ht="12.75" customHeight="1">
      <c r="B40" s="355"/>
      <c r="C40" s="854"/>
      <c r="D40" s="858">
        <v>1</v>
      </c>
      <c r="E40" s="356" t="s">
        <v>45</v>
      </c>
      <c r="F40" s="849">
        <v>8.1</v>
      </c>
      <c r="G40" s="56">
        <f>8189829+5479134</f>
        <v>13668963</v>
      </c>
      <c r="H40" s="56">
        <f>8189829+5560343</f>
        <v>13750172</v>
      </c>
      <c r="I40" s="853">
        <f t="shared" si="0"/>
        <v>-81209</v>
      </c>
    </row>
    <row r="41" spans="2:11" s="353" customFormat="1" ht="12.75" customHeight="1">
      <c r="B41" s="355"/>
      <c r="C41" s="854"/>
      <c r="D41" s="858">
        <v>2</v>
      </c>
      <c r="E41" s="356" t="s">
        <v>46</v>
      </c>
      <c r="F41" s="856">
        <v>8.1999999999999993</v>
      </c>
      <c r="G41" s="56">
        <f>208020966+58102400</f>
        <v>266123366</v>
      </c>
      <c r="H41" s="56">
        <f>59885108+238078179</f>
        <v>297963287</v>
      </c>
      <c r="I41" s="853">
        <f t="shared" si="0"/>
        <v>-31839921</v>
      </c>
    </row>
    <row r="42" spans="2:11" s="353" customFormat="1" ht="12.75" customHeight="1">
      <c r="B42" s="355"/>
      <c r="C42" s="854"/>
      <c r="D42" s="858">
        <v>3</v>
      </c>
      <c r="E42" s="356" t="s">
        <v>47</v>
      </c>
      <c r="F42" s="849">
        <v>8.3000000000000007</v>
      </c>
      <c r="G42" s="56">
        <f>1661973+1655029+154948</f>
        <v>3471950</v>
      </c>
      <c r="H42" s="56">
        <f>2077466+1172855+181795</f>
        <v>3432116</v>
      </c>
      <c r="I42" s="853">
        <f t="shared" si="0"/>
        <v>39834</v>
      </c>
    </row>
    <row r="43" spans="2:11" s="353" customFormat="1" ht="12.75" customHeight="1">
      <c r="B43" s="355"/>
      <c r="C43" s="854"/>
      <c r="D43" s="858">
        <v>4</v>
      </c>
      <c r="E43" s="356" t="s">
        <v>48</v>
      </c>
      <c r="F43" s="856">
        <v>8.4</v>
      </c>
      <c r="G43" s="56"/>
      <c r="H43" s="56"/>
      <c r="I43" s="853">
        <f t="shared" si="0"/>
        <v>0</v>
      </c>
    </row>
    <row r="44" spans="2:11" s="353" customFormat="1" ht="12.75" customHeight="1">
      <c r="B44" s="355"/>
      <c r="C44" s="850" t="s">
        <v>79</v>
      </c>
      <c r="D44" s="848" t="s">
        <v>49</v>
      </c>
      <c r="E44" s="851"/>
      <c r="F44" s="856">
        <v>9</v>
      </c>
      <c r="G44" s="56"/>
      <c r="H44" s="56"/>
      <c r="I44" s="853">
        <f t="shared" si="0"/>
        <v>0</v>
      </c>
    </row>
    <row r="45" spans="2:11" s="353" customFormat="1" ht="12.75" customHeight="1">
      <c r="B45" s="355"/>
      <c r="C45" s="850" t="s">
        <v>79</v>
      </c>
      <c r="D45" s="848" t="s">
        <v>50</v>
      </c>
      <c r="E45" s="851"/>
      <c r="F45" s="856">
        <v>10</v>
      </c>
      <c r="G45" s="852">
        <f>G46+G47+G48</f>
        <v>842485</v>
      </c>
      <c r="H45" s="852">
        <f>H46+H47+H48</f>
        <v>904804</v>
      </c>
      <c r="I45" s="853">
        <f t="shared" si="0"/>
        <v>-62319</v>
      </c>
    </row>
    <row r="46" spans="2:11" s="353" customFormat="1" ht="12.75" customHeight="1">
      <c r="B46" s="355"/>
      <c r="C46" s="854"/>
      <c r="D46" s="858">
        <v>1</v>
      </c>
      <c r="E46" s="863" t="s">
        <v>51</v>
      </c>
      <c r="F46" s="849">
        <v>10.1</v>
      </c>
      <c r="G46" s="56"/>
      <c r="H46" s="56"/>
      <c r="I46" s="853">
        <f t="shared" si="0"/>
        <v>0</v>
      </c>
    </row>
    <row r="47" spans="2:11" s="353" customFormat="1" ht="12.75" customHeight="1">
      <c r="B47" s="355"/>
      <c r="C47" s="854"/>
      <c r="D47" s="858">
        <v>2</v>
      </c>
      <c r="E47" s="356" t="s">
        <v>926</v>
      </c>
      <c r="F47" s="856">
        <v>10.199999999999999</v>
      </c>
      <c r="G47" s="56">
        <v>842485</v>
      </c>
      <c r="H47" s="56">
        <v>904804</v>
      </c>
      <c r="I47" s="853">
        <f t="shared" si="0"/>
        <v>-62319</v>
      </c>
    </row>
    <row r="48" spans="2:11" s="353" customFormat="1" ht="12.75" customHeight="1">
      <c r="B48" s="355"/>
      <c r="C48" s="854"/>
      <c r="D48" s="858">
        <v>3</v>
      </c>
      <c r="E48" s="356" t="s">
        <v>52</v>
      </c>
      <c r="F48" s="849">
        <v>10.3</v>
      </c>
      <c r="G48" s="56"/>
      <c r="H48" s="56"/>
      <c r="I48" s="853">
        <f t="shared" si="0"/>
        <v>0</v>
      </c>
    </row>
    <row r="49" spans="2:9" s="353" customFormat="1" ht="12.75" customHeight="1">
      <c r="B49" s="355"/>
      <c r="C49" s="850" t="s">
        <v>79</v>
      </c>
      <c r="D49" s="848" t="s">
        <v>35</v>
      </c>
      <c r="E49" s="851"/>
      <c r="F49" s="849">
        <v>11</v>
      </c>
      <c r="G49" s="56"/>
      <c r="H49" s="56"/>
      <c r="I49" s="853">
        <f t="shared" si="0"/>
        <v>0</v>
      </c>
    </row>
    <row r="50" spans="2:9" s="353" customFormat="1" ht="12.75" customHeight="1">
      <c r="B50" s="355"/>
      <c r="C50" s="850" t="s">
        <v>79</v>
      </c>
      <c r="D50" s="848" t="s">
        <v>36</v>
      </c>
      <c r="E50" s="851"/>
      <c r="F50" s="856">
        <v>12</v>
      </c>
      <c r="G50" s="56"/>
      <c r="H50" s="56"/>
      <c r="I50" s="853">
        <f t="shared" si="0"/>
        <v>0</v>
      </c>
    </row>
    <row r="51" spans="2:9" s="353" customFormat="1" ht="12.75" customHeight="1">
      <c r="B51" s="864" t="s">
        <v>2</v>
      </c>
      <c r="C51" s="1021" t="s">
        <v>55</v>
      </c>
      <c r="D51" s="1022"/>
      <c r="E51" s="1023"/>
      <c r="F51" s="856"/>
      <c r="G51" s="852">
        <f>G32+G39+G44+G45+G49+G50</f>
        <v>284106764</v>
      </c>
      <c r="H51" s="852">
        <f>H32+H39+H44+H45+H49+H50</f>
        <v>316050379</v>
      </c>
      <c r="I51" s="853">
        <f t="shared" si="0"/>
        <v>-31943615</v>
      </c>
    </row>
    <row r="52" spans="2:9" s="353" customFormat="1" ht="30" customHeight="1">
      <c r="B52" s="865"/>
      <c r="C52" s="1021" t="s">
        <v>71</v>
      </c>
      <c r="D52" s="1022"/>
      <c r="E52" s="1023"/>
      <c r="F52" s="849"/>
      <c r="G52" s="852">
        <f>G30+G51</f>
        <v>597959697.38</v>
      </c>
      <c r="H52" s="852">
        <f>H30+H51</f>
        <v>613975368</v>
      </c>
      <c r="I52" s="853">
        <f t="shared" si="0"/>
        <v>-16015670.620000005</v>
      </c>
    </row>
    <row r="53" spans="2:9" s="353" customFormat="1" ht="9.75" customHeight="1">
      <c r="B53" s="866"/>
      <c r="C53" s="866"/>
      <c r="D53" s="866"/>
      <c r="E53" s="866"/>
      <c r="F53" s="866"/>
      <c r="G53" s="867"/>
      <c r="H53" s="867"/>
      <c r="I53" s="842"/>
    </row>
    <row r="54" spans="2:9" s="353" customFormat="1" ht="15.95" customHeight="1">
      <c r="B54" s="866"/>
      <c r="C54" s="866"/>
      <c r="D54" s="866"/>
      <c r="E54" s="866"/>
      <c r="F54" s="866"/>
      <c r="G54" s="867"/>
      <c r="H54" s="867"/>
      <c r="I54" s="842"/>
    </row>
    <row r="56" spans="2:9">
      <c r="E56" s="359" t="s">
        <v>960</v>
      </c>
      <c r="F56" s="361"/>
      <c r="G56" s="1020" t="s">
        <v>962</v>
      </c>
      <c r="H56" s="1020"/>
    </row>
    <row r="57" spans="2:9" ht="13.5">
      <c r="E57" s="360"/>
      <c r="F57" s="361"/>
      <c r="G57" s="362"/>
      <c r="H57" s="362"/>
    </row>
    <row r="58" spans="2:9">
      <c r="E58" s="359" t="s">
        <v>242</v>
      </c>
      <c r="F58" s="361"/>
      <c r="G58" s="1020" t="s">
        <v>964</v>
      </c>
      <c r="H58" s="1020"/>
    </row>
  </sheetData>
  <mergeCells count="9">
    <mergeCell ref="G56:H56"/>
    <mergeCell ref="G58:H58"/>
    <mergeCell ref="C30:E30"/>
    <mergeCell ref="B2:H2"/>
    <mergeCell ref="C31:E31"/>
    <mergeCell ref="C52:E52"/>
    <mergeCell ref="C5:E5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2:L62"/>
  <sheetViews>
    <sheetView topLeftCell="B21" workbookViewId="0">
      <selection activeCell="G17" sqref="G17"/>
    </sheetView>
  </sheetViews>
  <sheetFormatPr defaultRowHeight="12.75"/>
  <cols>
    <col min="1" max="1" width="7.5703125" style="348" customWidth="1"/>
    <col min="2" max="2" width="3.7109375" style="358" customWidth="1"/>
    <col min="3" max="3" width="4" style="358" customWidth="1"/>
    <col min="4" max="4" width="3.42578125" style="358" customWidth="1"/>
    <col min="5" max="5" width="33.85546875" style="348" customWidth="1"/>
    <col min="6" max="6" width="9.7109375" style="358" bestFit="1" customWidth="1"/>
    <col min="7" max="8" width="20.85546875" style="347" customWidth="1"/>
    <col min="9" max="9" width="11.7109375" style="348" customWidth="1"/>
    <col min="10" max="11" width="9.140625" style="348"/>
    <col min="12" max="12" width="13.5703125" style="348" bestFit="1" customWidth="1"/>
    <col min="13" max="16384" width="9.140625" style="348"/>
  </cols>
  <sheetData>
    <row r="2" spans="2:9" s="353" customFormat="1" ht="6" customHeight="1">
      <c r="B2" s="868"/>
      <c r="C2" s="839"/>
      <c r="D2" s="839"/>
      <c r="E2" s="869"/>
      <c r="F2" s="870"/>
      <c r="G2" s="871"/>
      <c r="H2" s="871"/>
    </row>
    <row r="3" spans="2:9" s="353" customFormat="1" ht="18" customHeight="1">
      <c r="B3" s="1031" t="s">
        <v>195</v>
      </c>
      <c r="C3" s="1031"/>
      <c r="D3" s="1031"/>
      <c r="E3" s="1031"/>
      <c r="F3" s="1031"/>
      <c r="G3" s="1031"/>
      <c r="H3" s="1031"/>
    </row>
    <row r="4" spans="2:9" ht="6.75" customHeight="1"/>
    <row r="5" spans="2:9" s="872" customFormat="1" ht="21" customHeight="1">
      <c r="B5" s="843" t="s">
        <v>0</v>
      </c>
      <c r="C5" s="1021" t="s">
        <v>57</v>
      </c>
      <c r="D5" s="1022"/>
      <c r="E5" s="1023"/>
      <c r="F5" s="844" t="s">
        <v>217</v>
      </c>
      <c r="G5" s="845">
        <v>2016</v>
      </c>
      <c r="H5" s="845">
        <v>2015</v>
      </c>
    </row>
    <row r="6" spans="2:9" s="353" customFormat="1" ht="12.75" customHeight="1">
      <c r="B6" s="355"/>
      <c r="C6" s="873" t="s">
        <v>79</v>
      </c>
      <c r="D6" s="848" t="s">
        <v>58</v>
      </c>
      <c r="E6" s="851"/>
      <c r="F6" s="849">
        <v>13</v>
      </c>
      <c r="G6" s="874">
        <f>G7+G8+G9+G10+G11+G12+G13+G14+G15+G17+G18+G16</f>
        <v>23968169.169999998</v>
      </c>
      <c r="H6" s="874">
        <f>H7+H8+H9+H10+H11+H12+H13+H14+H15+H17+H18</f>
        <v>22554010</v>
      </c>
      <c r="I6" s="853">
        <f>G6-H6</f>
        <v>1414159.1699999981</v>
      </c>
    </row>
    <row r="7" spans="2:9" s="353" customFormat="1" ht="12.75" customHeight="1">
      <c r="B7" s="355"/>
      <c r="C7" s="854"/>
      <c r="D7" s="855">
        <v>1</v>
      </c>
      <c r="E7" s="356" t="s">
        <v>59</v>
      </c>
      <c r="F7" s="856" t="s">
        <v>218</v>
      </c>
      <c r="G7" s="875"/>
      <c r="H7" s="875"/>
      <c r="I7" s="853">
        <f t="shared" ref="I7:I51" si="0">G7-H7</f>
        <v>0</v>
      </c>
    </row>
    <row r="8" spans="2:9" s="353" customFormat="1" ht="12.75" customHeight="1">
      <c r="B8" s="355"/>
      <c r="C8" s="854"/>
      <c r="D8" s="855">
        <v>2</v>
      </c>
      <c r="E8" s="356" t="s">
        <v>60</v>
      </c>
      <c r="F8" s="849" t="s">
        <v>219</v>
      </c>
      <c r="G8" s="875"/>
      <c r="H8" s="875"/>
      <c r="I8" s="853">
        <f t="shared" si="0"/>
        <v>0</v>
      </c>
    </row>
    <row r="9" spans="2:9" s="353" customFormat="1" ht="12.75" customHeight="1">
      <c r="B9" s="355"/>
      <c r="C9" s="854"/>
      <c r="D9" s="855">
        <v>3</v>
      </c>
      <c r="E9" s="356" t="s">
        <v>61</v>
      </c>
      <c r="F9" s="856" t="s">
        <v>220</v>
      </c>
      <c r="G9" s="875"/>
      <c r="H9" s="875"/>
      <c r="I9" s="853">
        <f t="shared" si="0"/>
        <v>0</v>
      </c>
    </row>
    <row r="10" spans="2:9" s="353" customFormat="1" ht="12.75" customHeight="1">
      <c r="B10" s="355"/>
      <c r="C10" s="854"/>
      <c r="D10" s="855">
        <v>4</v>
      </c>
      <c r="E10" s="356" t="s">
        <v>62</v>
      </c>
      <c r="F10" s="849" t="s">
        <v>221</v>
      </c>
      <c r="G10" s="875">
        <v>5153641.5999999996</v>
      </c>
      <c r="H10" s="875">
        <v>5047331</v>
      </c>
      <c r="I10" s="853">
        <f t="shared" si="0"/>
        <v>106310.59999999963</v>
      </c>
    </row>
    <row r="11" spans="2:9" s="353" customFormat="1" ht="12.75" customHeight="1">
      <c r="B11" s="355"/>
      <c r="C11" s="854"/>
      <c r="D11" s="855">
        <v>5</v>
      </c>
      <c r="E11" s="356" t="s">
        <v>63</v>
      </c>
      <c r="F11" s="856" t="s">
        <v>222</v>
      </c>
      <c r="G11" s="875"/>
      <c r="H11" s="875"/>
      <c r="I11" s="853">
        <f t="shared" si="0"/>
        <v>0</v>
      </c>
    </row>
    <row r="12" spans="2:9" s="353" customFormat="1" ht="12.75" customHeight="1">
      <c r="B12" s="355"/>
      <c r="C12" s="854"/>
      <c r="D12" s="855">
        <v>6</v>
      </c>
      <c r="E12" s="356" t="s">
        <v>64</v>
      </c>
      <c r="F12" s="849" t="s">
        <v>223</v>
      </c>
      <c r="G12" s="875"/>
      <c r="H12" s="875"/>
      <c r="I12" s="853">
        <f t="shared" si="0"/>
        <v>0</v>
      </c>
    </row>
    <row r="13" spans="2:9" s="353" customFormat="1" ht="12.75" customHeight="1">
      <c r="B13" s="355"/>
      <c r="C13" s="854"/>
      <c r="D13" s="855">
        <v>7</v>
      </c>
      <c r="E13" s="356" t="s">
        <v>65</v>
      </c>
      <c r="F13" s="856" t="s">
        <v>224</v>
      </c>
      <c r="G13" s="875"/>
      <c r="H13" s="875"/>
      <c r="I13" s="853">
        <f t="shared" si="0"/>
        <v>0</v>
      </c>
    </row>
    <row r="14" spans="2:9" s="353" customFormat="1" ht="12.75" customHeight="1">
      <c r="B14" s="355"/>
      <c r="C14" s="854"/>
      <c r="D14" s="855">
        <v>8</v>
      </c>
      <c r="E14" s="356" t="s">
        <v>66</v>
      </c>
      <c r="F14" s="849" t="s">
        <v>225</v>
      </c>
      <c r="G14" s="875">
        <v>1363609</v>
      </c>
      <c r="H14" s="875">
        <v>1341475</v>
      </c>
      <c r="I14" s="853">
        <f t="shared" si="0"/>
        <v>22134</v>
      </c>
    </row>
    <row r="15" spans="2:9" s="353" customFormat="1" ht="12.75" customHeight="1">
      <c r="B15" s="355"/>
      <c r="C15" s="854"/>
      <c r="D15" s="855">
        <v>9</v>
      </c>
      <c r="E15" s="356" t="s">
        <v>67</v>
      </c>
      <c r="F15" s="856" t="s">
        <v>226</v>
      </c>
      <c r="G15" s="875">
        <f>62943+561459</f>
        <v>624402</v>
      </c>
      <c r="H15" s="875">
        <v>240674</v>
      </c>
      <c r="I15" s="853">
        <f t="shared" si="0"/>
        <v>383728</v>
      </c>
    </row>
    <row r="16" spans="2:9" s="353" customFormat="1" ht="12.75" customHeight="1">
      <c r="B16" s="355"/>
      <c r="C16" s="861"/>
      <c r="D16" s="855"/>
      <c r="E16" s="356" t="s">
        <v>928</v>
      </c>
      <c r="F16" s="856"/>
      <c r="G16" s="875"/>
      <c r="H16" s="875"/>
      <c r="I16" s="853"/>
    </row>
    <row r="17" spans="2:9" s="353" customFormat="1" ht="12.75" customHeight="1">
      <c r="B17" s="355"/>
      <c r="C17" s="861"/>
      <c r="D17" s="855"/>
      <c r="E17" s="356" t="s">
        <v>927</v>
      </c>
      <c r="F17" s="856"/>
      <c r="G17" s="876">
        <f>591311.3-2050586</f>
        <v>-1459274.7</v>
      </c>
      <c r="H17" s="875">
        <v>9617190</v>
      </c>
      <c r="I17" s="853"/>
    </row>
    <row r="18" spans="2:9" s="353" customFormat="1" ht="12.75" customHeight="1">
      <c r="B18" s="355"/>
      <c r="C18" s="861"/>
      <c r="D18" s="855">
        <v>10</v>
      </c>
      <c r="E18" s="356" t="s">
        <v>75</v>
      </c>
      <c r="F18" s="856" t="s">
        <v>227</v>
      </c>
      <c r="G18" s="875">
        <v>18285791.27</v>
      </c>
      <c r="H18" s="875">
        <v>6307340</v>
      </c>
      <c r="I18" s="853">
        <f t="shared" si="0"/>
        <v>11978451.27</v>
      </c>
    </row>
    <row r="19" spans="2:9" s="353" customFormat="1" ht="12.75" customHeight="1">
      <c r="B19" s="355"/>
      <c r="C19" s="873" t="s">
        <v>79</v>
      </c>
      <c r="D19" s="848" t="s">
        <v>68</v>
      </c>
      <c r="E19" s="863"/>
      <c r="F19" s="856">
        <v>14</v>
      </c>
      <c r="G19" s="875"/>
      <c r="H19" s="875"/>
      <c r="I19" s="853">
        <f t="shared" si="0"/>
        <v>0</v>
      </c>
    </row>
    <row r="20" spans="2:9" s="353" customFormat="1" ht="12.75" customHeight="1">
      <c r="B20" s="355"/>
      <c r="C20" s="873" t="s">
        <v>79</v>
      </c>
      <c r="D20" s="848" t="s">
        <v>69</v>
      </c>
      <c r="E20" s="357"/>
      <c r="F20" s="849">
        <v>15</v>
      </c>
      <c r="G20" s="874">
        <v>209866717</v>
      </c>
      <c r="H20" s="874">
        <v>230388511</v>
      </c>
      <c r="I20" s="853">
        <f t="shared" si="0"/>
        <v>-20521794</v>
      </c>
    </row>
    <row r="21" spans="2:9" s="353" customFormat="1" ht="12.75" customHeight="1">
      <c r="B21" s="355"/>
      <c r="C21" s="873" t="s">
        <v>79</v>
      </c>
      <c r="D21" s="848" t="s">
        <v>70</v>
      </c>
      <c r="E21" s="357"/>
      <c r="F21" s="856">
        <v>16</v>
      </c>
      <c r="G21" s="875"/>
      <c r="H21" s="875"/>
      <c r="I21" s="853">
        <f t="shared" si="0"/>
        <v>0</v>
      </c>
    </row>
    <row r="22" spans="2:9" s="353" customFormat="1" ht="15.95" customHeight="1">
      <c r="B22" s="355"/>
      <c r="C22" s="1021" t="s">
        <v>83</v>
      </c>
      <c r="D22" s="1022"/>
      <c r="E22" s="1023"/>
      <c r="F22" s="849"/>
      <c r="G22" s="874">
        <f>G6+G19+G20+G21</f>
        <v>233834886.16999999</v>
      </c>
      <c r="H22" s="874">
        <f>H6+H19+H20+H21</f>
        <v>252942521</v>
      </c>
      <c r="I22" s="853">
        <f t="shared" si="0"/>
        <v>-19107634.830000013</v>
      </c>
    </row>
    <row r="23" spans="2:9" s="353" customFormat="1" ht="12.75" customHeight="1">
      <c r="B23" s="355"/>
      <c r="C23" s="873" t="s">
        <v>79</v>
      </c>
      <c r="D23" s="848" t="s">
        <v>73</v>
      </c>
      <c r="E23" s="351"/>
      <c r="F23" s="856">
        <v>17</v>
      </c>
      <c r="G23" s="874">
        <f>G24+G25+G26+G27+G28+G29+G30+G31</f>
        <v>133040349</v>
      </c>
      <c r="H23" s="874">
        <f>H24+H25+H26+H27+H28+H29+H30+H31</f>
        <v>133040349</v>
      </c>
      <c r="I23" s="853">
        <f t="shared" si="0"/>
        <v>0</v>
      </c>
    </row>
    <row r="24" spans="2:9" s="353" customFormat="1" ht="12.75" customHeight="1">
      <c r="B24" s="355"/>
      <c r="C24" s="859"/>
      <c r="D24" s="855">
        <v>1</v>
      </c>
      <c r="E24" s="356" t="s">
        <v>59</v>
      </c>
      <c r="F24" s="849" t="s">
        <v>228</v>
      </c>
      <c r="G24" s="875">
        <v>133040349</v>
      </c>
      <c r="H24" s="875">
        <v>133040349</v>
      </c>
      <c r="I24" s="853">
        <f t="shared" si="0"/>
        <v>0</v>
      </c>
    </row>
    <row r="25" spans="2:9" s="353" customFormat="1" ht="12.75" customHeight="1">
      <c r="B25" s="355"/>
      <c r="C25" s="859"/>
      <c r="D25" s="855">
        <v>2</v>
      </c>
      <c r="E25" s="356" t="s">
        <v>60</v>
      </c>
      <c r="F25" s="856" t="s">
        <v>229</v>
      </c>
      <c r="G25" s="875"/>
      <c r="H25" s="875"/>
      <c r="I25" s="853">
        <f t="shared" si="0"/>
        <v>0</v>
      </c>
    </row>
    <row r="26" spans="2:9" s="353" customFormat="1" ht="12.75" customHeight="1">
      <c r="B26" s="355"/>
      <c r="C26" s="859"/>
      <c r="D26" s="855">
        <v>3</v>
      </c>
      <c r="E26" s="356" t="s">
        <v>74</v>
      </c>
      <c r="F26" s="849" t="s">
        <v>230</v>
      </c>
      <c r="G26" s="875"/>
      <c r="H26" s="875"/>
      <c r="I26" s="853">
        <f t="shared" si="0"/>
        <v>0</v>
      </c>
    </row>
    <row r="27" spans="2:9" s="353" customFormat="1" ht="12.75" customHeight="1">
      <c r="B27" s="355"/>
      <c r="C27" s="859"/>
      <c r="D27" s="855">
        <v>4</v>
      </c>
      <c r="E27" s="356" t="s">
        <v>62</v>
      </c>
      <c r="F27" s="856" t="s">
        <v>231</v>
      </c>
      <c r="G27" s="875"/>
      <c r="H27" s="875"/>
      <c r="I27" s="853">
        <f t="shared" si="0"/>
        <v>0</v>
      </c>
    </row>
    <row r="28" spans="2:9" s="353" customFormat="1" ht="12.75" customHeight="1">
      <c r="B28" s="355"/>
      <c r="C28" s="859"/>
      <c r="D28" s="855">
        <v>5</v>
      </c>
      <c r="E28" s="356" t="s">
        <v>63</v>
      </c>
      <c r="F28" s="849" t="s">
        <v>232</v>
      </c>
      <c r="G28" s="875"/>
      <c r="H28" s="875"/>
      <c r="I28" s="853">
        <f t="shared" si="0"/>
        <v>0</v>
      </c>
    </row>
    <row r="29" spans="2:9" s="353" customFormat="1" ht="12.75" customHeight="1">
      <c r="B29" s="355"/>
      <c r="C29" s="859"/>
      <c r="D29" s="855">
        <v>6</v>
      </c>
      <c r="E29" s="356" t="s">
        <v>64</v>
      </c>
      <c r="F29" s="856" t="s">
        <v>233</v>
      </c>
      <c r="G29" s="875"/>
      <c r="H29" s="875"/>
      <c r="I29" s="853">
        <f t="shared" si="0"/>
        <v>0</v>
      </c>
    </row>
    <row r="30" spans="2:9" s="353" customFormat="1" ht="12.75" customHeight="1">
      <c r="B30" s="355"/>
      <c r="C30" s="859"/>
      <c r="D30" s="855">
        <v>7</v>
      </c>
      <c r="E30" s="356" t="s">
        <v>65</v>
      </c>
      <c r="F30" s="849" t="s">
        <v>234</v>
      </c>
      <c r="G30" s="875"/>
      <c r="H30" s="875"/>
      <c r="I30" s="853">
        <f t="shared" si="0"/>
        <v>0</v>
      </c>
    </row>
    <row r="31" spans="2:9" s="353" customFormat="1" ht="12.75" customHeight="1">
      <c r="B31" s="355"/>
      <c r="C31" s="859"/>
      <c r="D31" s="855">
        <v>8</v>
      </c>
      <c r="E31" s="356" t="s">
        <v>75</v>
      </c>
      <c r="F31" s="856" t="s">
        <v>235</v>
      </c>
      <c r="G31" s="875"/>
      <c r="H31" s="875"/>
      <c r="I31" s="853">
        <f t="shared" si="0"/>
        <v>0</v>
      </c>
    </row>
    <row r="32" spans="2:9" s="353" customFormat="1" ht="12.75" customHeight="1">
      <c r="B32" s="355"/>
      <c r="C32" s="873" t="s">
        <v>79</v>
      </c>
      <c r="D32" s="848" t="s">
        <v>76</v>
      </c>
      <c r="E32" s="851"/>
      <c r="F32" s="856">
        <v>18</v>
      </c>
      <c r="G32" s="875"/>
      <c r="H32" s="875"/>
      <c r="I32" s="853">
        <f t="shared" si="0"/>
        <v>0</v>
      </c>
    </row>
    <row r="33" spans="2:12" s="353" customFormat="1" ht="12.75" customHeight="1">
      <c r="B33" s="355"/>
      <c r="C33" s="873" t="s">
        <v>79</v>
      </c>
      <c r="D33" s="848" t="s">
        <v>77</v>
      </c>
      <c r="E33" s="851"/>
      <c r="F33" s="849">
        <v>19</v>
      </c>
      <c r="G33" s="875"/>
      <c r="H33" s="875"/>
      <c r="I33" s="853">
        <f t="shared" si="0"/>
        <v>0</v>
      </c>
    </row>
    <row r="34" spans="2:12" s="353" customFormat="1" ht="12.75" customHeight="1">
      <c r="B34" s="355"/>
      <c r="C34" s="873" t="s">
        <v>79</v>
      </c>
      <c r="D34" s="848" t="s">
        <v>78</v>
      </c>
      <c r="E34" s="851"/>
      <c r="F34" s="856">
        <v>20</v>
      </c>
      <c r="G34" s="874">
        <f>G35+G36</f>
        <v>0</v>
      </c>
      <c r="H34" s="874">
        <f>H35+H36</f>
        <v>0</v>
      </c>
      <c r="I34" s="853">
        <f t="shared" si="0"/>
        <v>0</v>
      </c>
    </row>
    <row r="35" spans="2:12" s="353" customFormat="1" ht="12.75" customHeight="1">
      <c r="B35" s="355"/>
      <c r="C35" s="854"/>
      <c r="D35" s="855">
        <v>1</v>
      </c>
      <c r="E35" s="357" t="s">
        <v>80</v>
      </c>
      <c r="F35" s="849" t="s">
        <v>236</v>
      </c>
      <c r="G35" s="875"/>
      <c r="H35" s="875"/>
      <c r="I35" s="853">
        <f t="shared" si="0"/>
        <v>0</v>
      </c>
    </row>
    <row r="36" spans="2:12" s="353" customFormat="1" ht="12.75" customHeight="1">
      <c r="B36" s="355"/>
      <c r="C36" s="854"/>
      <c r="D36" s="855">
        <v>2</v>
      </c>
      <c r="E36" s="357" t="s">
        <v>81</v>
      </c>
      <c r="F36" s="856" t="s">
        <v>237</v>
      </c>
      <c r="G36" s="875"/>
      <c r="H36" s="875"/>
      <c r="I36" s="853">
        <f t="shared" si="0"/>
        <v>0</v>
      </c>
    </row>
    <row r="37" spans="2:12" s="353" customFormat="1" ht="12.75" customHeight="1">
      <c r="B37" s="355"/>
      <c r="C37" s="873" t="s">
        <v>79</v>
      </c>
      <c r="D37" s="848" t="s">
        <v>82</v>
      </c>
      <c r="E37" s="851"/>
      <c r="F37" s="849">
        <v>21</v>
      </c>
      <c r="G37" s="875"/>
      <c r="H37" s="875"/>
      <c r="I37" s="853">
        <f t="shared" si="0"/>
        <v>0</v>
      </c>
    </row>
    <row r="38" spans="2:12" s="353" customFormat="1" ht="15.95" customHeight="1">
      <c r="B38" s="355"/>
      <c r="C38" s="1021" t="s">
        <v>84</v>
      </c>
      <c r="D38" s="1022"/>
      <c r="E38" s="1023"/>
      <c r="F38" s="849"/>
      <c r="G38" s="874">
        <f>G23+G32+G33+G34+G37</f>
        <v>133040349</v>
      </c>
      <c r="H38" s="874">
        <f>H23+H32+H33+H34+H37</f>
        <v>133040349</v>
      </c>
      <c r="I38" s="853">
        <f t="shared" si="0"/>
        <v>0</v>
      </c>
    </row>
    <row r="39" spans="2:12" s="353" customFormat="1" ht="24.75" customHeight="1">
      <c r="B39" s="355"/>
      <c r="C39" s="1021" t="s">
        <v>72</v>
      </c>
      <c r="D39" s="1022"/>
      <c r="E39" s="1023"/>
      <c r="F39" s="849"/>
      <c r="G39" s="874">
        <f>G22+G23</f>
        <v>366875235.16999996</v>
      </c>
      <c r="H39" s="874">
        <f>H22+H23</f>
        <v>385982870</v>
      </c>
      <c r="I39" s="853">
        <f t="shared" si="0"/>
        <v>-19107634.830000043</v>
      </c>
    </row>
    <row r="40" spans="2:12" s="353" customFormat="1" ht="12.75" customHeight="1">
      <c r="B40" s="355"/>
      <c r="C40" s="873" t="s">
        <v>79</v>
      </c>
      <c r="D40" s="848" t="s">
        <v>85</v>
      </c>
      <c r="E40" s="851"/>
      <c r="F40" s="856">
        <v>22</v>
      </c>
      <c r="G40" s="875"/>
      <c r="H40" s="875"/>
      <c r="I40" s="853">
        <f t="shared" si="0"/>
        <v>0</v>
      </c>
    </row>
    <row r="41" spans="2:12" s="353" customFormat="1" ht="12.75" customHeight="1">
      <c r="B41" s="355"/>
      <c r="C41" s="873" t="s">
        <v>79</v>
      </c>
      <c r="D41" s="848" t="s">
        <v>86</v>
      </c>
      <c r="E41" s="851"/>
      <c r="F41" s="849">
        <v>23</v>
      </c>
      <c r="G41" s="875">
        <v>222000000</v>
      </c>
      <c r="H41" s="875">
        <v>222000000</v>
      </c>
      <c r="I41" s="853">
        <f t="shared" si="0"/>
        <v>0</v>
      </c>
    </row>
    <row r="42" spans="2:12" s="353" customFormat="1" ht="12.75" customHeight="1">
      <c r="B42" s="355"/>
      <c r="C42" s="873" t="s">
        <v>79</v>
      </c>
      <c r="D42" s="848" t="s">
        <v>87</v>
      </c>
      <c r="E42" s="851"/>
      <c r="F42" s="856">
        <v>24</v>
      </c>
      <c r="G42" s="875"/>
      <c r="H42" s="875"/>
      <c r="I42" s="853">
        <f t="shared" si="0"/>
        <v>0</v>
      </c>
    </row>
    <row r="43" spans="2:12" s="353" customFormat="1" ht="12.75" customHeight="1">
      <c r="B43" s="355"/>
      <c r="C43" s="873" t="s">
        <v>79</v>
      </c>
      <c r="D43" s="848" t="s">
        <v>88</v>
      </c>
      <c r="E43" s="851"/>
      <c r="F43" s="849">
        <v>25</v>
      </c>
      <c r="G43" s="875"/>
      <c r="H43" s="875"/>
      <c r="I43" s="853">
        <f t="shared" si="0"/>
        <v>0</v>
      </c>
    </row>
    <row r="44" spans="2:12" s="353" customFormat="1" ht="12.75" customHeight="1">
      <c r="B44" s="355"/>
      <c r="C44" s="873" t="s">
        <v>79</v>
      </c>
      <c r="D44" s="848" t="s">
        <v>89</v>
      </c>
      <c r="E44" s="851"/>
      <c r="F44" s="856">
        <v>26</v>
      </c>
      <c r="G44" s="874">
        <f>G45+G46+G47</f>
        <v>13351360</v>
      </c>
      <c r="H44" s="874">
        <f>H45+H46+H47</f>
        <v>13351360</v>
      </c>
      <c r="I44" s="853">
        <f t="shared" si="0"/>
        <v>0</v>
      </c>
    </row>
    <row r="45" spans="2:12" s="353" customFormat="1" ht="12.75" customHeight="1">
      <c r="B45" s="355"/>
      <c r="C45" s="877"/>
      <c r="D45" s="855">
        <v>1</v>
      </c>
      <c r="E45" s="357" t="s">
        <v>90</v>
      </c>
      <c r="F45" s="849" t="s">
        <v>238</v>
      </c>
      <c r="G45" s="875"/>
      <c r="H45" s="875"/>
      <c r="I45" s="853">
        <f t="shared" si="0"/>
        <v>0</v>
      </c>
    </row>
    <row r="46" spans="2:12" s="353" customFormat="1" ht="12.75" customHeight="1">
      <c r="B46" s="355"/>
      <c r="C46" s="877"/>
      <c r="D46" s="855">
        <v>2</v>
      </c>
      <c r="E46" s="357" t="s">
        <v>91</v>
      </c>
      <c r="F46" s="856" t="s">
        <v>239</v>
      </c>
      <c r="G46" s="875"/>
      <c r="H46" s="875"/>
      <c r="I46" s="853">
        <f t="shared" si="0"/>
        <v>0</v>
      </c>
    </row>
    <row r="47" spans="2:12" s="353" customFormat="1" ht="12.75" customHeight="1">
      <c r="B47" s="355"/>
      <c r="C47" s="877"/>
      <c r="D47" s="855">
        <v>3</v>
      </c>
      <c r="E47" s="357" t="s">
        <v>89</v>
      </c>
      <c r="F47" s="849" t="s">
        <v>240</v>
      </c>
      <c r="G47" s="875">
        <v>13351360</v>
      </c>
      <c r="H47" s="875">
        <v>13351360</v>
      </c>
      <c r="I47" s="853">
        <f t="shared" si="0"/>
        <v>0</v>
      </c>
    </row>
    <row r="48" spans="2:12" s="353" customFormat="1" ht="12.75" customHeight="1">
      <c r="B48" s="355"/>
      <c r="C48" s="873" t="s">
        <v>79</v>
      </c>
      <c r="D48" s="848" t="s">
        <v>92</v>
      </c>
      <c r="E48" s="851"/>
      <c r="F48" s="856">
        <v>27</v>
      </c>
      <c r="G48" s="878">
        <f>(H48+H49)</f>
        <v>-7358862</v>
      </c>
      <c r="H48" s="876">
        <v>-61649987</v>
      </c>
      <c r="I48" s="853">
        <f t="shared" si="0"/>
        <v>54291125</v>
      </c>
      <c r="L48" s="835">
        <f>G48+G49</f>
        <v>-4266897.9100000011</v>
      </c>
    </row>
    <row r="49" spans="2:12" s="353" customFormat="1" ht="12.75" customHeight="1">
      <c r="B49" s="355"/>
      <c r="C49" s="873" t="s">
        <v>79</v>
      </c>
      <c r="D49" s="848" t="s">
        <v>93</v>
      </c>
      <c r="E49" s="851"/>
      <c r="F49" s="849">
        <v>28</v>
      </c>
      <c r="G49" s="949">
        <f>PASH!G40</f>
        <v>3091964.0899999989</v>
      </c>
      <c r="H49" s="876">
        <v>54291125</v>
      </c>
      <c r="I49" s="853">
        <f t="shared" si="0"/>
        <v>-51199160.910000004</v>
      </c>
      <c r="L49" s="879">
        <f>H48+H49</f>
        <v>-7358862</v>
      </c>
    </row>
    <row r="50" spans="2:12" s="353" customFormat="1" ht="15.95" customHeight="1">
      <c r="B50" s="355"/>
      <c r="C50" s="1021" t="s">
        <v>94</v>
      </c>
      <c r="D50" s="1022"/>
      <c r="E50" s="1023"/>
      <c r="F50" s="849"/>
      <c r="G50" s="874">
        <f>G40+G41+G42+G43+G44+G48+G49</f>
        <v>231084462.09</v>
      </c>
      <c r="H50" s="874">
        <f>H40+H41+H42+H43+H44+H48+H49</f>
        <v>227992498</v>
      </c>
      <c r="I50" s="853">
        <f t="shared" si="0"/>
        <v>3091964.0900000036</v>
      </c>
    </row>
    <row r="51" spans="2:12" s="353" customFormat="1" ht="24.75" customHeight="1">
      <c r="B51" s="355"/>
      <c r="C51" s="1021" t="s">
        <v>95</v>
      </c>
      <c r="D51" s="1022"/>
      <c r="E51" s="1023"/>
      <c r="F51" s="849"/>
      <c r="G51" s="874">
        <f>G39+G50</f>
        <v>597959697.25999999</v>
      </c>
      <c r="H51" s="874">
        <f>H39+H50</f>
        <v>613975368</v>
      </c>
      <c r="I51" s="853">
        <f t="shared" si="0"/>
        <v>-16015670.74000001</v>
      </c>
    </row>
    <row r="52" spans="2:12" s="353" customFormat="1" ht="15.95" customHeight="1">
      <c r="B52" s="866"/>
      <c r="C52" s="866"/>
      <c r="D52" s="880"/>
      <c r="E52" s="881"/>
      <c r="F52" s="866"/>
      <c r="G52" s="882">
        <f>-Aktivet!G52</f>
        <v>-597959697.38</v>
      </c>
      <c r="H52" s="882">
        <f>-Aktivet!H52</f>
        <v>-613975368</v>
      </c>
    </row>
    <row r="53" spans="2:12" s="353" customFormat="1" ht="15.95" customHeight="1">
      <c r="B53" s="866"/>
      <c r="C53" s="866"/>
      <c r="D53" s="880"/>
      <c r="E53" s="881"/>
      <c r="F53" s="866"/>
      <c r="G53" s="883">
        <f>SUM(G51:G52)</f>
        <v>-0.12000000476837158</v>
      </c>
      <c r="H53" s="883">
        <f>SUM(H51:H52)</f>
        <v>0</v>
      </c>
    </row>
    <row r="54" spans="2:12">
      <c r="E54" s="359" t="s">
        <v>960</v>
      </c>
      <c r="F54" s="361"/>
      <c r="G54" s="1020" t="s">
        <v>962</v>
      </c>
      <c r="H54" s="1020"/>
      <c r="I54" s="724"/>
    </row>
    <row r="55" spans="2:12" ht="13.5">
      <c r="E55" s="360"/>
      <c r="F55" s="361"/>
      <c r="G55" s="362"/>
      <c r="H55" s="362"/>
      <c r="I55" s="724"/>
    </row>
    <row r="56" spans="2:12">
      <c r="E56" s="359" t="s">
        <v>242</v>
      </c>
      <c r="F56" s="361"/>
      <c r="G56" s="1020" t="s">
        <v>964</v>
      </c>
      <c r="H56" s="1020"/>
      <c r="I56" s="724"/>
    </row>
    <row r="57" spans="2:12">
      <c r="G57" s="815"/>
      <c r="H57" s="815"/>
      <c r="I57" s="724"/>
    </row>
    <row r="59" spans="2:12" s="353" customFormat="1" ht="15.95" customHeight="1">
      <c r="B59" s="866"/>
      <c r="C59" s="866"/>
      <c r="D59" s="880"/>
      <c r="E59" s="881"/>
      <c r="F59" s="866"/>
      <c r="G59" s="883"/>
      <c r="H59" s="883"/>
    </row>
    <row r="60" spans="2:12" s="353" customFormat="1" ht="15.95" customHeight="1">
      <c r="B60" s="866"/>
      <c r="C60" s="866"/>
      <c r="D60" s="880"/>
      <c r="E60" s="881"/>
      <c r="F60" s="866"/>
      <c r="G60" s="883"/>
      <c r="H60" s="883"/>
    </row>
    <row r="61" spans="2:12" s="353" customFormat="1" ht="15.95" customHeight="1">
      <c r="B61" s="866"/>
      <c r="C61" s="866"/>
      <c r="D61" s="866"/>
      <c r="E61" s="866"/>
      <c r="F61" s="866"/>
      <c r="G61" s="883"/>
      <c r="H61" s="883"/>
    </row>
    <row r="62" spans="2:12">
      <c r="B62" s="884"/>
      <c r="C62" s="884"/>
      <c r="D62" s="885"/>
      <c r="E62" s="886"/>
      <c r="F62" s="884"/>
      <c r="G62" s="887"/>
      <c r="H62" s="887"/>
    </row>
  </sheetData>
  <mergeCells count="9">
    <mergeCell ref="G56:H56"/>
    <mergeCell ref="C51:E51"/>
    <mergeCell ref="B3:H3"/>
    <mergeCell ref="C39:E39"/>
    <mergeCell ref="C22:E22"/>
    <mergeCell ref="C38:E38"/>
    <mergeCell ref="C50:E50"/>
    <mergeCell ref="C5:E5"/>
    <mergeCell ref="G54:H5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pasqyra 4 2015</vt:lpstr>
      <vt:lpstr>Deklar.Tatim Fitimit </vt:lpstr>
      <vt:lpstr>Analiza Llogarish  (2)</vt:lpstr>
      <vt:lpstr>Assets </vt:lpstr>
      <vt:lpstr>Amortizimi</vt:lpstr>
      <vt:lpstr>AQT</vt:lpstr>
      <vt:lpstr>Sheet1 </vt:lpstr>
      <vt:lpstr>Aktivet</vt:lpstr>
      <vt:lpstr>Pasivet</vt:lpstr>
      <vt:lpstr>PASH</vt:lpstr>
      <vt:lpstr>SHERBIME </vt:lpstr>
      <vt:lpstr>Fluksi </vt:lpstr>
      <vt:lpstr>Kapitali</vt:lpstr>
      <vt:lpstr>SHENIME</vt:lpstr>
      <vt:lpstr>TVSH </vt:lpstr>
      <vt:lpstr>SIG SHOQ</vt:lpstr>
      <vt:lpstr>Pasqyra1&amp;2</vt:lpstr>
      <vt:lpstr>pasqyra 3</vt:lpstr>
      <vt:lpstr>AMF</vt:lpstr>
      <vt:lpstr>Mjete</vt:lpstr>
      <vt:lpstr>Sheet2</vt:lpstr>
      <vt:lpstr>'Analiza Llogarish  (2)'!Print_Area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2018-06-12T09:42:24Z</cp:lastPrinted>
  <dcterms:created xsi:type="dcterms:W3CDTF">2002-02-16T18:16:52Z</dcterms:created>
  <dcterms:modified xsi:type="dcterms:W3CDTF">2018-12-15T14:49:44Z</dcterms:modified>
</cp:coreProperties>
</file>