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8475" windowHeight="56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 mater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24519"/>
</workbook>
</file>

<file path=xl/calcChain.xml><?xml version="1.0" encoding="utf-8"?>
<calcChain xmlns="http://schemas.openxmlformats.org/spreadsheetml/2006/main">
  <c r="C125" i="6"/>
  <c r="C154"/>
  <c r="C152"/>
  <c r="C151"/>
  <c r="C153"/>
  <c r="C146"/>
  <c r="C144"/>
  <c r="C143"/>
  <c r="C147"/>
  <c r="C138"/>
  <c r="C140"/>
  <c r="C133"/>
  <c r="C115"/>
  <c r="C114"/>
  <c r="C116"/>
  <c r="C108"/>
  <c r="C107"/>
  <c r="C109"/>
  <c r="C103"/>
  <c r="C95"/>
  <c r="C96"/>
  <c r="C90"/>
  <c r="C91"/>
  <c r="C76"/>
  <c r="C75"/>
  <c r="C74"/>
  <c r="C78"/>
  <c r="C69"/>
  <c r="C49"/>
  <c r="C46"/>
  <c r="C12"/>
  <c r="C18"/>
  <c r="C39"/>
  <c r="C51"/>
  <c r="C72"/>
  <c r="C82"/>
  <c r="C89"/>
  <c r="C94"/>
  <c r="C99"/>
  <c r="C106"/>
  <c r="C113"/>
  <c r="C120"/>
  <c r="C137"/>
  <c r="C142"/>
  <c r="C150"/>
  <c r="C8"/>
  <c r="C7"/>
  <c r="C6"/>
  <c r="C9"/>
  <c r="D101" i="11"/>
  <c r="C71" i="12"/>
  <c r="C66"/>
  <c r="D35" i="3"/>
  <c r="D39"/>
  <c r="D25" i="2"/>
  <c r="D21"/>
  <c r="C148" i="6"/>
  <c r="D9" i="2"/>
  <c r="D68" i="1"/>
  <c r="D67"/>
  <c r="D66"/>
  <c r="D65"/>
  <c r="D64"/>
  <c r="D61"/>
  <c r="D50"/>
  <c r="C45" i="6"/>
  <c r="D48" i="1"/>
  <c r="C86" i="6"/>
  <c r="D47" i="1"/>
  <c r="C43" i="6"/>
  <c r="D46" i="1"/>
  <c r="C42" i="6"/>
  <c r="D45" i="1"/>
  <c r="C52" i="6"/>
  <c r="D43" i="1"/>
  <c r="C41" i="6"/>
  <c r="D55" i="1"/>
  <c r="D33"/>
  <c r="D36"/>
  <c r="D27"/>
  <c r="D26"/>
  <c r="D21"/>
  <c r="D20"/>
  <c r="D19"/>
  <c r="D18"/>
  <c r="C16" i="6"/>
  <c r="D23" i="1"/>
  <c r="D13"/>
  <c r="C20" i="6"/>
  <c r="D12" i="1"/>
  <c r="C19" i="6"/>
  <c r="C22"/>
  <c r="D16" i="1"/>
  <c r="C23" i="6"/>
  <c r="D97" i="11"/>
  <c r="D88"/>
  <c r="D50"/>
  <c r="D8" i="1"/>
  <c r="C10" i="6"/>
  <c r="D10" i="1"/>
  <c r="D29"/>
  <c r="D38"/>
  <c r="D40" i="11"/>
  <c r="D34"/>
  <c r="D33"/>
  <c r="D25"/>
  <c r="D20"/>
  <c r="D12"/>
  <c r="D60"/>
  <c r="C102" i="12"/>
  <c r="C89"/>
  <c r="C81"/>
  <c r="D15" i="2"/>
  <c r="C77" i="12"/>
  <c r="D13" i="2"/>
  <c r="C134" i="6"/>
  <c r="C72" i="12"/>
  <c r="D14" i="2"/>
  <c r="C117" i="6"/>
  <c r="C68" i="12"/>
  <c r="C65"/>
  <c r="D12" i="2"/>
  <c r="C110" i="6"/>
  <c r="C64" i="12"/>
  <c r="C88"/>
  <c r="C96"/>
  <c r="C60"/>
  <c r="C36"/>
  <c r="C17"/>
  <c r="C34"/>
  <c r="C43"/>
  <c r="C97"/>
  <c r="C100"/>
  <c r="C105"/>
  <c r="D77" i="11"/>
  <c r="C12" i="12"/>
  <c r="D8" i="2"/>
  <c r="C97" i="6"/>
  <c r="F86" i="23"/>
  <c r="L83"/>
  <c r="J83"/>
  <c r="H83"/>
  <c r="G86"/>
  <c r="G83"/>
  <c r="C83"/>
  <c r="C86"/>
  <c r="B83"/>
  <c r="M82"/>
  <c r="K82"/>
  <c r="I82"/>
  <c r="N82"/>
  <c r="D82"/>
  <c r="P82"/>
  <c r="M81"/>
  <c r="K81"/>
  <c r="I81"/>
  <c r="N81"/>
  <c r="D81"/>
  <c r="P81"/>
  <c r="M80"/>
  <c r="K80"/>
  <c r="I80"/>
  <c r="N80"/>
  <c r="D80"/>
  <c r="P80"/>
  <c r="M79"/>
  <c r="K79"/>
  <c r="I79"/>
  <c r="N79"/>
  <c r="D79"/>
  <c r="P79"/>
  <c r="M78"/>
  <c r="K78"/>
  <c r="I78"/>
  <c r="N78"/>
  <c r="D78"/>
  <c r="P78"/>
  <c r="M77"/>
  <c r="K77"/>
  <c r="I77"/>
  <c r="N77"/>
  <c r="D77"/>
  <c r="P77"/>
  <c r="M76"/>
  <c r="K76"/>
  <c r="I76"/>
  <c r="N76"/>
  <c r="D76"/>
  <c r="P76"/>
  <c r="M75"/>
  <c r="K75"/>
  <c r="I75"/>
  <c r="N75"/>
  <c r="D75"/>
  <c r="P75"/>
  <c r="M74"/>
  <c r="K74"/>
  <c r="I74"/>
  <c r="N74"/>
  <c r="D74"/>
  <c r="P74"/>
  <c r="M73"/>
  <c r="K73"/>
  <c r="I73"/>
  <c r="N73"/>
  <c r="D73"/>
  <c r="P73"/>
  <c r="M72"/>
  <c r="K72"/>
  <c r="I72"/>
  <c r="N72"/>
  <c r="D72"/>
  <c r="P72"/>
  <c r="M71"/>
  <c r="M83"/>
  <c r="K71"/>
  <c r="K83"/>
  <c r="I71"/>
  <c r="I83"/>
  <c r="I86"/>
  <c r="D71"/>
  <c r="D83"/>
  <c r="E156" i="6"/>
  <c r="D131"/>
  <c r="D12" i="20"/>
  <c r="D11"/>
  <c r="D10"/>
  <c r="E101" i="11"/>
  <c r="E42"/>
  <c r="E51"/>
  <c r="E25"/>
  <c r="D71" i="12"/>
  <c r="D76"/>
  <c r="F77" i="11"/>
  <c r="H102" i="12"/>
  <c r="G102"/>
  <c r="G105"/>
  <c r="F24" i="17"/>
  <c r="F25"/>
  <c r="F21"/>
  <c r="F20"/>
  <c r="F19"/>
  <c r="F18"/>
  <c r="F17"/>
  <c r="F16"/>
  <c r="F15"/>
  <c r="F22"/>
  <c r="F11"/>
  <c r="F12"/>
  <c r="F27"/>
  <c r="M49" i="23"/>
  <c r="M50"/>
  <c r="M51"/>
  <c r="M52"/>
  <c r="M53"/>
  <c r="M54"/>
  <c r="M55"/>
  <c r="M56"/>
  <c r="M57"/>
  <c r="M58"/>
  <c r="M59"/>
  <c r="M60"/>
  <c r="L61"/>
  <c r="J61"/>
  <c r="H61"/>
  <c r="G64"/>
  <c r="G61"/>
  <c r="C61"/>
  <c r="C64"/>
  <c r="B61"/>
  <c r="K60"/>
  <c r="I60"/>
  <c r="N60"/>
  <c r="P60"/>
  <c r="D60"/>
  <c r="K59"/>
  <c r="I59"/>
  <c r="N59"/>
  <c r="P59"/>
  <c r="D59"/>
  <c r="K58"/>
  <c r="I58"/>
  <c r="N58"/>
  <c r="P58"/>
  <c r="D58"/>
  <c r="K57"/>
  <c r="I57"/>
  <c r="N57"/>
  <c r="P57"/>
  <c r="D57"/>
  <c r="K56"/>
  <c r="I56"/>
  <c r="N56"/>
  <c r="P56"/>
  <c r="D56"/>
  <c r="K55"/>
  <c r="I55"/>
  <c r="N55"/>
  <c r="P55"/>
  <c r="D55"/>
  <c r="K54"/>
  <c r="I54"/>
  <c r="N54"/>
  <c r="P54"/>
  <c r="D54"/>
  <c r="K53"/>
  <c r="I53"/>
  <c r="N53"/>
  <c r="P53"/>
  <c r="D53"/>
  <c r="K52"/>
  <c r="I52"/>
  <c r="N52"/>
  <c r="P52"/>
  <c r="D52"/>
  <c r="K51"/>
  <c r="I51"/>
  <c r="N51"/>
  <c r="P51"/>
  <c r="D51"/>
  <c r="K50"/>
  <c r="I50"/>
  <c r="N50"/>
  <c r="P50"/>
  <c r="D50"/>
  <c r="M61"/>
  <c r="K49"/>
  <c r="K61"/>
  <c r="I49"/>
  <c r="N49"/>
  <c r="I61"/>
  <c r="I64"/>
  <c r="D49"/>
  <c r="D61"/>
  <c r="E145" i="6"/>
  <c r="E133"/>
  <c r="F95"/>
  <c r="G95"/>
  <c r="H95"/>
  <c r="F96"/>
  <c r="G96"/>
  <c r="H96"/>
  <c r="D154"/>
  <c r="D151"/>
  <c r="D143"/>
  <c r="D146"/>
  <c r="D144"/>
  <c r="D138"/>
  <c r="D133"/>
  <c r="D115"/>
  <c r="D114"/>
  <c r="D107"/>
  <c r="D95"/>
  <c r="D92"/>
  <c r="D90"/>
  <c r="D80"/>
  <c r="D75"/>
  <c r="D76"/>
  <c r="D74"/>
  <c r="D8"/>
  <c r="D7"/>
  <c r="D6"/>
  <c r="D147"/>
  <c r="D140"/>
  <c r="D116"/>
  <c r="D103"/>
  <c r="D96"/>
  <c r="D91"/>
  <c r="D69"/>
  <c r="D46"/>
  <c r="D12"/>
  <c r="D18"/>
  <c r="D39"/>
  <c r="D51"/>
  <c r="D72"/>
  <c r="D82"/>
  <c r="D89"/>
  <c r="D94"/>
  <c r="D99"/>
  <c r="D106"/>
  <c r="D113"/>
  <c r="D120"/>
  <c r="D137"/>
  <c r="D142"/>
  <c r="D150"/>
  <c r="E35" i="3"/>
  <c r="E39"/>
  <c r="E68" i="1"/>
  <c r="E67"/>
  <c r="E66"/>
  <c r="E65"/>
  <c r="E64"/>
  <c r="E61"/>
  <c r="E50"/>
  <c r="D45" i="6"/>
  <c r="C80"/>
  <c r="E48" i="1"/>
  <c r="D86" i="6"/>
  <c r="E46" i="1"/>
  <c r="D42" i="6"/>
  <c r="E45" i="1"/>
  <c r="D52" i="6"/>
  <c r="E43" i="1"/>
  <c r="D41" i="6"/>
  <c r="E27" i="1"/>
  <c r="E11" i="3"/>
  <c r="E26" i="1"/>
  <c r="E21"/>
  <c r="E20"/>
  <c r="E19"/>
  <c r="E18"/>
  <c r="D17" i="3"/>
  <c r="D16" i="6"/>
  <c r="E23" i="1"/>
  <c r="E13"/>
  <c r="D20" i="6"/>
  <c r="C92"/>
  <c r="E12" i="1"/>
  <c r="D15" i="3"/>
  <c r="D19" i="6"/>
  <c r="D22"/>
  <c r="E9" i="2"/>
  <c r="E20" i="11"/>
  <c r="D72" i="12"/>
  <c r="E14" i="2"/>
  <c r="D117" i="6"/>
  <c r="D108"/>
  <c r="D109"/>
  <c r="E50" i="11"/>
  <c r="E8" i="1"/>
  <c r="D10" i="6"/>
  <c r="E10" i="1"/>
  <c r="E40" i="11"/>
  <c r="E34"/>
  <c r="D89" i="12"/>
  <c r="E21" i="2"/>
  <c r="D148" i="6"/>
  <c r="D81" i="12"/>
  <c r="E15" i="2"/>
  <c r="E10" i="3"/>
  <c r="D77" i="12"/>
  <c r="E13" i="2"/>
  <c r="D134" i="6"/>
  <c r="D68" i="12"/>
  <c r="D65"/>
  <c r="E12" i="2"/>
  <c r="D110" i="6"/>
  <c r="D60" i="12"/>
  <c r="D36"/>
  <c r="D17"/>
  <c r="D34"/>
  <c r="D43"/>
  <c r="D12"/>
  <c r="E8" i="2"/>
  <c r="D97" i="6"/>
  <c r="G151"/>
  <c r="H151"/>
  <c r="F151"/>
  <c r="E106"/>
  <c r="E113"/>
  <c r="E120"/>
  <c r="E137"/>
  <c r="E150"/>
  <c r="F34" i="3"/>
  <c r="F36"/>
  <c r="F33"/>
  <c r="F9"/>
  <c r="F12"/>
  <c r="F13"/>
  <c r="F14"/>
  <c r="F16"/>
  <c r="F154" i="6"/>
  <c r="G131"/>
  <c r="F125"/>
  <c r="G108"/>
  <c r="H108"/>
  <c r="I108"/>
  <c r="J108"/>
  <c r="K108"/>
  <c r="F108"/>
  <c r="E108"/>
  <c r="G107"/>
  <c r="H107"/>
  <c r="F107"/>
  <c r="F109"/>
  <c r="F75"/>
  <c r="G74"/>
  <c r="H74"/>
  <c r="I74"/>
  <c r="J74"/>
  <c r="K74"/>
  <c r="F69"/>
  <c r="G46"/>
  <c r="H46"/>
  <c r="F46"/>
  <c r="F29"/>
  <c r="F35"/>
  <c r="G75"/>
  <c r="G76"/>
  <c r="G77"/>
  <c r="G78"/>
  <c r="F146"/>
  <c r="F144"/>
  <c r="F143"/>
  <c r="F147"/>
  <c r="F138"/>
  <c r="F139"/>
  <c r="F133"/>
  <c r="F115"/>
  <c r="F114"/>
  <c r="F116"/>
  <c r="F103"/>
  <c r="F90"/>
  <c r="F91"/>
  <c r="F76"/>
  <c r="F74"/>
  <c r="F78"/>
  <c r="F12"/>
  <c r="F18"/>
  <c r="F39"/>
  <c r="F51"/>
  <c r="F72"/>
  <c r="F82"/>
  <c r="F89"/>
  <c r="F99"/>
  <c r="F106"/>
  <c r="F113"/>
  <c r="F120"/>
  <c r="F137"/>
  <c r="F142"/>
  <c r="F150"/>
  <c r="F8"/>
  <c r="F7"/>
  <c r="F6"/>
  <c r="F77" i="12"/>
  <c r="E77"/>
  <c r="E65"/>
  <c r="F65"/>
  <c r="H35" i="3"/>
  <c r="G35"/>
  <c r="F35"/>
  <c r="J35"/>
  <c r="F140" i="6"/>
  <c r="C43" i="23"/>
  <c r="D43"/>
  <c r="E43"/>
  <c r="G43"/>
  <c r="H43"/>
  <c r="J43"/>
  <c r="K43"/>
  <c r="I38"/>
  <c r="G38"/>
  <c r="F38"/>
  <c r="C38"/>
  <c r="B38"/>
  <c r="J36"/>
  <c r="H36"/>
  <c r="D36"/>
  <c r="L36"/>
  <c r="J35"/>
  <c r="H35"/>
  <c r="D35"/>
  <c r="J34"/>
  <c r="H34"/>
  <c r="D34"/>
  <c r="L34"/>
  <c r="J33"/>
  <c r="H33"/>
  <c r="D33"/>
  <c r="J32"/>
  <c r="H32"/>
  <c r="D32"/>
  <c r="L32"/>
  <c r="J31"/>
  <c r="H31"/>
  <c r="D31"/>
  <c r="J30"/>
  <c r="H30"/>
  <c r="D30"/>
  <c r="L30"/>
  <c r="J29"/>
  <c r="H29"/>
  <c r="D29"/>
  <c r="J28"/>
  <c r="H28"/>
  <c r="D28"/>
  <c r="J27"/>
  <c r="H27"/>
  <c r="D27"/>
  <c r="J26"/>
  <c r="H26"/>
  <c r="D26"/>
  <c r="L26"/>
  <c r="J25"/>
  <c r="J38"/>
  <c r="H25"/>
  <c r="H38"/>
  <c r="I40"/>
  <c r="D25"/>
  <c r="G13" i="2"/>
  <c r="F134" i="6"/>
  <c r="G12" i="2"/>
  <c r="F110" i="6"/>
  <c r="G9" i="2"/>
  <c r="F68" i="1"/>
  <c r="F67"/>
  <c r="F66"/>
  <c r="F65"/>
  <c r="F64"/>
  <c r="F61"/>
  <c r="F50"/>
  <c r="F45" i="6"/>
  <c r="F80"/>
  <c r="F48" i="1"/>
  <c r="F44" i="6"/>
  <c r="F47" i="1"/>
  <c r="F43" i="6"/>
  <c r="F46" i="1"/>
  <c r="F42" i="6"/>
  <c r="F45" i="1"/>
  <c r="F52" i="6"/>
  <c r="F43" i="1"/>
  <c r="F41" i="6"/>
  <c r="F55" i="1"/>
  <c r="F27"/>
  <c r="F26"/>
  <c r="F21"/>
  <c r="F20"/>
  <c r="F19"/>
  <c r="F18"/>
  <c r="E17" i="3"/>
  <c r="F16" i="6"/>
  <c r="F13" i="1"/>
  <c r="F20" i="6"/>
  <c r="F92"/>
  <c r="F12" i="1"/>
  <c r="E15" i="3"/>
  <c r="F19" i="6"/>
  <c r="F97" i="11"/>
  <c r="F88"/>
  <c r="F49" i="6"/>
  <c r="F50" i="11"/>
  <c r="F8" i="1"/>
  <c r="F10" i="6"/>
  <c r="F40" i="11"/>
  <c r="F34"/>
  <c r="F20"/>
  <c r="F12"/>
  <c r="E89" i="12"/>
  <c r="G21" i="2"/>
  <c r="E81" i="12"/>
  <c r="G15" i="2"/>
  <c r="G10" i="3"/>
  <c r="E72" i="12"/>
  <c r="G14" i="2"/>
  <c r="F117" i="6"/>
  <c r="E68" i="12"/>
  <c r="E60"/>
  <c r="E36"/>
  <c r="E17"/>
  <c r="E34"/>
  <c r="E43"/>
  <c r="E12"/>
  <c r="G8" i="2"/>
  <c r="F97" i="6"/>
  <c r="I17" i="23"/>
  <c r="I43"/>
  <c r="G17"/>
  <c r="F17"/>
  <c r="C17"/>
  <c r="B17"/>
  <c r="J15"/>
  <c r="H15"/>
  <c r="D15"/>
  <c r="J14"/>
  <c r="H14"/>
  <c r="D14"/>
  <c r="L14"/>
  <c r="J13"/>
  <c r="H13"/>
  <c r="D13"/>
  <c r="J12"/>
  <c r="H12"/>
  <c r="D12"/>
  <c r="J11"/>
  <c r="H11"/>
  <c r="D11"/>
  <c r="J10"/>
  <c r="H10"/>
  <c r="D10"/>
  <c r="J9"/>
  <c r="H9"/>
  <c r="D9"/>
  <c r="J8"/>
  <c r="H8"/>
  <c r="D8"/>
  <c r="J7"/>
  <c r="H7"/>
  <c r="D7"/>
  <c r="J6"/>
  <c r="H6"/>
  <c r="D6"/>
  <c r="J5"/>
  <c r="H5"/>
  <c r="D5"/>
  <c r="J4"/>
  <c r="J17"/>
  <c r="H4"/>
  <c r="D4"/>
  <c r="G35" i="6"/>
  <c r="I40" i="11"/>
  <c r="G77" i="12"/>
  <c r="G143" i="6"/>
  <c r="E143"/>
  <c r="G144"/>
  <c r="E144"/>
  <c r="E95"/>
  <c r="K13" i="13"/>
  <c r="I13"/>
  <c r="H72" i="12"/>
  <c r="G114" i="6"/>
  <c r="E114"/>
  <c r="G115"/>
  <c r="E115"/>
  <c r="I20" i="13"/>
  <c r="K20"/>
  <c r="F68" i="12"/>
  <c r="G68"/>
  <c r="H68"/>
  <c r="G34" i="11"/>
  <c r="H34"/>
  <c r="I34"/>
  <c r="G68" i="1"/>
  <c r="G67"/>
  <c r="G66"/>
  <c r="G65"/>
  <c r="G64"/>
  <c r="G61"/>
  <c r="G50"/>
  <c r="G45" i="6"/>
  <c r="G80"/>
  <c r="G48" i="1"/>
  <c r="G86" i="6"/>
  <c r="G47" i="1"/>
  <c r="G46"/>
  <c r="G42" i="6"/>
  <c r="G45" i="1"/>
  <c r="G52" i="6"/>
  <c r="G40"/>
  <c r="G43" i="1"/>
  <c r="G41" i="6"/>
  <c r="G27" i="1"/>
  <c r="G11" i="3"/>
  <c r="G26" i="1"/>
  <c r="G21"/>
  <c r="G20"/>
  <c r="G19"/>
  <c r="G18"/>
  <c r="G13" i="6"/>
  <c r="G15"/>
  <c r="G13" i="1"/>
  <c r="G12"/>
  <c r="G19" i="6"/>
  <c r="H9" i="2"/>
  <c r="F9"/>
  <c r="G154" i="6"/>
  <c r="G146"/>
  <c r="E146"/>
  <c r="G147"/>
  <c r="E147"/>
  <c r="G138"/>
  <c r="E138"/>
  <c r="G139"/>
  <c r="E139"/>
  <c r="G133"/>
  <c r="G103"/>
  <c r="G90"/>
  <c r="G91"/>
  <c r="G12"/>
  <c r="G18"/>
  <c r="G39"/>
  <c r="G51"/>
  <c r="G72"/>
  <c r="G82"/>
  <c r="G89"/>
  <c r="G99"/>
  <c r="G106"/>
  <c r="G113"/>
  <c r="G120"/>
  <c r="G137"/>
  <c r="G142"/>
  <c r="G150"/>
  <c r="G8"/>
  <c r="G7"/>
  <c r="G6"/>
  <c r="G97" i="11"/>
  <c r="G88"/>
  <c r="G49" i="6"/>
  <c r="G50" i="11"/>
  <c r="G8" i="1"/>
  <c r="G40" i="11"/>
  <c r="G20"/>
  <c r="G12"/>
  <c r="F89" i="12"/>
  <c r="H21" i="2"/>
  <c r="G148" i="6"/>
  <c r="F81" i="12"/>
  <c r="H15" i="2"/>
  <c r="F15"/>
  <c r="H13"/>
  <c r="G134" i="6"/>
  <c r="E134"/>
  <c r="F72" i="12"/>
  <c r="H14" i="2"/>
  <c r="F14"/>
  <c r="F60" i="12"/>
  <c r="F36"/>
  <c r="F17"/>
  <c r="F34"/>
  <c r="F43"/>
  <c r="F12"/>
  <c r="H8" i="2"/>
  <c r="F8"/>
  <c r="H146" i="6"/>
  <c r="H144"/>
  <c r="H143"/>
  <c r="H138"/>
  <c r="H140"/>
  <c r="H114"/>
  <c r="H115"/>
  <c r="H109"/>
  <c r="H90"/>
  <c r="H91"/>
  <c r="H76"/>
  <c r="H8"/>
  <c r="H7"/>
  <c r="H6"/>
  <c r="E27" i="20"/>
  <c r="D27"/>
  <c r="H68" i="1"/>
  <c r="H67"/>
  <c r="H66"/>
  <c r="H65"/>
  <c r="H64"/>
  <c r="H50"/>
  <c r="H48"/>
  <c r="H83" i="6"/>
  <c r="H85"/>
  <c r="H46" i="1"/>
  <c r="H42" i="6"/>
  <c r="H45" i="1"/>
  <c r="H52" i="6"/>
  <c r="H43" i="1"/>
  <c r="H41" i="6"/>
  <c r="H27" i="1"/>
  <c r="H11" i="3"/>
  <c r="F11"/>
  <c r="H26" i="1"/>
  <c r="H21"/>
  <c r="H20"/>
  <c r="H19"/>
  <c r="H18"/>
  <c r="H13" i="6"/>
  <c r="H15"/>
  <c r="H13" i="1"/>
  <c r="H20" i="6"/>
  <c r="H12" i="1"/>
  <c r="H40" i="11"/>
  <c r="H75" i="6"/>
  <c r="G17" i="12"/>
  <c r="G34"/>
  <c r="G43"/>
  <c r="G65"/>
  <c r="G72"/>
  <c r="G81"/>
  <c r="G89"/>
  <c r="I15" i="2"/>
  <c r="I14"/>
  <c r="H117" i="6"/>
  <c r="I13" i="2"/>
  <c r="H134" i="6"/>
  <c r="I9" i="2"/>
  <c r="G12" i="12"/>
  <c r="I8" i="2"/>
  <c r="H20" i="11"/>
  <c r="H33" i="1"/>
  <c r="H50" i="11"/>
  <c r="H8" i="1"/>
  <c r="H97" i="11"/>
  <c r="H88"/>
  <c r="H49" i="6"/>
  <c r="G60" i="12"/>
  <c r="G36"/>
  <c r="I21" i="2"/>
  <c r="H148" i="6"/>
  <c r="H154"/>
  <c r="H12"/>
  <c r="H18"/>
  <c r="H39"/>
  <c r="H51"/>
  <c r="H72"/>
  <c r="H82"/>
  <c r="H89"/>
  <c r="H94"/>
  <c r="H99"/>
  <c r="H106"/>
  <c r="H113"/>
  <c r="H120"/>
  <c r="H137"/>
  <c r="H142"/>
  <c r="H150"/>
  <c r="H139"/>
  <c r="H103"/>
  <c r="H86"/>
  <c r="H45"/>
  <c r="H80"/>
  <c r="H40"/>
  <c r="H16"/>
  <c r="H9"/>
  <c r="K9" i="2"/>
  <c r="J43" i="1"/>
  <c r="J45"/>
  <c r="J46"/>
  <c r="J47"/>
  <c r="J48"/>
  <c r="J50"/>
  <c r="J27"/>
  <c r="J12"/>
  <c r="J13"/>
  <c r="J20" i="6"/>
  <c r="J92"/>
  <c r="J26" i="1"/>
  <c r="J21"/>
  <c r="J20"/>
  <c r="J19"/>
  <c r="J18"/>
  <c r="J64"/>
  <c r="J65"/>
  <c r="J66"/>
  <c r="J67"/>
  <c r="J68"/>
  <c r="I64"/>
  <c r="I65"/>
  <c r="I66"/>
  <c r="I67"/>
  <c r="I68"/>
  <c r="I69"/>
  <c r="J9" i="2"/>
  <c r="I43" i="1"/>
  <c r="I45"/>
  <c r="I46"/>
  <c r="I42" i="6"/>
  <c r="I48" i="1"/>
  <c r="I83" i="6"/>
  <c r="I85"/>
  <c r="I50" i="1"/>
  <c r="I45" i="6"/>
  <c r="I27" i="1"/>
  <c r="I12"/>
  <c r="I19" i="6"/>
  <c r="I26" i="1"/>
  <c r="I21"/>
  <c r="I20"/>
  <c r="I13" i="6"/>
  <c r="I15"/>
  <c r="I19" i="1"/>
  <c r="I18"/>
  <c r="I23"/>
  <c r="I35" i="3"/>
  <c r="I10"/>
  <c r="H61" i="1"/>
  <c r="H23"/>
  <c r="I146" i="6"/>
  <c r="I107"/>
  <c r="I41"/>
  <c r="I40"/>
  <c r="E11" i="20"/>
  <c r="K18" i="13"/>
  <c r="K35" i="3"/>
  <c r="K39"/>
  <c r="I50" i="11"/>
  <c r="H65" i="12"/>
  <c r="J14" i="2"/>
  <c r="H77" i="12"/>
  <c r="I132" i="6"/>
  <c r="H81" i="12"/>
  <c r="J15" i="2"/>
  <c r="J10" i="3"/>
  <c r="H89" i="12"/>
  <c r="J21" i="2"/>
  <c r="I148" i="6"/>
  <c r="H17" i="12"/>
  <c r="H34"/>
  <c r="H43"/>
  <c r="K14" i="2"/>
  <c r="J117" i="6"/>
  <c r="K15" i="2"/>
  <c r="I61" i="1"/>
  <c r="I20" i="11"/>
  <c r="H12" i="12"/>
  <c r="J8" i="2"/>
  <c r="H36" i="12"/>
  <c r="K8" i="2"/>
  <c r="K21"/>
  <c r="J148" i="6"/>
  <c r="J33" i="1"/>
  <c r="J69"/>
  <c r="I122" i="6"/>
  <c r="I133"/>
  <c r="I12"/>
  <c r="I18"/>
  <c r="I39"/>
  <c r="I51"/>
  <c r="I72"/>
  <c r="I82"/>
  <c r="I89"/>
  <c r="I94"/>
  <c r="I99"/>
  <c r="I106"/>
  <c r="I113"/>
  <c r="I120"/>
  <c r="I137"/>
  <c r="I142"/>
  <c r="I143"/>
  <c r="I144"/>
  <c r="I138"/>
  <c r="I140"/>
  <c r="I114"/>
  <c r="I115"/>
  <c r="I103"/>
  <c r="I95"/>
  <c r="I96"/>
  <c r="I90"/>
  <c r="I91"/>
  <c r="I75"/>
  <c r="I76"/>
  <c r="I97" i="11"/>
  <c r="I88"/>
  <c r="I49" i="6"/>
  <c r="I46"/>
  <c r="I6"/>
  <c r="I7"/>
  <c r="I8"/>
  <c r="H60" i="12"/>
  <c r="I12" i="11"/>
  <c r="J132" i="6"/>
  <c r="J154"/>
  <c r="J143"/>
  <c r="J147"/>
  <c r="J144"/>
  <c r="J146"/>
  <c r="J138"/>
  <c r="J140"/>
  <c r="J124"/>
  <c r="J122"/>
  <c r="J133"/>
  <c r="J114"/>
  <c r="J115"/>
  <c r="J107"/>
  <c r="J103"/>
  <c r="J95"/>
  <c r="J90"/>
  <c r="J91"/>
  <c r="J86"/>
  <c r="J83"/>
  <c r="J85"/>
  <c r="J75"/>
  <c r="J52"/>
  <c r="J46"/>
  <c r="J45"/>
  <c r="J80"/>
  <c r="J44"/>
  <c r="J43"/>
  <c r="J41"/>
  <c r="J40"/>
  <c r="J19"/>
  <c r="J22"/>
  <c r="J16"/>
  <c r="J13"/>
  <c r="J15"/>
  <c r="J8" i="1"/>
  <c r="K44" i="3"/>
  <c r="E12" i="20"/>
  <c r="J29" i="14"/>
  <c r="I29"/>
  <c r="J28"/>
  <c r="I28"/>
  <c r="D16" i="13"/>
  <c r="E16"/>
  <c r="F16"/>
  <c r="G16"/>
  <c r="J16"/>
  <c r="J23"/>
  <c r="C16"/>
  <c r="C23"/>
  <c r="J49" i="6"/>
  <c r="G39" i="20"/>
  <c r="D39"/>
  <c r="G23"/>
  <c r="D23"/>
  <c r="J61" i="1"/>
  <c r="J55"/>
  <c r="J23"/>
  <c r="J16"/>
  <c r="J76" i="6"/>
  <c r="J42"/>
  <c r="J23"/>
  <c r="J12"/>
  <c r="J18"/>
  <c r="J6"/>
  <c r="J7"/>
  <c r="J8"/>
  <c r="E28" i="20"/>
  <c r="E44"/>
  <c r="E26"/>
  <c r="D28"/>
  <c r="D26"/>
  <c r="D33"/>
  <c r="F11"/>
  <c r="G11"/>
  <c r="F12"/>
  <c r="F10"/>
  <c r="G12"/>
  <c r="G40"/>
  <c r="G41"/>
  <c r="D42"/>
  <c r="E42"/>
  <c r="F42"/>
  <c r="G42"/>
  <c r="D43"/>
  <c r="E43"/>
  <c r="F43"/>
  <c r="F44"/>
  <c r="F49"/>
  <c r="G45"/>
  <c r="G46"/>
  <c r="G47"/>
  <c r="G48"/>
  <c r="G24"/>
  <c r="G25"/>
  <c r="G26"/>
  <c r="G27"/>
  <c r="G30"/>
  <c r="G31"/>
  <c r="G32"/>
  <c r="F33"/>
  <c r="G8"/>
  <c r="G9"/>
  <c r="G10"/>
  <c r="G17"/>
  <c r="G13"/>
  <c r="G14"/>
  <c r="G15"/>
  <c r="G16"/>
  <c r="F17"/>
  <c r="E17"/>
  <c r="F28" i="14"/>
  <c r="G28"/>
  <c r="H28"/>
  <c r="L28"/>
  <c r="K28"/>
  <c r="K30"/>
  <c r="F29"/>
  <c r="G29"/>
  <c r="H29"/>
  <c r="L29"/>
  <c r="K29"/>
  <c r="J30"/>
  <c r="I30"/>
  <c r="H30"/>
  <c r="G30"/>
  <c r="F30"/>
  <c r="L26"/>
  <c r="L25"/>
  <c r="L24"/>
  <c r="L22"/>
  <c r="L21"/>
  <c r="L19"/>
  <c r="L18"/>
  <c r="L17"/>
  <c r="L14"/>
  <c r="L13"/>
  <c r="H133" i="6"/>
  <c r="J13" i="2"/>
  <c r="K13"/>
  <c r="K12"/>
  <c r="J110" i="6"/>
  <c r="J12" i="2"/>
  <c r="I110" i="6"/>
  <c r="K17" i="3"/>
  <c r="I12" i="2"/>
  <c r="H110" i="6"/>
  <c r="H47" i="1"/>
  <c r="H55"/>
  <c r="G55"/>
  <c r="G16"/>
  <c r="G23" i="6"/>
  <c r="G33" i="1"/>
  <c r="I17" i="3"/>
  <c r="I20" i="6"/>
  <c r="I92"/>
  <c r="J78"/>
  <c r="J96"/>
  <c r="G9"/>
  <c r="J109"/>
  <c r="G33" i="11"/>
  <c r="H12" i="2"/>
  <c r="F12"/>
  <c r="H33" i="11"/>
  <c r="G64" i="12"/>
  <c r="G88"/>
  <c r="G96"/>
  <c r="H152" i="6"/>
  <c r="H153"/>
  <c r="G97" i="12"/>
  <c r="G100"/>
  <c r="H77" i="11"/>
  <c r="G76"/>
  <c r="I52" i="6"/>
  <c r="I9"/>
  <c r="I15" i="3"/>
  <c r="I117" i="6"/>
  <c r="F64" i="12"/>
  <c r="F88"/>
  <c r="F96"/>
  <c r="G152" i="6"/>
  <c r="G153"/>
  <c r="F97" i="12"/>
  <c r="F100"/>
  <c r="I25" i="2"/>
  <c r="H64" i="12"/>
  <c r="H88"/>
  <c r="H96"/>
  <c r="J25" i="2"/>
  <c r="J18" i="3"/>
  <c r="J9" i="6"/>
  <c r="I116"/>
  <c r="I139"/>
  <c r="I147"/>
  <c r="H78"/>
  <c r="J48"/>
  <c r="K37" i="3"/>
  <c r="I16" i="6"/>
  <c r="I11" i="3"/>
  <c r="J10" i="6"/>
  <c r="J10" i="1"/>
  <c r="J29"/>
  <c r="J36"/>
  <c r="J38"/>
  <c r="I44" i="6"/>
  <c r="H19"/>
  <c r="H16" i="1"/>
  <c r="H23" i="6"/>
  <c r="H12" i="11"/>
  <c r="H60"/>
  <c r="J116" i="6"/>
  <c r="K43" i="3"/>
  <c r="K10"/>
  <c r="K26"/>
  <c r="K31"/>
  <c r="J97" i="6"/>
  <c r="K16" i="2"/>
  <c r="K23"/>
  <c r="I154" i="6"/>
  <c r="G140"/>
  <c r="K25" i="2"/>
  <c r="K18" i="3"/>
  <c r="J70" i="1"/>
  <c r="J71"/>
  <c r="J73"/>
  <c r="J79"/>
  <c r="D44" i="20"/>
  <c r="G44"/>
  <c r="D49"/>
  <c r="I33" i="11"/>
  <c r="I60"/>
  <c r="G23" i="1"/>
  <c r="G109" i="6"/>
  <c r="E109"/>
  <c r="I18" i="3"/>
  <c r="G97" i="6"/>
  <c r="I10"/>
  <c r="G44"/>
  <c r="G83"/>
  <c r="G85"/>
  <c r="H69" i="1"/>
  <c r="E33" i="20"/>
  <c r="G28"/>
  <c r="G33"/>
  <c r="D17"/>
  <c r="H44" i="6"/>
  <c r="H97"/>
  <c r="I97"/>
  <c r="E25" i="22"/>
  <c r="L35" i="23"/>
  <c r="L33"/>
  <c r="L31"/>
  <c r="L29"/>
  <c r="L28"/>
  <c r="L25"/>
  <c r="L27"/>
  <c r="F40"/>
  <c r="B40"/>
  <c r="D38"/>
  <c r="L4"/>
  <c r="I55" i="1"/>
  <c r="I16"/>
  <c r="I23" i="6"/>
  <c r="H43"/>
  <c r="I86"/>
  <c r="K15" i="3"/>
  <c r="K11"/>
  <c r="H17" i="23"/>
  <c r="I19"/>
  <c r="I41"/>
  <c r="L6"/>
  <c r="L8"/>
  <c r="L10"/>
  <c r="L15"/>
  <c r="F19"/>
  <c r="F43"/>
  <c r="L12"/>
  <c r="D17"/>
  <c r="D39"/>
  <c r="L5"/>
  <c r="L7"/>
  <c r="L9"/>
  <c r="L11"/>
  <c r="L13"/>
  <c r="B19"/>
  <c r="B43"/>
  <c r="H147" i="6"/>
  <c r="F33" i="11"/>
  <c r="F60"/>
  <c r="F16" i="1"/>
  <c r="F23" i="6"/>
  <c r="F33" i="1"/>
  <c r="F36"/>
  <c r="E64" i="12"/>
  <c r="E88"/>
  <c r="E96"/>
  <c r="F152" i="6"/>
  <c r="E97" i="12"/>
  <c r="E100"/>
  <c r="G16" i="2"/>
  <c r="G60" i="11"/>
  <c r="H17" i="3"/>
  <c r="G17"/>
  <c r="G36" i="1"/>
  <c r="G10"/>
  <c r="G29"/>
  <c r="G38"/>
  <c r="G10" i="6"/>
  <c r="G15" i="3"/>
  <c r="H15"/>
  <c r="G20" i="6"/>
  <c r="G92"/>
  <c r="G43"/>
  <c r="H10" i="3"/>
  <c r="F10"/>
  <c r="H26"/>
  <c r="H16" i="2"/>
  <c r="G117" i="6"/>
  <c r="H36" i="1"/>
  <c r="H10" i="6"/>
  <c r="H10" i="1"/>
  <c r="H29"/>
  <c r="H38"/>
  <c r="I43" i="6"/>
  <c r="I36" i="1"/>
  <c r="I26" i="3"/>
  <c r="I31"/>
  <c r="I10" i="1"/>
  <c r="J16" i="2"/>
  <c r="J23"/>
  <c r="H97" i="12"/>
  <c r="H100"/>
  <c r="H105"/>
  <c r="I77" i="11"/>
  <c r="I67"/>
  <c r="I66"/>
  <c r="I111"/>
  <c r="I118"/>
  <c r="H116" i="6"/>
  <c r="I16" i="2"/>
  <c r="I23"/>
  <c r="G26" i="3"/>
  <c r="G31"/>
  <c r="I71" i="1"/>
  <c r="I73"/>
  <c r="G39" i="3"/>
  <c r="I78" i="6"/>
  <c r="J139"/>
  <c r="I109"/>
  <c r="E107"/>
  <c r="F9"/>
  <c r="H70" i="1"/>
  <c r="H67" i="11"/>
  <c r="H66"/>
  <c r="H111"/>
  <c r="H118"/>
  <c r="H23" i="2"/>
  <c r="H8" i="3"/>
  <c r="F102" i="12"/>
  <c r="H25" i="2"/>
  <c r="H18" i="3"/>
  <c r="F148" i="6"/>
  <c r="E148"/>
  <c r="F21" i="2"/>
  <c r="G23"/>
  <c r="G8" i="3"/>
  <c r="E102" i="12"/>
  <c r="G25" i="2"/>
  <c r="G27"/>
  <c r="F13"/>
  <c r="J27"/>
  <c r="J8" i="3"/>
  <c r="I153" i="6"/>
  <c r="I155"/>
  <c r="I157"/>
  <c r="I159"/>
  <c r="J26" i="3"/>
  <c r="J31"/>
  <c r="H71" i="1"/>
  <c r="H73"/>
  <c r="F105" i="12"/>
  <c r="G77" i="11"/>
  <c r="H27" i="2"/>
  <c r="E105" i="12"/>
  <c r="G18" i="3"/>
  <c r="G70" i="1"/>
  <c r="D64" i="12"/>
  <c r="D88"/>
  <c r="D96"/>
  <c r="D152" i="6"/>
  <c r="D153"/>
  <c r="E33" i="11"/>
  <c r="F15" i="3"/>
  <c r="F25" i="2"/>
  <c r="H22" i="6"/>
  <c r="H92"/>
  <c r="F18" i="3"/>
  <c r="F17"/>
  <c r="I22" i="6"/>
  <c r="J15" i="3"/>
  <c r="I37"/>
  <c r="I39"/>
  <c r="F10" i="1"/>
  <c r="I29"/>
  <c r="I38"/>
  <c r="I79"/>
  <c r="J37" i="3"/>
  <c r="J39"/>
  <c r="J17"/>
  <c r="J11"/>
  <c r="H48" i="6"/>
  <c r="G48"/>
  <c r="F22"/>
  <c r="I48"/>
  <c r="I80"/>
  <c r="F70" i="1"/>
  <c r="J19" i="3"/>
  <c r="J23"/>
  <c r="J41"/>
  <c r="G19"/>
  <c r="G23"/>
  <c r="G41"/>
  <c r="F26"/>
  <c r="F31"/>
  <c r="F23" i="1"/>
  <c r="F29"/>
  <c r="F38"/>
  <c r="F83" i="6"/>
  <c r="F85"/>
  <c r="G16"/>
  <c r="F40"/>
  <c r="F48"/>
  <c r="H79" i="1"/>
  <c r="F86" i="6"/>
  <c r="F13"/>
  <c r="F15"/>
  <c r="H19" i="3"/>
  <c r="H23"/>
  <c r="F8"/>
  <c r="F19"/>
  <c r="F23"/>
  <c r="I8"/>
  <c r="I19"/>
  <c r="I23"/>
  <c r="I41"/>
  <c r="I44"/>
  <c r="H43"/>
  <c r="I27" i="2"/>
  <c r="K27"/>
  <c r="J153" i="6"/>
  <c r="J155"/>
  <c r="J157"/>
  <c r="J159"/>
  <c r="K8" i="3"/>
  <c r="K19"/>
  <c r="K23"/>
  <c r="K41"/>
  <c r="F16" i="2"/>
  <c r="F23"/>
  <c r="F27"/>
  <c r="H31" i="3"/>
  <c r="G110" i="6"/>
  <c r="E43" i="3"/>
  <c r="F19" i="18"/>
  <c r="B64" i="23"/>
  <c r="G22" i="6"/>
  <c r="G116"/>
  <c r="E116"/>
  <c r="E96"/>
  <c r="E151"/>
  <c r="D78"/>
  <c r="D9"/>
  <c r="D139"/>
  <c r="E49" i="20"/>
  <c r="G43"/>
  <c r="G49" s="1"/>
  <c r="E16" i="1"/>
  <c r="D23" i="6"/>
  <c r="E29" i="1"/>
  <c r="E12" i="11"/>
  <c r="E60"/>
  <c r="E33" i="1"/>
  <c r="D97" i="12"/>
  <c r="D100"/>
  <c r="D102"/>
  <c r="D105"/>
  <c r="E77" i="11"/>
  <c r="E70" i="1"/>
  <c r="H12" i="13"/>
  <c r="E16" i="2"/>
  <c r="E23"/>
  <c r="E8" i="3"/>
  <c r="E26"/>
  <c r="E31"/>
  <c r="E36" i="1"/>
  <c r="E38"/>
  <c r="E25" i="2"/>
  <c r="E27"/>
  <c r="E97" i="11"/>
  <c r="E88"/>
  <c r="D49" i="6"/>
  <c r="E47" i="1"/>
  <c r="D43" i="6"/>
  <c r="E55" i="1"/>
  <c r="E18" i="3"/>
  <c r="D155" i="6"/>
  <c r="D159"/>
  <c r="E19" i="3"/>
  <c r="E23"/>
  <c r="E41"/>
  <c r="E44"/>
  <c r="D43"/>
  <c r="D13" i="6"/>
  <c r="D15"/>
  <c r="D40"/>
  <c r="D44"/>
  <c r="D83"/>
  <c r="D85"/>
  <c r="D48"/>
  <c r="E117"/>
  <c r="E110"/>
  <c r="L30" i="14"/>
  <c r="H159" i="6"/>
  <c r="H155"/>
  <c r="G155"/>
  <c r="G157"/>
  <c r="G159"/>
  <c r="E152"/>
  <c r="F153"/>
  <c r="L17" i="23"/>
  <c r="L38"/>
  <c r="E153" i="6"/>
  <c r="F155"/>
  <c r="L43" i="23"/>
  <c r="F157" i="6"/>
  <c r="F159"/>
  <c r="N61" i="23"/>
  <c r="P49"/>
  <c r="P61"/>
  <c r="N71"/>
  <c r="N83"/>
  <c r="P71"/>
  <c r="P83"/>
  <c r="F76" i="11"/>
  <c r="G69" i="1"/>
  <c r="G67" i="11"/>
  <c r="G66"/>
  <c r="G111"/>
  <c r="G118"/>
  <c r="H37" i="3"/>
  <c r="G71" i="1"/>
  <c r="G73"/>
  <c r="G79"/>
  <c r="E76" i="11"/>
  <c r="D76"/>
  <c r="F69" i="1"/>
  <c r="F67" i="11"/>
  <c r="F66"/>
  <c r="F111"/>
  <c r="F118"/>
  <c r="F71" i="1"/>
  <c r="F73"/>
  <c r="F79"/>
  <c r="E69"/>
  <c r="H7" i="13"/>
  <c r="E71" i="1"/>
  <c r="E73"/>
  <c r="E79"/>
  <c r="E67" i="11"/>
  <c r="E66"/>
  <c r="E111"/>
  <c r="E118"/>
  <c r="F37" i="3"/>
  <c r="F39"/>
  <c r="F41"/>
  <c r="H39"/>
  <c r="H41"/>
  <c r="H44"/>
  <c r="C159" i="6"/>
  <c r="C155"/>
  <c r="C139"/>
  <c r="D18" i="3"/>
  <c r="D26"/>
  <c r="D31"/>
  <c r="D10"/>
  <c r="D16" i="2"/>
  <c r="D23"/>
  <c r="D27"/>
  <c r="D8" i="3"/>
  <c r="D19" s="1"/>
  <c r="D23" s="1"/>
  <c r="D41" s="1"/>
  <c r="D44" s="1"/>
  <c r="D70" i="1"/>
  <c r="H19" i="13"/>
  <c r="I19"/>
  <c r="K19"/>
  <c r="I7"/>
  <c r="H16"/>
  <c r="H23"/>
  <c r="D69" i="1"/>
  <c r="D71"/>
  <c r="D73"/>
  <c r="D79"/>
  <c r="D67" i="11"/>
  <c r="D66"/>
  <c r="D111"/>
  <c r="D118"/>
  <c r="I12" i="13"/>
  <c r="K12"/>
  <c r="C13" i="6"/>
  <c r="C15"/>
  <c r="C40"/>
  <c r="C44"/>
  <c r="C83"/>
  <c r="C85"/>
  <c r="K7" i="13"/>
  <c r="K16"/>
  <c r="K23"/>
  <c r="I16"/>
  <c r="I23"/>
  <c r="C48" i="6"/>
</calcChain>
</file>

<file path=xl/sharedStrings.xml><?xml version="1.0" encoding="utf-8"?>
<sst xmlns="http://schemas.openxmlformats.org/spreadsheetml/2006/main" count="1140" uniqueCount="706">
  <si>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</si>
  <si>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</si>
  <si>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</si>
  <si>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</si>
  <si>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</si>
  <si>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</si>
  <si>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</si>
  <si>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</si>
  <si>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</si>
  <si>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</si>
  <si>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</si>
  <si>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</si>
  <si>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</si>
  <si>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</si>
  <si>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</si>
  <si>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</si>
  <si>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</si>
  <si>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</si>
  <si>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</si>
  <si>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</si>
  <si>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</si>
  <si>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</si>
  <si>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</si>
  <si>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</si>
  <si>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</si>
  <si>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</si>
  <si>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</si>
  <si>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</si>
  <si>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</si>
  <si>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</si>
  <si>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</si>
  <si>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</si>
  <si>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</si>
  <si>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</si>
  <si>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</si>
  <si>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</si>
  <si>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</si>
  <si>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</si>
  <si>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</si>
  <si>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</si>
  <si>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</si>
  <si>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</si>
  <si>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</si>
  <si>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</si>
  <si>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</si>
  <si>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</si>
  <si>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</si>
  <si>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</si>
  <si>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</si>
  <si>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</si>
  <si>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</si>
  <si>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</si>
  <si>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</si>
  <si>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</si>
  <si>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</si>
  <si>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</si>
  <si>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</si>
  <si>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</si>
  <si>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</si>
  <si>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</si>
  <si>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</si>
  <si>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</si>
  <si>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</si>
  <si>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</si>
  <si>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</si>
  <si>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</si>
  <si>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</si>
  <si>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</si>
  <si>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</si>
  <si>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</si>
  <si>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</si>
  <si>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</si>
  <si>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</si>
  <si>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</si>
  <si>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</si>
  <si>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</si>
  <si>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</si>
  <si>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</si>
  <si>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</si>
  <si>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</si>
  <si>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</si>
  <si>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</si>
  <si>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</si>
  <si>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</si>
  <si>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</si>
  <si>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</si>
  <si>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</si>
  <si>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</si>
  <si>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</si>
  <si>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</si>
  <si>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</si>
  <si>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</si>
  <si>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</si>
  <si>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</si>
  <si>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</si>
  <si>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</si>
  <si>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</si>
  <si>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</si>
  <si>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</si>
  <si>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</si>
  <si>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</si>
  <si>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</si>
  <si>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</si>
  <si>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</si>
  <si>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</si>
  <si>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</si>
  <si>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</si>
  <si>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</si>
  <si>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</si>
  <si>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</si>
  <si>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</si>
  <si>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</si>
  <si>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</si>
  <si>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</si>
  <si>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</si>
  <si>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</si>
  <si>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</si>
  <si>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</si>
  <si>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</si>
  <si>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</si>
  <si>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</si>
  <si>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</si>
  <si>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</si>
  <si>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</si>
  <si>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</si>
  <si>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</si>
  <si>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</si>
  <si>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</si>
  <si>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</si>
  <si>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</si>
  <si>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</si>
  <si>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</si>
  <si>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</si>
  <si>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</si>
  <si>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</si>
  <si>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</si>
  <si>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</si>
  <si>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</si>
  <si>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</si>
  <si>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</si>
  <si>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</si>
  <si>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</si>
  <si>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</si>
  <si>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</si>
  <si>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</si>
  <si>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</si>
  <si>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</si>
  <si>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</si>
  <si>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</si>
  <si>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</si>
  <si>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</si>
  <si>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</si>
  <si>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</si>
  <si>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</si>
  <si>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</si>
  <si>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</si>
  <si>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</si>
  <si>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</si>
  <si>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</si>
  <si>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</si>
  <si>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</si>
  <si>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</si>
  <si>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</si>
  <si>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</si>
  <si>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</si>
  <si>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</si>
  <si>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</si>
  <si>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</si>
  <si>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</si>
  <si>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</si>
  <si>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</si>
  <si>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</si>
  <si>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</si>
  <si>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</si>
  <si>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</si>
  <si>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</si>
  <si>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</si>
  <si>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</si>
  <si>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</si>
  <si>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</si>
  <si>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</si>
  <si>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</si>
  <si>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</si>
  <si>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</si>
  <si>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</si>
  <si>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</si>
  <si>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</si>
  <si>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</si>
  <si>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</si>
  <si>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</si>
  <si>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</si>
  <si>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</si>
  <si>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</si>
  <si>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</si>
  <si>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</si>
  <si>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</si>
  <si>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</si>
  <si>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</si>
  <si>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</si>
  <si>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</si>
  <si>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</si>
  <si>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</si>
  <si>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</si>
  <si>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</si>
  <si>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</si>
  <si>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</si>
  <si>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</si>
  <si>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</si>
  <si>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</si>
  <si>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</si>
  <si>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</si>
  <si>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</si>
  <si>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</si>
  <si>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</si>
  <si>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</si>
  <si>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</si>
  <si>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</si>
  <si>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</si>
  <si>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</si>
  <si>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</si>
  <si>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</si>
  <si>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</si>
  <si>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</si>
  <si>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</si>
  <si>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</si>
  <si>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</si>
  <si>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</si>
  <si>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</si>
  <si>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</si>
  <si>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</si>
  <si>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</si>
  <si>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</si>
  <si>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</si>
  <si>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</si>
  <si>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</si>
  <si>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</si>
  <si>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</si>
  <si>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</si>
  <si>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</si>
  <si>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</si>
  <si>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</si>
  <si>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</si>
  <si>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</si>
  <si>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</si>
  <si>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</si>
  <si>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</si>
  <si>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</si>
  <si>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</si>
  <si>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</si>
  <si>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</si>
  <si>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</si>
  <si>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</si>
  <si>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</si>
  <si>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</si>
  <si>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</si>
  <si>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</si>
  <si>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</si>
  <si>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</si>
  <si>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</si>
  <si>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</si>
  <si>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</si>
  <si>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</si>
  <si>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</si>
  <si>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</si>
  <si>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</si>
  <si>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</si>
  <si>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</si>
  <si>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</si>
  <si>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</si>
  <si>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</si>
  <si>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</si>
  <si>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</si>
  <si>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</si>
  <si>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</si>
  <si>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</si>
  <si>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</si>
  <si>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</si>
  <si>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</si>
  <si>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</si>
  <si>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</si>
  <si>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</si>
  <si>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</si>
  <si>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</si>
  <si>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</si>
  <si>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</si>
  <si>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</si>
  <si>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</si>
  <si>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</si>
  <si>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</si>
  <si>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</si>
  <si>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</si>
  <si>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</si>
  <si>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</si>
  <si>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</si>
  <si>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</si>
  <si>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</si>
  <si>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</si>
  <si>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</si>
  <si>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</si>
  <si>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</si>
  <si>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</si>
  <si>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</si>
  <si>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</si>
  <si>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</si>
  <si>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</si>
  <si>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</si>
  <si>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</si>
  <si>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</si>
  <si>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</si>
  <si>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</si>
  <si>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</si>
  <si>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</si>
  <si>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</si>
  <si>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</si>
  <si>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</si>
  <si>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</si>
  <si>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</si>
  <si>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</si>
  <si>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</si>
  <si>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</si>
  <si>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</si>
  <si>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</si>
  <si>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</si>
  <si>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</si>
  <si>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</si>
  <si>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</si>
  <si>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</si>
  <si>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</si>
  <si>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</si>
  <si>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</si>
  <si>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</si>
  <si>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</si>
  <si>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</si>
  <si>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</si>
  <si>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</si>
  <si>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</si>
  <si>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</si>
  <si>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</si>
  <si>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</si>
  <si>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</si>
  <si>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</si>
  <si>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</si>
  <si>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</si>
  <si>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</si>
  <si>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</si>
  <si>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</si>
  <si>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</si>
  <si>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</si>
  <si>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</si>
  <si>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</si>
  <si>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</si>
  <si>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</si>
  <si>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</si>
  <si>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</si>
  <si>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</si>
  <si>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</si>
  <si>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</si>
  <si>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</si>
  <si>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</si>
  <si>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</si>
  <si>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</si>
  <si>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</si>
  <si>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</si>
  <si>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</si>
  <si>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</si>
  <si>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</si>
  <si>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</si>
  <si>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</si>
  <si>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</si>
  <si>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</si>
  <si>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</si>
  <si>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</si>
  <si>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</si>
  <si>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</si>
  <si>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</si>
  <si>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</si>
  <si>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</si>
  <si>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</si>
  <si>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</si>
  <si>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</si>
  <si>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</si>
  <si>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</si>
  <si>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</si>
  <si>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</si>
  <si>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</si>
  <si>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</si>
  <si>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</si>
  <si>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</si>
  <si>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</si>
  <si>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</si>
  <si>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</si>
  <si>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</si>
  <si>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</si>
  <si>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</si>
  <si>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</si>
  <si>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</si>
  <si>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</si>
  <si>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</si>
  <si>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</si>
  <si>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</si>
  <si>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</si>
  <si>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</si>
  <si>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</si>
  <si>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</si>
  <si>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</si>
  <si>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</si>
  <si>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</si>
  <si>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</si>
  <si>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</si>
  <si>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</si>
  <si>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</si>
  <si>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</si>
  <si>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</si>
  <si>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</si>
  <si>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</si>
  <si>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</si>
  <si>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</si>
  <si>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</si>
  <si>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</si>
  <si>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</si>
  <si>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</si>
  <si>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</si>
  <si>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</si>
  <si>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</si>
  <si>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</si>
  <si>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</si>
  <si>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</si>
  <si>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</si>
  <si>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</si>
  <si>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</si>
  <si>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</si>
  <si>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</si>
  <si>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</si>
  <si>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</si>
  <si>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</si>
  <si>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</si>
  <si>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</si>
  <si>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</si>
  <si>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</si>
  <si>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</si>
  <si>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</si>
  <si>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</si>
  <si>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</si>
  <si>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</si>
  <si>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</si>
  <si>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</si>
  <si>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</si>
  <si>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</si>
  <si>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</si>
  <si>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</si>
  <si>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</si>
  <si>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</si>
  <si>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</si>
  <si>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</si>
  <si>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</si>
  <si>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</si>
  <si>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</si>
  <si>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</si>
  <si>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</si>
  <si>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</si>
  <si>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</si>
  <si>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</si>
  <si>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</si>
  <si>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</si>
  <si>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</si>
  <si>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</si>
  <si>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</si>
  <si>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</si>
  <si>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</si>
  <si>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</si>
  <si>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</si>
  <si>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</si>
  <si>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</si>
  <si>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</si>
  <si>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</si>
  <si>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</si>
  <si>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</si>
  <si>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</si>
  <si>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</si>
  <si>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</si>
  <si>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</si>
  <si>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</si>
  <si>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</si>
  <si>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</si>
  <si>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</si>
  <si>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</si>
  <si>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</si>
  <si>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</si>
  <si>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</si>
  <si>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</si>
  <si>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</si>
  <si>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</si>
  <si>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</si>
  <si>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</si>
  <si>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</si>
  <si>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</si>
  <si>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</si>
  <si>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</si>
  <si>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</si>
  <si>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</si>
  <si>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</si>
  <si>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</si>
  <si>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</si>
  <si>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</si>
  <si>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</si>
  <si>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</si>
  <si>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</si>
  <si>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</si>
  <si>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</si>
  <si>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</si>
  <si>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</si>
  <si>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</si>
  <si>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</si>
  <si>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</si>
  <si>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</si>
  <si>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</si>
  <si>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</si>
  <si>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</si>
  <si>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</si>
  <si>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V.O.Kjo pasqyre do te plotesohet e vecante per</t>
  </si>
  <si>
    <t>Lenden e Pare ; Mallrat ; Produktin e Gateshem dhe Prodhimin ne Proces</t>
  </si>
  <si>
    <t>Emertimi</t>
  </si>
  <si>
    <t>Gjendje</t>
  </si>
  <si>
    <t>Shtesa</t>
  </si>
  <si>
    <t>Pakesime</t>
  </si>
  <si>
    <t>Ndertime</t>
  </si>
  <si>
    <t xml:space="preserve">             TOTALI</t>
  </si>
  <si>
    <t>Administratori</t>
  </si>
  <si>
    <t>31 Dhjetor 2011</t>
  </si>
  <si>
    <t>Viti 2011</t>
  </si>
  <si>
    <t>VITI 2011</t>
  </si>
  <si>
    <t>Totale</t>
  </si>
  <si>
    <t>31 Dhjetor 2012</t>
  </si>
  <si>
    <t>Viti 2012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</si>
  <si>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</si>
  <si>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</si>
  <si>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</si>
  <si>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</si>
  <si>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</si>
  <si>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</si>
  <si>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</si>
  <si>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</si>
  <si>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</si>
  <si>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</si>
  <si>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</si>
  <si>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31 Dhjetor 2014</t>
  </si>
  <si>
    <t>Viti 2014</t>
  </si>
  <si>
    <t>VITI 2014</t>
  </si>
  <si>
    <t>Sigurime Shoqerore dhe te Ngjashme,Tap</t>
  </si>
  <si>
    <t>Shteti - Tatime dhe Taksa,Tatim Fitim</t>
  </si>
  <si>
    <t>Emertimi I artikullit</t>
  </si>
  <si>
    <t>Cmimi furnizues per njesi</t>
  </si>
  <si>
    <t>Njesia</t>
  </si>
  <si>
    <t>Vlera pa TVSH:</t>
  </si>
  <si>
    <t>Totali:</t>
  </si>
  <si>
    <t>Ndryshimi gjendjes</t>
  </si>
  <si>
    <t>Shpenzime interesa over-draft dhe bankare</t>
  </si>
  <si>
    <t>GJENDJE Leke</t>
  </si>
  <si>
    <t>Shitje Sherbimeve</t>
  </si>
  <si>
    <t xml:space="preserve">               KONTABILIST</t>
  </si>
  <si>
    <t>Ushtrimi 15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</si>
  <si>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</si>
  <si>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</si>
  <si>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</si>
  <si>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</si>
  <si>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</si>
  <si>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</si>
  <si>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</si>
  <si>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</si>
  <si>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</si>
  <si>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</si>
  <si>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</si>
  <si>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</si>
  <si>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</si>
  <si>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</si>
  <si>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</si>
  <si>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</si>
  <si>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</si>
  <si>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</si>
  <si>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</si>
  <si>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</si>
  <si>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Investime</t>
  </si>
  <si>
    <t>30 Prill/Viti 2015</t>
  </si>
  <si>
    <t>31/Dhjetor/Viti 2015</t>
  </si>
  <si>
    <t>Materiale te Para</t>
  </si>
  <si>
    <t>cope</t>
  </si>
  <si>
    <t>30 Prill 2015</t>
  </si>
  <si>
    <t>31 Dhjetor 2015</t>
  </si>
  <si>
    <t>Qira</t>
  </si>
  <si>
    <t>Te tjera kerkesa te arketueshme(TTHF)</t>
  </si>
  <si>
    <t>T.Fitimi detyrim +Tatim Qiraje</t>
  </si>
  <si>
    <t>Tatim Thjeshtuar i mbipaguar</t>
  </si>
  <si>
    <t>Mirembajtje,</t>
  </si>
  <si>
    <t>Personel Jashte Nderrmarjes</t>
  </si>
  <si>
    <t>Shpenzime Transport ne blerje</t>
  </si>
  <si>
    <t>Taksa dhe tarifa vendore etj,</t>
  </si>
  <si>
    <t>Detyrime Fiskale</t>
  </si>
  <si>
    <t>Vlera</t>
  </si>
  <si>
    <t>ToTale</t>
  </si>
  <si>
    <t xml:space="preserve">                                    ADMINISTRATORI</t>
  </si>
  <si>
    <t>01/05-31/12/2015</t>
  </si>
  <si>
    <t>01/05 - 31/12/2015</t>
  </si>
  <si>
    <t>01/01- 30/04/2015</t>
  </si>
  <si>
    <t>01/01-30/04/2015</t>
  </si>
  <si>
    <t>Blerje materiale  dhe te tjera</t>
  </si>
  <si>
    <t>Komisione Bankare</t>
  </si>
  <si>
    <t>Shpenzime</t>
  </si>
  <si>
    <t>Vlefta 2016</t>
  </si>
  <si>
    <t>Ushtrimi 16</t>
  </si>
  <si>
    <t>Viti 2016</t>
  </si>
  <si>
    <t>31 Dhjetor 2016</t>
  </si>
  <si>
    <t>Bl Energji Uje,avull</t>
  </si>
  <si>
    <t>Pagese per sherbime,sigurime</t>
  </si>
  <si>
    <t>BI-SERVIS</t>
  </si>
  <si>
    <t>K41614010T</t>
  </si>
  <si>
    <t>Rruga Abdyl Frasheri, Kulla Nr. 2, Kati 2, Apartamenti 6</t>
  </si>
  <si>
    <t>Tirane</t>
  </si>
  <si>
    <t>20.07.2003</t>
  </si>
  <si>
    <t>Vendim Gjykate. 29742</t>
  </si>
  <si>
    <t xml:space="preserve"> Administrimi, menaxhimi dhe sherbime  </t>
  </si>
  <si>
    <t>te ngjashme per ndertesa te biznesit,etj</t>
  </si>
  <si>
    <t>FDP</t>
  </si>
  <si>
    <t>Bi-Servis 2017</t>
  </si>
  <si>
    <t>Importe</t>
  </si>
  <si>
    <t>Blerje Fur.Venda-Invest</t>
  </si>
  <si>
    <t>Blerje Fur.Vendas</t>
  </si>
  <si>
    <t>PAGUAR</t>
  </si>
  <si>
    <t>Muaj</t>
  </si>
  <si>
    <t>Export</t>
  </si>
  <si>
    <t>Pa Tvsh</t>
  </si>
  <si>
    <t>Perjashtuara</t>
  </si>
  <si>
    <t>Pa tvsh</t>
  </si>
  <si>
    <t>ToT-Tvsh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</si>
  <si>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</si>
  <si>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</si>
  <si>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</si>
  <si>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</si>
  <si>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</si>
  <si>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</si>
  <si>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</si>
  <si>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 xml:space="preserve"> Shoqeria  "BI-SERVIS" </t>
  </si>
  <si>
    <t>Viti 2017</t>
  </si>
  <si>
    <r>
      <t xml:space="preserve">NIPT   </t>
    </r>
    <r>
      <rPr>
        <u/>
        <sz val="14"/>
        <rFont val="Arial"/>
        <family val="2"/>
      </rPr>
      <t>K41614010T</t>
    </r>
  </si>
  <si>
    <t>(Per asetet qe ka ne zoterim Bi - Servis)</t>
  </si>
  <si>
    <t>FLETE - INVENTARI</t>
  </si>
  <si>
    <t>Nr.  Rend</t>
  </si>
  <si>
    <t>Sipas te dhenave te inventarizimit</t>
  </si>
  <si>
    <t>Çmimi</t>
  </si>
  <si>
    <t>Vlefta</t>
  </si>
  <si>
    <t>Mobilje dhe oriendi</t>
  </si>
  <si>
    <t>Kondicioner Fujico</t>
  </si>
  <si>
    <t>Rafte melamine per mbjtje dosje</t>
  </si>
  <si>
    <t>TOTALI I</t>
  </si>
  <si>
    <t>Pajisje zyre dhe informatike</t>
  </si>
  <si>
    <t>Kompjuter HDD 250GB MAX, CPU LE 140A3, VGA D 4350GB HDMI</t>
  </si>
  <si>
    <t>Fotokpje XFXX NC 416</t>
  </si>
  <si>
    <t>Kompjuter HP, SEAGE 400, monitor HP</t>
  </si>
  <si>
    <t>Telefon celulare Samsung Galaksi S</t>
  </si>
  <si>
    <t>Tablete samsung 33G</t>
  </si>
  <si>
    <t>Telefon Nokia 501</t>
  </si>
  <si>
    <t>Gjenerator cumins 250 kva</t>
  </si>
  <si>
    <t>Stabilizator</t>
  </si>
  <si>
    <t>TOTALI II</t>
  </si>
  <si>
    <t>Kioska, vendsherbim roje</t>
  </si>
  <si>
    <t>TOTALI III</t>
  </si>
  <si>
    <t>TOTALI I PERGJITHSHEM</t>
  </si>
  <si>
    <t>Arben Petto</t>
  </si>
  <si>
    <t>Ushtrimi 17</t>
  </si>
  <si>
    <t>Vlefta 2017</t>
  </si>
  <si>
    <t>31 Dhjetor 2017</t>
  </si>
  <si>
    <t>Vlefta 2016/1</t>
  </si>
  <si>
    <t>Ushtrimi 16/1</t>
  </si>
  <si>
    <t>Pajisje Informatike</t>
  </si>
  <si>
    <t>Mobilje zyre</t>
  </si>
  <si>
    <t>dhe te tjera</t>
  </si>
  <si>
    <t>Mobile</t>
  </si>
  <si>
    <t>Pajisje te tjera</t>
  </si>
  <si>
    <t>Shpenzime te tjera</t>
  </si>
  <si>
    <t>Bi-Servis 2018</t>
  </si>
  <si>
    <t>XHIRO  2018</t>
  </si>
  <si>
    <t>VITI  2018</t>
  </si>
  <si>
    <t>Nga 01.01.2018 deri 31.12.2018</t>
  </si>
  <si>
    <t>31.12.2018</t>
  </si>
  <si>
    <t>Ushtrimi 18</t>
  </si>
  <si>
    <t xml:space="preserve">Per periudhen: </t>
  </si>
  <si>
    <t>Vlefta 2018</t>
  </si>
  <si>
    <t>Viti 2018</t>
  </si>
  <si>
    <t>Bilanci   Kontabel  me  31 Dhjetor  2018</t>
  </si>
  <si>
    <t>Llogaria te Ardhura &amp; Shpenzime per vitin e mbyllur me 31 Dhjetor  2018</t>
  </si>
  <si>
    <t>Periudha kontabel     01 Janar-31 Dhjetor 2018</t>
  </si>
  <si>
    <t>Pasqyra e levizjes se kapitaleve te veta  me 31 Dhjetor  2016 - 31 Dhjetor  2018</t>
  </si>
  <si>
    <t>Pozicioni më 31 Dhjetor  2016</t>
  </si>
  <si>
    <t>Pozicioni më 31 dhjetor 2017</t>
  </si>
  <si>
    <t>Pozicioni më 31 Dhjetor  2018</t>
  </si>
  <si>
    <t>Periudha kontabel     01 Janar - 31 Dhjetor 2018</t>
  </si>
  <si>
    <t>Bilanci i Celjes     01.01.2018</t>
  </si>
  <si>
    <t>Hyrjet  2018</t>
  </si>
  <si>
    <t>Daljet  2018</t>
  </si>
  <si>
    <t>Bilanci i Mbylljes 31.12.2018</t>
  </si>
  <si>
    <t>31,12,2018</t>
  </si>
  <si>
    <t>Aktivet Afatgjata Materiale  me vlere fillestare   2018</t>
  </si>
  <si>
    <t>Amortizimi A.A.Materiale   2018</t>
  </si>
  <si>
    <t>Vlera Kontabel Neto e A.A.Materiale  2018</t>
  </si>
  <si>
    <t>I mbajtur sot me daten 31.12.2018 ne shoqerine "Bi - Servis" sh.p.k. I cili paraqitet sipas listes:</t>
  </si>
  <si>
    <t>31 Dhjetor 2018</t>
  </si>
  <si>
    <t>Energji uje ,avull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</si>
</sst>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  <numFmt numFmtId="199" formatCode="[$EUR]\ #,##0.00"/>
  </numFmts>
  <fonts count="94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sz val="11"/>
      <name val="Calibri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b/>
      <i/>
      <sz val="8"/>
      <name val="Arial"/>
      <family val="2"/>
    </font>
    <font>
      <b/>
      <i/>
      <u/>
      <sz val="8"/>
      <name val="Arial"/>
      <family val="2"/>
    </font>
    <font>
      <b/>
      <u/>
      <sz val="1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Times New Roman"/>
      <family val="1"/>
    </font>
    <font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rgb="FF00B050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82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58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171" fontId="39" fillId="0" borderId="0" xfId="1" applyFont="1" applyFill="1"/>
    <xf numFmtId="171" fontId="41" fillId="0" borderId="0" xfId="1" applyFont="1" applyFill="1" applyAlignment="1">
      <alignment horizontal="right" vertical="center"/>
    </xf>
    <xf numFmtId="171" fontId="39" fillId="0" borderId="0" xfId="0" applyNumberFormat="1" applyFont="1" applyFill="1"/>
    <xf numFmtId="171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171" fontId="39" fillId="0" borderId="1" xfId="1" applyFont="1" applyFill="1" applyBorder="1"/>
    <xf numFmtId="171" fontId="13" fillId="0" borderId="0" xfId="1" applyFont="1" applyFill="1"/>
    <xf numFmtId="171" fontId="39" fillId="0" borderId="0" xfId="0" applyNumberFormat="1" applyFont="1"/>
    <xf numFmtId="0" fontId="13" fillId="0" borderId="0" xfId="0" applyFont="1" applyFill="1"/>
    <xf numFmtId="171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171" fontId="39" fillId="0" borderId="0" xfId="1" applyFont="1" applyFill="1" applyBorder="1" applyAlignment="1">
      <alignment horizontal="center" wrapText="1"/>
    </xf>
    <xf numFmtId="171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171" fontId="17" fillId="0" borderId="0" xfId="6" applyNumberFormat="1" applyFont="1" applyAlignment="1">
      <alignment horizontal="right" vertical="center"/>
    </xf>
    <xf numFmtId="171" fontId="11" fillId="0" borderId="0" xfId="6" applyNumberFormat="1" applyFill="1" applyBorder="1" applyAlignment="1" applyProtection="1"/>
    <xf numFmtId="171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58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169" fontId="0" fillId="0" borderId="3" xfId="0" applyNumberFormat="1" applyBorder="1"/>
    <xf numFmtId="169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6" fillId="0" borderId="3" xfId="0" applyNumberFormat="1" applyFont="1" applyFill="1" applyBorder="1"/>
    <xf numFmtId="171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6" fillId="0" borderId="3" xfId="1" applyFont="1" applyFill="1" applyBorder="1" applyAlignment="1">
      <alignment horizontal="center"/>
    </xf>
    <xf numFmtId="171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right"/>
    </xf>
    <xf numFmtId="171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171" fontId="26" fillId="3" borderId="0" xfId="6" applyNumberFormat="1" applyFont="1" applyFill="1" applyBorder="1" applyAlignment="1">
      <alignment horizontal="right" vertical="center"/>
    </xf>
    <xf numFmtId="171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171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3" fontId="11" fillId="0" borderId="0" xfId="6" applyNumberFormat="1" applyFill="1" applyBorder="1" applyAlignment="1" applyProtection="1"/>
    <xf numFmtId="0" fontId="55" fillId="0" borderId="0" xfId="0" applyFont="1"/>
    <xf numFmtId="0" fontId="54" fillId="0" borderId="15" xfId="0" applyFont="1" applyBorder="1" applyAlignment="1">
      <alignment horizontal="center"/>
    </xf>
    <xf numFmtId="0" fontId="54" fillId="0" borderId="15" xfId="0" applyFont="1" applyBorder="1"/>
    <xf numFmtId="0" fontId="54" fillId="0" borderId="74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63" fillId="0" borderId="0" xfId="0" applyFont="1" applyAlignment="1">
      <alignment horizontal="center"/>
    </xf>
    <xf numFmtId="0" fontId="0" fillId="0" borderId="81" xfId="0" applyBorder="1"/>
    <xf numFmtId="0" fontId="0" fillId="0" borderId="82" xfId="0" applyBorder="1"/>
    <xf numFmtId="41" fontId="48" fillId="0" borderId="83" xfId="0" applyNumberFormat="1" applyFont="1" applyBorder="1"/>
    <xf numFmtId="41" fontId="48" fillId="0" borderId="84" xfId="0" applyNumberFormat="1" applyFont="1" applyBorder="1"/>
    <xf numFmtId="0" fontId="0" fillId="0" borderId="85" xfId="0" applyBorder="1"/>
    <xf numFmtId="0" fontId="0" fillId="0" borderId="86" xfId="0" applyBorder="1"/>
    <xf numFmtId="41" fontId="48" fillId="0" borderId="87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171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2" fillId="0" borderId="10" xfId="0" applyFont="1" applyBorder="1"/>
    <xf numFmtId="0" fontId="69" fillId="0" borderId="0" xfId="0" applyNumberFormat="1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0" fontId="56" fillId="0" borderId="10" xfId="0" applyFont="1" applyBorder="1" applyAlignment="1">
      <alignment horizontal="left"/>
    </xf>
    <xf numFmtId="3" fontId="4" fillId="0" borderId="88" xfId="0" applyNumberFormat="1" applyFont="1" applyFill="1" applyBorder="1" applyAlignment="1" applyProtection="1"/>
    <xf numFmtId="3" fontId="4" fillId="0" borderId="89" xfId="0" applyNumberFormat="1" applyFont="1" applyFill="1" applyBorder="1" applyAlignment="1" applyProtection="1"/>
    <xf numFmtId="0" fontId="2" fillId="0" borderId="90" xfId="0" applyNumberFormat="1" applyFont="1" applyFill="1" applyBorder="1" applyAlignment="1" applyProtection="1">
      <alignment wrapText="1"/>
    </xf>
    <xf numFmtId="3" fontId="2" fillId="0" borderId="91" xfId="0" applyNumberFormat="1" applyFont="1" applyFill="1" applyBorder="1" applyAlignment="1" applyProtection="1"/>
    <xf numFmtId="3" fontId="2" fillId="0" borderId="92" xfId="0" applyNumberFormat="1" applyFont="1" applyFill="1" applyBorder="1" applyAlignment="1" applyProtection="1"/>
    <xf numFmtId="0" fontId="2" fillId="0" borderId="93" xfId="0" applyNumberFormat="1" applyFont="1" applyFill="1" applyBorder="1" applyAlignment="1" applyProtection="1">
      <alignment wrapText="1"/>
    </xf>
    <xf numFmtId="3" fontId="2" fillId="0" borderId="94" xfId="0" applyNumberFormat="1" applyFont="1" applyFill="1" applyBorder="1" applyAlignment="1" applyProtection="1"/>
    <xf numFmtId="0" fontId="28" fillId="0" borderId="93" xfId="0" applyNumberFormat="1" applyFont="1" applyFill="1" applyBorder="1" applyAlignment="1" applyProtection="1">
      <alignment wrapText="1"/>
    </xf>
    <xf numFmtId="0" fontId="2" fillId="0" borderId="95" xfId="0" applyNumberFormat="1" applyFont="1" applyFill="1" applyBorder="1" applyAlignment="1" applyProtection="1">
      <alignment wrapText="1"/>
    </xf>
    <xf numFmtId="3" fontId="2" fillId="0" borderId="96" xfId="0" applyNumberFormat="1" applyFont="1" applyFill="1" applyBorder="1" applyAlignment="1" applyProtection="1"/>
    <xf numFmtId="3" fontId="2" fillId="0" borderId="97" xfId="0" applyNumberFormat="1" applyFont="1" applyFill="1" applyBorder="1" applyAlignment="1" applyProtection="1"/>
    <xf numFmtId="3" fontId="4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0" xfId="0" applyNumberFormat="1" applyFont="1" applyFill="1" applyBorder="1" applyAlignment="1" applyProtection="1"/>
    <xf numFmtId="3" fontId="4" fillId="0" borderId="101" xfId="0" applyNumberFormat="1" applyFont="1" applyFill="1" applyBorder="1" applyAlignment="1" applyProtection="1"/>
    <xf numFmtId="3" fontId="2" fillId="0" borderId="102" xfId="0" applyNumberFormat="1" applyFont="1" applyFill="1" applyBorder="1" applyAlignment="1" applyProtection="1"/>
    <xf numFmtId="3" fontId="2" fillId="0" borderId="99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3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2" fillId="0" borderId="106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0" fontId="0" fillId="0" borderId="0" xfId="0" applyFont="1" applyFill="1"/>
    <xf numFmtId="1" fontId="0" fillId="0" borderId="0" xfId="0" applyNumberFormat="1" applyFont="1" applyFill="1"/>
    <xf numFmtId="0" fontId="30" fillId="0" borderId="3" xfId="0" applyFont="1" applyFill="1" applyBorder="1"/>
    <xf numFmtId="0" fontId="84" fillId="0" borderId="3" xfId="4" applyFont="1" applyFill="1" applyBorder="1"/>
    <xf numFmtId="199" fontId="84" fillId="0" borderId="3" xfId="4" applyNumberFormat="1" applyFont="1" applyFill="1" applyBorder="1"/>
    <xf numFmtId="4" fontId="84" fillId="0" borderId="3" xfId="4" applyNumberFormat="1" applyFont="1" applyFill="1" applyBorder="1"/>
    <xf numFmtId="1" fontId="84" fillId="0" borderId="3" xfId="4" applyNumberFormat="1" applyFont="1" applyFill="1" applyBorder="1"/>
    <xf numFmtId="0" fontId="0" fillId="0" borderId="3" xfId="0" applyFont="1" applyFill="1" applyBorder="1"/>
    <xf numFmtId="0" fontId="71" fillId="0" borderId="3" xfId="4" applyFont="1" applyFill="1" applyBorder="1" applyProtection="1">
      <protection locked="0"/>
    </xf>
    <xf numFmtId="1" fontId="71" fillId="0" borderId="3" xfId="4" applyNumberFormat="1" applyFont="1" applyFill="1" applyBorder="1"/>
    <xf numFmtId="1" fontId="85" fillId="0" borderId="3" xfId="4" applyNumberFormat="1" applyFont="1" applyFill="1" applyBorder="1"/>
    <xf numFmtId="0" fontId="85" fillId="0" borderId="3" xfId="4" applyFont="1" applyFill="1" applyBorder="1" applyProtection="1">
      <protection locked="0"/>
    </xf>
    <xf numFmtId="0" fontId="0" fillId="0" borderId="77" xfId="0" applyFont="1" applyFill="1" applyBorder="1"/>
    <xf numFmtId="0" fontId="71" fillId="0" borderId="76" xfId="4" applyFont="1" applyFill="1" applyBorder="1"/>
    <xf numFmtId="1" fontId="86" fillId="0" borderId="105" xfId="4" applyNumberFormat="1" applyFont="1" applyFill="1" applyBorder="1"/>
    <xf numFmtId="39" fontId="87" fillId="0" borderId="3" xfId="0" applyNumberFormat="1" applyFont="1" applyFill="1" applyBorder="1"/>
    <xf numFmtId="43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82" fillId="0" borderId="3" xfId="5" applyBorder="1"/>
    <xf numFmtId="2" fontId="30" fillId="0" borderId="3" xfId="0" applyNumberFormat="1" applyFont="1" applyFill="1" applyBorder="1"/>
    <xf numFmtId="3" fontId="0" fillId="0" borderId="107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3" fillId="0" borderId="0" xfId="7" applyFont="1" applyAlignment="1">
      <alignment horizontal="center" vertical="center"/>
    </xf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1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08" xfId="8" applyNumberFormat="1" applyFont="1" applyFill="1" applyBorder="1" applyAlignment="1">
      <alignment horizontal="left"/>
    </xf>
    <xf numFmtId="196" fontId="4" fillId="0" borderId="109" xfId="8" applyNumberFormat="1" applyFont="1" applyFill="1" applyBorder="1" applyAlignment="1">
      <alignment horizontal="left"/>
    </xf>
    <xf numFmtId="196" fontId="4" fillId="0" borderId="110" xfId="8" applyNumberFormat="1" applyFont="1" applyFill="1" applyBorder="1" applyAlignment="1">
      <alignment horizontal="left" vertical="top"/>
    </xf>
    <xf numFmtId="196" fontId="4" fillId="0" borderId="111" xfId="8" applyNumberFormat="1" applyFont="1" applyFill="1" applyBorder="1" applyAlignment="1">
      <alignment horizontal="left" vertical="top"/>
    </xf>
    <xf numFmtId="196" fontId="4" fillId="0" borderId="112" xfId="8" applyNumberFormat="1" applyFont="1" applyFill="1" applyBorder="1" applyAlignment="1">
      <alignment horizontal="left" vertical="top"/>
    </xf>
    <xf numFmtId="196" fontId="4" fillId="0" borderId="113" xfId="8" applyNumberFormat="1" applyFont="1" applyFill="1" applyBorder="1" applyAlignment="1">
      <alignment horizontal="left"/>
    </xf>
    <xf numFmtId="0" fontId="88" fillId="0" borderId="3" xfId="5" applyFont="1" applyBorder="1"/>
    <xf numFmtId="41" fontId="88" fillId="0" borderId="3" xfId="5" applyNumberFormat="1" applyFont="1" applyBorder="1"/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14" xfId="0" applyNumberFormat="1" applyFont="1" applyFill="1" applyBorder="1" applyAlignment="1" applyProtection="1">
      <alignment wrapText="1"/>
    </xf>
    <xf numFmtId="0" fontId="2" fillId="0" borderId="115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193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16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99" xfId="0" applyFont="1" applyFill="1" applyBorder="1"/>
    <xf numFmtId="169" fontId="54" fillId="0" borderId="117" xfId="0" applyNumberFormat="1" applyFont="1" applyFill="1" applyBorder="1"/>
    <xf numFmtId="169" fontId="54" fillId="0" borderId="91" xfId="0" applyNumberFormat="1" applyFont="1" applyFill="1" applyBorder="1"/>
    <xf numFmtId="169" fontId="54" fillId="0" borderId="118" xfId="0" applyNumberFormat="1" applyFont="1" applyFill="1" applyBorder="1"/>
    <xf numFmtId="169" fontId="54" fillId="0" borderId="90" xfId="0" applyNumberFormat="1" applyFont="1" applyFill="1" applyBorder="1"/>
    <xf numFmtId="169" fontId="54" fillId="0" borderId="92" xfId="0" applyNumberFormat="1" applyFont="1" applyFill="1" applyBorder="1"/>
    <xf numFmtId="169" fontId="54" fillId="0" borderId="119" xfId="0" applyNumberFormat="1" applyFont="1" applyFill="1" applyBorder="1"/>
    <xf numFmtId="0" fontId="54" fillId="0" borderId="14" xfId="0" applyFont="1" applyFill="1" applyBorder="1"/>
    <xf numFmtId="169" fontId="54" fillId="0" borderId="120" xfId="0" applyNumberFormat="1" applyFont="1" applyFill="1" applyBorder="1"/>
    <xf numFmtId="169" fontId="54" fillId="0" borderId="3" xfId="0" applyNumberFormat="1" applyFont="1" applyFill="1" applyBorder="1"/>
    <xf numFmtId="169" fontId="54" fillId="0" borderId="74" xfId="0" applyNumberFormat="1" applyFont="1" applyFill="1" applyBorder="1"/>
    <xf numFmtId="169" fontId="54" fillId="0" borderId="12" xfId="0" applyNumberFormat="1" applyFont="1" applyFill="1" applyBorder="1"/>
    <xf numFmtId="169" fontId="54" fillId="0" borderId="93" xfId="0" applyNumberFormat="1" applyFont="1" applyFill="1" applyBorder="1"/>
    <xf numFmtId="169" fontId="54" fillId="0" borderId="121" xfId="0" applyNumberFormat="1" applyFont="1" applyFill="1" applyBorder="1"/>
    <xf numFmtId="169" fontId="54" fillId="0" borderId="10" xfId="0" applyNumberFormat="1" applyFont="1" applyFill="1" applyBorder="1"/>
    <xf numFmtId="169" fontId="54" fillId="0" borderId="0" xfId="0" applyNumberFormat="1" applyFont="1" applyFill="1"/>
    <xf numFmtId="169" fontId="54" fillId="0" borderId="94" xfId="0" applyNumberFormat="1" applyFont="1" applyFill="1" applyBorder="1"/>
    <xf numFmtId="0" fontId="54" fillId="0" borderId="100" xfId="0" applyFont="1" applyFill="1" applyBorder="1"/>
    <xf numFmtId="169" fontId="54" fillId="0" borderId="122" xfId="0" applyNumberFormat="1" applyFont="1" applyFill="1" applyBorder="1"/>
    <xf numFmtId="169" fontId="54" fillId="0" borderId="96" xfId="0" applyNumberFormat="1" applyFont="1" applyFill="1" applyBorder="1"/>
    <xf numFmtId="169" fontId="54" fillId="0" borderId="29" xfId="0" applyNumberFormat="1" applyFont="1" applyFill="1" applyBorder="1"/>
    <xf numFmtId="169" fontId="54" fillId="0" borderId="123" xfId="0" applyNumberFormat="1" applyFont="1" applyFill="1" applyBorder="1"/>
    <xf numFmtId="169" fontId="54" fillId="0" borderId="95" xfId="0" applyNumberFormat="1" applyFont="1" applyFill="1" applyBorder="1"/>
    <xf numFmtId="169" fontId="54" fillId="0" borderId="97" xfId="0" applyNumberFormat="1" applyFont="1" applyFill="1" applyBorder="1"/>
    <xf numFmtId="169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0" fontId="30" fillId="0" borderId="124" xfId="0" applyFont="1" applyBorder="1"/>
    <xf numFmtId="2" fontId="6" fillId="0" borderId="3" xfId="0" applyNumberFormat="1" applyFont="1" applyFill="1" applyBorder="1"/>
    <xf numFmtId="0" fontId="62" fillId="0" borderId="10" xfId="0" applyFont="1" applyBorder="1" applyAlignment="1">
      <alignment horizontal="center"/>
    </xf>
    <xf numFmtId="0" fontId="72" fillId="0" borderId="0" xfId="0" applyFont="1" applyBorder="1"/>
    <xf numFmtId="0" fontId="62" fillId="0" borderId="0" xfId="0" applyFont="1" applyBorder="1"/>
    <xf numFmtId="0" fontId="56" fillId="0" borderId="0" xfId="0" applyFont="1" applyBorder="1"/>
    <xf numFmtId="0" fontId="83" fillId="0" borderId="0" xfId="0" applyFont="1"/>
    <xf numFmtId="0" fontId="89" fillId="0" borderId="0" xfId="0" applyFont="1"/>
    <xf numFmtId="0" fontId="74" fillId="0" borderId="0" xfId="0" applyFont="1"/>
    <xf numFmtId="0" fontId="75" fillId="0" borderId="0" xfId="0" applyFont="1"/>
    <xf numFmtId="0" fontId="90" fillId="0" borderId="0" xfId="0" applyFont="1"/>
    <xf numFmtId="0" fontId="83" fillId="0" borderId="16" xfId="0" applyFont="1" applyBorder="1"/>
    <xf numFmtId="0" fontId="83" fillId="0" borderId="17" xfId="0" applyFont="1" applyBorder="1"/>
    <xf numFmtId="0" fontId="83" fillId="0" borderId="75" xfId="0" applyFont="1" applyBorder="1"/>
    <xf numFmtId="0" fontId="83" fillId="0" borderId="25" xfId="0" applyFont="1" applyBorder="1"/>
    <xf numFmtId="0" fontId="0" fillId="0" borderId="20" xfId="0" applyBorder="1"/>
    <xf numFmtId="0" fontId="0" fillId="0" borderId="74" xfId="0" applyBorder="1"/>
    <xf numFmtId="169" fontId="0" fillId="0" borderId="74" xfId="0" applyNumberFormat="1" applyBorder="1"/>
    <xf numFmtId="169" fontId="0" fillId="0" borderId="9" xfId="0" applyNumberFormat="1" applyBorder="1"/>
    <xf numFmtId="169" fontId="0" fillId="0" borderId="99" xfId="0" applyNumberFormat="1" applyBorder="1"/>
    <xf numFmtId="0" fontId="0" fillId="0" borderId="90" xfId="0" applyBorder="1"/>
    <xf numFmtId="169" fontId="0" fillId="0" borderId="91" xfId="0" applyNumberFormat="1" applyBorder="1"/>
    <xf numFmtId="169" fontId="0" fillId="0" borderId="125" xfId="0" applyNumberFormat="1" applyBorder="1"/>
    <xf numFmtId="169" fontId="0" fillId="0" borderId="13" xfId="0" applyNumberFormat="1" applyBorder="1"/>
    <xf numFmtId="169" fontId="0" fillId="0" borderId="14" xfId="0" applyNumberFormat="1" applyBorder="1"/>
    <xf numFmtId="0" fontId="0" fillId="0" borderId="93" xfId="0" applyBorder="1"/>
    <xf numFmtId="169" fontId="0" fillId="0" borderId="13" xfId="0" applyNumberFormat="1" applyFill="1" applyBorder="1"/>
    <xf numFmtId="169" fontId="0" fillId="0" borderId="15" xfId="0" applyNumberFormat="1" applyBorder="1"/>
    <xf numFmtId="169" fontId="0" fillId="0" borderId="5" xfId="0" applyNumberFormat="1" applyFill="1" applyBorder="1"/>
    <xf numFmtId="169" fontId="0" fillId="0" borderId="106" xfId="0" applyNumberFormat="1" applyBorder="1"/>
    <xf numFmtId="0" fontId="0" fillId="0" borderId="115" xfId="0" applyBorder="1"/>
    <xf numFmtId="169" fontId="0" fillId="0" borderId="5" xfId="0" applyNumberFormat="1" applyBorder="1"/>
    <xf numFmtId="169" fontId="0" fillId="0" borderId="100" xfId="0" applyNumberFormat="1" applyBorder="1"/>
    <xf numFmtId="0" fontId="0" fillId="0" borderId="16" xfId="0" applyBorder="1"/>
    <xf numFmtId="169" fontId="0" fillId="0" borderId="17" xfId="0" applyNumberFormat="1" applyBorder="1"/>
    <xf numFmtId="169" fontId="0" fillId="0" borderId="18" xfId="0" applyNumberFormat="1" applyBorder="1"/>
    <xf numFmtId="169" fontId="0" fillId="0" borderId="19" xfId="0" applyNumberFormat="1" applyBorder="1"/>
    <xf numFmtId="169" fontId="0" fillId="0" borderId="30" xfId="0" applyNumberFormat="1" applyBorder="1"/>
    <xf numFmtId="169" fontId="83" fillId="0" borderId="19" xfId="0" applyNumberFormat="1" applyFont="1" applyBorder="1"/>
    <xf numFmtId="169" fontId="54" fillId="0" borderId="0" xfId="0" applyNumberFormat="1" applyFont="1"/>
    <xf numFmtId="0" fontId="64" fillId="0" borderId="0" xfId="0" applyFont="1"/>
    <xf numFmtId="0" fontId="79" fillId="4" borderId="3" xfId="0" applyFont="1" applyFill="1" applyBorder="1" applyAlignment="1">
      <alignment horizontal="center"/>
    </xf>
    <xf numFmtId="0" fontId="77" fillId="0" borderId="3" xfId="0" applyFont="1" applyFill="1" applyBorder="1" applyAlignment="1">
      <alignment horizontal="center"/>
    </xf>
    <xf numFmtId="0" fontId="77" fillId="0" borderId="3" xfId="0" applyFont="1" applyFill="1" applyBorder="1" applyAlignment="1">
      <alignment horizontal="left"/>
    </xf>
    <xf numFmtId="0" fontId="79" fillId="0" borderId="3" xfId="0" applyFont="1" applyFill="1" applyBorder="1" applyAlignment="1">
      <alignment horizontal="center"/>
    </xf>
    <xf numFmtId="0" fontId="79" fillId="0" borderId="3" xfId="0" applyFont="1" applyFill="1" applyBorder="1" applyAlignment="1">
      <alignment horizontal="right"/>
    </xf>
    <xf numFmtId="3" fontId="79" fillId="0" borderId="3" xfId="0" applyNumberFormat="1" applyFont="1" applyFill="1" applyBorder="1"/>
    <xf numFmtId="3" fontId="77" fillId="0" borderId="3" xfId="0" applyNumberFormat="1" applyFont="1" applyFill="1" applyBorder="1"/>
    <xf numFmtId="0" fontId="79" fillId="0" borderId="3" xfId="0" applyFont="1" applyFill="1" applyBorder="1" applyAlignment="1">
      <alignment horizontal="left"/>
    </xf>
    <xf numFmtId="0" fontId="79" fillId="5" borderId="3" xfId="0" applyFont="1" applyFill="1" applyBorder="1" applyAlignment="1">
      <alignment horizontal="center"/>
    </xf>
    <xf numFmtId="0" fontId="77" fillId="5" borderId="3" xfId="0" applyFont="1" applyFill="1" applyBorder="1" applyAlignment="1">
      <alignment horizontal="center"/>
    </xf>
    <xf numFmtId="0" fontId="79" fillId="5" borderId="3" xfId="0" applyFont="1" applyFill="1" applyBorder="1"/>
    <xf numFmtId="3" fontId="79" fillId="5" borderId="3" xfId="0" applyNumberFormat="1" applyFont="1" applyFill="1" applyBorder="1"/>
    <xf numFmtId="3" fontId="77" fillId="5" borderId="3" xfId="0" applyNumberFormat="1" applyFont="1" applyFill="1" applyBorder="1"/>
    <xf numFmtId="0" fontId="79" fillId="0" borderId="3" xfId="0" applyFont="1" applyBorder="1"/>
    <xf numFmtId="0" fontId="79" fillId="0" borderId="3" xfId="0" applyFont="1" applyBorder="1" applyAlignment="1">
      <alignment horizontal="center"/>
    </xf>
    <xf numFmtId="3" fontId="0" fillId="0" borderId="3" xfId="0" applyNumberFormat="1" applyBorder="1"/>
    <xf numFmtId="3" fontId="79" fillId="0" borderId="3" xfId="0" applyNumberFormat="1" applyFont="1" applyBorder="1"/>
    <xf numFmtId="0" fontId="77" fillId="0" borderId="3" xfId="0" applyFont="1" applyFill="1" applyBorder="1"/>
    <xf numFmtId="0" fontId="79" fillId="0" borderId="3" xfId="0" applyFont="1" applyFill="1" applyBorder="1"/>
    <xf numFmtId="0" fontId="32" fillId="5" borderId="3" xfId="0" applyFont="1" applyFill="1" applyBorder="1" applyAlignment="1">
      <alignment horizontal="center"/>
    </xf>
    <xf numFmtId="0" fontId="64" fillId="5" borderId="3" xfId="0" applyFont="1" applyFill="1" applyBorder="1" applyAlignment="1">
      <alignment horizontal="center"/>
    </xf>
    <xf numFmtId="0" fontId="32" fillId="5" borderId="3" xfId="0" applyFont="1" applyFill="1" applyBorder="1"/>
    <xf numFmtId="3" fontId="64" fillId="5" borderId="3" xfId="0" applyNumberFormat="1" applyFont="1" applyFill="1" applyBorder="1"/>
    <xf numFmtId="0" fontId="73" fillId="0" borderId="0" xfId="6" applyFont="1" applyAlignment="1">
      <alignment horizontal="center" vertical="center"/>
    </xf>
    <xf numFmtId="0" fontId="6" fillId="0" borderId="3" xfId="0" applyNumberFormat="1" applyFont="1" applyFill="1" applyBorder="1" applyAlignment="1">
      <alignment horizontal="center"/>
    </xf>
    <xf numFmtId="0" fontId="56" fillId="0" borderId="77" xfId="0" applyFont="1" applyFill="1" applyBorder="1"/>
    <xf numFmtId="0" fontId="56" fillId="0" borderId="105" xfId="0" applyNumberFormat="1" applyFont="1" applyFill="1" applyBorder="1"/>
    <xf numFmtId="0" fontId="83" fillId="0" borderId="105" xfId="0" applyFont="1" applyBorder="1"/>
    <xf numFmtId="169" fontId="0" fillId="0" borderId="101" xfId="0" applyNumberFormat="1" applyBorder="1"/>
    <xf numFmtId="169" fontId="0" fillId="0" borderId="89" xfId="0" applyNumberFormat="1" applyBorder="1"/>
    <xf numFmtId="169" fontId="0" fillId="0" borderId="32" xfId="0" applyNumberFormat="1" applyBorder="1"/>
    <xf numFmtId="169" fontId="0" fillId="0" borderId="105" xfId="0" applyNumberFormat="1" applyBorder="1"/>
    <xf numFmtId="0" fontId="0" fillId="0" borderId="114" xfId="0" applyBorder="1"/>
    <xf numFmtId="169" fontId="0" fillId="0" borderId="121" xfId="0" applyNumberFormat="1" applyBorder="1"/>
    <xf numFmtId="169" fontId="0" fillId="0" borderId="94" xfId="0" applyNumberFormat="1" applyBorder="1"/>
    <xf numFmtId="169" fontId="0" fillId="0" borderId="94" xfId="0" applyNumberFormat="1" applyFill="1" applyBorder="1"/>
    <xf numFmtId="169" fontId="0" fillId="0" borderId="126" xfId="0" applyNumberFormat="1" applyFill="1" applyBorder="1"/>
    <xf numFmtId="169" fontId="0" fillId="0" borderId="75" xfId="0" applyNumberFormat="1" applyBorder="1"/>
    <xf numFmtId="169" fontId="56" fillId="0" borderId="19" xfId="0" applyNumberFormat="1" applyFont="1" applyFill="1" applyBorder="1"/>
    <xf numFmtId="0" fontId="91" fillId="0" borderId="0" xfId="0" applyFont="1"/>
    <xf numFmtId="0" fontId="80" fillId="0" borderId="0" xfId="0" applyFont="1"/>
    <xf numFmtId="0" fontId="81" fillId="0" borderId="0" xfId="0" applyFont="1"/>
    <xf numFmtId="0" fontId="92" fillId="0" borderId="0" xfId="0" applyFont="1"/>
    <xf numFmtId="169" fontId="56" fillId="0" borderId="0" xfId="0" applyNumberFormat="1" applyFont="1" applyFill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0" xfId="0" applyNumberFormat="1" applyFont="1" applyFill="1" applyBorder="1" applyAlignment="1" applyProtection="1">
      <alignment horizontal="center" vertical="center"/>
    </xf>
    <xf numFmtId="0" fontId="2" fillId="0" borderId="115" xfId="0" applyNumberFormat="1" applyFont="1" applyFill="1" applyBorder="1" applyAlignment="1" applyProtection="1">
      <alignment horizontal="center" vertical="center"/>
    </xf>
    <xf numFmtId="0" fontId="28" fillId="0" borderId="91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93" fillId="0" borderId="76" xfId="4" applyFont="1" applyFill="1" applyBorder="1" applyAlignment="1">
      <alignment horizontal="right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left"/>
    </xf>
    <xf numFmtId="0" fontId="78" fillId="4" borderId="3" xfId="0" applyFont="1" applyFill="1" applyBorder="1" applyAlignment="1">
      <alignment horizontal="center" vertical="center" wrapText="1"/>
    </xf>
    <xf numFmtId="0" fontId="77" fillId="4" borderId="3" xfId="0" applyFont="1" applyFill="1" applyBorder="1" applyAlignment="1">
      <alignment horizontal="center" vertical="center" wrapText="1"/>
    </xf>
    <xf numFmtId="0" fontId="77" fillId="4" borderId="3" xfId="0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74" fillId="0" borderId="77" xfId="0" applyFont="1" applyBorder="1" applyAlignment="1">
      <alignment horizontal="center"/>
    </xf>
    <xf numFmtId="0" fontId="74" fillId="0" borderId="105" xfId="0" applyFont="1" applyBorder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0"/>
  <sheetViews>
    <sheetView workbookViewId="0">
      <selection activeCell="D32" sqref="D32"/>
    </sheetView>
  </sheetViews>
  <sheetFormatPr defaultRowHeight="12.75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>
      <c r="A4" s="61"/>
      <c r="B4" s="65"/>
      <c r="C4" s="66" t="s">
        <v>494</v>
      </c>
      <c r="D4" s="66"/>
      <c r="E4" s="66"/>
      <c r="F4" s="66"/>
      <c r="G4" s="412" t="s">
        <v>613</v>
      </c>
      <c r="H4" s="361"/>
      <c r="I4" s="67"/>
      <c r="J4" s="67"/>
      <c r="K4" s="68"/>
    </row>
    <row r="5" spans="1:11" ht="16.5">
      <c r="A5" s="61"/>
      <c r="B5" s="65"/>
      <c r="C5" s="66" t="s">
        <v>495</v>
      </c>
      <c r="D5" s="66"/>
      <c r="E5" s="66"/>
      <c r="F5" s="66"/>
      <c r="G5" s="412" t="s">
        <v>614</v>
      </c>
      <c r="H5" s="362"/>
      <c r="I5" s="67"/>
      <c r="J5" s="67"/>
      <c r="K5" s="68"/>
    </row>
    <row r="6" spans="1:11" ht="16.5">
      <c r="A6" s="61"/>
      <c r="B6" s="65"/>
      <c r="C6" s="66" t="s">
        <v>496</v>
      </c>
      <c r="D6" s="66"/>
      <c r="E6" s="66"/>
      <c r="F6" s="66"/>
      <c r="G6" s="416" t="s">
        <v>615</v>
      </c>
      <c r="H6" s="365"/>
      <c r="I6" s="366"/>
      <c r="J6" s="367"/>
      <c r="K6" s="420"/>
    </row>
    <row r="7" spans="1:11" ht="14.25" customHeight="1">
      <c r="A7" s="61"/>
      <c r="B7" s="65"/>
      <c r="C7" s="66" t="s">
        <v>514</v>
      </c>
      <c r="D7" s="66"/>
      <c r="E7" s="66"/>
      <c r="F7" s="66"/>
      <c r="G7" s="416" t="s">
        <v>616</v>
      </c>
      <c r="H7" s="417"/>
      <c r="I7" s="418"/>
      <c r="J7" s="418"/>
      <c r="K7" s="68"/>
    </row>
    <row r="8" spans="1:11" ht="16.5">
      <c r="A8" s="61"/>
      <c r="B8" s="65"/>
      <c r="C8" s="66" t="s">
        <v>497</v>
      </c>
      <c r="D8" s="66"/>
      <c r="E8" s="66"/>
      <c r="F8" s="66"/>
      <c r="G8" s="419" t="s">
        <v>617</v>
      </c>
      <c r="H8" s="364"/>
      <c r="I8" s="67"/>
      <c r="J8" s="67"/>
      <c r="K8" s="68"/>
    </row>
    <row r="9" spans="1:11" ht="16.5">
      <c r="A9" s="61"/>
      <c r="B9" s="65"/>
      <c r="C9" s="67" t="s">
        <v>498</v>
      </c>
      <c r="D9" s="66"/>
      <c r="E9" s="66"/>
      <c r="F9" s="66"/>
      <c r="G9" s="416" t="s">
        <v>618</v>
      </c>
      <c r="H9" s="476"/>
      <c r="I9" s="67"/>
      <c r="J9" s="67"/>
      <c r="K9" s="68"/>
    </row>
    <row r="10" spans="1:11" ht="16.5">
      <c r="A10" s="61"/>
      <c r="B10" s="65"/>
      <c r="C10" s="66" t="s">
        <v>499</v>
      </c>
      <c r="D10" s="66"/>
      <c r="E10" s="66"/>
      <c r="F10" s="66"/>
      <c r="G10" s="368" t="s">
        <v>619</v>
      </c>
      <c r="H10" s="363"/>
      <c r="I10" s="366"/>
      <c r="J10" s="366"/>
      <c r="K10" s="68"/>
    </row>
    <row r="11" spans="1:11" ht="16.5">
      <c r="A11" s="61"/>
      <c r="B11" s="65"/>
      <c r="C11" s="69"/>
      <c r="D11" s="69"/>
      <c r="E11" s="69"/>
      <c r="F11" s="69"/>
      <c r="G11" s="416" t="s">
        <v>620</v>
      </c>
      <c r="H11" s="417"/>
      <c r="I11" s="418"/>
      <c r="J11" s="418"/>
      <c r="K11" s="60"/>
    </row>
    <row r="12" spans="1:11" ht="18.75">
      <c r="A12" s="61"/>
      <c r="B12" s="65"/>
      <c r="C12" s="70"/>
      <c r="D12" s="69"/>
      <c r="E12" s="69"/>
      <c r="F12" s="71"/>
      <c r="G12" s="477"/>
      <c r="H12" s="478"/>
      <c r="I12" s="67"/>
      <c r="J12" s="67"/>
      <c r="K12" s="60"/>
    </row>
    <row r="13" spans="1:11" ht="16.5">
      <c r="A13" s="61"/>
      <c r="B13" s="72"/>
      <c r="C13" s="70"/>
      <c r="D13" s="69"/>
      <c r="E13" s="69"/>
      <c r="F13" s="69"/>
      <c r="G13" s="479"/>
      <c r="H13" s="478"/>
      <c r="I13" s="69"/>
      <c r="J13" s="69"/>
      <c r="K13" s="60"/>
    </row>
    <row r="14" spans="1:11" ht="16.5">
      <c r="A14" s="61"/>
      <c r="B14" s="65"/>
      <c r="C14" s="69"/>
      <c r="D14" s="69"/>
      <c r="E14" s="69"/>
      <c r="F14" s="69"/>
      <c r="G14" s="479"/>
      <c r="H14" s="69"/>
      <c r="I14" s="69"/>
      <c r="J14" s="69"/>
      <c r="K14" s="60"/>
    </row>
    <row r="15" spans="1:11" ht="16.5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>
      <c r="A17" s="61"/>
      <c r="B17" s="65"/>
      <c r="C17" s="559" t="s">
        <v>500</v>
      </c>
      <c r="D17" s="559"/>
      <c r="E17" s="559"/>
      <c r="F17" s="559"/>
      <c r="G17" s="559"/>
      <c r="H17" s="559"/>
      <c r="I17" s="559"/>
      <c r="J17" s="559"/>
      <c r="K17" s="60"/>
    </row>
    <row r="18" spans="1:11" ht="16.5">
      <c r="A18" s="61"/>
      <c r="B18" s="65"/>
      <c r="C18" s="560" t="s">
        <v>508</v>
      </c>
      <c r="D18" s="560"/>
      <c r="E18" s="560"/>
      <c r="F18" s="560"/>
      <c r="G18" s="560"/>
      <c r="H18" s="560"/>
      <c r="I18" s="560"/>
      <c r="J18" s="560"/>
      <c r="K18" s="60"/>
    </row>
    <row r="19" spans="1:11" ht="16.5">
      <c r="A19" s="61"/>
      <c r="B19" s="65"/>
      <c r="C19" s="69" t="s">
        <v>507</v>
      </c>
      <c r="D19" s="69"/>
      <c r="E19" s="69"/>
      <c r="F19" s="69"/>
      <c r="G19" s="69"/>
      <c r="H19" s="69"/>
      <c r="I19" s="69"/>
      <c r="J19" s="69"/>
      <c r="K19" s="60"/>
    </row>
    <row r="20" spans="1:11" ht="16.5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>
      <c r="A21" s="61"/>
      <c r="B21" s="65"/>
      <c r="C21" s="69"/>
      <c r="D21" s="69"/>
      <c r="E21" s="69"/>
      <c r="F21" s="73" t="s">
        <v>680</v>
      </c>
      <c r="G21" s="69"/>
      <c r="H21" s="69"/>
      <c r="I21" s="69"/>
      <c r="J21" s="69"/>
      <c r="K21" s="60"/>
    </row>
    <row r="22" spans="1:11" ht="16.5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>
      <c r="A30" s="61"/>
      <c r="B30" s="65"/>
      <c r="D30" s="69" t="s">
        <v>501</v>
      </c>
      <c r="E30" s="70"/>
      <c r="F30" s="70"/>
      <c r="G30" s="70"/>
      <c r="H30" s="70"/>
      <c r="I30" s="70"/>
      <c r="J30" s="70"/>
      <c r="K30" s="60"/>
    </row>
    <row r="31" spans="1:11" ht="16.5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>
      <c r="A32" s="61"/>
      <c r="B32" s="65"/>
      <c r="D32" s="69" t="s">
        <v>502</v>
      </c>
      <c r="E32" s="70"/>
      <c r="F32" s="70"/>
      <c r="G32" s="70"/>
      <c r="H32" s="70" t="s">
        <v>503</v>
      </c>
      <c r="I32" s="70"/>
      <c r="J32" s="70"/>
      <c r="K32" s="60"/>
    </row>
    <row r="33" spans="1:11" ht="16.5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>
      <c r="A34" s="61"/>
      <c r="B34" s="65"/>
      <c r="D34" s="69" t="s">
        <v>504</v>
      </c>
      <c r="E34" s="70"/>
      <c r="F34" s="70"/>
      <c r="G34" s="70"/>
      <c r="H34" s="70" t="s">
        <v>681</v>
      </c>
      <c r="I34" s="70"/>
      <c r="J34" s="70"/>
      <c r="K34" s="60"/>
    </row>
    <row r="35" spans="1:11" ht="16.5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>
      <c r="A36" s="61"/>
      <c r="B36" s="65"/>
      <c r="D36" s="69" t="s">
        <v>505</v>
      </c>
      <c r="E36" s="70"/>
      <c r="F36" s="70"/>
      <c r="G36" s="70"/>
      <c r="H36" s="70" t="s">
        <v>682</v>
      </c>
      <c r="I36" s="70"/>
      <c r="J36" s="70"/>
      <c r="K36" s="60"/>
    </row>
    <row r="37" spans="1:11" ht="16.5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>
      <c r="A38" s="61"/>
      <c r="B38" s="65"/>
      <c r="C38" s="69"/>
      <c r="D38" s="69"/>
      <c r="E38" s="69"/>
      <c r="F38" s="69"/>
      <c r="G38" s="352">
        <v>1</v>
      </c>
      <c r="H38" s="69"/>
      <c r="I38" s="69"/>
      <c r="J38" s="69"/>
      <c r="K38" s="60"/>
    </row>
    <row r="39" spans="1:11" ht="16.5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5" right="0.3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3"/>
  <sheetViews>
    <sheetView topLeftCell="A13" workbookViewId="0">
      <selection activeCell="D32" sqref="D32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.75">
      <c r="B1" s="25" t="s">
        <v>640</v>
      </c>
    </row>
    <row r="2" spans="1:9" ht="18">
      <c r="B2" s="256" t="s">
        <v>642</v>
      </c>
    </row>
    <row r="3" spans="1:9">
      <c r="B3" s="262"/>
    </row>
    <row r="4" spans="1:9" ht="15.75">
      <c r="B4" s="574" t="s">
        <v>700</v>
      </c>
      <c r="C4" s="574"/>
      <c r="D4" s="574"/>
      <c r="E4" s="574"/>
      <c r="F4" s="574"/>
      <c r="G4" s="574"/>
    </row>
    <row r="6" spans="1:9">
      <c r="A6" s="575" t="s">
        <v>155</v>
      </c>
      <c r="B6" s="577" t="s">
        <v>521</v>
      </c>
      <c r="C6" s="575" t="s">
        <v>517</v>
      </c>
      <c r="D6" s="263" t="s">
        <v>522</v>
      </c>
      <c r="E6" s="575" t="s">
        <v>523</v>
      </c>
      <c r="F6" s="575" t="s">
        <v>524</v>
      </c>
      <c r="G6" s="263" t="s">
        <v>522</v>
      </c>
    </row>
    <row r="7" spans="1:9">
      <c r="A7" s="576"/>
      <c r="B7" s="578"/>
      <c r="C7" s="576"/>
      <c r="D7" s="264">
        <v>43101</v>
      </c>
      <c r="E7" s="576"/>
      <c r="F7" s="576"/>
      <c r="G7" s="264">
        <v>43465</v>
      </c>
      <c r="H7" s="265"/>
      <c r="I7" s="265"/>
    </row>
    <row r="8" spans="1:9">
      <c r="A8" s="266">
        <v>1</v>
      </c>
      <c r="B8" s="261" t="s">
        <v>452</v>
      </c>
      <c r="C8" s="266"/>
      <c r="D8" s="267"/>
      <c r="E8" s="267"/>
      <c r="F8" s="267"/>
      <c r="G8" s="267">
        <f t="shared" ref="G8:G16" si="0">D8+E8-F8</f>
        <v>0</v>
      </c>
      <c r="H8" s="265"/>
      <c r="I8" s="265"/>
    </row>
    <row r="9" spans="1:9">
      <c r="A9" s="266">
        <v>2</v>
      </c>
      <c r="B9" s="261" t="s">
        <v>525</v>
      </c>
      <c r="C9" s="266"/>
      <c r="D9" s="267"/>
      <c r="E9" s="267"/>
      <c r="F9" s="267"/>
      <c r="G9" s="267">
        <f t="shared" si="0"/>
        <v>0</v>
      </c>
      <c r="H9" s="268"/>
      <c r="I9" s="269"/>
    </row>
    <row r="10" spans="1:9">
      <c r="A10" s="266">
        <v>3</v>
      </c>
      <c r="B10" s="270" t="s">
        <v>672</v>
      </c>
      <c r="C10" s="266"/>
      <c r="D10" s="267">
        <f>+'Aq&amp;AM'!H13</f>
        <v>1652240</v>
      </c>
      <c r="E10" s="267">
        <v>0</v>
      </c>
      <c r="F10" s="267">
        <f>+'Aq&amp;AM'!H18</f>
        <v>0</v>
      </c>
      <c r="G10" s="267">
        <f t="shared" si="0"/>
        <v>1652240</v>
      </c>
      <c r="H10" s="268"/>
      <c r="I10" s="269"/>
    </row>
    <row r="11" spans="1:9">
      <c r="A11" s="266">
        <v>4</v>
      </c>
      <c r="B11" s="270" t="s">
        <v>675</v>
      </c>
      <c r="C11" s="266"/>
      <c r="D11" s="267">
        <f>+'Aq&amp;AM'!I13</f>
        <v>553280</v>
      </c>
      <c r="E11" s="267">
        <f>+'Aq&amp;AM'!I17</f>
        <v>0</v>
      </c>
      <c r="F11" s="267">
        <f>+'Aq&amp;AM'!H19</f>
        <v>0</v>
      </c>
      <c r="G11" s="267">
        <f t="shared" si="0"/>
        <v>553280</v>
      </c>
      <c r="H11" s="268"/>
      <c r="I11" s="269"/>
    </row>
    <row r="12" spans="1:9">
      <c r="A12" s="266">
        <v>5</v>
      </c>
      <c r="B12" s="270" t="s">
        <v>676</v>
      </c>
      <c r="C12" s="266"/>
      <c r="D12" s="267">
        <f>+'Aq&amp;AM'!J13</f>
        <v>977966</v>
      </c>
      <c r="E12" s="267">
        <f>+'Aq&amp;AM'!J17</f>
        <v>0</v>
      </c>
      <c r="F12" s="267">
        <f>+'Aq&amp;AM'!H20</f>
        <v>0</v>
      </c>
      <c r="G12" s="267">
        <f t="shared" si="0"/>
        <v>977966</v>
      </c>
      <c r="H12" s="268"/>
      <c r="I12" s="269"/>
    </row>
    <row r="13" spans="1:9">
      <c r="A13" s="266">
        <v>1</v>
      </c>
      <c r="B13" s="270"/>
      <c r="C13" s="266"/>
      <c r="D13" s="267"/>
      <c r="E13" s="267"/>
      <c r="F13" s="267"/>
      <c r="G13" s="267">
        <f t="shared" si="0"/>
        <v>0</v>
      </c>
      <c r="H13" s="268"/>
      <c r="I13" s="269"/>
    </row>
    <row r="14" spans="1:9">
      <c r="A14" s="266">
        <v>2</v>
      </c>
      <c r="B14" s="257"/>
      <c r="C14" s="266"/>
      <c r="D14" s="267"/>
      <c r="E14" s="267"/>
      <c r="F14" s="267"/>
      <c r="G14" s="267">
        <f t="shared" si="0"/>
        <v>0</v>
      </c>
      <c r="H14" s="265"/>
      <c r="I14" s="265"/>
    </row>
    <row r="15" spans="1:9">
      <c r="A15" s="266">
        <v>3</v>
      </c>
      <c r="B15" s="257"/>
      <c r="C15" s="266"/>
      <c r="D15" s="267"/>
      <c r="E15" s="267"/>
      <c r="F15" s="267"/>
      <c r="G15" s="267">
        <f t="shared" si="0"/>
        <v>0</v>
      </c>
      <c r="H15" s="265"/>
      <c r="I15" s="265"/>
    </row>
    <row r="16" spans="1:9" ht="13.5" thickBot="1">
      <c r="A16" s="271">
        <v>4</v>
      </c>
      <c r="B16" s="272"/>
      <c r="C16" s="271"/>
      <c r="D16" s="273"/>
      <c r="E16" s="273"/>
      <c r="F16" s="273"/>
      <c r="G16" s="273">
        <f t="shared" si="0"/>
        <v>0</v>
      </c>
      <c r="H16" s="265"/>
      <c r="I16" s="265"/>
    </row>
    <row r="17" spans="1:9" ht="13.5" thickBot="1">
      <c r="A17" s="274"/>
      <c r="B17" s="275" t="s">
        <v>526</v>
      </c>
      <c r="C17" s="276"/>
      <c r="D17" s="277">
        <f>SUM(D8:D16)</f>
        <v>3183486</v>
      </c>
      <c r="E17" s="277">
        <f>SUM(E8:E16)</f>
        <v>0</v>
      </c>
      <c r="F17" s="277">
        <f>SUM(F8:F16)</f>
        <v>0</v>
      </c>
      <c r="G17" s="278">
        <f>SUM(G8:G16)</f>
        <v>3183486</v>
      </c>
      <c r="I17" s="279"/>
    </row>
    <row r="20" spans="1:9" ht="15.75">
      <c r="B20" s="574" t="s">
        <v>701</v>
      </c>
      <c r="C20" s="574"/>
      <c r="D20" s="574"/>
      <c r="E20" s="574"/>
      <c r="F20" s="574"/>
      <c r="G20" s="574"/>
      <c r="I20" s="279"/>
    </row>
    <row r="22" spans="1:9">
      <c r="A22" s="575" t="s">
        <v>155</v>
      </c>
      <c r="B22" s="577" t="s">
        <v>521</v>
      </c>
      <c r="C22" s="575" t="s">
        <v>517</v>
      </c>
      <c r="D22" s="263" t="s">
        <v>522</v>
      </c>
      <c r="E22" s="575" t="s">
        <v>523</v>
      </c>
      <c r="F22" s="575" t="s">
        <v>524</v>
      </c>
      <c r="G22" s="263" t="s">
        <v>522</v>
      </c>
    </row>
    <row r="23" spans="1:9">
      <c r="A23" s="576"/>
      <c r="B23" s="578"/>
      <c r="C23" s="576"/>
      <c r="D23" s="264">
        <f>+D7</f>
        <v>43101</v>
      </c>
      <c r="E23" s="576"/>
      <c r="F23" s="576"/>
      <c r="G23" s="264">
        <f>+G7</f>
        <v>43465</v>
      </c>
    </row>
    <row r="24" spans="1:9">
      <c r="A24" s="266">
        <v>1</v>
      </c>
      <c r="B24" s="261" t="s">
        <v>452</v>
      </c>
      <c r="C24" s="266"/>
      <c r="D24" s="267">
        <v>0</v>
      </c>
      <c r="E24" s="267">
        <v>0</v>
      </c>
      <c r="F24" s="267"/>
      <c r="G24" s="267">
        <f>D24+E24</f>
        <v>0</v>
      </c>
    </row>
    <row r="25" spans="1:9">
      <c r="A25" s="266">
        <v>2</v>
      </c>
      <c r="B25" s="261" t="s">
        <v>525</v>
      </c>
      <c r="C25" s="266"/>
      <c r="D25" s="267"/>
      <c r="E25" s="267"/>
      <c r="F25" s="267"/>
      <c r="G25" s="267">
        <f>D25+E25</f>
        <v>0</v>
      </c>
    </row>
    <row r="26" spans="1:9">
      <c r="A26" s="266">
        <v>3</v>
      </c>
      <c r="B26" s="270" t="s">
        <v>672</v>
      </c>
      <c r="C26" s="266"/>
      <c r="D26" s="267">
        <f>+'Aq&amp;AM'!H14</f>
        <v>185137</v>
      </c>
      <c r="E26" s="280">
        <f>+'Aq&amp;AM'!H22</f>
        <v>0</v>
      </c>
      <c r="F26" s="267"/>
      <c r="G26" s="267">
        <f>D26+E26-F26</f>
        <v>185137</v>
      </c>
    </row>
    <row r="27" spans="1:9">
      <c r="A27" s="266">
        <v>4</v>
      </c>
      <c r="B27" s="270" t="s">
        <v>675</v>
      </c>
      <c r="C27" s="266"/>
      <c r="D27" s="267">
        <f>+'Aq&amp;AM'!I14</f>
        <v>139280</v>
      </c>
      <c r="E27" s="280">
        <f>+'Aq&amp;AM'!I22</f>
        <v>0</v>
      </c>
      <c r="F27" s="267"/>
      <c r="G27" s="267">
        <f>D27+E27</f>
        <v>139280</v>
      </c>
    </row>
    <row r="28" spans="1:9">
      <c r="A28" s="266">
        <v>5</v>
      </c>
      <c r="B28" s="270" t="s">
        <v>676</v>
      </c>
      <c r="C28" s="266"/>
      <c r="D28" s="267">
        <f>+'Aq&amp;AM'!J14</f>
        <v>154258</v>
      </c>
      <c r="E28" s="280">
        <f>+'Aq&amp;AM'!J22</f>
        <v>0</v>
      </c>
      <c r="F28" s="267"/>
      <c r="G28" s="267">
        <f>D28+E28</f>
        <v>154258</v>
      </c>
    </row>
    <row r="29" spans="1:9">
      <c r="A29" s="266">
        <v>1</v>
      </c>
      <c r="B29" s="270"/>
      <c r="C29" s="266"/>
      <c r="D29" s="267"/>
      <c r="E29" s="267"/>
      <c r="F29" s="267"/>
      <c r="G29" s="267"/>
    </row>
    <row r="30" spans="1:9">
      <c r="A30" s="266">
        <v>2</v>
      </c>
      <c r="B30" s="257"/>
      <c r="C30" s="266"/>
      <c r="D30" s="267"/>
      <c r="E30" s="267"/>
      <c r="F30" s="267"/>
      <c r="G30" s="267">
        <f>D30+E30-F30</f>
        <v>0</v>
      </c>
    </row>
    <row r="31" spans="1:9">
      <c r="A31" s="266">
        <v>3</v>
      </c>
      <c r="B31" s="257"/>
      <c r="C31" s="266"/>
      <c r="D31" s="267"/>
      <c r="E31" s="267"/>
      <c r="F31" s="267"/>
      <c r="G31" s="267">
        <f>D31+E31-F31</f>
        <v>0</v>
      </c>
    </row>
    <row r="32" spans="1:9" ht="13.5" thickBot="1">
      <c r="A32" s="271">
        <v>4</v>
      </c>
      <c r="B32" s="272"/>
      <c r="C32" s="271"/>
      <c r="D32" s="273"/>
      <c r="E32" s="273"/>
      <c r="F32" s="273"/>
      <c r="G32" s="273">
        <f>D32+E32-F32</f>
        <v>0</v>
      </c>
    </row>
    <row r="33" spans="1:14" ht="13.5" thickBot="1">
      <c r="A33" s="274"/>
      <c r="B33" s="275" t="s">
        <v>526</v>
      </c>
      <c r="C33" s="276"/>
      <c r="D33" s="277">
        <f>SUM(D24:D32)</f>
        <v>478675</v>
      </c>
      <c r="E33" s="277">
        <f>SUM(E24:E32)</f>
        <v>0</v>
      </c>
      <c r="F33" s="277">
        <f>SUM(F24:F32)</f>
        <v>0</v>
      </c>
      <c r="G33" s="278">
        <f>SUM(G24:G32)</f>
        <v>478675</v>
      </c>
      <c r="H33" s="282"/>
      <c r="I33" s="279"/>
      <c r="J33" s="279"/>
    </row>
    <row r="34" spans="1:14">
      <c r="G34" s="282"/>
    </row>
    <row r="36" spans="1:14" ht="15.75">
      <c r="B36" s="574" t="s">
        <v>702</v>
      </c>
      <c r="C36" s="574"/>
      <c r="D36" s="574"/>
      <c r="E36" s="574"/>
      <c r="F36" s="574"/>
      <c r="G36" s="574"/>
    </row>
    <row r="38" spans="1:14">
      <c r="A38" s="575" t="s">
        <v>155</v>
      </c>
      <c r="B38" s="577" t="s">
        <v>521</v>
      </c>
      <c r="C38" s="575" t="s">
        <v>517</v>
      </c>
      <c r="D38" s="263" t="s">
        <v>522</v>
      </c>
      <c r="E38" s="575" t="s">
        <v>523</v>
      </c>
      <c r="F38" s="575" t="s">
        <v>524</v>
      </c>
      <c r="G38" s="263" t="s">
        <v>522</v>
      </c>
    </row>
    <row r="39" spans="1:14">
      <c r="A39" s="576"/>
      <c r="B39" s="578"/>
      <c r="C39" s="576"/>
      <c r="D39" s="264">
        <f>+D7</f>
        <v>43101</v>
      </c>
      <c r="E39" s="576"/>
      <c r="F39" s="576"/>
      <c r="G39" s="264">
        <f>+G7</f>
        <v>43465</v>
      </c>
    </row>
    <row r="40" spans="1:14">
      <c r="A40" s="266">
        <v>1</v>
      </c>
      <c r="B40" s="261" t="s">
        <v>452</v>
      </c>
      <c r="C40" s="266"/>
      <c r="D40" s="267">
        <v>0</v>
      </c>
      <c r="E40" s="267"/>
      <c r="F40" s="267">
        <v>0</v>
      </c>
      <c r="G40" s="267">
        <f t="shared" ref="G40:G48" si="1">D40+E40-F40</f>
        <v>0</v>
      </c>
    </row>
    <row r="41" spans="1:14">
      <c r="A41" s="266">
        <v>2</v>
      </c>
      <c r="B41" s="270" t="s">
        <v>525</v>
      </c>
      <c r="C41" s="266"/>
      <c r="D41" s="267"/>
      <c r="E41" s="267"/>
      <c r="F41" s="267"/>
      <c r="G41" s="267">
        <f t="shared" si="1"/>
        <v>0</v>
      </c>
      <c r="M41" s="265"/>
      <c r="N41" s="265"/>
    </row>
    <row r="42" spans="1:14">
      <c r="A42" s="266">
        <v>3</v>
      </c>
      <c r="B42" s="270" t="s">
        <v>672</v>
      </c>
      <c r="C42" s="266"/>
      <c r="D42" s="281">
        <f>+D10-D26</f>
        <v>1467103</v>
      </c>
      <c r="E42" s="280">
        <f>+E10-E26</f>
        <v>0</v>
      </c>
      <c r="F42" s="281">
        <f>+F10-F26</f>
        <v>0</v>
      </c>
      <c r="G42" s="267">
        <f t="shared" si="1"/>
        <v>1467103</v>
      </c>
      <c r="M42" s="265"/>
      <c r="N42" s="265"/>
    </row>
    <row r="43" spans="1:14">
      <c r="A43" s="266">
        <v>4</v>
      </c>
      <c r="B43" s="270" t="s">
        <v>675</v>
      </c>
      <c r="C43" s="266"/>
      <c r="D43" s="281">
        <f t="shared" ref="D43:F44" si="2">+D11-D27</f>
        <v>414000</v>
      </c>
      <c r="E43" s="280">
        <f t="shared" si="2"/>
        <v>0</v>
      </c>
      <c r="F43" s="281">
        <f t="shared" si="2"/>
        <v>0</v>
      </c>
      <c r="G43" s="267">
        <f t="shared" si="1"/>
        <v>414000</v>
      </c>
      <c r="M43" s="265"/>
      <c r="N43" s="265"/>
    </row>
    <row r="44" spans="1:14">
      <c r="A44" s="266">
        <v>5</v>
      </c>
      <c r="B44" s="270" t="s">
        <v>676</v>
      </c>
      <c r="C44" s="266"/>
      <c r="D44" s="281">
        <f t="shared" si="2"/>
        <v>823708</v>
      </c>
      <c r="E44" s="280">
        <f t="shared" si="2"/>
        <v>0</v>
      </c>
      <c r="F44" s="281">
        <f t="shared" si="2"/>
        <v>0</v>
      </c>
      <c r="G44" s="267">
        <f t="shared" si="1"/>
        <v>823708</v>
      </c>
      <c r="M44" s="265"/>
      <c r="N44" s="265"/>
    </row>
    <row r="45" spans="1:14">
      <c r="A45" s="266">
        <v>1</v>
      </c>
      <c r="B45" s="270"/>
      <c r="C45" s="266"/>
      <c r="D45" s="267"/>
      <c r="E45" s="267"/>
      <c r="F45" s="267"/>
      <c r="G45" s="267">
        <f t="shared" si="1"/>
        <v>0</v>
      </c>
      <c r="M45" s="265"/>
      <c r="N45" s="265"/>
    </row>
    <row r="46" spans="1:14">
      <c r="A46" s="266">
        <v>2</v>
      </c>
      <c r="B46" s="270"/>
      <c r="C46" s="266"/>
      <c r="D46" s="267"/>
      <c r="E46" s="267"/>
      <c r="F46" s="267"/>
      <c r="G46" s="267">
        <f t="shared" si="1"/>
        <v>0</v>
      </c>
      <c r="M46" s="265"/>
      <c r="N46" s="265"/>
    </row>
    <row r="47" spans="1:14">
      <c r="A47" s="266">
        <v>3</v>
      </c>
      <c r="B47" s="257"/>
      <c r="C47" s="266"/>
      <c r="D47" s="267"/>
      <c r="E47" s="267"/>
      <c r="F47" s="267"/>
      <c r="G47" s="267">
        <f t="shared" si="1"/>
        <v>0</v>
      </c>
      <c r="M47" s="265"/>
      <c r="N47" s="265"/>
    </row>
    <row r="48" spans="1:14" ht="13.5" thickBot="1">
      <c r="A48" s="271">
        <v>4</v>
      </c>
      <c r="B48" s="272"/>
      <c r="C48" s="271"/>
      <c r="D48" s="273"/>
      <c r="E48" s="273"/>
      <c r="F48" s="273"/>
      <c r="G48" s="273">
        <f t="shared" si="1"/>
        <v>0</v>
      </c>
      <c r="M48" s="265"/>
      <c r="N48" s="265"/>
    </row>
    <row r="49" spans="1:14" ht="13.5" thickBot="1">
      <c r="A49" s="274"/>
      <c r="B49" s="275" t="s">
        <v>526</v>
      </c>
      <c r="C49" s="276"/>
      <c r="D49" s="277">
        <f>SUM(D40:D48)</f>
        <v>2704811</v>
      </c>
      <c r="E49" s="277">
        <f>SUM(E40:E48)</f>
        <v>0</v>
      </c>
      <c r="F49" s="277">
        <f>SUM(F40:F48)</f>
        <v>0</v>
      </c>
      <c r="G49" s="278">
        <f>SUM(G40:G48)</f>
        <v>2704811</v>
      </c>
      <c r="I49" s="282"/>
      <c r="J49" s="279"/>
      <c r="M49" s="283"/>
      <c r="N49" s="265"/>
    </row>
    <row r="50" spans="1:14" s="265" customFormat="1">
      <c r="F50" s="269"/>
      <c r="G50" s="284"/>
      <c r="J50" s="269"/>
    </row>
    <row r="51" spans="1:14">
      <c r="D51" s="279"/>
      <c r="G51" s="279"/>
      <c r="I51" s="279"/>
      <c r="M51" s="265"/>
      <c r="N51" s="265"/>
    </row>
    <row r="52" spans="1:14" ht="15.75">
      <c r="D52" s="260">
        <v>10</v>
      </c>
      <c r="E52" s="579" t="s">
        <v>527</v>
      </c>
      <c r="F52" s="579"/>
      <c r="G52" s="579"/>
      <c r="M52" s="265"/>
      <c r="N52" s="265"/>
    </row>
    <row r="53" spans="1:14">
      <c r="E53" s="580" t="s">
        <v>666</v>
      </c>
      <c r="F53" s="580"/>
      <c r="G53" s="580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24"/>
  <sheetViews>
    <sheetView topLeftCell="A10" workbookViewId="0">
      <selection activeCell="L24" sqref="L24"/>
    </sheetView>
  </sheetViews>
  <sheetFormatPr defaultColWidth="11.42578125" defaultRowHeight="12.75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9" width="16.140625" style="31" hidden="1" customWidth="1"/>
    <col min="10" max="10" width="11.42578125" style="31" customWidth="1"/>
    <col min="11" max="11" width="11.42578125" style="31"/>
    <col min="12" max="12" width="11.85546875" style="31" bestFit="1" customWidth="1"/>
    <col min="13" max="16384" width="11.42578125" style="31"/>
  </cols>
  <sheetData>
    <row r="1" spans="1:10" ht="16.5">
      <c r="B1" s="49" t="s">
        <v>153</v>
      </c>
    </row>
    <row r="2" spans="1:10" ht="13.5">
      <c r="B2" s="32" t="s">
        <v>684</v>
      </c>
      <c r="J2" s="34"/>
    </row>
    <row r="3" spans="1:10">
      <c r="B3" s="48" t="s">
        <v>414</v>
      </c>
    </row>
    <row r="5" spans="1:10" hidden="1"/>
    <row r="6" spans="1:10" hidden="1"/>
    <row r="8" spans="1:10" ht="15">
      <c r="B8" s="52" t="s">
        <v>154</v>
      </c>
      <c r="C8" s="33" t="s">
        <v>155</v>
      </c>
      <c r="D8" s="421" t="s">
        <v>683</v>
      </c>
      <c r="E8" s="421" t="s">
        <v>667</v>
      </c>
      <c r="F8" s="421" t="s">
        <v>608</v>
      </c>
      <c r="G8" s="421" t="s">
        <v>671</v>
      </c>
      <c r="H8" s="421" t="s">
        <v>560</v>
      </c>
      <c r="I8" s="421" t="s">
        <v>544</v>
      </c>
    </row>
    <row r="11" spans="1:10">
      <c r="A11" s="35" t="s">
        <v>156</v>
      </c>
      <c r="B11" s="36" t="s">
        <v>157</v>
      </c>
      <c r="C11" s="36" t="s">
        <v>124</v>
      </c>
    </row>
    <row r="12" spans="1:10">
      <c r="A12" s="35" t="s">
        <v>158</v>
      </c>
      <c r="B12" s="36" t="s">
        <v>159</v>
      </c>
      <c r="C12" s="36" t="s">
        <v>125</v>
      </c>
      <c r="D12" s="37">
        <f t="shared" ref="D12:I12" si="0">+D20</f>
        <v>2704811</v>
      </c>
      <c r="E12" s="37">
        <f t="shared" si="0"/>
        <v>2704811</v>
      </c>
      <c r="F12" s="37">
        <f t="shared" si="0"/>
        <v>2847169</v>
      </c>
      <c r="G12" s="37">
        <f t="shared" si="0"/>
        <v>2847169</v>
      </c>
      <c r="H12" s="37">
        <f t="shared" si="0"/>
        <v>2847169</v>
      </c>
      <c r="I12" s="37">
        <f t="shared" si="0"/>
        <v>2839174</v>
      </c>
    </row>
    <row r="13" spans="1:10">
      <c r="A13" s="35" t="s">
        <v>133</v>
      </c>
      <c r="B13" s="36" t="s">
        <v>160</v>
      </c>
      <c r="C13" s="36" t="s">
        <v>126</v>
      </c>
    </row>
    <row r="14" spans="1:10">
      <c r="A14" s="35" t="s">
        <v>138</v>
      </c>
      <c r="B14" s="36" t="s">
        <v>161</v>
      </c>
      <c r="C14" s="36" t="s">
        <v>127</v>
      </c>
    </row>
    <row r="15" spans="1:10">
      <c r="A15" s="35" t="s">
        <v>139</v>
      </c>
      <c r="B15" s="36" t="s">
        <v>162</v>
      </c>
      <c r="C15" s="36" t="s">
        <v>128</v>
      </c>
    </row>
    <row r="16" spans="1:10">
      <c r="A16" s="35" t="s">
        <v>140</v>
      </c>
      <c r="B16" s="36" t="s">
        <v>163</v>
      </c>
      <c r="C16" s="36" t="s">
        <v>135</v>
      </c>
    </row>
    <row r="17" spans="1:9">
      <c r="A17" s="35" t="s">
        <v>142</v>
      </c>
      <c r="B17" s="36" t="s">
        <v>164</v>
      </c>
      <c r="C17" s="36" t="s">
        <v>136</v>
      </c>
    </row>
    <row r="18" spans="1:9">
      <c r="A18" s="35" t="s">
        <v>143</v>
      </c>
      <c r="B18" s="36" t="s">
        <v>165</v>
      </c>
      <c r="C18" s="36" t="s">
        <v>137</v>
      </c>
    </row>
    <row r="19" spans="1:9">
      <c r="A19" s="35" t="s">
        <v>166</v>
      </c>
      <c r="B19" s="36" t="s">
        <v>167</v>
      </c>
      <c r="C19" s="36" t="s">
        <v>141</v>
      </c>
    </row>
    <row r="20" spans="1:9">
      <c r="A20" s="35" t="s">
        <v>134</v>
      </c>
      <c r="B20" s="36" t="s">
        <v>168</v>
      </c>
      <c r="C20" s="36" t="s">
        <v>145</v>
      </c>
      <c r="D20" s="37">
        <f t="shared" ref="D20:I20" si="1">+D21+D22+D23+D24+D25</f>
        <v>2704811</v>
      </c>
      <c r="E20" s="37">
        <f t="shared" si="1"/>
        <v>2704811</v>
      </c>
      <c r="F20" s="37">
        <f t="shared" si="1"/>
        <v>2847169</v>
      </c>
      <c r="G20" s="37">
        <f t="shared" si="1"/>
        <v>2847169</v>
      </c>
      <c r="H20" s="37">
        <f t="shared" si="1"/>
        <v>2847169</v>
      </c>
      <c r="I20" s="37">
        <f t="shared" si="1"/>
        <v>2839174</v>
      </c>
    </row>
    <row r="21" spans="1:9">
      <c r="A21" s="35" t="s">
        <v>138</v>
      </c>
      <c r="B21" s="36" t="s">
        <v>169</v>
      </c>
      <c r="C21" s="36" t="s">
        <v>146</v>
      </c>
    </row>
    <row r="22" spans="1:9">
      <c r="A22" s="35" t="s">
        <v>139</v>
      </c>
      <c r="B22" s="36" t="s">
        <v>170</v>
      </c>
      <c r="C22" s="36" t="s">
        <v>147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</row>
    <row r="23" spans="1:9">
      <c r="A23" s="35" t="s">
        <v>140</v>
      </c>
      <c r="B23" s="36" t="s">
        <v>171</v>
      </c>
      <c r="C23" s="36" t="s">
        <v>148</v>
      </c>
      <c r="D23" s="37">
        <v>3183486</v>
      </c>
      <c r="E23" s="37">
        <v>3183486</v>
      </c>
      <c r="F23" s="37">
        <v>3183486</v>
      </c>
      <c r="G23" s="37">
        <v>3183486</v>
      </c>
      <c r="H23" s="37">
        <v>3183486</v>
      </c>
      <c r="I23" s="37">
        <v>3117386</v>
      </c>
    </row>
    <row r="24" spans="1:9">
      <c r="A24" s="35" t="s">
        <v>142</v>
      </c>
      <c r="B24" s="36" t="s">
        <v>172</v>
      </c>
      <c r="C24" s="36" t="s">
        <v>149</v>
      </c>
    </row>
    <row r="25" spans="1:9">
      <c r="A25" s="35" t="s">
        <v>143</v>
      </c>
      <c r="B25" s="36" t="s">
        <v>165</v>
      </c>
      <c r="C25" s="36" t="s">
        <v>173</v>
      </c>
      <c r="D25" s="37">
        <f>-(336317+142358)</f>
        <v>-478675</v>
      </c>
      <c r="E25" s="37">
        <f>-(336317+142358)</f>
        <v>-478675</v>
      </c>
      <c r="F25" s="37">
        <v>-336317</v>
      </c>
      <c r="G25" s="37">
        <v>-336317</v>
      </c>
      <c r="H25" s="37">
        <v>-336317</v>
      </c>
      <c r="I25" s="37">
        <v>-278212</v>
      </c>
    </row>
    <row r="26" spans="1:9">
      <c r="A26" s="35" t="s">
        <v>166</v>
      </c>
      <c r="B26" s="36" t="s">
        <v>167</v>
      </c>
      <c r="C26" s="36" t="s">
        <v>174</v>
      </c>
    </row>
    <row r="27" spans="1:9">
      <c r="A27" s="35" t="s">
        <v>144</v>
      </c>
      <c r="B27" s="36" t="s">
        <v>175</v>
      </c>
      <c r="C27" s="36" t="s">
        <v>176</v>
      </c>
    </row>
    <row r="28" spans="1:9">
      <c r="A28" s="35" t="s">
        <v>138</v>
      </c>
      <c r="B28" s="36" t="s">
        <v>177</v>
      </c>
      <c r="C28" s="36" t="s">
        <v>178</v>
      </c>
    </row>
    <row r="29" spans="1:9">
      <c r="A29" s="35" t="s">
        <v>139</v>
      </c>
      <c r="B29" s="36" t="s">
        <v>179</v>
      </c>
      <c r="C29" s="36" t="s">
        <v>180</v>
      </c>
    </row>
    <row r="30" spans="1:9">
      <c r="A30" s="35" t="s">
        <v>140</v>
      </c>
      <c r="B30" s="36" t="s">
        <v>181</v>
      </c>
      <c r="C30" s="36" t="s">
        <v>182</v>
      </c>
    </row>
    <row r="31" spans="1:9">
      <c r="A31" s="35" t="s">
        <v>142</v>
      </c>
      <c r="B31" s="36" t="s">
        <v>183</v>
      </c>
      <c r="C31" s="36" t="s">
        <v>184</v>
      </c>
    </row>
    <row r="32" spans="1:9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-4.6566128730773926E-10</v>
      </c>
      <c r="G32" s="37">
        <v>-4.6566128730773926E-10</v>
      </c>
      <c r="H32" s="37">
        <v>0</v>
      </c>
      <c r="I32" s="37">
        <v>-4.6566128730773926E-10</v>
      </c>
    </row>
    <row r="33" spans="1:12">
      <c r="A33" s="35" t="s">
        <v>187</v>
      </c>
      <c r="B33" s="36" t="s">
        <v>188</v>
      </c>
      <c r="C33" s="36" t="s">
        <v>189</v>
      </c>
      <c r="D33" s="37">
        <f t="shared" ref="D33:I33" si="2">+D50+D54+D40+D34</f>
        <v>18004511</v>
      </c>
      <c r="E33" s="37">
        <f t="shared" si="2"/>
        <v>20867261.060000002</v>
      </c>
      <c r="F33" s="37">
        <f t="shared" si="2"/>
        <v>227408.5</v>
      </c>
      <c r="G33" s="37">
        <f t="shared" si="2"/>
        <v>5614453.0999999996</v>
      </c>
      <c r="H33" s="37">
        <f t="shared" si="2"/>
        <v>970080</v>
      </c>
      <c r="I33" s="37">
        <f t="shared" si="2"/>
        <v>664192.72</v>
      </c>
    </row>
    <row r="34" spans="1:12">
      <c r="A34" s="35" t="s">
        <v>133</v>
      </c>
      <c r="B34" s="36" t="s">
        <v>190</v>
      </c>
      <c r="C34" s="36" t="s">
        <v>191</v>
      </c>
      <c r="D34" s="50">
        <f t="shared" ref="D34:I34" si="3">SUM(D35:D39)</f>
        <v>0</v>
      </c>
      <c r="E34" s="50">
        <f t="shared" si="3"/>
        <v>0</v>
      </c>
      <c r="F34" s="50">
        <f t="shared" si="3"/>
        <v>0</v>
      </c>
      <c r="G34" s="50">
        <f t="shared" si="3"/>
        <v>1419573</v>
      </c>
      <c r="H34" s="50">
        <f t="shared" si="3"/>
        <v>0</v>
      </c>
      <c r="I34" s="50">
        <f t="shared" si="3"/>
        <v>0</v>
      </c>
    </row>
    <row r="35" spans="1:12">
      <c r="A35" s="35" t="s">
        <v>138</v>
      </c>
      <c r="B35" s="36" t="s">
        <v>192</v>
      </c>
      <c r="C35" s="36" t="s">
        <v>193</v>
      </c>
      <c r="D35" s="37">
        <v>0</v>
      </c>
      <c r="E35" s="37">
        <v>0</v>
      </c>
      <c r="F35" s="37">
        <v>0</v>
      </c>
      <c r="G35" s="37">
        <v>1419573</v>
      </c>
      <c r="L35" s="78"/>
    </row>
    <row r="36" spans="1:12">
      <c r="A36" s="35" t="s">
        <v>139</v>
      </c>
      <c r="B36" s="36" t="s">
        <v>194</v>
      </c>
      <c r="C36" s="36" t="s">
        <v>195</v>
      </c>
    </row>
    <row r="37" spans="1:12">
      <c r="A37" s="35" t="s">
        <v>140</v>
      </c>
      <c r="B37" s="36" t="s">
        <v>131</v>
      </c>
      <c r="C37" s="36" t="s">
        <v>196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</row>
    <row r="38" spans="1:12">
      <c r="A38" s="35" t="s">
        <v>142</v>
      </c>
      <c r="B38" s="36" t="s">
        <v>197</v>
      </c>
      <c r="C38" s="36" t="s">
        <v>198</v>
      </c>
    </row>
    <row r="39" spans="1:12">
      <c r="A39" s="35" t="s">
        <v>143</v>
      </c>
      <c r="B39" s="36" t="s">
        <v>183</v>
      </c>
      <c r="C39" s="36" t="s">
        <v>199</v>
      </c>
    </row>
    <row r="40" spans="1:12">
      <c r="A40" s="35" t="s">
        <v>134</v>
      </c>
      <c r="B40" s="36" t="s">
        <v>200</v>
      </c>
      <c r="C40" s="36" t="s">
        <v>201</v>
      </c>
      <c r="D40" s="50">
        <f t="shared" ref="D40:I40" si="4">SUM(D41:D46)</f>
        <v>15477512</v>
      </c>
      <c r="E40" s="50">
        <f t="shared" si="4"/>
        <v>20859462.060000002</v>
      </c>
      <c r="F40" s="50">
        <f t="shared" si="4"/>
        <v>96000.4</v>
      </c>
      <c r="G40" s="50">
        <f t="shared" si="4"/>
        <v>4152845.77</v>
      </c>
      <c r="H40" s="50">
        <f t="shared" si="4"/>
        <v>938306</v>
      </c>
      <c r="I40" s="50">
        <f t="shared" si="4"/>
        <v>646967</v>
      </c>
    </row>
    <row r="41" spans="1:12">
      <c r="B41" s="36" t="s">
        <v>202</v>
      </c>
    </row>
    <row r="42" spans="1:12">
      <c r="A42" s="35" t="s">
        <v>138</v>
      </c>
      <c r="B42" s="36" t="s">
        <v>203</v>
      </c>
      <c r="C42" s="36" t="s">
        <v>204</v>
      </c>
      <c r="D42" s="37">
        <v>15411512</v>
      </c>
      <c r="E42" s="37">
        <f>118679332.06-63045930-19894952-4654208-10170780-120000</f>
        <v>20793462.060000002</v>
      </c>
      <c r="F42" s="37">
        <v>90000.4</v>
      </c>
      <c r="G42" s="37">
        <v>4146845.77</v>
      </c>
      <c r="H42" s="37">
        <v>932306</v>
      </c>
      <c r="I42" s="37">
        <v>154306</v>
      </c>
    </row>
    <row r="43" spans="1:12">
      <c r="A43" s="35" t="s">
        <v>139</v>
      </c>
      <c r="B43" s="36" t="s">
        <v>205</v>
      </c>
      <c r="C43" s="36" t="s">
        <v>206</v>
      </c>
    </row>
    <row r="44" spans="1:12">
      <c r="A44" s="35" t="s">
        <v>140</v>
      </c>
      <c r="B44" s="118" t="s">
        <v>510</v>
      </c>
      <c r="C44" s="36" t="s">
        <v>207</v>
      </c>
      <c r="D44" s="37"/>
      <c r="E44" s="37"/>
      <c r="F44" s="37"/>
      <c r="G44" s="37"/>
      <c r="H44" s="37"/>
      <c r="I44" s="37"/>
    </row>
    <row r="45" spans="1:12">
      <c r="A45" s="35" t="s">
        <v>142</v>
      </c>
      <c r="B45" s="36" t="s">
        <v>208</v>
      </c>
      <c r="C45" s="36" t="s">
        <v>209</v>
      </c>
      <c r="D45" s="37">
        <v>66000</v>
      </c>
      <c r="E45" s="37">
        <v>66000</v>
      </c>
      <c r="F45" s="37">
        <v>6000</v>
      </c>
      <c r="G45" s="37">
        <v>6000</v>
      </c>
      <c r="H45" s="37">
        <v>6000</v>
      </c>
      <c r="I45" s="37">
        <v>492661</v>
      </c>
    </row>
    <row r="46" spans="1:12">
      <c r="A46" s="35" t="s">
        <v>143</v>
      </c>
      <c r="B46" s="36" t="s">
        <v>183</v>
      </c>
      <c r="C46" s="36" t="s">
        <v>210</v>
      </c>
    </row>
    <row r="47" spans="1:12">
      <c r="A47" s="35" t="s">
        <v>144</v>
      </c>
      <c r="B47" s="36" t="s">
        <v>211</v>
      </c>
      <c r="C47" s="36" t="s">
        <v>212</v>
      </c>
    </row>
    <row r="48" spans="1:12">
      <c r="A48" s="35" t="s">
        <v>138</v>
      </c>
      <c r="B48" s="36" t="s">
        <v>213</v>
      </c>
      <c r="C48" s="36" t="s">
        <v>214</v>
      </c>
    </row>
    <row r="49" spans="1:9">
      <c r="A49" s="35" t="s">
        <v>139</v>
      </c>
      <c r="B49" s="36" t="s">
        <v>183</v>
      </c>
      <c r="C49" s="36" t="s">
        <v>215</v>
      </c>
    </row>
    <row r="50" spans="1:9">
      <c r="A50" s="35" t="s">
        <v>150</v>
      </c>
      <c r="B50" s="36" t="s">
        <v>216</v>
      </c>
      <c r="C50" s="36" t="s">
        <v>217</v>
      </c>
      <c r="D50" s="50">
        <f t="shared" ref="D50:I50" si="5">+D51+D52+D53</f>
        <v>2526999</v>
      </c>
      <c r="E50" s="50">
        <f t="shared" si="5"/>
        <v>7799</v>
      </c>
      <c r="F50" s="50">
        <f t="shared" si="5"/>
        <v>131408.1</v>
      </c>
      <c r="G50" s="50">
        <f t="shared" si="5"/>
        <v>42034.33</v>
      </c>
      <c r="H50" s="50">
        <f t="shared" si="5"/>
        <v>31774</v>
      </c>
      <c r="I50" s="50">
        <f t="shared" si="5"/>
        <v>17225.72</v>
      </c>
    </row>
    <row r="51" spans="1:9">
      <c r="A51" s="35" t="s">
        <v>138</v>
      </c>
      <c r="B51" s="36" t="s">
        <v>218</v>
      </c>
      <c r="C51" s="36" t="s">
        <v>219</v>
      </c>
      <c r="D51" s="37">
        <v>2526999</v>
      </c>
      <c r="E51" s="37">
        <f>1200+6599</f>
        <v>7799</v>
      </c>
      <c r="F51" s="37">
        <v>107208.1</v>
      </c>
      <c r="G51" s="37">
        <v>12925.33</v>
      </c>
      <c r="H51" s="37">
        <v>-1434.67</v>
      </c>
      <c r="I51" s="37">
        <v>2064</v>
      </c>
    </row>
    <row r="52" spans="1:9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24200</v>
      </c>
      <c r="G52" s="37">
        <v>29109</v>
      </c>
      <c r="H52" s="37">
        <v>33208.67</v>
      </c>
      <c r="I52" s="37">
        <v>15161.72</v>
      </c>
    </row>
    <row r="53" spans="1:9">
      <c r="A53" s="35" t="s">
        <v>140</v>
      </c>
      <c r="B53" s="36" t="s">
        <v>541</v>
      </c>
      <c r="C53" s="36" t="s">
        <v>222</v>
      </c>
      <c r="D53" s="37"/>
      <c r="E53" s="37"/>
      <c r="F53" s="37"/>
      <c r="G53" s="37"/>
      <c r="H53" s="37"/>
      <c r="I53" s="37">
        <v>0</v>
      </c>
    </row>
    <row r="54" spans="1:9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</row>
    <row r="55" spans="1:9">
      <c r="B55" s="36" t="s">
        <v>225</v>
      </c>
    </row>
    <row r="56" spans="1:9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  <c r="H56" s="50"/>
      <c r="I56" s="50"/>
    </row>
    <row r="57" spans="1:9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  <c r="H57" s="37"/>
      <c r="I57" s="37"/>
    </row>
    <row r="58" spans="1:9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  <c r="H58" s="37"/>
      <c r="I58" s="37"/>
    </row>
    <row r="59" spans="1:9">
      <c r="A59" s="35" t="s">
        <v>140</v>
      </c>
      <c r="B59" s="36" t="s">
        <v>130</v>
      </c>
      <c r="C59" s="36" t="s">
        <v>233</v>
      </c>
    </row>
    <row r="60" spans="1:9">
      <c r="B60" s="36" t="s">
        <v>234</v>
      </c>
      <c r="C60" s="36" t="s">
        <v>235</v>
      </c>
      <c r="D60" s="50">
        <f t="shared" ref="D60:I60" si="6">+D12+D33</f>
        <v>20709322</v>
      </c>
      <c r="E60" s="50">
        <f t="shared" si="6"/>
        <v>23572072.060000002</v>
      </c>
      <c r="F60" s="50">
        <f t="shared" si="6"/>
        <v>3074577.5</v>
      </c>
      <c r="G60" s="50">
        <f t="shared" si="6"/>
        <v>8461622.0999999996</v>
      </c>
      <c r="H60" s="50">
        <f t="shared" si="6"/>
        <v>3817249</v>
      </c>
      <c r="I60" s="50">
        <f t="shared" si="6"/>
        <v>3503366.7199999997</v>
      </c>
    </row>
    <row r="61" spans="1:9">
      <c r="A61" s="35" t="s">
        <v>236</v>
      </c>
      <c r="B61" s="36" t="s">
        <v>237</v>
      </c>
      <c r="C61" s="36" t="s">
        <v>238</v>
      </c>
    </row>
    <row r="62" spans="1:9">
      <c r="A62" s="35" t="s">
        <v>133</v>
      </c>
      <c r="B62" s="36" t="s">
        <v>239</v>
      </c>
      <c r="C62" s="36" t="s">
        <v>240</v>
      </c>
    </row>
    <row r="63" spans="1:9">
      <c r="A63" s="35" t="s">
        <v>134</v>
      </c>
      <c r="B63" s="36" t="s">
        <v>241</v>
      </c>
      <c r="C63" s="36" t="s">
        <v>242</v>
      </c>
    </row>
    <row r="64" spans="1:9">
      <c r="A64" s="35" t="s">
        <v>144</v>
      </c>
      <c r="B64" s="36" t="s">
        <v>243</v>
      </c>
      <c r="C64" s="36" t="s">
        <v>244</v>
      </c>
    </row>
    <row r="66" spans="1:9">
      <c r="A66" s="35" t="s">
        <v>156</v>
      </c>
      <c r="B66" s="51" t="s">
        <v>245</v>
      </c>
      <c r="C66" s="36" t="s">
        <v>246</v>
      </c>
      <c r="D66" s="37">
        <f t="shared" ref="D66:I66" si="7">+D67</f>
        <v>-9643153.0999999996</v>
      </c>
      <c r="E66" s="37">
        <f t="shared" si="7"/>
        <v>-4864818</v>
      </c>
      <c r="F66" s="37">
        <f t="shared" si="7"/>
        <v>-6819424.9000000004</v>
      </c>
      <c r="G66" s="37">
        <f t="shared" si="7"/>
        <v>-3851750.9</v>
      </c>
      <c r="H66" s="37">
        <f t="shared" si="7"/>
        <v>-4150068</v>
      </c>
      <c r="I66" s="37">
        <f t="shared" si="7"/>
        <v>-2069006.2800000003</v>
      </c>
    </row>
    <row r="67" spans="1:9">
      <c r="A67" s="35" t="s">
        <v>133</v>
      </c>
      <c r="B67" s="36" t="s">
        <v>247</v>
      </c>
      <c r="C67" s="36" t="s">
        <v>248</v>
      </c>
      <c r="D67" s="37">
        <f t="shared" ref="D67:I67" si="8">+D69+D76+D77+D72</f>
        <v>-9643153.0999999996</v>
      </c>
      <c r="E67" s="37">
        <f t="shared" si="8"/>
        <v>-4864818</v>
      </c>
      <c r="F67" s="37">
        <f t="shared" si="8"/>
        <v>-6819424.9000000004</v>
      </c>
      <c r="G67" s="37">
        <f t="shared" si="8"/>
        <v>-3851750.9</v>
      </c>
      <c r="H67" s="37">
        <f t="shared" si="8"/>
        <v>-4150068</v>
      </c>
      <c r="I67" s="37">
        <f t="shared" si="8"/>
        <v>-2069006.2800000003</v>
      </c>
    </row>
    <row r="68" spans="1:9">
      <c r="B68" s="36" t="s">
        <v>249</v>
      </c>
    </row>
    <row r="69" spans="1:9">
      <c r="A69" s="35" t="s">
        <v>138</v>
      </c>
      <c r="B69" s="36" t="s">
        <v>250</v>
      </c>
      <c r="C69" s="36" t="s">
        <v>251</v>
      </c>
      <c r="D69" s="37">
        <v>4000000</v>
      </c>
      <c r="E69" s="37">
        <v>4000000</v>
      </c>
      <c r="F69" s="37">
        <v>4000000</v>
      </c>
      <c r="G69" s="37">
        <v>4000000</v>
      </c>
      <c r="H69" s="37">
        <v>4000000</v>
      </c>
      <c r="I69" s="37">
        <v>4000000</v>
      </c>
    </row>
    <row r="70" spans="1:9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  <c r="H70" s="37"/>
      <c r="I70" s="37"/>
    </row>
    <row r="71" spans="1:9">
      <c r="A71" s="35" t="s">
        <v>140</v>
      </c>
      <c r="B71" s="36" t="s">
        <v>254</v>
      </c>
      <c r="C71" s="36" t="s">
        <v>255</v>
      </c>
    </row>
    <row r="72" spans="1:9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  <c r="H72" s="37"/>
      <c r="I72" s="37"/>
    </row>
    <row r="73" spans="1:9">
      <c r="B73" s="36" t="s">
        <v>258</v>
      </c>
      <c r="C73" s="36" t="s">
        <v>259</v>
      </c>
      <c r="D73" s="37"/>
      <c r="E73" s="37"/>
      <c r="F73" s="37"/>
      <c r="G73" s="37"/>
      <c r="H73" s="37"/>
      <c r="I73" s="37"/>
    </row>
    <row r="74" spans="1:9">
      <c r="B74" s="36" t="s">
        <v>260</v>
      </c>
      <c r="C74" s="36" t="s">
        <v>261</v>
      </c>
      <c r="D74" s="37"/>
      <c r="E74" s="37"/>
      <c r="F74" s="37"/>
      <c r="G74" s="37"/>
      <c r="H74" s="37"/>
      <c r="I74" s="37"/>
    </row>
    <row r="75" spans="1:9">
      <c r="B75" s="36" t="s">
        <v>262</v>
      </c>
      <c r="C75" s="36" t="s">
        <v>263</v>
      </c>
      <c r="D75" s="37"/>
      <c r="E75" s="37"/>
      <c r="F75" s="37"/>
      <c r="G75" s="37"/>
      <c r="H75" s="37"/>
      <c r="I75" s="37"/>
    </row>
    <row r="76" spans="1:9">
      <c r="A76" s="35" t="s">
        <v>143</v>
      </c>
      <c r="B76" s="36" t="s">
        <v>264</v>
      </c>
      <c r="C76" s="36" t="s">
        <v>265</v>
      </c>
      <c r="D76" s="37">
        <f>+E76+E77-0.1</f>
        <v>-8864818.0999999996</v>
      </c>
      <c r="E76" s="37">
        <f>+F76+F77-0.1</f>
        <v>-10819425</v>
      </c>
      <c r="F76" s="37">
        <f>+G76+G77</f>
        <v>-7851750.9000000004</v>
      </c>
      <c r="G76" s="37">
        <f>+H76+H77</f>
        <v>-8150068</v>
      </c>
      <c r="H76" s="37">
        <v>-6069007</v>
      </c>
      <c r="I76" s="37">
        <v>-4289035</v>
      </c>
    </row>
    <row r="77" spans="1:9">
      <c r="A77" s="35" t="s">
        <v>166</v>
      </c>
      <c r="B77" s="36" t="s">
        <v>266</v>
      </c>
      <c r="C77" s="36" t="s">
        <v>267</v>
      </c>
      <c r="D77" s="37">
        <f>+'A-Sh BA'!C105</f>
        <v>-4778335</v>
      </c>
      <c r="E77" s="37">
        <f>+'A-Sh BA'!D105</f>
        <v>1954607</v>
      </c>
      <c r="F77" s="37">
        <f>+'A-Sh BA'!E105</f>
        <v>-2967674</v>
      </c>
      <c r="G77" s="37">
        <f>+'A-Sh BA'!F105+0.1</f>
        <v>298317.09999999998</v>
      </c>
      <c r="H77" s="37">
        <f>+'A-Sh BA'!G105</f>
        <v>-2081061</v>
      </c>
      <c r="I77" s="37">
        <f>+'A-Sh BA'!H105</f>
        <v>-1779971.2800000003</v>
      </c>
    </row>
    <row r="78" spans="1:9">
      <c r="A78" s="35" t="s">
        <v>152</v>
      </c>
      <c r="B78" s="36" t="s">
        <v>268</v>
      </c>
      <c r="C78" s="36" t="s">
        <v>269</v>
      </c>
    </row>
    <row r="79" spans="1:9">
      <c r="A79" s="35" t="s">
        <v>134</v>
      </c>
      <c r="B79" s="36" t="s">
        <v>270</v>
      </c>
      <c r="C79" s="36" t="s">
        <v>271</v>
      </c>
    </row>
    <row r="80" spans="1:9">
      <c r="A80" s="35" t="s">
        <v>138</v>
      </c>
      <c r="B80" s="36" t="s">
        <v>272</v>
      </c>
      <c r="C80" s="36" t="s">
        <v>273</v>
      </c>
    </row>
    <row r="81" spans="1:9">
      <c r="A81" s="35" t="s">
        <v>139</v>
      </c>
      <c r="B81" s="36" t="s">
        <v>274</v>
      </c>
      <c r="C81" s="36" t="s">
        <v>275</v>
      </c>
    </row>
    <row r="82" spans="1:9">
      <c r="A82" s="35" t="s">
        <v>140</v>
      </c>
      <c r="B82" s="36" t="s">
        <v>276</v>
      </c>
      <c r="C82" s="36" t="s">
        <v>277</v>
      </c>
    </row>
    <row r="83" spans="1:9">
      <c r="A83" s="35" t="s">
        <v>142</v>
      </c>
      <c r="B83" s="36" t="s">
        <v>278</v>
      </c>
      <c r="C83" s="36" t="s">
        <v>279</v>
      </c>
    </row>
    <row r="84" spans="1:9">
      <c r="A84" s="35" t="s">
        <v>144</v>
      </c>
      <c r="B84" s="36" t="s">
        <v>280</v>
      </c>
      <c r="C84" s="36" t="s">
        <v>281</v>
      </c>
    </row>
    <row r="85" spans="1:9">
      <c r="A85" s="35" t="s">
        <v>150</v>
      </c>
      <c r="B85" s="36" t="s">
        <v>282</v>
      </c>
      <c r="C85" s="36" t="s">
        <v>283</v>
      </c>
    </row>
    <row r="86" spans="1:9">
      <c r="A86" s="35" t="s">
        <v>138</v>
      </c>
      <c r="B86" s="36" t="s">
        <v>284</v>
      </c>
      <c r="C86" s="36" t="s">
        <v>285</v>
      </c>
    </row>
    <row r="87" spans="1:9">
      <c r="A87" s="35" t="s">
        <v>139</v>
      </c>
      <c r="B87" s="36" t="s">
        <v>286</v>
      </c>
      <c r="C87" s="36" t="s">
        <v>287</v>
      </c>
    </row>
    <row r="88" spans="1:9">
      <c r="A88" s="35" t="s">
        <v>158</v>
      </c>
      <c r="B88" s="36" t="s">
        <v>288</v>
      </c>
      <c r="C88" s="36" t="s">
        <v>289</v>
      </c>
      <c r="D88" s="37">
        <f t="shared" ref="D88:I88" si="9">+D97</f>
        <v>30352475.100000001</v>
      </c>
      <c r="E88" s="37">
        <f t="shared" si="9"/>
        <v>28436890.060000002</v>
      </c>
      <c r="F88" s="37">
        <f t="shared" si="9"/>
        <v>9894002.4000000004</v>
      </c>
      <c r="G88" s="37">
        <f t="shared" si="9"/>
        <v>12313373</v>
      </c>
      <c r="H88" s="37">
        <f t="shared" si="9"/>
        <v>7967317</v>
      </c>
      <c r="I88" s="37">
        <f t="shared" si="9"/>
        <v>5572373</v>
      </c>
    </row>
    <row r="89" spans="1:9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  <c r="H89" s="37"/>
      <c r="I89" s="37"/>
    </row>
    <row r="90" spans="1:9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  <c r="H90" s="53"/>
      <c r="I90" s="53"/>
    </row>
    <row r="91" spans="1:9">
      <c r="A91" s="35" t="s">
        <v>139</v>
      </c>
      <c r="B91" s="36" t="s">
        <v>294</v>
      </c>
      <c r="C91" s="36" t="s">
        <v>295</v>
      </c>
    </row>
    <row r="92" spans="1:9">
      <c r="A92" s="35" t="s">
        <v>140</v>
      </c>
      <c r="B92" s="36" t="s">
        <v>296</v>
      </c>
      <c r="C92" s="36" t="s">
        <v>297</v>
      </c>
      <c r="D92" s="53"/>
      <c r="E92" s="53"/>
      <c r="F92" s="53"/>
      <c r="G92" s="53"/>
      <c r="H92" s="53"/>
      <c r="I92" s="53"/>
    </row>
    <row r="93" spans="1:9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  <c r="H93" s="53"/>
      <c r="I93" s="53"/>
    </row>
    <row r="94" spans="1:9">
      <c r="A94" s="35" t="s">
        <v>143</v>
      </c>
      <c r="B94" s="36" t="s">
        <v>300</v>
      </c>
      <c r="C94" s="36" t="s">
        <v>301</v>
      </c>
    </row>
    <row r="95" spans="1:9">
      <c r="A95" s="35" t="s">
        <v>166</v>
      </c>
      <c r="B95" s="36" t="s">
        <v>115</v>
      </c>
      <c r="C95" s="36" t="s">
        <v>302</v>
      </c>
    </row>
    <row r="96" spans="1:9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  <c r="H96" s="37"/>
      <c r="I96" s="37"/>
    </row>
    <row r="97" spans="1:9">
      <c r="A97" s="35" t="s">
        <v>134</v>
      </c>
      <c r="B97" s="36" t="s">
        <v>305</v>
      </c>
      <c r="C97" s="36" t="s">
        <v>306</v>
      </c>
      <c r="D97" s="37">
        <f t="shared" ref="D97:I97" si="10">+D98+D99+D100+D101+D102+D103+D104+D105+D106+D107</f>
        <v>30352475.100000001</v>
      </c>
      <c r="E97" s="37">
        <f t="shared" si="10"/>
        <v>28436890.060000002</v>
      </c>
      <c r="F97" s="37">
        <f t="shared" si="10"/>
        <v>9894002.4000000004</v>
      </c>
      <c r="G97" s="37">
        <f t="shared" si="10"/>
        <v>12313373</v>
      </c>
      <c r="H97" s="37">
        <f t="shared" si="10"/>
        <v>7967317</v>
      </c>
      <c r="I97" s="37">
        <f t="shared" si="10"/>
        <v>5572373</v>
      </c>
    </row>
    <row r="98" spans="1:9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</row>
    <row r="99" spans="1:9">
      <c r="A99" s="35" t="s">
        <v>139</v>
      </c>
      <c r="B99" s="36" t="s">
        <v>294</v>
      </c>
      <c r="C99" s="36" t="s">
        <v>308</v>
      </c>
    </row>
    <row r="100" spans="1:9">
      <c r="A100" s="35" t="s">
        <v>140</v>
      </c>
      <c r="B100" s="36" t="s">
        <v>309</v>
      </c>
      <c r="C100" s="36" t="s">
        <v>310</v>
      </c>
    </row>
    <row r="101" spans="1:9">
      <c r="A101" s="35" t="s">
        <v>142</v>
      </c>
      <c r="B101" s="36" t="s">
        <v>298</v>
      </c>
      <c r="C101" s="36" t="s">
        <v>311</v>
      </c>
      <c r="D101" s="37">
        <f>124510070.06-63045930-19894952-4654208-10170780-120000+2282948.04</f>
        <v>28907148.100000001</v>
      </c>
      <c r="E101" s="37">
        <f>124510070.06-63045930-19894952-4654208-10170780-120000</f>
        <v>26624200.060000002</v>
      </c>
      <c r="F101" s="37">
        <v>7682935</v>
      </c>
      <c r="G101" s="37">
        <v>6514174</v>
      </c>
      <c r="H101" s="37">
        <v>3862809</v>
      </c>
      <c r="I101" s="37">
        <v>3068045</v>
      </c>
    </row>
    <row r="102" spans="1:9">
      <c r="A102" s="35" t="s">
        <v>143</v>
      </c>
      <c r="B102" s="36" t="s">
        <v>312</v>
      </c>
      <c r="C102" s="36" t="s">
        <v>313</v>
      </c>
      <c r="D102" s="53">
        <v>1257852</v>
      </c>
      <c r="E102" s="53">
        <v>1011528</v>
      </c>
      <c r="F102" s="53">
        <v>2072162</v>
      </c>
      <c r="G102" s="53">
        <v>4353806</v>
      </c>
      <c r="H102" s="53">
        <v>3039338</v>
      </c>
      <c r="I102" s="53">
        <v>845465</v>
      </c>
    </row>
    <row r="103" spans="1:9">
      <c r="A103" s="35" t="s">
        <v>166</v>
      </c>
      <c r="B103" s="36" t="s">
        <v>548</v>
      </c>
      <c r="C103" s="36" t="s">
        <v>314</v>
      </c>
      <c r="D103" s="53">
        <v>151634</v>
      </c>
      <c r="E103" s="53">
        <v>23108</v>
      </c>
      <c r="F103" s="53">
        <v>106272</v>
      </c>
      <c r="G103" s="53">
        <v>347796</v>
      </c>
      <c r="H103" s="53">
        <v>172692</v>
      </c>
      <c r="I103" s="53">
        <v>333540</v>
      </c>
    </row>
    <row r="104" spans="1:9">
      <c r="A104" s="35" t="s">
        <v>152</v>
      </c>
      <c r="B104" s="36" t="s">
        <v>549</v>
      </c>
      <c r="C104" s="36" t="s">
        <v>315</v>
      </c>
      <c r="D104" s="53">
        <v>35841</v>
      </c>
      <c r="E104" s="53">
        <v>778054</v>
      </c>
      <c r="F104" s="53">
        <v>32633.4</v>
      </c>
      <c r="G104" s="53">
        <v>63385</v>
      </c>
      <c r="H104" s="53">
        <v>98266</v>
      </c>
      <c r="I104" s="53">
        <v>44450</v>
      </c>
    </row>
    <row r="105" spans="1:9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>
        <v>1034212</v>
      </c>
      <c r="H105" s="53">
        <v>794212</v>
      </c>
      <c r="I105" s="53">
        <v>1280873</v>
      </c>
    </row>
    <row r="106" spans="1:9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  <c r="H106" s="53"/>
      <c r="I106" s="53"/>
    </row>
    <row r="107" spans="1:9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  <c r="H107" s="54"/>
      <c r="I107" s="54"/>
    </row>
    <row r="108" spans="1:9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  <c r="H108" s="53"/>
      <c r="I108" s="53"/>
    </row>
    <row r="109" spans="1:9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  <c r="H109" s="37"/>
      <c r="I109" s="37"/>
    </row>
    <row r="110" spans="1:9">
      <c r="A110" s="35" t="s">
        <v>139</v>
      </c>
      <c r="B110" s="36" t="s">
        <v>107</v>
      </c>
      <c r="C110" s="36" t="s">
        <v>326</v>
      </c>
    </row>
    <row r="111" spans="1:9">
      <c r="B111" s="36" t="s">
        <v>327</v>
      </c>
      <c r="C111" s="36" t="s">
        <v>328</v>
      </c>
      <c r="D111" s="50">
        <f t="shared" ref="D111:I111" si="11">+D108+D88+D66</f>
        <v>20709322</v>
      </c>
      <c r="E111" s="50">
        <f t="shared" si="11"/>
        <v>23572072.060000002</v>
      </c>
      <c r="F111" s="50">
        <f t="shared" si="11"/>
        <v>3074577.5</v>
      </c>
      <c r="G111" s="50">
        <f t="shared" si="11"/>
        <v>8461622.0999999996</v>
      </c>
      <c r="H111" s="50">
        <f t="shared" si="11"/>
        <v>3817249</v>
      </c>
      <c r="I111" s="50">
        <f t="shared" si="11"/>
        <v>3503366.7199999997</v>
      </c>
    </row>
    <row r="112" spans="1:9">
      <c r="B112" s="36" t="s">
        <v>237</v>
      </c>
      <c r="C112" s="36" t="s">
        <v>329</v>
      </c>
    </row>
    <row r="113" spans="1:9">
      <c r="A113" s="35" t="s">
        <v>138</v>
      </c>
      <c r="B113" s="36" t="s">
        <v>330</v>
      </c>
      <c r="C113" s="36" t="s">
        <v>331</v>
      </c>
    </row>
    <row r="114" spans="1:9">
      <c r="A114" s="35" t="s">
        <v>139</v>
      </c>
      <c r="B114" s="36" t="s">
        <v>332</v>
      </c>
      <c r="C114" s="36" t="s">
        <v>333</v>
      </c>
    </row>
    <row r="115" spans="1:9">
      <c r="A115" s="35" t="s">
        <v>140</v>
      </c>
      <c r="B115" s="36" t="s">
        <v>334</v>
      </c>
      <c r="C115" s="36" t="s">
        <v>335</v>
      </c>
    </row>
    <row r="116" spans="1:9">
      <c r="C116" s="36" t="s">
        <v>336</v>
      </c>
    </row>
    <row r="118" spans="1:9">
      <c r="A118" s="38"/>
      <c r="D118" s="57">
        <f t="shared" ref="D118:I118" si="12">+D60-D111</f>
        <v>0</v>
      </c>
      <c r="E118" s="57">
        <f t="shared" si="12"/>
        <v>0</v>
      </c>
      <c r="F118" s="57">
        <f t="shared" si="12"/>
        <v>0</v>
      </c>
      <c r="G118" s="57">
        <f t="shared" si="12"/>
        <v>0</v>
      </c>
      <c r="H118" s="57">
        <f t="shared" si="12"/>
        <v>0</v>
      </c>
      <c r="I118" s="57">
        <f t="shared" si="12"/>
        <v>0</v>
      </c>
    </row>
    <row r="120" spans="1:9">
      <c r="D120" s="78"/>
      <c r="E120" s="78"/>
      <c r="F120" s="78"/>
      <c r="G120" s="78"/>
      <c r="H120" s="78"/>
      <c r="I120" s="78"/>
    </row>
    <row r="124" spans="1:9">
      <c r="D124" s="78"/>
      <c r="E124" s="78"/>
      <c r="F124" s="78"/>
      <c r="G124" s="78"/>
      <c r="H124" s="78"/>
      <c r="I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10"/>
  <sheetViews>
    <sheetView topLeftCell="A73" workbookViewId="0">
      <selection activeCell="K86" sqref="K86"/>
    </sheetView>
  </sheetViews>
  <sheetFormatPr defaultColWidth="11.42578125" defaultRowHeight="12.75"/>
  <cols>
    <col min="1" max="1" width="5.5703125" style="39" customWidth="1"/>
    <col min="2" max="2" width="47.42578125" style="39" bestFit="1" customWidth="1"/>
    <col min="3" max="4" width="15.28515625" style="39" customWidth="1"/>
    <col min="5" max="8" width="15.28515625" style="39" hidden="1" customWidth="1"/>
    <col min="9" max="9" width="11.42578125" style="39" customWidth="1"/>
    <col min="10" max="11" width="11.42578125" style="39"/>
    <col min="12" max="13" width="11.42578125" style="39" customWidth="1"/>
    <col min="14" max="16384" width="11.42578125" style="39"/>
  </cols>
  <sheetData>
    <row r="1" spans="1:8" ht="18">
      <c r="B1" s="40" t="s">
        <v>337</v>
      </c>
    </row>
    <row r="3" spans="1:8" ht="14.25">
      <c r="B3" s="41" t="s">
        <v>338</v>
      </c>
    </row>
    <row r="5" spans="1:8">
      <c r="C5" s="335"/>
      <c r="D5" s="335"/>
      <c r="E5" s="335"/>
      <c r="F5" s="335"/>
      <c r="G5" s="335"/>
      <c r="H5" s="335"/>
    </row>
    <row r="9" spans="1:8" ht="15">
      <c r="A9" s="42" t="s">
        <v>339</v>
      </c>
      <c r="B9" s="43" t="s">
        <v>340</v>
      </c>
      <c r="C9" s="42" t="s">
        <v>685</v>
      </c>
      <c r="D9" s="42" t="s">
        <v>668</v>
      </c>
      <c r="E9" s="42" t="s">
        <v>607</v>
      </c>
      <c r="F9" s="538" t="s">
        <v>670</v>
      </c>
      <c r="G9" s="42">
        <v>2015</v>
      </c>
      <c r="H9" s="42">
        <v>2014</v>
      </c>
    </row>
    <row r="12" spans="1:8">
      <c r="A12" s="44" t="s">
        <v>133</v>
      </c>
      <c r="B12" s="45" t="s">
        <v>341</v>
      </c>
      <c r="C12" s="55">
        <f t="shared" ref="C12:H12" si="0">SUM(C14:C15)</f>
        <v>139030105</v>
      </c>
      <c r="D12" s="55">
        <f t="shared" si="0"/>
        <v>242267880</v>
      </c>
      <c r="E12" s="55">
        <f t="shared" si="0"/>
        <v>10016075</v>
      </c>
      <c r="F12" s="55">
        <f t="shared" si="0"/>
        <v>4499445</v>
      </c>
      <c r="G12" s="55">
        <f t="shared" si="0"/>
        <v>1533330</v>
      </c>
      <c r="H12" s="55">
        <f t="shared" si="0"/>
        <v>1950000</v>
      </c>
    </row>
    <row r="13" spans="1:8">
      <c r="A13" s="44" t="s">
        <v>124</v>
      </c>
      <c r="B13" s="45" t="s">
        <v>342</v>
      </c>
    </row>
    <row r="14" spans="1:8">
      <c r="A14" s="44" t="s">
        <v>125</v>
      </c>
      <c r="B14" s="45" t="s">
        <v>343</v>
      </c>
      <c r="C14" s="248">
        <v>139030105</v>
      </c>
      <c r="D14" s="248">
        <v>242267880</v>
      </c>
      <c r="E14" s="248">
        <v>10016075</v>
      </c>
      <c r="F14" s="248">
        <v>4499445</v>
      </c>
      <c r="G14" s="248">
        <v>1533330</v>
      </c>
      <c r="H14" s="248">
        <v>1950000</v>
      </c>
    </row>
    <row r="15" spans="1:8">
      <c r="A15" s="44" t="s">
        <v>126</v>
      </c>
      <c r="B15" s="45" t="s">
        <v>344</v>
      </c>
      <c r="C15" s="248"/>
      <c r="D15" s="248"/>
      <c r="E15" s="248"/>
      <c r="F15" s="248"/>
      <c r="G15" s="248"/>
      <c r="H15" s="248"/>
    </row>
    <row r="16" spans="1:8">
      <c r="A16" s="44" t="s">
        <v>127</v>
      </c>
      <c r="B16" s="45" t="s">
        <v>345</v>
      </c>
    </row>
    <row r="17" spans="1:8">
      <c r="B17" s="45" t="s">
        <v>346</v>
      </c>
      <c r="C17" s="55">
        <f t="shared" ref="C17:H17" si="1">SUM(C14:C15)</f>
        <v>139030105</v>
      </c>
      <c r="D17" s="55">
        <f t="shared" si="1"/>
        <v>242267880</v>
      </c>
      <c r="E17" s="55">
        <f t="shared" si="1"/>
        <v>10016075</v>
      </c>
      <c r="F17" s="55">
        <f t="shared" si="1"/>
        <v>4499445</v>
      </c>
      <c r="G17" s="55">
        <f t="shared" si="1"/>
        <v>1533330</v>
      </c>
      <c r="H17" s="55">
        <f t="shared" si="1"/>
        <v>1950000</v>
      </c>
    </row>
    <row r="18" spans="1:8">
      <c r="B18" s="45" t="s">
        <v>347</v>
      </c>
    </row>
    <row r="19" spans="1:8">
      <c r="A19" s="44" t="s">
        <v>134</v>
      </c>
      <c r="B19" s="45" t="s">
        <v>348</v>
      </c>
      <c r="C19" s="55"/>
      <c r="D19" s="55"/>
      <c r="E19" s="55"/>
      <c r="F19" s="55"/>
      <c r="G19" s="55"/>
      <c r="H19" s="55"/>
    </row>
    <row r="20" spans="1:8">
      <c r="A20" s="44" t="s">
        <v>128</v>
      </c>
      <c r="B20" s="45" t="s">
        <v>349</v>
      </c>
    </row>
    <row r="21" spans="1:8">
      <c r="A21" s="44" t="s">
        <v>135</v>
      </c>
      <c r="B21" s="45" t="s">
        <v>350</v>
      </c>
    </row>
    <row r="22" spans="1:8">
      <c r="A22" s="44" t="s">
        <v>136</v>
      </c>
      <c r="B22" s="45" t="s">
        <v>351</v>
      </c>
    </row>
    <row r="23" spans="1:8">
      <c r="A23" s="44" t="s">
        <v>137</v>
      </c>
      <c r="B23" s="45" t="s">
        <v>352</v>
      </c>
      <c r="C23" s="46"/>
      <c r="D23" s="46"/>
      <c r="E23" s="46"/>
      <c r="F23" s="46"/>
      <c r="G23" s="46"/>
      <c r="H23" s="46"/>
    </row>
    <row r="24" spans="1:8">
      <c r="A24" s="44" t="s">
        <v>138</v>
      </c>
      <c r="B24" s="45" t="s">
        <v>353</v>
      </c>
      <c r="C24" s="46"/>
      <c r="D24" s="46"/>
      <c r="E24" s="46"/>
      <c r="F24" s="46"/>
      <c r="G24" s="46"/>
      <c r="H24" s="46"/>
    </row>
    <row r="25" spans="1:8">
      <c r="A25" s="44" t="s">
        <v>139</v>
      </c>
      <c r="B25" s="45" t="s">
        <v>354</v>
      </c>
    </row>
    <row r="26" spans="1:8">
      <c r="A26" s="44" t="s">
        <v>140</v>
      </c>
      <c r="B26" s="45" t="s">
        <v>107</v>
      </c>
      <c r="C26" s="46"/>
      <c r="D26" s="46"/>
      <c r="E26" s="46"/>
      <c r="F26" s="46"/>
      <c r="G26" s="46"/>
      <c r="H26" s="46"/>
    </row>
    <row r="28" spans="1:8">
      <c r="A28" s="44" t="s">
        <v>141</v>
      </c>
      <c r="B28" s="45" t="s">
        <v>355</v>
      </c>
    </row>
    <row r="29" spans="1:8">
      <c r="A29" s="44" t="s">
        <v>138</v>
      </c>
      <c r="B29" s="45" t="s">
        <v>356</v>
      </c>
    </row>
    <row r="30" spans="1:8">
      <c r="A30" s="44" t="s">
        <v>139</v>
      </c>
      <c r="B30" s="45" t="s">
        <v>357</v>
      </c>
    </row>
    <row r="31" spans="1:8">
      <c r="A31" s="44" t="s">
        <v>140</v>
      </c>
      <c r="B31" s="45" t="s">
        <v>358</v>
      </c>
    </row>
    <row r="32" spans="1:8">
      <c r="A32" s="44" t="s">
        <v>142</v>
      </c>
      <c r="B32" s="45" t="s">
        <v>359</v>
      </c>
    </row>
    <row r="33" spans="1:8">
      <c r="A33" s="44" t="s">
        <v>143</v>
      </c>
      <c r="B33" s="45" t="s">
        <v>360</v>
      </c>
    </row>
    <row r="34" spans="1:8">
      <c r="B34" s="45" t="s">
        <v>361</v>
      </c>
      <c r="C34" s="46">
        <f t="shared" ref="C34:H34" si="2">+C17+C19</f>
        <v>139030105</v>
      </c>
      <c r="D34" s="46">
        <f t="shared" si="2"/>
        <v>242267880</v>
      </c>
      <c r="E34" s="46">
        <f t="shared" si="2"/>
        <v>10016075</v>
      </c>
      <c r="F34" s="46">
        <f t="shared" si="2"/>
        <v>4499445</v>
      </c>
      <c r="G34" s="46">
        <f t="shared" si="2"/>
        <v>1533330</v>
      </c>
      <c r="H34" s="46">
        <f t="shared" si="2"/>
        <v>1950000</v>
      </c>
    </row>
    <row r="36" spans="1:8">
      <c r="A36" s="44" t="s">
        <v>144</v>
      </c>
      <c r="B36" s="45" t="s">
        <v>362</v>
      </c>
      <c r="C36" s="55">
        <f t="shared" ref="C36:H36" si="3">SUM(C37:C41)</f>
        <v>-1.7462298274040222E-10</v>
      </c>
      <c r="D36" s="55">
        <f t="shared" si="3"/>
        <v>-1.7462298274040222E-10</v>
      </c>
      <c r="E36" s="55">
        <f t="shared" si="3"/>
        <v>-1.7462298274040222E-10</v>
      </c>
      <c r="F36" s="55">
        <f t="shared" si="3"/>
        <v>-1.7462298274040222E-10</v>
      </c>
      <c r="G36" s="55">
        <f t="shared" si="3"/>
        <v>-1.7462298274040222E-10</v>
      </c>
      <c r="H36" s="55">
        <f t="shared" si="3"/>
        <v>-1.7462298274040222E-10</v>
      </c>
    </row>
    <row r="37" spans="1:8">
      <c r="A37" s="44" t="s">
        <v>145</v>
      </c>
      <c r="B37" s="45" t="s">
        <v>363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</row>
    <row r="38" spans="1:8">
      <c r="A38" s="44" t="s">
        <v>146</v>
      </c>
      <c r="B38" s="45" t="s">
        <v>364</v>
      </c>
    </row>
    <row r="39" spans="1:8">
      <c r="A39" s="44" t="s">
        <v>147</v>
      </c>
      <c r="B39" s="45" t="s">
        <v>365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</row>
    <row r="40" spans="1:8">
      <c r="A40" s="44" t="s">
        <v>148</v>
      </c>
      <c r="B40" s="45" t="s">
        <v>366</v>
      </c>
    </row>
    <row r="41" spans="1:8">
      <c r="A41" s="44" t="s">
        <v>149</v>
      </c>
      <c r="B41" s="45" t="s">
        <v>367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  <c r="H41" s="46">
        <v>-1.7462298274040222E-10</v>
      </c>
    </row>
    <row r="43" spans="1:8">
      <c r="B43" s="45" t="s">
        <v>368</v>
      </c>
      <c r="C43" s="55">
        <f t="shared" ref="C43:H43" si="4">+C34</f>
        <v>139030105</v>
      </c>
      <c r="D43" s="55">
        <f t="shared" si="4"/>
        <v>242267880</v>
      </c>
      <c r="E43" s="55">
        <f t="shared" si="4"/>
        <v>10016075</v>
      </c>
      <c r="F43" s="55">
        <f t="shared" si="4"/>
        <v>4499445</v>
      </c>
      <c r="G43" s="55">
        <f t="shared" si="4"/>
        <v>1533330</v>
      </c>
      <c r="H43" s="55">
        <f t="shared" si="4"/>
        <v>1950000</v>
      </c>
    </row>
    <row r="45" spans="1:8">
      <c r="B45" s="45" t="s">
        <v>369</v>
      </c>
    </row>
    <row r="46" spans="1:8">
      <c r="B46" s="45" t="s">
        <v>370</v>
      </c>
    </row>
    <row r="47" spans="1:8">
      <c r="A47" s="44" t="s">
        <v>150</v>
      </c>
      <c r="B47" s="45" t="s">
        <v>371</v>
      </c>
    </row>
    <row r="48" spans="1:8">
      <c r="B48" s="45" t="s">
        <v>372</v>
      </c>
    </row>
    <row r="49" spans="1:8">
      <c r="B49" s="45" t="s">
        <v>370</v>
      </c>
    </row>
    <row r="50" spans="1:8">
      <c r="A50" s="44" t="s">
        <v>151</v>
      </c>
      <c r="B50" s="45" t="s">
        <v>373</v>
      </c>
    </row>
    <row r="51" spans="1:8">
      <c r="B51" s="45" t="s">
        <v>370</v>
      </c>
    </row>
    <row r="52" spans="1:8">
      <c r="B52" s="45"/>
    </row>
    <row r="53" spans="1:8">
      <c r="B53" s="45"/>
    </row>
    <row r="54" spans="1:8">
      <c r="B54" s="45"/>
    </row>
    <row r="55" spans="1:8">
      <c r="B55" s="45"/>
    </row>
    <row r="56" spans="1:8">
      <c r="B56" s="45"/>
    </row>
    <row r="57" spans="1:8">
      <c r="B57" s="45"/>
    </row>
    <row r="58" spans="1:8">
      <c r="B58" s="45"/>
    </row>
    <row r="60" spans="1:8" ht="15">
      <c r="A60" s="42" t="s">
        <v>339</v>
      </c>
      <c r="B60" s="43" t="s">
        <v>374</v>
      </c>
      <c r="C60" s="42" t="str">
        <f t="shared" ref="C60:H60" si="5">+C9</f>
        <v>Vlefta 2018</v>
      </c>
      <c r="D60" s="42" t="str">
        <f t="shared" si="5"/>
        <v>Vlefta 2017</v>
      </c>
      <c r="E60" s="42" t="str">
        <f t="shared" si="5"/>
        <v>Vlefta 2016</v>
      </c>
      <c r="F60" s="42" t="str">
        <f t="shared" si="5"/>
        <v>Vlefta 2016/1</v>
      </c>
      <c r="G60" s="42">
        <f t="shared" si="5"/>
        <v>2015</v>
      </c>
      <c r="H60" s="42">
        <f t="shared" si="5"/>
        <v>2014</v>
      </c>
    </row>
    <row r="63" spans="1:8">
      <c r="A63" s="44" t="s">
        <v>133</v>
      </c>
      <c r="B63" s="45" t="s">
        <v>375</v>
      </c>
    </row>
    <row r="64" spans="1:8">
      <c r="A64" s="44" t="s">
        <v>134</v>
      </c>
      <c r="B64" s="45" t="s">
        <v>376</v>
      </c>
      <c r="C64" s="55">
        <f t="shared" ref="C64:H64" si="6">+C65+C68+C71+C72+C77+C81+C76</f>
        <v>143808440</v>
      </c>
      <c r="D64" s="55">
        <f t="shared" si="6"/>
        <v>240313273</v>
      </c>
      <c r="E64" s="55">
        <f t="shared" si="6"/>
        <v>12983749</v>
      </c>
      <c r="F64" s="55">
        <f t="shared" si="6"/>
        <v>4201128</v>
      </c>
      <c r="G64" s="55">
        <f t="shared" si="6"/>
        <v>3589391</v>
      </c>
      <c r="H64" s="55">
        <f t="shared" si="6"/>
        <v>3729971.2800000003</v>
      </c>
    </row>
    <row r="65" spans="1:8">
      <c r="A65" s="44" t="s">
        <v>124</v>
      </c>
      <c r="B65" s="45" t="s">
        <v>377</v>
      </c>
      <c r="C65" s="315">
        <f>SUM(C66:C67)</f>
        <v>136417240</v>
      </c>
      <c r="D65" s="315">
        <f>SUM(D66:D67)</f>
        <v>122331341</v>
      </c>
      <c r="E65" s="315">
        <f>SUM(E66:E67)</f>
        <v>2802142</v>
      </c>
      <c r="F65" s="315">
        <f>SUM(F66:F67)</f>
        <v>1167642</v>
      </c>
      <c r="G65" s="315">
        <f>+G66</f>
        <v>0</v>
      </c>
      <c r="H65" s="315">
        <f>+H66</f>
        <v>0</v>
      </c>
    </row>
    <row r="66" spans="1:8">
      <c r="A66" s="44" t="s">
        <v>138</v>
      </c>
      <c r="B66" s="45" t="s">
        <v>378</v>
      </c>
      <c r="C66" s="46">
        <f>136417240</f>
        <v>136417240</v>
      </c>
      <c r="D66" s="46">
        <v>122331341</v>
      </c>
      <c r="E66" s="46">
        <v>1382569</v>
      </c>
      <c r="F66" s="46">
        <v>2587215</v>
      </c>
      <c r="G66" s="46">
        <v>0</v>
      </c>
      <c r="H66" s="46">
        <v>0</v>
      </c>
    </row>
    <row r="67" spans="1:8">
      <c r="A67" s="44" t="s">
        <v>139</v>
      </c>
      <c r="B67" s="45" t="s">
        <v>379</v>
      </c>
      <c r="C67" s="46">
        <v>0</v>
      </c>
      <c r="D67" s="46">
        <v>0</v>
      </c>
      <c r="E67" s="46">
        <v>1419573</v>
      </c>
      <c r="F67" s="46">
        <v>-1419573</v>
      </c>
    </row>
    <row r="68" spans="1:8">
      <c r="A68" s="44" t="s">
        <v>125</v>
      </c>
      <c r="B68" s="45" t="s">
        <v>380</v>
      </c>
      <c r="C68" s="316">
        <f t="shared" ref="C68:H68" si="7">SUM(C69:C70)</f>
        <v>0</v>
      </c>
      <c r="D68" s="316">
        <f t="shared" si="7"/>
        <v>0</v>
      </c>
      <c r="E68" s="316">
        <f t="shared" si="7"/>
        <v>0</v>
      </c>
      <c r="F68" s="316">
        <f t="shared" si="7"/>
        <v>0</v>
      </c>
      <c r="G68" s="316">
        <f t="shared" si="7"/>
        <v>0</v>
      </c>
      <c r="H68" s="316">
        <f t="shared" si="7"/>
        <v>0</v>
      </c>
    </row>
    <row r="69" spans="1:8">
      <c r="A69" s="44" t="s">
        <v>138</v>
      </c>
      <c r="B69" s="45" t="s">
        <v>381</v>
      </c>
      <c r="C69" s="314"/>
      <c r="D69" s="314">
        <v>0</v>
      </c>
      <c r="E69" s="314">
        <v>0</v>
      </c>
      <c r="F69" s="314">
        <v>0</v>
      </c>
      <c r="G69" s="314">
        <v>0</v>
      </c>
      <c r="H69" s="314">
        <v>0</v>
      </c>
    </row>
    <row r="70" spans="1:8">
      <c r="A70" s="44" t="s">
        <v>139</v>
      </c>
      <c r="B70" s="45" t="s">
        <v>382</v>
      </c>
      <c r="C70" s="314">
        <v>0</v>
      </c>
      <c r="D70" s="314">
        <v>0</v>
      </c>
      <c r="E70" s="314">
        <v>0</v>
      </c>
      <c r="F70" s="314">
        <v>0</v>
      </c>
      <c r="G70" s="314">
        <v>0</v>
      </c>
      <c r="H70" s="314">
        <v>0</v>
      </c>
    </row>
    <row r="71" spans="1:8">
      <c r="A71" s="44" t="s">
        <v>126</v>
      </c>
      <c r="B71" s="45" t="s">
        <v>383</v>
      </c>
      <c r="C71" s="251">
        <f>1029000+382500+13074+56777+16276+630+4335464</f>
        <v>5833721</v>
      </c>
      <c r="D71" s="251">
        <f>559646+904106+106532348+7275930+42163</f>
        <v>115314193</v>
      </c>
      <c r="E71" s="251">
        <v>8584904</v>
      </c>
      <c r="F71" s="251">
        <v>1336306</v>
      </c>
      <c r="G71" s="251">
        <v>698379</v>
      </c>
      <c r="H71" s="251">
        <v>1174354.28</v>
      </c>
    </row>
    <row r="72" spans="1:8">
      <c r="A72" s="44" t="s">
        <v>127</v>
      </c>
      <c r="B72" s="45" t="s">
        <v>384</v>
      </c>
      <c r="C72" s="251">
        <f t="shared" ref="C72:H72" si="8">+C73+C74+C75</f>
        <v>1557479</v>
      </c>
      <c r="D72" s="251">
        <f t="shared" si="8"/>
        <v>2255215</v>
      </c>
      <c r="E72" s="251">
        <f t="shared" si="8"/>
        <v>1547279</v>
      </c>
      <c r="F72" s="251">
        <f t="shared" si="8"/>
        <v>1677987</v>
      </c>
      <c r="G72" s="251">
        <f t="shared" si="8"/>
        <v>2822907</v>
      </c>
      <c r="H72" s="251">
        <f t="shared" si="8"/>
        <v>2419635</v>
      </c>
    </row>
    <row r="73" spans="1:8">
      <c r="A73" s="44" t="s">
        <v>138</v>
      </c>
      <c r="B73" s="45" t="s">
        <v>385</v>
      </c>
      <c r="C73" s="252">
        <v>1379500</v>
      </c>
      <c r="D73" s="252">
        <v>1978760</v>
      </c>
      <c r="E73" s="252">
        <v>1351000</v>
      </c>
      <c r="F73" s="252">
        <v>1461000</v>
      </c>
      <c r="G73" s="252">
        <v>2471000</v>
      </c>
      <c r="H73" s="252">
        <v>2150000</v>
      </c>
    </row>
    <row r="74" spans="1:8">
      <c r="A74" s="44" t="s">
        <v>139</v>
      </c>
      <c r="B74" s="45" t="s">
        <v>386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</row>
    <row r="75" spans="1:8">
      <c r="A75" s="44" t="s">
        <v>140</v>
      </c>
      <c r="B75" s="45" t="s">
        <v>387</v>
      </c>
      <c r="C75" s="252">
        <v>177979</v>
      </c>
      <c r="D75" s="252">
        <v>276455</v>
      </c>
      <c r="E75" s="252">
        <v>196279</v>
      </c>
      <c r="F75" s="252">
        <v>216987</v>
      </c>
      <c r="G75" s="252">
        <v>351907</v>
      </c>
      <c r="H75" s="252">
        <v>269635</v>
      </c>
    </row>
    <row r="76" spans="1:8">
      <c r="A76" s="44" t="s">
        <v>128</v>
      </c>
      <c r="B76" s="45" t="s">
        <v>388</v>
      </c>
      <c r="C76" s="249">
        <v>0</v>
      </c>
      <c r="D76" s="249">
        <f>225720+16822</f>
        <v>242542</v>
      </c>
      <c r="E76" s="249">
        <v>3026</v>
      </c>
      <c r="F76" s="249">
        <v>19193</v>
      </c>
      <c r="G76" s="249">
        <v>10000</v>
      </c>
      <c r="H76" s="249">
        <v>0</v>
      </c>
    </row>
    <row r="77" spans="1:8">
      <c r="A77" s="44" t="s">
        <v>135</v>
      </c>
      <c r="B77" s="45" t="s">
        <v>389</v>
      </c>
      <c r="C77" s="251">
        <f>SUM(C78:C80)</f>
        <v>0</v>
      </c>
      <c r="D77" s="251">
        <f>SUM(D78:D80)</f>
        <v>27624</v>
      </c>
      <c r="E77" s="251">
        <f>SUM(E78:E80)</f>
        <v>46398</v>
      </c>
      <c r="F77" s="251">
        <f>SUM(F78:F80)</f>
        <v>0</v>
      </c>
      <c r="G77" s="251">
        <f>+G78+G79+G80</f>
        <v>0</v>
      </c>
      <c r="H77" s="251">
        <f>+H78+H79+H80</f>
        <v>0</v>
      </c>
    </row>
    <row r="78" spans="1:8">
      <c r="A78" s="44" t="s">
        <v>138</v>
      </c>
      <c r="B78" s="45" t="s">
        <v>390</v>
      </c>
      <c r="C78" s="249">
        <v>0</v>
      </c>
      <c r="D78" s="249">
        <v>0</v>
      </c>
      <c r="E78" s="249">
        <v>0</v>
      </c>
      <c r="F78" s="249">
        <v>0</v>
      </c>
      <c r="G78" s="249">
        <v>0</v>
      </c>
      <c r="H78" s="249">
        <v>0</v>
      </c>
    </row>
    <row r="79" spans="1:8">
      <c r="A79" s="44" t="s">
        <v>139</v>
      </c>
      <c r="B79" s="45" t="s">
        <v>391</v>
      </c>
      <c r="C79" s="250"/>
      <c r="D79" s="250"/>
      <c r="E79" s="250"/>
      <c r="F79" s="250"/>
      <c r="G79" s="250"/>
      <c r="H79" s="250"/>
    </row>
    <row r="80" spans="1:8">
      <c r="A80" s="44" t="s">
        <v>140</v>
      </c>
      <c r="B80" s="45" t="s">
        <v>107</v>
      </c>
      <c r="C80" s="317">
        <v>0</v>
      </c>
      <c r="D80" s="317">
        <v>27624</v>
      </c>
      <c r="E80" s="317">
        <v>46398</v>
      </c>
      <c r="F80" s="317">
        <v>0</v>
      </c>
      <c r="G80" s="317">
        <v>0</v>
      </c>
      <c r="H80" s="317">
        <v>0</v>
      </c>
    </row>
    <row r="81" spans="1:8">
      <c r="A81" s="44" t="s">
        <v>136</v>
      </c>
      <c r="B81" s="45" t="s">
        <v>392</v>
      </c>
      <c r="C81" s="251">
        <f t="shared" ref="C81:H81" si="9">+C82+C83+C84+C85+C86+C87</f>
        <v>0</v>
      </c>
      <c r="D81" s="251">
        <f t="shared" si="9"/>
        <v>142358</v>
      </c>
      <c r="E81" s="251">
        <f t="shared" si="9"/>
        <v>0</v>
      </c>
      <c r="F81" s="251">
        <f t="shared" si="9"/>
        <v>0</v>
      </c>
      <c r="G81" s="251">
        <f t="shared" si="9"/>
        <v>58105</v>
      </c>
      <c r="H81" s="251">
        <f t="shared" si="9"/>
        <v>135982</v>
      </c>
    </row>
    <row r="82" spans="1:8">
      <c r="A82" s="44" t="s">
        <v>138</v>
      </c>
      <c r="B82" s="45" t="s">
        <v>393</v>
      </c>
      <c r="C82" s="249">
        <v>0</v>
      </c>
      <c r="D82" s="249">
        <v>142358</v>
      </c>
      <c r="E82" s="249">
        <v>0</v>
      </c>
      <c r="F82" s="249">
        <v>0</v>
      </c>
      <c r="G82" s="249">
        <v>58105</v>
      </c>
      <c r="H82" s="249">
        <v>135982</v>
      </c>
    </row>
    <row r="83" spans="1:8">
      <c r="A83" s="44" t="s">
        <v>139</v>
      </c>
      <c r="B83" s="45" t="s">
        <v>394</v>
      </c>
      <c r="C83" s="250"/>
      <c r="D83" s="250"/>
      <c r="E83" s="250"/>
      <c r="F83" s="250"/>
      <c r="G83" s="250"/>
      <c r="H83" s="250"/>
    </row>
    <row r="84" spans="1:8">
      <c r="A84" s="44" t="s">
        <v>140</v>
      </c>
      <c r="B84" s="45" t="s">
        <v>395</v>
      </c>
      <c r="C84" s="250"/>
      <c r="D84" s="250"/>
      <c r="E84" s="250"/>
      <c r="F84" s="250"/>
      <c r="G84" s="250"/>
      <c r="H84" s="250"/>
    </row>
    <row r="85" spans="1:8">
      <c r="A85" s="44" t="s">
        <v>142</v>
      </c>
      <c r="B85" s="45" t="s">
        <v>132</v>
      </c>
      <c r="C85" s="250"/>
      <c r="D85" s="250"/>
      <c r="E85" s="250"/>
      <c r="F85" s="250"/>
      <c r="G85" s="250"/>
      <c r="H85" s="250"/>
    </row>
    <row r="86" spans="1:8">
      <c r="A86" s="44" t="s">
        <v>143</v>
      </c>
      <c r="B86" s="45" t="s">
        <v>396</v>
      </c>
      <c r="C86" s="250"/>
      <c r="D86" s="250"/>
      <c r="E86" s="250"/>
      <c r="F86" s="250"/>
      <c r="G86" s="250"/>
      <c r="H86" s="250"/>
    </row>
    <row r="87" spans="1:8">
      <c r="A87" s="44" t="s">
        <v>152</v>
      </c>
      <c r="B87" s="45" t="s">
        <v>107</v>
      </c>
      <c r="C87" s="250"/>
      <c r="D87" s="250"/>
      <c r="E87" s="250"/>
      <c r="F87" s="250"/>
      <c r="G87" s="250"/>
      <c r="H87" s="250"/>
    </row>
    <row r="88" spans="1:8">
      <c r="B88" s="45" t="s">
        <v>361</v>
      </c>
      <c r="C88" s="251">
        <f t="shared" ref="C88:H88" si="10">+C64+C63</f>
        <v>143808440</v>
      </c>
      <c r="D88" s="251">
        <f t="shared" si="10"/>
        <v>240313273</v>
      </c>
      <c r="E88" s="251">
        <f t="shared" si="10"/>
        <v>12983749</v>
      </c>
      <c r="F88" s="251">
        <f t="shared" si="10"/>
        <v>4201128</v>
      </c>
      <c r="G88" s="251">
        <f t="shared" si="10"/>
        <v>3589391</v>
      </c>
      <c r="H88" s="251">
        <f t="shared" si="10"/>
        <v>3729971.2800000003</v>
      </c>
    </row>
    <row r="89" spans="1:8">
      <c r="A89" s="44" t="s">
        <v>144</v>
      </c>
      <c r="B89" s="45" t="s">
        <v>397</v>
      </c>
      <c r="C89" s="251">
        <f t="shared" ref="C89:H89" si="11">+C90+C91+C92+C93+C94+C95</f>
        <v>0</v>
      </c>
      <c r="D89" s="251">
        <f t="shared" si="11"/>
        <v>0</v>
      </c>
      <c r="E89" s="251">
        <f t="shared" si="11"/>
        <v>0</v>
      </c>
      <c r="F89" s="251">
        <f t="shared" si="11"/>
        <v>0</v>
      </c>
      <c r="G89" s="251">
        <f t="shared" si="11"/>
        <v>0</v>
      </c>
      <c r="H89" s="251">
        <f t="shared" si="11"/>
        <v>0</v>
      </c>
    </row>
    <row r="90" spans="1:8">
      <c r="A90" s="44" t="s">
        <v>137</v>
      </c>
      <c r="B90" s="45" t="s">
        <v>398</v>
      </c>
      <c r="C90" s="249">
        <v>0</v>
      </c>
      <c r="D90" s="249">
        <v>0</v>
      </c>
      <c r="E90" s="249">
        <v>0</v>
      </c>
      <c r="F90" s="249">
        <v>0</v>
      </c>
      <c r="G90" s="249">
        <v>0</v>
      </c>
      <c r="H90" s="249">
        <v>0</v>
      </c>
    </row>
    <row r="91" spans="1:8">
      <c r="A91" s="44" t="s">
        <v>141</v>
      </c>
      <c r="B91" s="45" t="s">
        <v>399</v>
      </c>
      <c r="C91" s="250"/>
      <c r="D91" s="250"/>
      <c r="E91" s="250"/>
      <c r="F91" s="250"/>
      <c r="G91" s="250"/>
      <c r="H91" s="250"/>
    </row>
    <row r="92" spans="1:8">
      <c r="A92" s="44" t="s">
        <v>145</v>
      </c>
      <c r="B92" s="45" t="s">
        <v>400</v>
      </c>
      <c r="C92" s="249">
        <v>0</v>
      </c>
      <c r="D92" s="249">
        <v>0</v>
      </c>
      <c r="E92" s="249"/>
      <c r="F92" s="249"/>
      <c r="G92" s="249"/>
      <c r="H92" s="249"/>
    </row>
    <row r="93" spans="1:8">
      <c r="A93" s="44" t="s">
        <v>146</v>
      </c>
      <c r="B93" s="45" t="s">
        <v>401</v>
      </c>
      <c r="C93" s="250"/>
      <c r="D93" s="250"/>
      <c r="E93" s="250"/>
      <c r="F93" s="250"/>
      <c r="G93" s="250"/>
      <c r="H93" s="250"/>
    </row>
    <row r="94" spans="1:8">
      <c r="A94" s="44" t="s">
        <v>147</v>
      </c>
      <c r="B94" s="45" t="s">
        <v>402</v>
      </c>
      <c r="C94" s="250"/>
      <c r="D94" s="250"/>
      <c r="E94" s="250"/>
      <c r="F94" s="250"/>
      <c r="G94" s="250"/>
      <c r="H94" s="250"/>
    </row>
    <row r="95" spans="1:8">
      <c r="A95" s="44" t="s">
        <v>148</v>
      </c>
      <c r="B95" s="45" t="s">
        <v>107</v>
      </c>
      <c r="C95" s="250"/>
      <c r="D95" s="250"/>
      <c r="E95" s="250"/>
      <c r="F95" s="250"/>
      <c r="G95" s="250"/>
      <c r="H95" s="250"/>
    </row>
    <row r="96" spans="1:8">
      <c r="B96" s="45" t="s">
        <v>403</v>
      </c>
      <c r="C96" s="251">
        <f t="shared" ref="C96:H96" si="12">+C88+C89</f>
        <v>143808440</v>
      </c>
      <c r="D96" s="251">
        <f t="shared" si="12"/>
        <v>240313273</v>
      </c>
      <c r="E96" s="251">
        <f t="shared" si="12"/>
        <v>12983749</v>
      </c>
      <c r="F96" s="251">
        <f t="shared" si="12"/>
        <v>4201128</v>
      </c>
      <c r="G96" s="251">
        <f t="shared" si="12"/>
        <v>3589391</v>
      </c>
      <c r="H96" s="251">
        <f t="shared" si="12"/>
        <v>3729971.2800000003</v>
      </c>
    </row>
    <row r="97" spans="1:8">
      <c r="B97" s="45" t="s">
        <v>404</v>
      </c>
      <c r="C97" s="249">
        <f t="shared" ref="C97:H97" si="13">+C43-C96</f>
        <v>-4778335</v>
      </c>
      <c r="D97" s="249">
        <f t="shared" si="13"/>
        <v>1954607</v>
      </c>
      <c r="E97" s="249">
        <f t="shared" si="13"/>
        <v>-2967674</v>
      </c>
      <c r="F97" s="249">
        <f t="shared" si="13"/>
        <v>298317</v>
      </c>
      <c r="G97" s="249">
        <f t="shared" si="13"/>
        <v>-2056061</v>
      </c>
      <c r="H97" s="249">
        <f t="shared" si="13"/>
        <v>-1779971.2800000003</v>
      </c>
    </row>
    <row r="98" spans="1:8">
      <c r="A98" s="44" t="s">
        <v>150</v>
      </c>
      <c r="B98" s="45" t="s">
        <v>405</v>
      </c>
      <c r="C98" s="250"/>
      <c r="D98" s="250"/>
      <c r="E98" s="250"/>
      <c r="F98" s="250"/>
      <c r="G98" s="250"/>
      <c r="H98" s="250"/>
    </row>
    <row r="99" spans="1:8">
      <c r="B99" s="45" t="s">
        <v>372</v>
      </c>
      <c r="C99" s="250"/>
      <c r="D99" s="250"/>
      <c r="E99" s="250"/>
      <c r="F99" s="250"/>
      <c r="G99" s="250"/>
      <c r="H99" s="250"/>
    </row>
    <row r="100" spans="1:8">
      <c r="A100" s="44" t="s">
        <v>151</v>
      </c>
      <c r="B100" s="45" t="s">
        <v>406</v>
      </c>
      <c r="C100" s="249">
        <f t="shared" ref="C100:H100" si="14">+C97</f>
        <v>-4778335</v>
      </c>
      <c r="D100" s="249">
        <f t="shared" si="14"/>
        <v>1954607</v>
      </c>
      <c r="E100" s="249">
        <f t="shared" si="14"/>
        <v>-2967674</v>
      </c>
      <c r="F100" s="249">
        <f t="shared" si="14"/>
        <v>298317</v>
      </c>
      <c r="G100" s="249">
        <f t="shared" si="14"/>
        <v>-2056061</v>
      </c>
      <c r="H100" s="249">
        <f t="shared" si="14"/>
        <v>-1779971.2800000003</v>
      </c>
    </row>
    <row r="101" spans="1:8">
      <c r="A101" s="44" t="s">
        <v>407</v>
      </c>
      <c r="B101" s="45" t="s">
        <v>408</v>
      </c>
      <c r="C101" s="249">
        <v>0</v>
      </c>
      <c r="D101" s="249">
        <v>0</v>
      </c>
      <c r="E101" s="249"/>
      <c r="F101" s="249">
        <v>0</v>
      </c>
      <c r="G101" s="249">
        <v>25000</v>
      </c>
      <c r="H101" s="249">
        <v>0</v>
      </c>
    </row>
    <row r="102" spans="1:8">
      <c r="A102" s="44" t="s">
        <v>138</v>
      </c>
      <c r="B102" s="45" t="s">
        <v>409</v>
      </c>
      <c r="C102" s="251">
        <f t="shared" ref="C102:H102" si="15">+C101</f>
        <v>0</v>
      </c>
      <c r="D102" s="251">
        <f t="shared" si="15"/>
        <v>0</v>
      </c>
      <c r="E102" s="251">
        <f t="shared" si="15"/>
        <v>0</v>
      </c>
      <c r="F102" s="251">
        <f t="shared" si="15"/>
        <v>0</v>
      </c>
      <c r="G102" s="251">
        <f t="shared" si="15"/>
        <v>25000</v>
      </c>
      <c r="H102" s="251">
        <f t="shared" si="15"/>
        <v>0</v>
      </c>
    </row>
    <row r="103" spans="1:8">
      <c r="B103" s="45" t="s">
        <v>410</v>
      </c>
      <c r="C103" s="250"/>
      <c r="D103" s="250"/>
      <c r="E103" s="250"/>
      <c r="F103" s="250"/>
      <c r="G103" s="250"/>
      <c r="H103" s="250"/>
    </row>
    <row r="104" spans="1:8">
      <c r="A104" s="44" t="s">
        <v>139</v>
      </c>
      <c r="B104" s="45" t="s">
        <v>411</v>
      </c>
      <c r="C104" s="250"/>
      <c r="D104" s="250"/>
      <c r="E104" s="250"/>
      <c r="F104" s="250"/>
      <c r="G104" s="250"/>
      <c r="H104" s="250"/>
    </row>
    <row r="105" spans="1:8">
      <c r="A105" s="44" t="s">
        <v>412</v>
      </c>
      <c r="B105" s="45" t="s">
        <v>413</v>
      </c>
      <c r="C105" s="251">
        <f t="shared" ref="C105:H105" si="16">+C100-C102</f>
        <v>-4778335</v>
      </c>
      <c r="D105" s="251">
        <f t="shared" si="16"/>
        <v>1954607</v>
      </c>
      <c r="E105" s="251">
        <f t="shared" si="16"/>
        <v>-2967674</v>
      </c>
      <c r="F105" s="251">
        <f t="shared" si="16"/>
        <v>298317</v>
      </c>
      <c r="G105" s="251">
        <f t="shared" si="16"/>
        <v>-2081061</v>
      </c>
      <c r="H105" s="251">
        <f t="shared" si="16"/>
        <v>-1779971.2800000003</v>
      </c>
    </row>
    <row r="107" spans="1:8">
      <c r="C107" s="250"/>
      <c r="D107" s="250"/>
      <c r="E107" s="250"/>
      <c r="F107" s="250"/>
      <c r="G107" s="250"/>
      <c r="H107" s="250"/>
    </row>
    <row r="110" spans="1:8" ht="13.5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3:P159"/>
  <sheetViews>
    <sheetView topLeftCell="A117" zoomScale="80" workbookViewId="0">
      <selection activeCell="M148" sqref="M148"/>
    </sheetView>
  </sheetViews>
  <sheetFormatPr defaultRowHeight="15"/>
  <cols>
    <col min="1" max="1" width="3.85546875" style="16" customWidth="1"/>
    <col min="2" max="2" width="49.28515625" style="16" customWidth="1"/>
    <col min="3" max="4" width="17.7109375" style="16" customWidth="1"/>
    <col min="5" max="6" width="17.7109375" style="16" hidden="1" customWidth="1"/>
    <col min="7" max="10" width="19.28515625" style="16" hidden="1" customWidth="1"/>
    <col min="11" max="11" width="16" style="23" hidden="1" customWidth="1"/>
    <col min="12" max="16384" width="9.140625" style="16"/>
  </cols>
  <sheetData>
    <row r="3" spans="2:10">
      <c r="B3" s="292" t="s">
        <v>96</v>
      </c>
      <c r="C3" s="286"/>
      <c r="D3" s="286"/>
      <c r="E3" s="292"/>
      <c r="F3" s="286"/>
      <c r="G3" s="286"/>
      <c r="H3" s="286"/>
      <c r="I3" s="286"/>
      <c r="J3" s="286"/>
    </row>
    <row r="4" spans="2:10">
      <c r="B4" s="292" t="s">
        <v>486</v>
      </c>
      <c r="C4" s="286"/>
      <c r="D4" s="286"/>
      <c r="E4" s="292"/>
      <c r="F4" s="286"/>
      <c r="G4" s="286"/>
      <c r="H4" s="286"/>
      <c r="I4" s="286"/>
      <c r="J4" s="286"/>
    </row>
    <row r="5" spans="2:10">
      <c r="B5" s="293" t="s">
        <v>451</v>
      </c>
      <c r="C5" s="287" t="s">
        <v>704</v>
      </c>
      <c r="D5" s="287" t="s">
        <v>669</v>
      </c>
      <c r="E5" s="293"/>
      <c r="F5" s="287" t="s">
        <v>610</v>
      </c>
      <c r="G5" s="287" t="s">
        <v>586</v>
      </c>
      <c r="H5" s="287" t="s">
        <v>545</v>
      </c>
      <c r="I5" s="287" t="s">
        <v>532</v>
      </c>
      <c r="J5" s="287" t="s">
        <v>528</v>
      </c>
    </row>
    <row r="6" spans="2:10">
      <c r="B6" s="293" t="s">
        <v>97</v>
      </c>
      <c r="C6" s="294">
        <f>+BA!D52</f>
        <v>0</v>
      </c>
      <c r="D6" s="294">
        <f>+BA!E52</f>
        <v>0</v>
      </c>
      <c r="E6" s="293"/>
      <c r="F6" s="294">
        <f>+BA!F52</f>
        <v>24200</v>
      </c>
      <c r="G6" s="294">
        <f>+BA!G52</f>
        <v>29109</v>
      </c>
      <c r="H6" s="294">
        <f>+BA!H52</f>
        <v>33208.67</v>
      </c>
      <c r="I6" s="294">
        <f>+BA!I52</f>
        <v>15161.72</v>
      </c>
      <c r="J6" s="294" t="e">
        <f>+BA!#REF!</f>
        <v>#REF!</v>
      </c>
    </row>
    <row r="7" spans="2:10">
      <c r="B7" s="293" t="s">
        <v>98</v>
      </c>
      <c r="C7" s="294">
        <f>+BA!D51</f>
        <v>2526999</v>
      </c>
      <c r="D7" s="294">
        <f>+BA!E51</f>
        <v>7799</v>
      </c>
      <c r="E7" s="293"/>
      <c r="F7" s="294">
        <f>+BA!F51</f>
        <v>107208.1</v>
      </c>
      <c r="G7" s="294">
        <f>+BA!G51</f>
        <v>12925.33</v>
      </c>
      <c r="H7" s="294">
        <f>+BA!H51</f>
        <v>-1434.67</v>
      </c>
      <c r="I7" s="294">
        <f>+BA!I51</f>
        <v>2064</v>
      </c>
      <c r="J7" s="294" t="e">
        <f>+BA!#REF!</f>
        <v>#REF!</v>
      </c>
    </row>
    <row r="8" spans="2:10" hidden="1">
      <c r="B8" s="293" t="s">
        <v>511</v>
      </c>
      <c r="C8" s="294">
        <f>+BA!D53</f>
        <v>0</v>
      </c>
      <c r="D8" s="294">
        <f>+BA!E53</f>
        <v>0</v>
      </c>
      <c r="E8" s="293"/>
      <c r="F8" s="294">
        <f>+BA!F53</f>
        <v>0</v>
      </c>
      <c r="G8" s="294">
        <f>+BA!G53</f>
        <v>0</v>
      </c>
      <c r="H8" s="294">
        <f>+BA!H53</f>
        <v>0</v>
      </c>
      <c r="I8" s="294">
        <f>+BA!I53</f>
        <v>0</v>
      </c>
      <c r="J8" s="294" t="e">
        <f>+BA!#REF!</f>
        <v>#REF!</v>
      </c>
    </row>
    <row r="9" spans="2:10">
      <c r="B9" s="295" t="s">
        <v>2</v>
      </c>
      <c r="C9" s="294">
        <f>SUM(C6:C8)</f>
        <v>2526999</v>
      </c>
      <c r="D9" s="294">
        <f>SUM(D6:D8)</f>
        <v>7799</v>
      </c>
      <c r="E9" s="295"/>
      <c r="F9" s="294">
        <f>SUM(F6:F8)</f>
        <v>131408.1</v>
      </c>
      <c r="G9" s="294">
        <f>SUM(G6:G8)</f>
        <v>42034.33</v>
      </c>
      <c r="H9" s="294">
        <f>SUM(H6:H8)</f>
        <v>31774</v>
      </c>
      <c r="I9" s="294">
        <f>SUM(I6:I8)</f>
        <v>17225.72</v>
      </c>
      <c r="J9" s="294" t="e">
        <f>SUM(J6:J8)</f>
        <v>#REF!</v>
      </c>
    </row>
    <row r="10" spans="2:10">
      <c r="B10" s="296"/>
      <c r="C10" s="297">
        <f>+BK!D8</f>
        <v>2526999</v>
      </c>
      <c r="D10" s="297">
        <f>+BK!E8</f>
        <v>7799</v>
      </c>
      <c r="E10" s="296"/>
      <c r="F10" s="297">
        <f>+BK!F8</f>
        <v>131408.1</v>
      </c>
      <c r="G10" s="297">
        <f>+BK!G8</f>
        <v>42034.33</v>
      </c>
      <c r="H10" s="297">
        <f>+BK!H8</f>
        <v>31774</v>
      </c>
      <c r="I10" s="297">
        <f>+BK!I8</f>
        <v>0</v>
      </c>
      <c r="J10" s="297" t="e">
        <f>+BK!J8</f>
        <v>#REF!</v>
      </c>
    </row>
    <row r="11" spans="2:10">
      <c r="B11" s="298" t="s">
        <v>99</v>
      </c>
      <c r="C11" s="293"/>
      <c r="D11" s="293"/>
      <c r="E11" s="298"/>
      <c r="F11" s="293"/>
      <c r="G11" s="293"/>
      <c r="H11" s="293"/>
      <c r="I11" s="293"/>
      <c r="J11" s="293"/>
    </row>
    <row r="12" spans="2:10">
      <c r="B12" s="293"/>
      <c r="C12" s="287" t="str">
        <f>+C5</f>
        <v>31 Dhjetor 2018</v>
      </c>
      <c r="D12" s="287" t="str">
        <f>+D5</f>
        <v>31 Dhjetor 2017</v>
      </c>
      <c r="E12" s="293"/>
      <c r="F12" s="287" t="str">
        <f>+F5</f>
        <v>31 Dhjetor 2016</v>
      </c>
      <c r="G12" s="287" t="str">
        <f>+G5</f>
        <v>30 Prill 2015</v>
      </c>
      <c r="H12" s="287" t="str">
        <f>+H5</f>
        <v>31 Dhjetor 2014</v>
      </c>
      <c r="I12" s="287" t="str">
        <f>+I5</f>
        <v>31 Dhjetor 2012</v>
      </c>
      <c r="J12" s="287" t="str">
        <f>+J5</f>
        <v>31 Dhjetor 2011</v>
      </c>
    </row>
    <row r="13" spans="2:10">
      <c r="B13" s="293" t="s">
        <v>584</v>
      </c>
      <c r="C13" s="286">
        <f>+BK!D18</f>
        <v>0</v>
      </c>
      <c r="D13" s="286">
        <f>+BK!E18</f>
        <v>0</v>
      </c>
      <c r="E13" s="293"/>
      <c r="F13" s="286">
        <f>+BK!F18</f>
        <v>0</v>
      </c>
      <c r="G13" s="286">
        <f>+BK!G18</f>
        <v>1419573</v>
      </c>
      <c r="H13" s="286">
        <f>+BK!H18</f>
        <v>0</v>
      </c>
      <c r="I13" s="286">
        <f>+BK!I20</f>
        <v>0</v>
      </c>
      <c r="J13" s="286" t="e">
        <f>+BK!J20</f>
        <v>#REF!</v>
      </c>
    </row>
    <row r="14" spans="2:10">
      <c r="B14" s="293"/>
      <c r="C14" s="286"/>
      <c r="D14" s="286"/>
      <c r="E14" s="293"/>
      <c r="F14" s="286"/>
      <c r="G14" s="286"/>
      <c r="H14" s="286"/>
      <c r="I14" s="286"/>
      <c r="J14" s="286"/>
    </row>
    <row r="15" spans="2:10">
      <c r="B15" s="295" t="s">
        <v>2</v>
      </c>
      <c r="C15" s="294">
        <f>SUM(C13:C14)</f>
        <v>0</v>
      </c>
      <c r="D15" s="294">
        <f>SUM(D13:D14)</f>
        <v>0</v>
      </c>
      <c r="E15" s="295"/>
      <c r="F15" s="294">
        <f>SUM(F13:F14)</f>
        <v>0</v>
      </c>
      <c r="G15" s="294">
        <f>SUM(G13:G14)</f>
        <v>1419573</v>
      </c>
      <c r="H15" s="294">
        <f>SUM(H13:H14)</f>
        <v>0</v>
      </c>
      <c r="I15" s="294">
        <f>SUM(I13:I14)</f>
        <v>0</v>
      </c>
      <c r="J15" s="294" t="e">
        <f>SUM(J13:J14)</f>
        <v>#REF!</v>
      </c>
    </row>
    <row r="16" spans="2:10">
      <c r="B16" s="296"/>
      <c r="C16" s="297">
        <f>+BK!D18</f>
        <v>0</v>
      </c>
      <c r="D16" s="297">
        <f>+BK!E18</f>
        <v>0</v>
      </c>
      <c r="E16" s="296"/>
      <c r="F16" s="297">
        <f>+BK!F18</f>
        <v>0</v>
      </c>
      <c r="G16" s="297">
        <f>+BK!G18</f>
        <v>1419573</v>
      </c>
      <c r="H16" s="297">
        <f>+BK!H18</f>
        <v>0</v>
      </c>
      <c r="I16" s="297">
        <f>+BK!I18</f>
        <v>0</v>
      </c>
      <c r="J16" s="297">
        <f>+BK!A18</f>
        <v>0</v>
      </c>
    </row>
    <row r="17" spans="2:12">
      <c r="B17" s="293" t="s">
        <v>100</v>
      </c>
      <c r="C17" s="299"/>
      <c r="D17" s="299"/>
      <c r="E17" s="293"/>
      <c r="F17" s="299"/>
      <c r="G17" s="299"/>
      <c r="H17" s="299"/>
      <c r="I17" s="299"/>
      <c r="J17" s="299"/>
    </row>
    <row r="18" spans="2:12">
      <c r="B18" s="300" t="s">
        <v>451</v>
      </c>
      <c r="C18" s="287" t="str">
        <f>+C12</f>
        <v>31 Dhjetor 2018</v>
      </c>
      <c r="D18" s="287" t="str">
        <f>+D12</f>
        <v>31 Dhjetor 2017</v>
      </c>
      <c r="E18" s="300"/>
      <c r="F18" s="287" t="str">
        <f>+F12</f>
        <v>31 Dhjetor 2016</v>
      </c>
      <c r="G18" s="287" t="str">
        <f>+G12</f>
        <v>30 Prill 2015</v>
      </c>
      <c r="H18" s="287" t="str">
        <f>+H12</f>
        <v>31 Dhjetor 2014</v>
      </c>
      <c r="I18" s="287" t="str">
        <f>+I12</f>
        <v>31 Dhjetor 2012</v>
      </c>
      <c r="J18" s="287" t="str">
        <f>+J12</f>
        <v>31 Dhjetor 2011</v>
      </c>
    </row>
    <row r="19" spans="2:12">
      <c r="B19" s="301" t="s">
        <v>123</v>
      </c>
      <c r="C19" s="302">
        <f>+BK!D12</f>
        <v>15411512</v>
      </c>
      <c r="D19" s="302">
        <f>+BK!E12</f>
        <v>20793462.060000002</v>
      </c>
      <c r="E19" s="301"/>
      <c r="F19" s="302">
        <f>+BK!F12</f>
        <v>90000.4</v>
      </c>
      <c r="G19" s="302">
        <f>+BK!G12</f>
        <v>4146845.77</v>
      </c>
      <c r="H19" s="302">
        <f>+BK!H12</f>
        <v>932306</v>
      </c>
      <c r="I19" s="302">
        <f>+BK!I12</f>
        <v>154306</v>
      </c>
      <c r="J19" s="302" t="e">
        <f>+BK!J12</f>
        <v>#REF!</v>
      </c>
      <c r="K19" s="127"/>
      <c r="L19" s="128"/>
    </row>
    <row r="20" spans="2:12">
      <c r="B20" s="301" t="s">
        <v>589</v>
      </c>
      <c r="C20" s="302">
        <f>+BK!D13</f>
        <v>66000</v>
      </c>
      <c r="D20" s="302">
        <f>+BK!E13</f>
        <v>66000</v>
      </c>
      <c r="E20" s="301"/>
      <c r="F20" s="302">
        <f>+BK!F13</f>
        <v>6000</v>
      </c>
      <c r="G20" s="302">
        <f>+BK!G13</f>
        <v>6000</v>
      </c>
      <c r="H20" s="302">
        <f>+BK!H13</f>
        <v>6000</v>
      </c>
      <c r="I20" s="302">
        <f>+BK!I13</f>
        <v>0</v>
      </c>
      <c r="J20" s="302" t="e">
        <f>+BK!J13</f>
        <v>#REF!</v>
      </c>
      <c r="K20" s="127"/>
      <c r="L20" s="129"/>
    </row>
    <row r="21" spans="2:12" hidden="1">
      <c r="B21" s="300"/>
      <c r="C21" s="302"/>
      <c r="D21" s="302"/>
      <c r="E21" s="300"/>
      <c r="F21" s="302"/>
      <c r="G21" s="302"/>
      <c r="H21" s="302"/>
      <c r="I21" s="302"/>
      <c r="J21" s="302"/>
      <c r="K21" s="127"/>
      <c r="L21" s="129"/>
    </row>
    <row r="22" spans="2:12">
      <c r="B22" s="295" t="s">
        <v>2</v>
      </c>
      <c r="C22" s="303">
        <f>SUM(C19:C21)</f>
        <v>15477512</v>
      </c>
      <c r="D22" s="303">
        <f>SUM(D19:D21)</f>
        <v>20859462.060000002</v>
      </c>
      <c r="E22" s="295"/>
      <c r="F22" s="303">
        <f>SUM(F19:F21)</f>
        <v>96000.4</v>
      </c>
      <c r="G22" s="303">
        <f>SUM(G19:G21)</f>
        <v>4152845.77</v>
      </c>
      <c r="H22" s="303">
        <f>SUM(H19:H21)</f>
        <v>938306</v>
      </c>
      <c r="I22" s="303">
        <f>SUM(I19:I21)</f>
        <v>154306</v>
      </c>
      <c r="J22" s="303" t="e">
        <f>SUM(J19:J21)</f>
        <v>#REF!</v>
      </c>
      <c r="K22" s="127"/>
      <c r="L22" s="129"/>
    </row>
    <row r="23" spans="2:12">
      <c r="B23" s="293"/>
      <c r="C23" s="304">
        <f>+BK!D16</f>
        <v>15477512</v>
      </c>
      <c r="D23" s="304">
        <f>+BK!E16</f>
        <v>20859462.060000002</v>
      </c>
      <c r="E23" s="293"/>
      <c r="F23" s="304">
        <f>+BK!F16</f>
        <v>96000.4</v>
      </c>
      <c r="G23" s="304">
        <f>+BK!G16</f>
        <v>4152845.77</v>
      </c>
      <c r="H23" s="304">
        <f>+BK!H16</f>
        <v>938306</v>
      </c>
      <c r="I23" s="304">
        <f>+BK!I16</f>
        <v>154306</v>
      </c>
      <c r="J23" s="304">
        <f>+BK!A16</f>
        <v>0</v>
      </c>
      <c r="K23" s="130"/>
      <c r="L23" s="129"/>
    </row>
    <row r="24" spans="2:12">
      <c r="B24" s="293"/>
      <c r="C24" s="304"/>
      <c r="D24" s="304"/>
      <c r="E24" s="293"/>
      <c r="F24" s="304"/>
      <c r="G24" s="304"/>
      <c r="H24" s="304"/>
      <c r="I24" s="304"/>
      <c r="J24" s="304"/>
      <c r="K24" s="130"/>
      <c r="L24" s="129"/>
    </row>
    <row r="25" spans="2:12">
      <c r="B25" s="413" t="s">
        <v>513</v>
      </c>
      <c r="C25" s="413" t="s">
        <v>557</v>
      </c>
      <c r="D25" s="413" t="s">
        <v>557</v>
      </c>
      <c r="E25" s="413"/>
      <c r="F25" s="413" t="s">
        <v>557</v>
      </c>
      <c r="G25" s="413" t="s">
        <v>557</v>
      </c>
      <c r="H25" s="304"/>
      <c r="I25" s="304"/>
      <c r="J25" s="304"/>
      <c r="K25" s="130"/>
      <c r="L25" s="129"/>
    </row>
    <row r="26" spans="2:12" ht="18.75">
      <c r="B26" s="432"/>
      <c r="C26" s="433"/>
      <c r="D26" s="433"/>
      <c r="E26" s="432"/>
      <c r="F26" s="433">
        <v>300000</v>
      </c>
      <c r="G26" s="413"/>
      <c r="H26" s="304"/>
      <c r="I26" s="304"/>
      <c r="J26" s="304"/>
      <c r="K26" s="130"/>
      <c r="L26" s="129"/>
    </row>
    <row r="27" spans="2:12" ht="18.75">
      <c r="B27" s="432"/>
      <c r="C27" s="433"/>
      <c r="D27" s="433"/>
      <c r="E27" s="432"/>
      <c r="F27" s="433">
        <v>50000</v>
      </c>
      <c r="G27" s="413"/>
      <c r="H27" s="304"/>
      <c r="I27" s="304"/>
      <c r="J27" s="304"/>
      <c r="K27" s="130"/>
      <c r="L27" s="129"/>
    </row>
    <row r="28" spans="2:12" ht="18.75">
      <c r="B28" s="432"/>
      <c r="C28" s="433"/>
      <c r="D28" s="433"/>
      <c r="E28" s="432"/>
      <c r="F28" s="433">
        <v>137536.27999999901</v>
      </c>
      <c r="G28" s="413"/>
      <c r="H28" s="304"/>
      <c r="I28" s="304"/>
      <c r="J28" s="304"/>
      <c r="K28" s="130"/>
      <c r="L28" s="129"/>
    </row>
    <row r="29" spans="2:12" ht="18.75">
      <c r="B29" s="432"/>
      <c r="C29" s="433"/>
      <c r="D29" s="433"/>
      <c r="E29" s="432"/>
      <c r="F29" s="433">
        <f>3491598.08+5+2</f>
        <v>3491605.08</v>
      </c>
      <c r="G29" s="413"/>
      <c r="H29" s="304"/>
      <c r="I29" s="304"/>
      <c r="J29" s="304"/>
      <c r="K29" s="130"/>
      <c r="L29" s="129"/>
    </row>
    <row r="30" spans="2:12" ht="18.75">
      <c r="B30" s="432"/>
      <c r="C30" s="433"/>
      <c r="D30" s="433"/>
      <c r="E30" s="432"/>
      <c r="F30" s="433">
        <v>2441580</v>
      </c>
      <c r="G30" s="413"/>
      <c r="H30" s="304"/>
      <c r="I30" s="304"/>
      <c r="J30" s="304"/>
      <c r="K30" s="130"/>
      <c r="L30" s="129"/>
    </row>
    <row r="31" spans="2:12" ht="18.75">
      <c r="B31" s="432"/>
      <c r="C31" s="433"/>
      <c r="D31" s="433"/>
      <c r="E31" s="432"/>
      <c r="F31" s="433">
        <v>50000</v>
      </c>
      <c r="G31" s="413"/>
      <c r="H31" s="304"/>
      <c r="I31" s="304"/>
      <c r="J31" s="304"/>
      <c r="K31" s="130"/>
      <c r="L31" s="129"/>
    </row>
    <row r="32" spans="2:12" ht="18.75">
      <c r="B32" s="432"/>
      <c r="C32" s="433"/>
      <c r="D32" s="433"/>
      <c r="E32" s="432"/>
      <c r="F32" s="433">
        <v>84000</v>
      </c>
      <c r="G32" s="413"/>
      <c r="H32" s="304"/>
      <c r="I32" s="304"/>
      <c r="J32" s="304"/>
      <c r="K32" s="130"/>
      <c r="L32" s="129"/>
    </row>
    <row r="33" spans="2:15" ht="18.75">
      <c r="B33" s="432"/>
      <c r="C33" s="433"/>
      <c r="D33" s="433"/>
      <c r="E33" s="432"/>
      <c r="F33" s="433">
        <v>174000</v>
      </c>
      <c r="G33" s="413"/>
      <c r="H33" s="304"/>
      <c r="I33" s="304"/>
      <c r="J33" s="304"/>
      <c r="K33" s="130"/>
      <c r="L33" s="129"/>
    </row>
    <row r="34" spans="2:15" ht="18.75">
      <c r="B34" s="432"/>
      <c r="C34" s="433"/>
      <c r="D34" s="433"/>
      <c r="E34" s="432"/>
      <c r="F34" s="433">
        <v>2540000</v>
      </c>
      <c r="G34" s="413"/>
      <c r="H34" s="304"/>
      <c r="I34" s="304"/>
      <c r="J34" s="304"/>
      <c r="K34" s="130"/>
      <c r="L34" s="129"/>
    </row>
    <row r="35" spans="2:15" ht="18.75">
      <c r="B35" s="432"/>
      <c r="C35" s="433"/>
      <c r="D35" s="433"/>
      <c r="E35" s="432"/>
      <c r="F35" s="433">
        <f>SUM(F26:F34)</f>
        <v>9268721.3599999994</v>
      </c>
      <c r="G35" s="413">
        <f>SUM(G34:G34)</f>
        <v>0</v>
      </c>
      <c r="H35" s="304"/>
      <c r="I35" s="304"/>
      <c r="J35" s="304"/>
      <c r="K35" s="130"/>
      <c r="L35" s="129"/>
    </row>
    <row r="36" spans="2:15">
      <c r="B36" s="293"/>
      <c r="C36" s="304"/>
      <c r="D36" s="304"/>
      <c r="E36" s="293"/>
      <c r="F36" s="304"/>
      <c r="G36" s="304"/>
      <c r="H36" s="304"/>
      <c r="I36" s="304"/>
      <c r="J36" s="304"/>
      <c r="K36" s="130"/>
      <c r="L36" s="129"/>
    </row>
    <row r="37" spans="2:15">
      <c r="B37" s="290"/>
      <c r="C37" s="292"/>
      <c r="D37" s="292"/>
      <c r="E37" s="290"/>
      <c r="F37" s="292"/>
      <c r="G37" s="292"/>
      <c r="H37" s="292"/>
      <c r="I37" s="292"/>
      <c r="J37" s="292"/>
      <c r="L37" s="23"/>
      <c r="M37" s="23"/>
      <c r="N37" s="23"/>
      <c r="O37" s="23"/>
    </row>
    <row r="38" spans="2:15">
      <c r="B38" s="298" t="s">
        <v>129</v>
      </c>
      <c r="C38" s="293"/>
      <c r="D38" s="293"/>
      <c r="E38" s="298"/>
      <c r="F38" s="293"/>
      <c r="G38" s="293"/>
      <c r="H38" s="293"/>
      <c r="I38" s="293"/>
      <c r="J38" s="293"/>
      <c r="K38" s="26"/>
      <c r="L38" s="24"/>
      <c r="M38" s="24"/>
      <c r="N38" s="24"/>
      <c r="O38" s="23"/>
    </row>
    <row r="39" spans="2:15">
      <c r="B39" s="293" t="s">
        <v>451</v>
      </c>
      <c r="C39" s="287" t="str">
        <f>+C18</f>
        <v>31 Dhjetor 2018</v>
      </c>
      <c r="D39" s="287" t="str">
        <f>+D18</f>
        <v>31 Dhjetor 2017</v>
      </c>
      <c r="E39" s="293"/>
      <c r="F39" s="287" t="str">
        <f>+F18</f>
        <v>31 Dhjetor 2016</v>
      </c>
      <c r="G39" s="287" t="str">
        <f>+G18</f>
        <v>30 Prill 2015</v>
      </c>
      <c r="H39" s="287" t="str">
        <f>+H18</f>
        <v>31 Dhjetor 2014</v>
      </c>
      <c r="I39" s="287" t="str">
        <f>+I18</f>
        <v>31 Dhjetor 2012</v>
      </c>
      <c r="J39" s="287" t="s">
        <v>528</v>
      </c>
      <c r="K39" s="24"/>
      <c r="L39" s="24"/>
      <c r="M39" s="24"/>
      <c r="N39" s="24"/>
      <c r="O39" s="23"/>
    </row>
    <row r="40" spans="2:15">
      <c r="B40" s="293" t="s">
        <v>101</v>
      </c>
      <c r="C40" s="296">
        <f>+BK!D45</f>
        <v>28907148.100000001</v>
      </c>
      <c r="D40" s="296">
        <f>+BK!E45</f>
        <v>26624200.060000002</v>
      </c>
      <c r="E40" s="293"/>
      <c r="F40" s="296">
        <f>+BK!F45</f>
        <v>7682935</v>
      </c>
      <c r="G40" s="296">
        <f>+BK!G45</f>
        <v>6514174</v>
      </c>
      <c r="H40" s="296">
        <f>+BK!H45</f>
        <v>3862809</v>
      </c>
      <c r="I40" s="296">
        <f>+BK!I45</f>
        <v>3068045</v>
      </c>
      <c r="J40" s="296" t="e">
        <f>+BK!J45</f>
        <v>#REF!</v>
      </c>
      <c r="K40" s="24"/>
      <c r="L40" s="24"/>
      <c r="M40" s="24"/>
      <c r="N40" s="24"/>
      <c r="O40" s="23"/>
    </row>
    <row r="41" spans="2:15" hidden="1">
      <c r="B41" s="293" t="s">
        <v>122</v>
      </c>
      <c r="C41" s="286">
        <f>+BK!D43</f>
        <v>0</v>
      </c>
      <c r="D41" s="286">
        <f>+BK!E43</f>
        <v>0</v>
      </c>
      <c r="E41" s="293"/>
      <c r="F41" s="286">
        <f>+BK!F43</f>
        <v>0</v>
      </c>
      <c r="G41" s="286">
        <f>+BK!G43</f>
        <v>0</v>
      </c>
      <c r="H41" s="286">
        <f>+BK!H43</f>
        <v>0</v>
      </c>
      <c r="I41" s="286">
        <f>+BK!I43</f>
        <v>0</v>
      </c>
      <c r="J41" s="286" t="e">
        <f>+BK!J43</f>
        <v>#REF!</v>
      </c>
      <c r="K41" s="27"/>
      <c r="L41" s="28"/>
      <c r="M41" s="24"/>
      <c r="N41" s="29"/>
      <c r="O41" s="23"/>
    </row>
    <row r="42" spans="2:15">
      <c r="B42" s="293" t="s">
        <v>117</v>
      </c>
      <c r="C42" s="286">
        <f>+BK!D46</f>
        <v>1257852</v>
      </c>
      <c r="D42" s="286">
        <f>+BK!E46</f>
        <v>1011528</v>
      </c>
      <c r="E42" s="293"/>
      <c r="F42" s="286">
        <f>+BK!F46</f>
        <v>2072162</v>
      </c>
      <c r="G42" s="286">
        <f>+BK!G46</f>
        <v>4353806</v>
      </c>
      <c r="H42" s="286">
        <f>+BK!H46</f>
        <v>3039338</v>
      </c>
      <c r="I42" s="286">
        <f>+BK!I46</f>
        <v>845465</v>
      </c>
      <c r="J42" s="286">
        <f>+BK!C46</f>
        <v>0</v>
      </c>
      <c r="K42" s="24"/>
      <c r="L42" s="24"/>
      <c r="M42" s="24"/>
      <c r="N42" s="24"/>
      <c r="O42" s="23"/>
    </row>
    <row r="43" spans="2:15">
      <c r="B43" s="293" t="s">
        <v>8</v>
      </c>
      <c r="C43" s="294">
        <f>+BK!D47</f>
        <v>187475</v>
      </c>
      <c r="D43" s="294">
        <f>+BK!E47</f>
        <v>801162</v>
      </c>
      <c r="E43" s="293"/>
      <c r="F43" s="294">
        <f>+BK!F47</f>
        <v>138905.4</v>
      </c>
      <c r="G43" s="294">
        <f>+BK!G47</f>
        <v>411181</v>
      </c>
      <c r="H43" s="294">
        <f>+BK!H47</f>
        <v>270958</v>
      </c>
      <c r="I43" s="294">
        <f>+BK!I47</f>
        <v>0</v>
      </c>
      <c r="J43" s="294" t="e">
        <f>+BK!J47</f>
        <v>#REF!</v>
      </c>
      <c r="K43" s="24"/>
      <c r="L43" s="24"/>
      <c r="M43" s="24"/>
      <c r="N43" s="24"/>
      <c r="O43" s="23"/>
    </row>
    <row r="44" spans="2:15" hidden="1">
      <c r="B44" s="293" t="s">
        <v>115</v>
      </c>
      <c r="C44" s="286">
        <f>+BK!D48</f>
        <v>0</v>
      </c>
      <c r="D44" s="286">
        <f>+BK!E48</f>
        <v>0</v>
      </c>
      <c r="E44" s="293"/>
      <c r="F44" s="286">
        <f>+BK!F48</f>
        <v>0</v>
      </c>
      <c r="G44" s="286">
        <f>+BK!G48</f>
        <v>1034212</v>
      </c>
      <c r="H44" s="286">
        <f>+BK!H48</f>
        <v>794212</v>
      </c>
      <c r="I44" s="286">
        <f>+BK!I48</f>
        <v>1280873</v>
      </c>
      <c r="J44" s="286" t="e">
        <f>+BK!J48</f>
        <v>#REF!</v>
      </c>
      <c r="K44" s="24"/>
      <c r="L44" s="24"/>
      <c r="M44" s="24"/>
      <c r="N44" s="30"/>
      <c r="O44" s="23"/>
    </row>
    <row r="45" spans="2:15" hidden="1">
      <c r="B45" s="293" t="s">
        <v>63</v>
      </c>
      <c r="C45" s="286">
        <f>+BK!D50</f>
        <v>0</v>
      </c>
      <c r="D45" s="286">
        <f>+BK!E50</f>
        <v>0</v>
      </c>
      <c r="E45" s="293"/>
      <c r="F45" s="286">
        <f>+BK!F50</f>
        <v>0</v>
      </c>
      <c r="G45" s="286">
        <f>+BK!G50</f>
        <v>0</v>
      </c>
      <c r="H45" s="286">
        <f>+BK!H50</f>
        <v>0</v>
      </c>
      <c r="I45" s="286">
        <f>+BK!I50</f>
        <v>0</v>
      </c>
      <c r="J45" s="286" t="e">
        <f>+BK!J50</f>
        <v>#REF!</v>
      </c>
      <c r="K45" s="24"/>
      <c r="L45" s="24"/>
      <c r="M45" s="24"/>
      <c r="N45" s="30"/>
      <c r="O45" s="23"/>
    </row>
    <row r="46" spans="2:15" hidden="1">
      <c r="B46" s="293" t="s">
        <v>416</v>
      </c>
      <c r="C46" s="286" t="str">
        <f>+BK!B49</f>
        <v>Hua te tjera</v>
      </c>
      <c r="D46" s="286">
        <f>+BK!C49</f>
        <v>0</v>
      </c>
      <c r="E46" s="293"/>
      <c r="F46" s="286">
        <f>+BK!F49</f>
        <v>0</v>
      </c>
      <c r="G46" s="286">
        <f>+BK!G49</f>
        <v>0</v>
      </c>
      <c r="H46" s="286">
        <f>+BK!H49</f>
        <v>0</v>
      </c>
      <c r="I46" s="286">
        <f>+BK!C49</f>
        <v>0</v>
      </c>
      <c r="J46" s="286">
        <f>+BK!J49</f>
        <v>0</v>
      </c>
      <c r="L46" s="23"/>
      <c r="M46" s="23"/>
      <c r="N46" s="23"/>
      <c r="O46" s="23"/>
    </row>
    <row r="47" spans="2:15" hidden="1">
      <c r="B47" s="293"/>
      <c r="C47" s="286"/>
      <c r="D47" s="286"/>
      <c r="E47" s="293"/>
      <c r="F47" s="286"/>
      <c r="G47" s="286"/>
      <c r="H47" s="286"/>
      <c r="I47" s="286"/>
      <c r="J47" s="286"/>
    </row>
    <row r="48" spans="2:15">
      <c r="B48" s="295" t="s">
        <v>2</v>
      </c>
      <c r="C48" s="294">
        <f>SUM(C40:C46)</f>
        <v>30352475.100000001</v>
      </c>
      <c r="D48" s="294">
        <f>SUM(D40:D46)</f>
        <v>28436890.060000002</v>
      </c>
      <c r="E48" s="295"/>
      <c r="F48" s="294">
        <f>SUM(F40:F46)</f>
        <v>9894002.4000000004</v>
      </c>
      <c r="G48" s="294">
        <f>SUM(G40:G46)</f>
        <v>12313373</v>
      </c>
      <c r="H48" s="294">
        <f>SUM(H40:H46)</f>
        <v>7967317</v>
      </c>
      <c r="I48" s="294">
        <f>SUM(I40:I46)</f>
        <v>5194383</v>
      </c>
      <c r="J48" s="294" t="e">
        <f>SUM(J40:J46)</f>
        <v>#REF!</v>
      </c>
    </row>
    <row r="49" spans="2:10">
      <c r="B49" s="293"/>
      <c r="C49" s="286">
        <f>+BA!D88</f>
        <v>30352475.100000001</v>
      </c>
      <c r="D49" s="286">
        <f>+BA!E88</f>
        <v>28436890.060000002</v>
      </c>
      <c r="E49" s="293"/>
      <c r="F49" s="286">
        <f>+BA!F88</f>
        <v>9894002.4000000004</v>
      </c>
      <c r="G49" s="286">
        <f>+BA!G88</f>
        <v>12313373</v>
      </c>
      <c r="H49" s="286">
        <f>+BA!H88</f>
        <v>7967317</v>
      </c>
      <c r="I49" s="286">
        <f>+BA!I88</f>
        <v>5572373</v>
      </c>
      <c r="J49" s="286" t="e">
        <f>+BA!#REF!</f>
        <v>#REF!</v>
      </c>
    </row>
    <row r="50" spans="2:10">
      <c r="B50" s="298" t="s">
        <v>101</v>
      </c>
      <c r="C50" s="294"/>
      <c r="D50" s="294"/>
      <c r="E50" s="298"/>
      <c r="F50" s="294"/>
      <c r="G50" s="294"/>
      <c r="H50" s="294"/>
      <c r="I50" s="294"/>
      <c r="J50" s="294"/>
    </row>
    <row r="51" spans="2:10">
      <c r="B51" s="305" t="s">
        <v>513</v>
      </c>
      <c r="C51" s="287" t="str">
        <f>+C39</f>
        <v>31 Dhjetor 2018</v>
      </c>
      <c r="D51" s="287" t="str">
        <f>+D39</f>
        <v>31 Dhjetor 2017</v>
      </c>
      <c r="E51" s="305"/>
      <c r="F51" s="287" t="str">
        <f>+F39</f>
        <v>31 Dhjetor 2016</v>
      </c>
      <c r="G51" s="287" t="str">
        <f>+G39</f>
        <v>30 Prill 2015</v>
      </c>
      <c r="H51" s="287" t="str">
        <f>+H39</f>
        <v>31 Dhjetor 2014</v>
      </c>
      <c r="I51" s="287" t="str">
        <f>+I39</f>
        <v>31 Dhjetor 2012</v>
      </c>
      <c r="J51" s="287" t="s">
        <v>528</v>
      </c>
    </row>
    <row r="52" spans="2:10">
      <c r="B52" s="296"/>
      <c r="C52" s="304">
        <f>+BK!D45</f>
        <v>28907148.100000001</v>
      </c>
      <c r="D52" s="304">
        <f>+BK!E45</f>
        <v>26624200.060000002</v>
      </c>
      <c r="E52" s="296"/>
      <c r="F52" s="304">
        <f>+BK!F45</f>
        <v>7682935</v>
      </c>
      <c r="G52" s="304">
        <f>+BK!G45</f>
        <v>6514174</v>
      </c>
      <c r="H52" s="304">
        <f>+BK!H45</f>
        <v>3862809</v>
      </c>
      <c r="I52" s="304">
        <f>+BK!I45</f>
        <v>3068045</v>
      </c>
      <c r="J52" s="304" t="e">
        <f>+BK!J45</f>
        <v>#REF!</v>
      </c>
    </row>
    <row r="53" spans="2:10">
      <c r="B53" s="296" t="s">
        <v>513</v>
      </c>
      <c r="C53" s="304" t="s">
        <v>597</v>
      </c>
      <c r="D53" s="304" t="s">
        <v>597</v>
      </c>
      <c r="E53" s="296"/>
      <c r="F53" s="304" t="s">
        <v>597</v>
      </c>
      <c r="G53" s="304"/>
      <c r="H53" s="304"/>
      <c r="I53" s="304"/>
      <c r="J53" s="304"/>
    </row>
    <row r="54" spans="2:10">
      <c r="B54" s="413"/>
      <c r="C54" s="413"/>
      <c r="D54" s="413"/>
      <c r="E54" s="413"/>
      <c r="F54" s="413">
        <v>503340</v>
      </c>
      <c r="G54" s="304"/>
      <c r="H54" s="304"/>
      <c r="I54" s="304"/>
      <c r="J54" s="304"/>
    </row>
    <row r="55" spans="2:10">
      <c r="B55" s="413"/>
      <c r="C55" s="413"/>
      <c r="D55" s="413"/>
      <c r="E55" s="413"/>
      <c r="F55" s="413">
        <v>5251666</v>
      </c>
      <c r="G55" s="304"/>
      <c r="H55" s="304"/>
      <c r="I55" s="304"/>
      <c r="J55" s="304"/>
    </row>
    <row r="56" spans="2:10">
      <c r="B56" s="413"/>
      <c r="C56" s="413"/>
      <c r="D56" s="413"/>
      <c r="E56" s="413"/>
      <c r="F56" s="413">
        <v>66780</v>
      </c>
      <c r="G56" s="304"/>
      <c r="H56" s="304"/>
      <c r="I56" s="304"/>
      <c r="J56" s="304"/>
    </row>
    <row r="57" spans="2:10">
      <c r="B57" s="413"/>
      <c r="C57" s="413"/>
      <c r="D57" s="413"/>
      <c r="E57" s="413"/>
      <c r="F57" s="413">
        <v>1400556</v>
      </c>
      <c r="G57" s="304"/>
      <c r="H57" s="304"/>
      <c r="I57" s="304"/>
      <c r="J57" s="304"/>
    </row>
    <row r="58" spans="2:10">
      <c r="B58" s="413"/>
      <c r="C58" s="413"/>
      <c r="D58" s="413"/>
      <c r="E58" s="413"/>
      <c r="F58" s="413">
        <v>571000</v>
      </c>
      <c r="G58" s="304"/>
      <c r="H58" s="304"/>
      <c r="I58" s="304"/>
      <c r="J58" s="304"/>
    </row>
    <row r="59" spans="2:10" ht="17.25" customHeight="1">
      <c r="B59" s="413"/>
      <c r="C59" s="413"/>
      <c r="D59" s="413"/>
      <c r="E59" s="413"/>
      <c r="F59" s="413">
        <v>7000</v>
      </c>
      <c r="G59" s="304"/>
      <c r="H59" s="304"/>
      <c r="I59" s="304"/>
      <c r="J59" s="304"/>
    </row>
    <row r="60" spans="2:10">
      <c r="B60" s="413"/>
      <c r="C60" s="413"/>
      <c r="D60" s="413"/>
      <c r="E60" s="413"/>
      <c r="F60" s="413">
        <v>1869168</v>
      </c>
      <c r="G60" s="304"/>
      <c r="H60" s="304"/>
      <c r="I60" s="304"/>
      <c r="J60" s="304"/>
    </row>
    <row r="61" spans="2:10">
      <c r="B61" s="413"/>
      <c r="C61" s="413"/>
      <c r="D61" s="413"/>
      <c r="E61" s="413"/>
      <c r="F61" s="413">
        <v>300000</v>
      </c>
      <c r="G61" s="304"/>
      <c r="H61" s="304"/>
      <c r="I61" s="304"/>
      <c r="J61" s="304"/>
    </row>
    <row r="62" spans="2:10">
      <c r="B62" s="413"/>
      <c r="C62" s="413"/>
      <c r="D62" s="413"/>
      <c r="E62" s="413"/>
      <c r="F62" s="413">
        <v>1500</v>
      </c>
      <c r="G62" s="304"/>
      <c r="H62" s="304"/>
      <c r="I62" s="304"/>
      <c r="J62" s="304"/>
    </row>
    <row r="63" spans="2:10">
      <c r="B63" s="413"/>
      <c r="C63" s="413"/>
      <c r="D63" s="413"/>
      <c r="E63" s="413"/>
      <c r="F63" s="413">
        <v>547200</v>
      </c>
      <c r="G63" s="304"/>
      <c r="H63" s="304"/>
      <c r="I63" s="304"/>
      <c r="J63" s="304"/>
    </row>
    <row r="64" spans="2:10">
      <c r="B64" s="413"/>
      <c r="C64" s="413"/>
      <c r="D64" s="413"/>
      <c r="E64" s="413"/>
      <c r="F64" s="413">
        <v>4738209</v>
      </c>
      <c r="G64" s="304"/>
      <c r="H64" s="304"/>
      <c r="I64" s="304"/>
      <c r="J64" s="304"/>
    </row>
    <row r="65" spans="2:11">
      <c r="B65" s="413"/>
      <c r="C65" s="413"/>
      <c r="D65" s="413"/>
      <c r="E65" s="413"/>
      <c r="F65" s="413">
        <v>-327553.2</v>
      </c>
      <c r="G65" s="304"/>
      <c r="H65" s="304"/>
      <c r="I65" s="304"/>
      <c r="J65" s="304"/>
    </row>
    <row r="66" spans="2:11">
      <c r="B66" s="413"/>
      <c r="C66" s="413"/>
      <c r="D66" s="413"/>
      <c r="E66" s="413"/>
      <c r="F66" s="413">
        <v>-42713</v>
      </c>
      <c r="G66" s="304"/>
      <c r="H66" s="304"/>
      <c r="I66" s="304"/>
      <c r="J66" s="304"/>
    </row>
    <row r="67" spans="2:11">
      <c r="B67" s="413"/>
      <c r="C67" s="413"/>
      <c r="D67" s="413"/>
      <c r="E67" s="413"/>
      <c r="F67" s="413">
        <v>6953.2</v>
      </c>
      <c r="G67" s="304"/>
      <c r="H67" s="304"/>
      <c r="I67" s="304"/>
      <c r="J67" s="304"/>
    </row>
    <row r="68" spans="2:11">
      <c r="B68" s="413"/>
      <c r="C68" s="413"/>
      <c r="D68" s="413"/>
      <c r="E68" s="413"/>
      <c r="F68" s="413">
        <v>-761750</v>
      </c>
      <c r="G68" s="304"/>
      <c r="H68" s="304"/>
      <c r="I68" s="304"/>
      <c r="J68" s="304"/>
    </row>
    <row r="69" spans="2:11">
      <c r="B69" s="296" t="s">
        <v>598</v>
      </c>
      <c r="C69" s="304">
        <f>SUM(C54:C68)</f>
        <v>0</v>
      </c>
      <c r="D69" s="304">
        <f>SUM(D54:D68)</f>
        <v>0</v>
      </c>
      <c r="E69" s="296"/>
      <c r="F69" s="304">
        <f>SUM(F54:F68)</f>
        <v>14131356</v>
      </c>
      <c r="G69" s="304"/>
      <c r="H69" s="304"/>
      <c r="I69" s="304"/>
      <c r="J69" s="304"/>
    </row>
    <row r="70" spans="2:11">
      <c r="B70" s="293"/>
      <c r="C70" s="294"/>
      <c r="D70" s="294"/>
      <c r="E70" s="293"/>
      <c r="F70" s="294"/>
      <c r="G70" s="294"/>
      <c r="H70" s="294"/>
      <c r="I70" s="294"/>
      <c r="J70" s="294"/>
    </row>
    <row r="71" spans="2:11">
      <c r="B71" s="298" t="s">
        <v>417</v>
      </c>
      <c r="C71" s="294"/>
      <c r="D71" s="294"/>
      <c r="E71" s="298"/>
      <c r="F71" s="294"/>
      <c r="G71" s="294"/>
      <c r="H71" s="294"/>
      <c r="I71" s="294"/>
      <c r="J71" s="294"/>
    </row>
    <row r="72" spans="2:11">
      <c r="B72" s="293" t="s">
        <v>596</v>
      </c>
      <c r="C72" s="287" t="str">
        <f>+C51</f>
        <v>31 Dhjetor 2018</v>
      </c>
      <c r="D72" s="287" t="str">
        <f>+D51</f>
        <v>31 Dhjetor 2017</v>
      </c>
      <c r="E72" s="293"/>
      <c r="F72" s="287" t="str">
        <f>+F51</f>
        <v>31 Dhjetor 2016</v>
      </c>
      <c r="G72" s="287" t="str">
        <f>+G51</f>
        <v>30 Prill 2015</v>
      </c>
      <c r="H72" s="287" t="str">
        <f>+H51</f>
        <v>31 Dhjetor 2014</v>
      </c>
      <c r="I72" s="287" t="str">
        <f>+I51</f>
        <v>31 Dhjetor 2012</v>
      </c>
      <c r="J72" s="287" t="s">
        <v>528</v>
      </c>
    </row>
    <row r="73" spans="2:11">
      <c r="B73" s="293" t="s">
        <v>103</v>
      </c>
      <c r="C73" s="286">
        <v>826958</v>
      </c>
      <c r="D73" s="286">
        <v>826958</v>
      </c>
      <c r="E73" s="293"/>
      <c r="F73" s="286">
        <v>355858</v>
      </c>
      <c r="G73" s="286">
        <v>0</v>
      </c>
      <c r="H73" s="286">
        <v>0</v>
      </c>
      <c r="I73" s="286">
        <v>0</v>
      </c>
      <c r="J73" s="286">
        <v>0</v>
      </c>
    </row>
    <row r="74" spans="2:11">
      <c r="B74" s="293" t="s">
        <v>104</v>
      </c>
      <c r="C74" s="286">
        <f>+BA!D103</f>
        <v>151634</v>
      </c>
      <c r="D74" s="286">
        <f>+BA!E103</f>
        <v>23108</v>
      </c>
      <c r="E74" s="293"/>
      <c r="F74" s="286">
        <f>+BA!F103</f>
        <v>106272</v>
      </c>
      <c r="G74" s="286">
        <f>+BA!G103</f>
        <v>347796</v>
      </c>
      <c r="H74" s="286">
        <f>+BA!H103</f>
        <v>172692</v>
      </c>
      <c r="I74" s="286">
        <f>+BA!I103</f>
        <v>333540</v>
      </c>
      <c r="J74" s="286">
        <f>+BA!J103</f>
        <v>0</v>
      </c>
      <c r="K74" s="286">
        <f>+BA!K103</f>
        <v>0</v>
      </c>
    </row>
    <row r="75" spans="2:11">
      <c r="B75" s="293" t="s">
        <v>590</v>
      </c>
      <c r="C75" s="286">
        <f>3150+4267874</f>
        <v>4271024</v>
      </c>
      <c r="D75" s="286">
        <f>3150+4267874</f>
        <v>4271024</v>
      </c>
      <c r="E75" s="293"/>
      <c r="F75" s="286">
        <f>24344+3150</f>
        <v>27494</v>
      </c>
      <c r="G75" s="286">
        <f>+BA!G104</f>
        <v>63385</v>
      </c>
      <c r="H75" s="286">
        <f>+BA!H104</f>
        <v>98266</v>
      </c>
      <c r="I75" s="286">
        <f>+BA!I104</f>
        <v>44450</v>
      </c>
      <c r="J75" s="286" t="e">
        <f>+BA!#REF!</f>
        <v>#REF!</v>
      </c>
    </row>
    <row r="76" spans="2:11">
      <c r="B76" s="293" t="s">
        <v>487</v>
      </c>
      <c r="C76" s="286">
        <f>+BA!D102</f>
        <v>1257852</v>
      </c>
      <c r="D76" s="286">
        <f>+BA!E102</f>
        <v>1011528</v>
      </c>
      <c r="E76" s="293"/>
      <c r="F76" s="286">
        <f>+BA!F102</f>
        <v>2072162</v>
      </c>
      <c r="G76" s="286">
        <f>+BA!G105</f>
        <v>1034212</v>
      </c>
      <c r="H76" s="286">
        <f>+BA!H102</f>
        <v>3039338</v>
      </c>
      <c r="I76" s="286">
        <f>+BA!I102</f>
        <v>845465</v>
      </c>
      <c r="J76" s="286" t="e">
        <f>+BA!#REF!</f>
        <v>#REF!</v>
      </c>
    </row>
    <row r="77" spans="2:11" hidden="1">
      <c r="B77" s="293"/>
      <c r="C77" s="286"/>
      <c r="D77" s="286"/>
      <c r="E77" s="293"/>
      <c r="F77" s="286"/>
      <c r="G77" s="286">
        <f>+BA!G106</f>
        <v>0</v>
      </c>
      <c r="H77" s="286"/>
      <c r="I77" s="286"/>
      <c r="J77" s="286"/>
    </row>
    <row r="78" spans="2:11">
      <c r="B78" s="295" t="s">
        <v>2</v>
      </c>
      <c r="C78" s="294">
        <f>SUM(C73:C76)</f>
        <v>6507468</v>
      </c>
      <c r="D78" s="294">
        <f>SUM(D73:D76)</f>
        <v>6132618</v>
      </c>
      <c r="E78" s="295"/>
      <c r="F78" s="294">
        <f>SUM(F73:F76)</f>
        <v>2561786</v>
      </c>
      <c r="G78" s="286">
        <f>+BA!G107</f>
        <v>0</v>
      </c>
      <c r="H78" s="294">
        <f>SUM(H73:H76)</f>
        <v>3310296</v>
      </c>
      <c r="I78" s="294">
        <f>SUM(I73:I76)</f>
        <v>1223455</v>
      </c>
      <c r="J78" s="294" t="e">
        <f>SUM(J73:J76)</f>
        <v>#REF!</v>
      </c>
    </row>
    <row r="79" spans="2:11">
      <c r="B79" s="293"/>
      <c r="C79" s="304"/>
      <c r="D79" s="304"/>
      <c r="E79" s="293"/>
      <c r="F79" s="304"/>
      <c r="G79" s="304"/>
      <c r="H79" s="304"/>
      <c r="I79" s="304"/>
      <c r="J79" s="304"/>
    </row>
    <row r="80" spans="2:11">
      <c r="B80" s="296"/>
      <c r="C80" s="304">
        <f>+D45</f>
        <v>0</v>
      </c>
      <c r="D80" s="304">
        <f>+E45</f>
        <v>0</v>
      </c>
      <c r="E80" s="296"/>
      <c r="F80" s="304">
        <f>+F45</f>
        <v>0</v>
      </c>
      <c r="G80" s="304">
        <f>+G45</f>
        <v>0</v>
      </c>
      <c r="H80" s="304">
        <f>+H45</f>
        <v>0</v>
      </c>
      <c r="I80" s="304">
        <f>+I45</f>
        <v>0</v>
      </c>
      <c r="J80" s="304" t="e">
        <f>+J45</f>
        <v>#REF!</v>
      </c>
    </row>
    <row r="81" spans="2:10">
      <c r="B81" s="293"/>
      <c r="C81" s="296"/>
      <c r="D81" s="296"/>
      <c r="E81" s="293"/>
      <c r="F81" s="296"/>
      <c r="G81" s="296"/>
      <c r="H81" s="296"/>
      <c r="I81" s="296"/>
      <c r="J81" s="296"/>
    </row>
    <row r="82" spans="2:10">
      <c r="B82" s="293"/>
      <c r="C82" s="287" t="str">
        <f>+C72</f>
        <v>31 Dhjetor 2018</v>
      </c>
      <c r="D82" s="287" t="str">
        <f>+D72</f>
        <v>31 Dhjetor 2017</v>
      </c>
      <c r="E82" s="293"/>
      <c r="F82" s="287" t="str">
        <f>+F72</f>
        <v>31 Dhjetor 2016</v>
      </c>
      <c r="G82" s="287" t="str">
        <f>+G72</f>
        <v>30 Prill 2015</v>
      </c>
      <c r="H82" s="287" t="str">
        <f>+H72</f>
        <v>31 Dhjetor 2014</v>
      </c>
      <c r="I82" s="287" t="str">
        <f>+I72</f>
        <v>31 Dhjetor 2012</v>
      </c>
      <c r="J82" s="287" t="s">
        <v>528</v>
      </c>
    </row>
    <row r="83" spans="2:10">
      <c r="B83" s="293" t="s">
        <v>115</v>
      </c>
      <c r="C83" s="286">
        <f>+BK!D48</f>
        <v>0</v>
      </c>
      <c r="D83" s="286">
        <f>+BK!E48</f>
        <v>0</v>
      </c>
      <c r="E83" s="293"/>
      <c r="F83" s="286">
        <f>+BK!F48</f>
        <v>0</v>
      </c>
      <c r="G83" s="286">
        <f>+BK!G48</f>
        <v>1034212</v>
      </c>
      <c r="H83" s="286">
        <f>+BK!H48</f>
        <v>794212</v>
      </c>
      <c r="I83" s="286">
        <f>+BK!I48</f>
        <v>1280873</v>
      </c>
      <c r="J83" s="286" t="e">
        <f>+BK!J48</f>
        <v>#REF!</v>
      </c>
    </row>
    <row r="84" spans="2:10">
      <c r="B84" s="293"/>
      <c r="C84" s="286"/>
      <c r="D84" s="286"/>
      <c r="E84" s="293"/>
      <c r="F84" s="286"/>
      <c r="G84" s="286"/>
      <c r="H84" s="286"/>
      <c r="I84" s="286"/>
      <c r="J84" s="286"/>
    </row>
    <row r="85" spans="2:10">
      <c r="B85" s="295" t="s">
        <v>2</v>
      </c>
      <c r="C85" s="294">
        <f>SUM(C83:C83)</f>
        <v>0</v>
      </c>
      <c r="D85" s="294">
        <f>SUM(D83:D83)</f>
        <v>0</v>
      </c>
      <c r="E85" s="295"/>
      <c r="F85" s="294">
        <f>SUM(F83:F83)</f>
        <v>0</v>
      </c>
      <c r="G85" s="294">
        <f>SUM(G83:G83)</f>
        <v>1034212</v>
      </c>
      <c r="H85" s="294">
        <f>SUM(H83:H83)</f>
        <v>794212</v>
      </c>
      <c r="I85" s="294">
        <f>SUM(I83:I83)</f>
        <v>1280873</v>
      </c>
      <c r="J85" s="294" t="e">
        <f>SUM(J83:J83)</f>
        <v>#REF!</v>
      </c>
    </row>
    <row r="86" spans="2:10">
      <c r="B86" s="293"/>
      <c r="C86" s="297">
        <f>+BK!D48</f>
        <v>0</v>
      </c>
      <c r="D86" s="297">
        <f>+BK!E48</f>
        <v>0</v>
      </c>
      <c r="E86" s="293"/>
      <c r="F86" s="297">
        <f>+BK!F48</f>
        <v>0</v>
      </c>
      <c r="G86" s="297">
        <f>+BK!G48</f>
        <v>1034212</v>
      </c>
      <c r="H86" s="297">
        <f>+BK!H48</f>
        <v>794212</v>
      </c>
      <c r="I86" s="297">
        <f>+BK!I48</f>
        <v>1280873</v>
      </c>
      <c r="J86" s="297" t="e">
        <f>+BK!J48</f>
        <v>#REF!</v>
      </c>
    </row>
    <row r="87" spans="2:10">
      <c r="B87" s="293"/>
      <c r="C87" s="296"/>
      <c r="D87" s="296"/>
      <c r="E87" s="293"/>
      <c r="F87" s="296"/>
      <c r="G87" s="296"/>
      <c r="H87" s="296"/>
      <c r="I87" s="296"/>
      <c r="J87" s="296"/>
    </row>
    <row r="88" spans="2:10">
      <c r="B88" s="293" t="s">
        <v>488</v>
      </c>
      <c r="C88" s="293"/>
      <c r="D88" s="293"/>
      <c r="E88" s="293"/>
      <c r="F88" s="293"/>
      <c r="G88" s="293"/>
      <c r="H88" s="293"/>
      <c r="I88" s="293"/>
      <c r="J88" s="293"/>
    </row>
    <row r="89" spans="2:10">
      <c r="B89" s="286"/>
      <c r="C89" s="287" t="str">
        <f>+C82</f>
        <v>31 Dhjetor 2018</v>
      </c>
      <c r="D89" s="287" t="str">
        <f>+D82</f>
        <v>31 Dhjetor 2017</v>
      </c>
      <c r="E89" s="286"/>
      <c r="F89" s="287" t="str">
        <f>+F82</f>
        <v>31 Dhjetor 2016</v>
      </c>
      <c r="G89" s="287" t="str">
        <f>+G82</f>
        <v>30 Prill 2015</v>
      </c>
      <c r="H89" s="287" t="str">
        <f>+H82</f>
        <v>31 Dhjetor 2014</v>
      </c>
      <c r="I89" s="287" t="str">
        <f>+I82</f>
        <v>31 Dhjetor 2012</v>
      </c>
      <c r="J89" s="287" t="s">
        <v>528</v>
      </c>
    </row>
    <row r="90" spans="2:10">
      <c r="B90" s="286" t="s">
        <v>591</v>
      </c>
      <c r="C90" s="286">
        <f>+BA!D45</f>
        <v>66000</v>
      </c>
      <c r="D90" s="286">
        <f>+BA!E45</f>
        <v>66000</v>
      </c>
      <c r="E90" s="286"/>
      <c r="F90" s="286">
        <f>+BA!F45</f>
        <v>6000</v>
      </c>
      <c r="G90" s="286">
        <f>+BA!G45</f>
        <v>6000</v>
      </c>
      <c r="H90" s="286">
        <f>+BA!H45</f>
        <v>6000</v>
      </c>
      <c r="I90" s="286">
        <f>+BA!I45</f>
        <v>492661</v>
      </c>
      <c r="J90" s="286" t="e">
        <f>+BA!#REF!</f>
        <v>#REF!</v>
      </c>
    </row>
    <row r="91" spans="2:10">
      <c r="B91" s="290" t="s">
        <v>2</v>
      </c>
      <c r="C91" s="292">
        <f>SUM(C90:C90)</f>
        <v>66000</v>
      </c>
      <c r="D91" s="292">
        <f>SUM(D90:D90)</f>
        <v>66000</v>
      </c>
      <c r="E91" s="290"/>
      <c r="F91" s="292">
        <f>SUM(F90:F90)</f>
        <v>6000</v>
      </c>
      <c r="G91" s="292">
        <f>SUM(G90:G90)</f>
        <v>6000</v>
      </c>
      <c r="H91" s="292">
        <f>SUM(H90:H90)</f>
        <v>6000</v>
      </c>
      <c r="I91" s="292">
        <f>SUM(I90:I90)</f>
        <v>492661</v>
      </c>
      <c r="J91" s="292" t="e">
        <f>SUM(J90:J90)</f>
        <v>#REF!</v>
      </c>
    </row>
    <row r="92" spans="2:10">
      <c r="B92" s="286"/>
      <c r="C92" s="306">
        <f>+D20</f>
        <v>66000</v>
      </c>
      <c r="D92" s="306">
        <f>+E20</f>
        <v>0</v>
      </c>
      <c r="E92" s="286"/>
      <c r="F92" s="306">
        <f>+F20</f>
        <v>6000</v>
      </c>
      <c r="G92" s="306">
        <f>+G20</f>
        <v>6000</v>
      </c>
      <c r="H92" s="306">
        <f>+H20</f>
        <v>6000</v>
      </c>
      <c r="I92" s="306">
        <f>+I20</f>
        <v>0</v>
      </c>
      <c r="J92" s="306" t="e">
        <f>+J20</f>
        <v>#REF!</v>
      </c>
    </row>
    <row r="93" spans="2:10">
      <c r="B93" s="292" t="s">
        <v>489</v>
      </c>
      <c r="C93" s="286"/>
      <c r="D93" s="286"/>
      <c r="E93" s="307"/>
      <c r="F93" s="286"/>
      <c r="G93" s="286"/>
      <c r="H93" s="286"/>
      <c r="I93" s="286"/>
      <c r="J93" s="286"/>
    </row>
    <row r="94" spans="2:10">
      <c r="B94" s="286" t="s">
        <v>451</v>
      </c>
      <c r="C94" s="287" t="str">
        <f>+C89</f>
        <v>31 Dhjetor 2018</v>
      </c>
      <c r="D94" s="287" t="str">
        <f>+D89</f>
        <v>31 Dhjetor 2017</v>
      </c>
      <c r="E94" s="287" t="s">
        <v>610</v>
      </c>
      <c r="F94" s="287" t="s">
        <v>600</v>
      </c>
      <c r="G94" s="287" t="s">
        <v>603</v>
      </c>
      <c r="H94" s="287" t="str">
        <f>+H89</f>
        <v>31 Dhjetor 2014</v>
      </c>
      <c r="I94" s="287" t="str">
        <f>+I89</f>
        <v>31 Dhjetor 2012</v>
      </c>
      <c r="J94" s="287" t="s">
        <v>528</v>
      </c>
    </row>
    <row r="95" spans="2:10">
      <c r="B95" s="286" t="s">
        <v>558</v>
      </c>
      <c r="C95" s="308">
        <f>+'A-Sh BA'!C14</f>
        <v>139030105</v>
      </c>
      <c r="D95" s="308">
        <f>+'A-Sh BA'!D14</f>
        <v>242267880</v>
      </c>
      <c r="E95" s="286">
        <f>+G95+F95</f>
        <v>14515520</v>
      </c>
      <c r="F95" s="308">
        <f>+'A-Sh BA'!E14</f>
        <v>10016075</v>
      </c>
      <c r="G95" s="308">
        <f>+'A-Sh BA'!F14</f>
        <v>4499445</v>
      </c>
      <c r="H95" s="308">
        <f>+'A-Sh BA'!G14</f>
        <v>1533330</v>
      </c>
      <c r="I95" s="308">
        <f>+'A-Sh BA'!H15</f>
        <v>0</v>
      </c>
      <c r="J95" s="308" t="e">
        <f>+'A-Sh BA'!#REF!</f>
        <v>#REF!</v>
      </c>
    </row>
    <row r="96" spans="2:10">
      <c r="B96" s="290" t="s">
        <v>2</v>
      </c>
      <c r="C96" s="292">
        <f>SUM(C95:C95)</f>
        <v>139030105</v>
      </c>
      <c r="D96" s="292">
        <f>SUM(D95:D95)</f>
        <v>242267880</v>
      </c>
      <c r="E96" s="292">
        <f>+G96+F96</f>
        <v>14515520</v>
      </c>
      <c r="F96" s="292">
        <f>SUM(F95:F95)</f>
        <v>10016075</v>
      </c>
      <c r="G96" s="292">
        <f>SUM(G95:G95)</f>
        <v>4499445</v>
      </c>
      <c r="H96" s="292">
        <f>SUM(H95:H95)</f>
        <v>1533330</v>
      </c>
      <c r="I96" s="292">
        <f>SUM(I95:I95)</f>
        <v>0</v>
      </c>
      <c r="J96" s="292" t="e">
        <f>SUM(J95:J95)</f>
        <v>#REF!</v>
      </c>
    </row>
    <row r="97" spans="2:11">
      <c r="B97" s="286"/>
      <c r="C97" s="306">
        <f>'ardh-shpenz'!D8</f>
        <v>139030105</v>
      </c>
      <c r="D97" s="306">
        <f>'ardh-shpenz'!E8</f>
        <v>242267880</v>
      </c>
      <c r="E97" s="286"/>
      <c r="F97" s="306">
        <f>'ardh-shpenz'!G8</f>
        <v>10016075</v>
      </c>
      <c r="G97" s="306">
        <f>'ardh-shpenz'!H8</f>
        <v>4499445</v>
      </c>
      <c r="H97" s="306">
        <f>'ardh-shpenz'!I8</f>
        <v>1533330</v>
      </c>
      <c r="I97" s="306">
        <f>'ardh-shpenz'!J8</f>
        <v>1950000</v>
      </c>
      <c r="J97" s="306" t="e">
        <f>'ardh-shpenz'!K8</f>
        <v>#REF!</v>
      </c>
    </row>
    <row r="98" spans="2:11">
      <c r="B98" s="286"/>
      <c r="C98" s="306"/>
      <c r="D98" s="306"/>
      <c r="E98" s="286"/>
      <c r="F98" s="306"/>
      <c r="G98" s="306"/>
      <c r="H98" s="306"/>
      <c r="I98" s="306"/>
      <c r="J98" s="306"/>
    </row>
    <row r="99" spans="2:11">
      <c r="B99" s="286"/>
      <c r="C99" s="287" t="str">
        <f>+C94</f>
        <v>31 Dhjetor 2018</v>
      </c>
      <c r="D99" s="287" t="str">
        <f>+D94</f>
        <v>31 Dhjetor 2017</v>
      </c>
      <c r="E99" s="286"/>
      <c r="F99" s="287" t="str">
        <f>+F94</f>
        <v>01/05-31/12/2015</v>
      </c>
      <c r="G99" s="287" t="str">
        <f>+G94</f>
        <v>01/01-30/04/2015</v>
      </c>
      <c r="H99" s="287" t="str">
        <f>+H94</f>
        <v>31 Dhjetor 2014</v>
      </c>
      <c r="I99" s="287" t="str">
        <f>+I94</f>
        <v>31 Dhjetor 2012</v>
      </c>
      <c r="J99" s="287" t="s">
        <v>528</v>
      </c>
    </row>
    <row r="100" spans="2:11">
      <c r="B100" s="286" t="s">
        <v>418</v>
      </c>
      <c r="C100" s="286">
        <v>0</v>
      </c>
      <c r="D100" s="286">
        <v>0</v>
      </c>
      <c r="E100" s="286"/>
      <c r="F100" s="286">
        <v>0</v>
      </c>
      <c r="G100" s="286">
        <v>0</v>
      </c>
      <c r="H100" s="286">
        <v>0</v>
      </c>
      <c r="I100" s="286">
        <v>0</v>
      </c>
      <c r="J100" s="286">
        <v>0</v>
      </c>
    </row>
    <row r="101" spans="2:11">
      <c r="B101" s="286" t="s">
        <v>130</v>
      </c>
      <c r="C101" s="286">
        <v>0</v>
      </c>
      <c r="D101" s="286">
        <v>0</v>
      </c>
      <c r="E101" s="286"/>
      <c r="F101" s="286">
        <v>0</v>
      </c>
      <c r="G101" s="286">
        <v>0</v>
      </c>
      <c r="H101" s="286">
        <v>0</v>
      </c>
      <c r="I101" s="286">
        <v>0</v>
      </c>
      <c r="J101" s="286">
        <v>0</v>
      </c>
    </row>
    <row r="102" spans="2:11">
      <c r="B102" s="286"/>
      <c r="C102" s="294"/>
      <c r="D102" s="294"/>
      <c r="E102" s="286"/>
      <c r="F102" s="294"/>
      <c r="G102" s="294"/>
      <c r="H102" s="294"/>
      <c r="I102" s="294"/>
      <c r="J102" s="294"/>
    </row>
    <row r="103" spans="2:11">
      <c r="B103" s="290" t="s">
        <v>2</v>
      </c>
      <c r="C103" s="292">
        <f>SUM(C100:C102)</f>
        <v>0</v>
      </c>
      <c r="D103" s="292">
        <f>SUM(D100:D102)</f>
        <v>0</v>
      </c>
      <c r="E103" s="290"/>
      <c r="F103" s="292">
        <f>SUM(F100:F102)</f>
        <v>0</v>
      </c>
      <c r="G103" s="292">
        <f>SUM(G100:G102)</f>
        <v>0</v>
      </c>
      <c r="H103" s="292">
        <f>SUM(H100:H102)</f>
        <v>0</v>
      </c>
      <c r="I103" s="292">
        <f>SUM(I100:I102)</f>
        <v>0</v>
      </c>
      <c r="J103" s="292">
        <f>SUM(J100:J102)</f>
        <v>0</v>
      </c>
    </row>
    <row r="104" spans="2:11">
      <c r="B104" s="286"/>
      <c r="C104" s="306"/>
      <c r="D104" s="306"/>
      <c r="E104" s="286"/>
      <c r="F104" s="306"/>
      <c r="G104" s="306"/>
      <c r="H104" s="306"/>
      <c r="I104" s="306"/>
      <c r="J104" s="306"/>
    </row>
    <row r="105" spans="2:11">
      <c r="B105" s="309"/>
      <c r="C105" s="286"/>
      <c r="D105" s="286"/>
      <c r="E105" s="309"/>
      <c r="F105" s="286"/>
      <c r="G105" s="286"/>
      <c r="H105" s="286"/>
      <c r="I105" s="286"/>
      <c r="J105" s="286"/>
    </row>
    <row r="106" spans="2:11">
      <c r="B106" s="286" t="s">
        <v>451</v>
      </c>
      <c r="C106" s="287" t="str">
        <f>+C99</f>
        <v>31 Dhjetor 2018</v>
      </c>
      <c r="D106" s="287" t="str">
        <f>+D99</f>
        <v>31 Dhjetor 2017</v>
      </c>
      <c r="E106" s="286" t="str">
        <f>+E94</f>
        <v>31 Dhjetor 2016</v>
      </c>
      <c r="F106" s="287" t="str">
        <f>+F99</f>
        <v>01/05-31/12/2015</v>
      </c>
      <c r="G106" s="287" t="str">
        <f>+G99</f>
        <v>01/01-30/04/2015</v>
      </c>
      <c r="H106" s="287" t="str">
        <f>+H99</f>
        <v>31 Dhjetor 2014</v>
      </c>
      <c r="I106" s="287" t="str">
        <f>+I99</f>
        <v>31 Dhjetor 2012</v>
      </c>
      <c r="J106" s="287" t="s">
        <v>528</v>
      </c>
    </row>
    <row r="107" spans="2:11">
      <c r="B107" s="286" t="s">
        <v>604</v>
      </c>
      <c r="C107" s="286">
        <f>+'A-Sh BA'!C66</f>
        <v>136417240</v>
      </c>
      <c r="D107" s="286">
        <f>+'A-Sh BA'!D66</f>
        <v>122331341</v>
      </c>
      <c r="E107" s="286">
        <f>+G107+F107</f>
        <v>3969784</v>
      </c>
      <c r="F107" s="286">
        <f>+'A-Sh BA'!E66</f>
        <v>1382569</v>
      </c>
      <c r="G107" s="286">
        <f>+'A-Sh BA'!F66</f>
        <v>2587215</v>
      </c>
      <c r="H107" s="286">
        <f>+'A-Sh BA'!G66</f>
        <v>0</v>
      </c>
      <c r="I107" s="286">
        <f>+'A-Sh BA'!H69</f>
        <v>0</v>
      </c>
      <c r="J107" s="286" t="e">
        <f>+'A-Sh BA'!#REF!</f>
        <v>#REF!</v>
      </c>
    </row>
    <row r="108" spans="2:11">
      <c r="B108" s="286" t="s">
        <v>555</v>
      </c>
      <c r="C108" s="286">
        <f>+'A-Sh BA'!C67</f>
        <v>0</v>
      </c>
      <c r="D108" s="286">
        <f>+'A-Sh BA'!D67</f>
        <v>0</v>
      </c>
      <c r="E108" s="286">
        <f>+G108+F108</f>
        <v>0</v>
      </c>
      <c r="F108" s="286">
        <f>+'A-Sh BA'!E67</f>
        <v>1419573</v>
      </c>
      <c r="G108" s="286">
        <f>+'A-Sh BA'!F67</f>
        <v>-1419573</v>
      </c>
      <c r="H108" s="286">
        <f>+'A-Sh BA'!G67</f>
        <v>0</v>
      </c>
      <c r="I108" s="286">
        <f>+'A-Sh BA'!H67</f>
        <v>0</v>
      </c>
      <c r="J108" s="286">
        <f>+'A-Sh BA'!I67</f>
        <v>0</v>
      </c>
      <c r="K108" s="286">
        <f>+'A-Sh BA'!J67</f>
        <v>0</v>
      </c>
    </row>
    <row r="109" spans="2:11">
      <c r="B109" s="290" t="s">
        <v>2</v>
      </c>
      <c r="C109" s="292">
        <f>SUM(C107:C108)</f>
        <v>136417240</v>
      </c>
      <c r="D109" s="292">
        <f>SUM(D107:D108)</f>
        <v>122331341</v>
      </c>
      <c r="E109" s="286">
        <f>+G109+F109</f>
        <v>3969784</v>
      </c>
      <c r="F109" s="292">
        <f>SUM(F107:F108)</f>
        <v>2802142</v>
      </c>
      <c r="G109" s="292">
        <f>SUM(G107:G108)</f>
        <v>1167642</v>
      </c>
      <c r="H109" s="292">
        <f>SUM(H107:H108)</f>
        <v>0</v>
      </c>
      <c r="I109" s="292">
        <f>SUM(I107:I108)</f>
        <v>0</v>
      </c>
      <c r="J109" s="292" t="e">
        <f>SUM(J107:J108)</f>
        <v>#REF!</v>
      </c>
    </row>
    <row r="110" spans="2:11">
      <c r="B110" s="286"/>
      <c r="C110" s="410">
        <f>+'ardh-shpenz'!D12</f>
        <v>-136417240</v>
      </c>
      <c r="D110" s="410">
        <f>+'ardh-shpenz'!E12</f>
        <v>-122331341</v>
      </c>
      <c r="E110" s="286">
        <f>SUM(F110:G110)</f>
        <v>-3969784</v>
      </c>
      <c r="F110" s="410">
        <f>+'ardh-shpenz'!G12</f>
        <v>-2802142</v>
      </c>
      <c r="G110" s="410">
        <f>+'ardh-shpenz'!H12</f>
        <v>-1167642</v>
      </c>
      <c r="H110" s="286">
        <f>+'ardh-shpenz'!I12</f>
        <v>0</v>
      </c>
      <c r="I110" s="286">
        <f>+'ardh-shpenz'!J12</f>
        <v>0</v>
      </c>
      <c r="J110" s="286" t="e">
        <f>+'ardh-shpenz'!K12</f>
        <v>#REF!</v>
      </c>
    </row>
    <row r="111" spans="2:11">
      <c r="B111" s="286"/>
      <c r="C111" s="286"/>
      <c r="D111" s="286"/>
      <c r="E111" s="286"/>
      <c r="F111" s="286"/>
      <c r="G111" s="286"/>
      <c r="H111" s="286"/>
      <c r="I111" s="286"/>
      <c r="J111" s="286"/>
    </row>
    <row r="112" spans="2:11">
      <c r="B112" s="286" t="s">
        <v>312</v>
      </c>
      <c r="C112" s="286"/>
      <c r="D112" s="286"/>
      <c r="E112" s="286"/>
      <c r="F112" s="286"/>
      <c r="G112" s="286"/>
      <c r="H112" s="286"/>
      <c r="I112" s="286"/>
      <c r="J112" s="286"/>
    </row>
    <row r="113" spans="2:16">
      <c r="B113" s="286" t="s">
        <v>451</v>
      </c>
      <c r="C113" s="287" t="str">
        <f>+C106</f>
        <v>31 Dhjetor 2018</v>
      </c>
      <c r="D113" s="287" t="str">
        <f t="shared" ref="D113:I113" si="0">+D106</f>
        <v>31 Dhjetor 2017</v>
      </c>
      <c r="E113" s="286" t="str">
        <f t="shared" si="0"/>
        <v>31 Dhjetor 2016</v>
      </c>
      <c r="F113" s="287" t="str">
        <f t="shared" si="0"/>
        <v>01/05-31/12/2015</v>
      </c>
      <c r="G113" s="287" t="str">
        <f t="shared" si="0"/>
        <v>01/01-30/04/2015</v>
      </c>
      <c r="H113" s="287" t="str">
        <f t="shared" si="0"/>
        <v>31 Dhjetor 2014</v>
      </c>
      <c r="I113" s="287" t="str">
        <f t="shared" si="0"/>
        <v>31 Dhjetor 2012</v>
      </c>
      <c r="J113" s="287" t="s">
        <v>528</v>
      </c>
    </row>
    <row r="114" spans="2:16">
      <c r="B114" s="293" t="s">
        <v>106</v>
      </c>
      <c r="C114" s="286">
        <f>+'A-Sh BA'!C73</f>
        <v>1379500</v>
      </c>
      <c r="D114" s="286">
        <f>+'A-Sh BA'!D73</f>
        <v>1978760</v>
      </c>
      <c r="E114" s="439">
        <f>+G114+F114</f>
        <v>2812000</v>
      </c>
      <c r="F114" s="286">
        <f>+'A-Sh BA'!E73</f>
        <v>1351000</v>
      </c>
      <c r="G114" s="286">
        <f>+'A-Sh BA'!F73</f>
        <v>1461000</v>
      </c>
      <c r="H114" s="286">
        <f>+'A-Sh BA'!G73</f>
        <v>2471000</v>
      </c>
      <c r="I114" s="286">
        <f>+'A-Sh BA'!H73</f>
        <v>2150000</v>
      </c>
      <c r="J114" s="286" t="e">
        <f>+'A-Sh BA'!#REF!</f>
        <v>#REF!</v>
      </c>
    </row>
    <row r="115" spans="2:16">
      <c r="B115" s="286" t="s">
        <v>104</v>
      </c>
      <c r="C115" s="286">
        <f>+'A-Sh BA'!C75</f>
        <v>177979</v>
      </c>
      <c r="D115" s="286">
        <f>+'A-Sh BA'!D75</f>
        <v>276455</v>
      </c>
      <c r="E115" s="439">
        <f>+G115+F115</f>
        <v>413266</v>
      </c>
      <c r="F115" s="286">
        <f>+'A-Sh BA'!E75</f>
        <v>196279</v>
      </c>
      <c r="G115" s="286">
        <f>+'A-Sh BA'!F75</f>
        <v>216987</v>
      </c>
      <c r="H115" s="286">
        <f>+'A-Sh BA'!G75</f>
        <v>351907</v>
      </c>
      <c r="I115" s="286">
        <f>+'A-Sh BA'!H75</f>
        <v>269635</v>
      </c>
      <c r="J115" s="286" t="e">
        <f>+'A-Sh BA'!#REF!</f>
        <v>#REF!</v>
      </c>
    </row>
    <row r="116" spans="2:16">
      <c r="B116" s="290" t="s">
        <v>2</v>
      </c>
      <c r="C116" s="292">
        <f>SUM(C114:C115)</f>
        <v>1557479</v>
      </c>
      <c r="D116" s="292">
        <f>SUM(D114:D115)</f>
        <v>2255215</v>
      </c>
      <c r="E116" s="439">
        <f>+G116+F116</f>
        <v>3225266</v>
      </c>
      <c r="F116" s="292">
        <f>SUM(F114:F115)</f>
        <v>1547279</v>
      </c>
      <c r="G116" s="292">
        <f>SUM(G114:G115)</f>
        <v>1677987</v>
      </c>
      <c r="H116" s="292">
        <f>SUM(H114:H115)</f>
        <v>2822907</v>
      </c>
      <c r="I116" s="292">
        <f>SUM(I114:I115)</f>
        <v>2419635</v>
      </c>
      <c r="J116" s="292" t="e">
        <f>SUM(J114:J115)</f>
        <v>#REF!</v>
      </c>
    </row>
    <row r="117" spans="2:16">
      <c r="B117" s="286"/>
      <c r="C117" s="306">
        <f>+'ardh-shpenz'!D14</f>
        <v>-1557479</v>
      </c>
      <c r="D117" s="306">
        <f>+'ardh-shpenz'!E14</f>
        <v>-2255215</v>
      </c>
      <c r="E117" s="286">
        <f>SUM(F117:G117)</f>
        <v>-3225266</v>
      </c>
      <c r="F117" s="306">
        <f>+'ardh-shpenz'!G14</f>
        <v>-1547279</v>
      </c>
      <c r="G117" s="306">
        <f>+'ardh-shpenz'!H14</f>
        <v>-1677987</v>
      </c>
      <c r="H117" s="306">
        <f>+'ardh-shpenz'!I14</f>
        <v>-2822907</v>
      </c>
      <c r="I117" s="306">
        <f>+'ardh-shpenz'!J14</f>
        <v>-2419635</v>
      </c>
      <c r="J117" s="306" t="e">
        <f>+'ardh-shpenz'!K14</f>
        <v>#REF!</v>
      </c>
    </row>
    <row r="118" spans="2:16">
      <c r="B118" s="286"/>
      <c r="C118" s="286"/>
      <c r="D118" s="286"/>
      <c r="E118" s="286"/>
      <c r="F118" s="286"/>
      <c r="G118" s="286"/>
      <c r="H118" s="286"/>
      <c r="I118" s="286"/>
      <c r="J118" s="286"/>
    </row>
    <row r="119" spans="2:16">
      <c r="B119" s="286" t="s">
        <v>83</v>
      </c>
      <c r="C119" s="286"/>
      <c r="D119" s="286"/>
      <c r="E119" s="286"/>
      <c r="F119" s="286"/>
      <c r="G119" s="286"/>
      <c r="H119" s="286"/>
      <c r="I119" s="286"/>
      <c r="J119" s="286"/>
    </row>
    <row r="120" spans="2:16">
      <c r="B120" s="286" t="s">
        <v>451</v>
      </c>
      <c r="C120" s="287" t="str">
        <f>+C113</f>
        <v>31 Dhjetor 2018</v>
      </c>
      <c r="D120" s="287" t="str">
        <f t="shared" ref="D120:I120" si="1">+D113</f>
        <v>31 Dhjetor 2017</v>
      </c>
      <c r="E120" s="286" t="str">
        <f t="shared" si="1"/>
        <v>31 Dhjetor 2016</v>
      </c>
      <c r="F120" s="287" t="str">
        <f t="shared" si="1"/>
        <v>01/05-31/12/2015</v>
      </c>
      <c r="G120" s="287" t="str">
        <f t="shared" si="1"/>
        <v>01/01-30/04/2015</v>
      </c>
      <c r="H120" s="287" t="str">
        <f t="shared" si="1"/>
        <v>31 Dhjetor 2014</v>
      </c>
      <c r="I120" s="287" t="str">
        <f t="shared" si="1"/>
        <v>31 Dhjetor 2012</v>
      </c>
      <c r="J120" s="287" t="s">
        <v>528</v>
      </c>
    </row>
    <row r="121" spans="2:16" hidden="1">
      <c r="B121" s="286" t="s">
        <v>611</v>
      </c>
      <c r="C121" s="360">
        <v>0</v>
      </c>
      <c r="D121" s="360">
        <v>0</v>
      </c>
      <c r="E121" s="286"/>
      <c r="F121" s="287"/>
      <c r="G121" s="287"/>
      <c r="H121" s="287"/>
      <c r="I121" s="287"/>
      <c r="J121" s="287"/>
    </row>
    <row r="122" spans="2:16" hidden="1">
      <c r="B122" s="414" t="s">
        <v>588</v>
      </c>
      <c r="C122" s="360">
        <v>0</v>
      </c>
      <c r="D122" s="360">
        <v>0</v>
      </c>
      <c r="E122" s="414">
        <v>0</v>
      </c>
      <c r="F122" s="360">
        <v>146000</v>
      </c>
      <c r="G122" s="360">
        <v>40000</v>
      </c>
      <c r="H122" s="360">
        <v>10000</v>
      </c>
      <c r="I122" s="289" t="e">
        <f>+#REF!*1000</f>
        <v>#REF!</v>
      </c>
      <c r="J122" s="289" t="e">
        <f>+#REF!*1000</f>
        <v>#REF!</v>
      </c>
      <c r="M122"/>
      <c r="N122"/>
      <c r="O122" s="358"/>
      <c r="P122"/>
    </row>
    <row r="123" spans="2:16">
      <c r="B123" s="414" t="s">
        <v>705</v>
      </c>
      <c r="C123" s="360">
        <v>13075</v>
      </c>
      <c r="D123" s="360"/>
      <c r="E123" s="414"/>
      <c r="F123" s="360"/>
      <c r="G123" s="360"/>
      <c r="H123" s="360"/>
      <c r="I123" s="289"/>
      <c r="J123" s="289"/>
      <c r="M123"/>
      <c r="N123"/>
      <c r="O123" s="358"/>
      <c r="P123"/>
    </row>
    <row r="124" spans="2:16">
      <c r="B124" s="414" t="s">
        <v>592</v>
      </c>
      <c r="C124" s="360">
        <v>56776</v>
      </c>
      <c r="D124" s="360">
        <v>559646</v>
      </c>
      <c r="E124" s="414">
        <v>3083540</v>
      </c>
      <c r="F124" s="360">
        <v>6667</v>
      </c>
      <c r="G124" s="360">
        <v>0</v>
      </c>
      <c r="H124" s="360">
        <v>0</v>
      </c>
      <c r="I124" s="289">
        <v>21940</v>
      </c>
      <c r="J124" s="289" t="e">
        <f>+#REF!*1000</f>
        <v>#REF!</v>
      </c>
      <c r="M124"/>
      <c r="N124"/>
      <c r="O124" s="358"/>
      <c r="P124"/>
    </row>
    <row r="125" spans="2:16">
      <c r="B125" s="414" t="s">
        <v>612</v>
      </c>
      <c r="C125" s="360">
        <f>382500+628</f>
        <v>383128</v>
      </c>
      <c r="D125" s="360">
        <v>904105</v>
      </c>
      <c r="E125" s="414">
        <v>0</v>
      </c>
      <c r="F125" s="360">
        <f>2400+136883</f>
        <v>139283</v>
      </c>
      <c r="G125" s="360">
        <v>7500</v>
      </c>
      <c r="H125" s="360"/>
      <c r="I125" s="289">
        <v>118889</v>
      </c>
      <c r="J125" s="289"/>
      <c r="M125"/>
      <c r="N125"/>
      <c r="O125" s="358"/>
      <c r="P125"/>
    </row>
    <row r="126" spans="2:16">
      <c r="B126" s="414" t="s">
        <v>593</v>
      </c>
      <c r="C126" s="360">
        <v>4335465</v>
      </c>
      <c r="D126" s="360">
        <v>106532348</v>
      </c>
      <c r="E126" s="414">
        <v>13655191</v>
      </c>
      <c r="F126" s="360">
        <v>2356251</v>
      </c>
      <c r="G126" s="360">
        <v>0</v>
      </c>
      <c r="H126" s="360">
        <v>126600</v>
      </c>
      <c r="I126" s="289"/>
      <c r="J126" s="289"/>
      <c r="M126"/>
      <c r="N126"/>
      <c r="O126" s="358"/>
      <c r="P126"/>
    </row>
    <row r="127" spans="2:16" hidden="1">
      <c r="B127" s="414" t="s">
        <v>677</v>
      </c>
      <c r="C127" s="360">
        <v>0</v>
      </c>
      <c r="D127" s="360">
        <v>0</v>
      </c>
      <c r="E127" s="414">
        <v>0</v>
      </c>
      <c r="F127" s="360">
        <v>413084</v>
      </c>
      <c r="G127" s="360">
        <v>0</v>
      </c>
      <c r="H127" s="360">
        <v>0</v>
      </c>
      <c r="I127" s="289">
        <v>0</v>
      </c>
      <c r="J127" s="289"/>
      <c r="M127"/>
      <c r="N127"/>
      <c r="O127" s="358"/>
      <c r="P127"/>
    </row>
    <row r="128" spans="2:16" hidden="1">
      <c r="B128" s="414" t="s">
        <v>543</v>
      </c>
      <c r="C128" s="360">
        <v>0</v>
      </c>
      <c r="D128" s="360">
        <v>0</v>
      </c>
      <c r="E128" s="414">
        <v>0</v>
      </c>
      <c r="F128" s="360">
        <v>5580</v>
      </c>
      <c r="G128" s="360">
        <v>0</v>
      </c>
      <c r="H128" s="360">
        <v>0</v>
      </c>
      <c r="I128" s="289">
        <v>27324</v>
      </c>
      <c r="J128" s="289"/>
      <c r="M128"/>
      <c r="N128"/>
      <c r="O128" s="358"/>
      <c r="P128"/>
    </row>
    <row r="129" spans="2:16">
      <c r="B129" s="414" t="s">
        <v>594</v>
      </c>
      <c r="C129" s="360">
        <v>1029000</v>
      </c>
      <c r="D129" s="360">
        <v>7275930</v>
      </c>
      <c r="E129" s="414">
        <v>1731830</v>
      </c>
      <c r="F129" s="360">
        <v>225000</v>
      </c>
      <c r="G129" s="360">
        <v>0</v>
      </c>
      <c r="H129" s="360">
        <v>320000</v>
      </c>
      <c r="I129" s="289"/>
      <c r="J129" s="289"/>
      <c r="M129"/>
      <c r="N129"/>
      <c r="O129" s="358"/>
      <c r="P129"/>
    </row>
    <row r="130" spans="2:16">
      <c r="B130" s="414" t="s">
        <v>605</v>
      </c>
      <c r="C130" s="360">
        <v>16277</v>
      </c>
      <c r="D130" s="360">
        <v>42164</v>
      </c>
      <c r="E130" s="414">
        <v>35553</v>
      </c>
      <c r="F130" s="360">
        <v>18606</v>
      </c>
      <c r="G130" s="360">
        <v>2750</v>
      </c>
      <c r="H130" s="360">
        <v>450</v>
      </c>
      <c r="I130" s="289"/>
      <c r="J130" s="289"/>
      <c r="M130"/>
      <c r="N130"/>
      <c r="O130" s="358"/>
      <c r="P130"/>
    </row>
    <row r="131" spans="2:16">
      <c r="B131" s="414" t="s">
        <v>595</v>
      </c>
      <c r="C131" s="360"/>
      <c r="D131" s="360">
        <f>225720+16822</f>
        <v>242542</v>
      </c>
      <c r="E131" s="414">
        <v>25245</v>
      </c>
      <c r="F131" s="360">
        <v>838</v>
      </c>
      <c r="G131" s="360">
        <f>7240+51260</f>
        <v>58500</v>
      </c>
      <c r="H131" s="360">
        <v>1578</v>
      </c>
      <c r="I131" s="289"/>
      <c r="J131" s="289"/>
      <c r="M131"/>
      <c r="N131"/>
      <c r="O131" s="358"/>
      <c r="P131"/>
    </row>
    <row r="132" spans="2:16">
      <c r="B132" s="288" t="s">
        <v>490</v>
      </c>
      <c r="C132" s="289">
        <v>0</v>
      </c>
      <c r="D132" s="289">
        <v>27624</v>
      </c>
      <c r="E132" s="414">
        <v>92796</v>
      </c>
      <c r="F132" s="289">
        <v>154545</v>
      </c>
      <c r="G132" s="289">
        <v>0</v>
      </c>
      <c r="H132" s="289">
        <v>0</v>
      </c>
      <c r="I132" s="289">
        <f>+'A-Sh BA'!H77</f>
        <v>0</v>
      </c>
      <c r="J132" s="289" t="e">
        <f>+#REF!*1000</f>
        <v>#REF!</v>
      </c>
      <c r="M132"/>
      <c r="N132"/>
      <c r="O132" s="358"/>
      <c r="P132"/>
    </row>
    <row r="133" spans="2:16">
      <c r="B133" s="290" t="s">
        <v>2</v>
      </c>
      <c r="C133" s="291">
        <f>SUM(C121:C132)</f>
        <v>5833721</v>
      </c>
      <c r="D133" s="291">
        <f>SUM(D121:D132)</f>
        <v>115584359</v>
      </c>
      <c r="E133" s="290">
        <f t="shared" ref="E133:J133" si="2">SUM(E122:E132)</f>
        <v>18624155</v>
      </c>
      <c r="F133" s="291">
        <f t="shared" si="2"/>
        <v>3465854</v>
      </c>
      <c r="G133" s="291">
        <f t="shared" si="2"/>
        <v>108750</v>
      </c>
      <c r="H133" s="291">
        <f t="shared" si="2"/>
        <v>458628</v>
      </c>
      <c r="I133" s="291" t="e">
        <f t="shared" si="2"/>
        <v>#REF!</v>
      </c>
      <c r="J133" s="291" t="e">
        <f t="shared" si="2"/>
        <v>#REF!</v>
      </c>
      <c r="M133"/>
      <c r="N133"/>
      <c r="O133" s="358"/>
      <c r="P133"/>
    </row>
    <row r="134" spans="2:16">
      <c r="B134" s="286"/>
      <c r="C134" s="306">
        <f>+'ardh-shpenz'!D13</f>
        <v>-5833721</v>
      </c>
      <c r="D134" s="306">
        <f>+'ardh-shpenz'!E13</f>
        <v>-115584359</v>
      </c>
      <c r="E134" s="286">
        <f>SUM(F134:G134)</f>
        <v>-9989827</v>
      </c>
      <c r="F134" s="306">
        <f>+'ardh-shpenz'!G13</f>
        <v>-8634328</v>
      </c>
      <c r="G134" s="306">
        <f>+'ardh-shpenz'!H13</f>
        <v>-1355499</v>
      </c>
      <c r="H134" s="306">
        <f>+'ardh-shpenz'!I13</f>
        <v>-708379</v>
      </c>
      <c r="I134" s="306"/>
      <c r="J134" s="306"/>
      <c r="M134"/>
      <c r="N134"/>
      <c r="O134" s="358"/>
      <c r="P134"/>
    </row>
    <row r="135" spans="2:16">
      <c r="B135" s="286"/>
      <c r="C135" s="306"/>
      <c r="D135" s="306"/>
      <c r="E135" s="286"/>
      <c r="F135" s="306"/>
      <c r="G135" s="306"/>
      <c r="H135" s="306"/>
      <c r="I135" s="306"/>
      <c r="J135" s="306"/>
      <c r="M135"/>
      <c r="N135"/>
      <c r="O135" s="358"/>
      <c r="P135"/>
    </row>
    <row r="136" spans="2:16">
      <c r="B136" s="286" t="s">
        <v>491</v>
      </c>
      <c r="C136" s="286"/>
      <c r="D136" s="286"/>
      <c r="E136" s="286"/>
      <c r="F136" s="286"/>
      <c r="G136" s="286"/>
      <c r="H136" s="286"/>
      <c r="I136" s="286"/>
      <c r="J136" s="286"/>
      <c r="M136"/>
      <c r="N136"/>
      <c r="O136" s="358"/>
      <c r="P136"/>
    </row>
    <row r="137" spans="2:16">
      <c r="B137" s="286" t="s">
        <v>451</v>
      </c>
      <c r="C137" s="287" t="str">
        <f>+C120</f>
        <v>31 Dhjetor 2018</v>
      </c>
      <c r="D137" s="287" t="str">
        <f t="shared" ref="D137:I137" si="3">+D120</f>
        <v>31 Dhjetor 2017</v>
      </c>
      <c r="E137" s="286" t="str">
        <f t="shared" si="3"/>
        <v>31 Dhjetor 2016</v>
      </c>
      <c r="F137" s="287" t="str">
        <f t="shared" si="3"/>
        <v>01/05-31/12/2015</v>
      </c>
      <c r="G137" s="287" t="str">
        <f t="shared" si="3"/>
        <v>01/01-30/04/2015</v>
      </c>
      <c r="H137" s="287" t="str">
        <f t="shared" si="3"/>
        <v>31 Dhjetor 2014</v>
      </c>
      <c r="I137" s="287" t="str">
        <f t="shared" si="3"/>
        <v>31 Dhjetor 2012</v>
      </c>
      <c r="J137" s="287" t="s">
        <v>528</v>
      </c>
      <c r="M137"/>
      <c r="N137"/>
      <c r="O137" s="358"/>
      <c r="P137"/>
    </row>
    <row r="138" spans="2:16">
      <c r="B138" s="293" t="s">
        <v>492</v>
      </c>
      <c r="C138" s="288">
        <f>+'A-Sh BA'!C82</f>
        <v>0</v>
      </c>
      <c r="D138" s="288">
        <f>+'A-Sh BA'!D82</f>
        <v>142358</v>
      </c>
      <c r="E138" s="475">
        <f>+G138+F138</f>
        <v>0</v>
      </c>
      <c r="F138" s="288">
        <f>+'A-Sh BA'!E82</f>
        <v>0</v>
      </c>
      <c r="G138" s="288">
        <f>+'A-Sh BA'!F82</f>
        <v>0</v>
      </c>
      <c r="H138" s="288">
        <f>+'A-Sh BA'!G82</f>
        <v>58105</v>
      </c>
      <c r="I138" s="288">
        <f>+'A-Sh BA'!H82</f>
        <v>135982</v>
      </c>
      <c r="J138" s="288" t="e">
        <f>+'A-Sh BA'!#REF!</f>
        <v>#REF!</v>
      </c>
      <c r="M138"/>
      <c r="N138"/>
      <c r="O138" s="358"/>
      <c r="P138"/>
    </row>
    <row r="139" spans="2:16">
      <c r="B139" s="290" t="s">
        <v>2</v>
      </c>
      <c r="C139" s="292">
        <f>SUM(C138:C138)</f>
        <v>0</v>
      </c>
      <c r="D139" s="292">
        <f>SUM(D138:D138)</f>
        <v>142358</v>
      </c>
      <c r="E139" s="475">
        <f>+G139+F139</f>
        <v>0</v>
      </c>
      <c r="F139" s="292">
        <f>SUM(F138:F138)</f>
        <v>0</v>
      </c>
      <c r="G139" s="292">
        <f>SUM(G138:G138)</f>
        <v>0</v>
      </c>
      <c r="H139" s="292">
        <f>SUM(H138:H138)</f>
        <v>58105</v>
      </c>
      <c r="I139" s="292">
        <f>SUM(I138:I138)</f>
        <v>135982</v>
      </c>
      <c r="J139" s="292" t="e">
        <f>SUM(J138:J138)</f>
        <v>#REF!</v>
      </c>
      <c r="M139"/>
      <c r="N139"/>
      <c r="O139"/>
      <c r="P139" s="359"/>
    </row>
    <row r="140" spans="2:16">
      <c r="B140" s="286"/>
      <c r="C140" s="306">
        <f>-C138</f>
        <v>0</v>
      </c>
      <c r="D140" s="306">
        <f>-D138</f>
        <v>-142358</v>
      </c>
      <c r="E140" s="286"/>
      <c r="F140" s="306">
        <f>-F138</f>
        <v>0</v>
      </c>
      <c r="G140" s="306">
        <f>-G138</f>
        <v>0</v>
      </c>
      <c r="H140" s="306">
        <f>-H138</f>
        <v>-58105</v>
      </c>
      <c r="I140" s="306">
        <f>-I138</f>
        <v>-135982</v>
      </c>
      <c r="J140" s="306" t="e">
        <f>-J138</f>
        <v>#REF!</v>
      </c>
    </row>
    <row r="141" spans="2:16">
      <c r="B141" s="286"/>
      <c r="C141" s="286"/>
      <c r="D141" s="286"/>
      <c r="E141" s="286"/>
      <c r="F141" s="286"/>
      <c r="G141" s="286"/>
      <c r="H141" s="286"/>
      <c r="I141" s="286"/>
      <c r="J141" s="286"/>
    </row>
    <row r="142" spans="2:16">
      <c r="B142" s="286" t="s">
        <v>451</v>
      </c>
      <c r="C142" s="287" t="str">
        <f>+C137</f>
        <v>31 Dhjetor 2018</v>
      </c>
      <c r="D142" s="287" t="str">
        <f>+D137</f>
        <v>31 Dhjetor 2017</v>
      </c>
      <c r="E142" s="286" t="s">
        <v>587</v>
      </c>
      <c r="F142" s="287" t="str">
        <f>+F137</f>
        <v>01/05-31/12/2015</v>
      </c>
      <c r="G142" s="287" t="str">
        <f>+G137</f>
        <v>01/01-30/04/2015</v>
      </c>
      <c r="H142" s="287" t="str">
        <f>+H137</f>
        <v>31 Dhjetor 2014</v>
      </c>
      <c r="I142" s="287" t="str">
        <f>+I137</f>
        <v>31 Dhjetor 2012</v>
      </c>
      <c r="J142" s="287" t="s">
        <v>528</v>
      </c>
    </row>
    <row r="143" spans="2:16">
      <c r="B143" s="286" t="s">
        <v>108</v>
      </c>
      <c r="C143" s="286">
        <f>+'A-Sh BA'!C92</f>
        <v>0</v>
      </c>
      <c r="D143" s="286">
        <f>+'A-Sh BA'!D92</f>
        <v>0</v>
      </c>
      <c r="E143" s="286">
        <f t="shared" ref="E143:E148" si="4">+G143+F143</f>
        <v>0</v>
      </c>
      <c r="F143" s="286">
        <f>+'A-Sh BA'!E39</f>
        <v>0</v>
      </c>
      <c r="G143" s="286">
        <f>+'A-Sh BA'!F39</f>
        <v>0</v>
      </c>
      <c r="H143" s="286">
        <f>+'A-Sh BA'!G39</f>
        <v>0</v>
      </c>
      <c r="I143" s="286">
        <f>+'A-Sh BA'!H39</f>
        <v>0</v>
      </c>
      <c r="J143" s="286" t="e">
        <f>+'A-Sh BA'!#REF!</f>
        <v>#REF!</v>
      </c>
    </row>
    <row r="144" spans="2:16">
      <c r="B144" s="286" t="s">
        <v>118</v>
      </c>
      <c r="C144" s="286">
        <f>+'A-Sh BA'!C37</f>
        <v>0</v>
      </c>
      <c r="D144" s="286">
        <f>+'A-Sh BA'!D37</f>
        <v>0</v>
      </c>
      <c r="E144" s="286">
        <f t="shared" si="4"/>
        <v>0</v>
      </c>
      <c r="F144" s="286">
        <f>+'A-Sh BA'!E37</f>
        <v>0</v>
      </c>
      <c r="G144" s="286">
        <f>+'A-Sh BA'!F37</f>
        <v>0</v>
      </c>
      <c r="H144" s="286">
        <f>+'A-Sh BA'!G37</f>
        <v>0</v>
      </c>
      <c r="I144" s="286">
        <f>+'A-Sh BA'!H37</f>
        <v>0</v>
      </c>
      <c r="J144" s="286" t="e">
        <f>+'A-Sh BA'!#REF!</f>
        <v>#REF!</v>
      </c>
    </row>
    <row r="145" spans="2:10">
      <c r="B145" s="286" t="s">
        <v>109</v>
      </c>
      <c r="C145" s="286">
        <v>0</v>
      </c>
      <c r="D145" s="286">
        <v>0</v>
      </c>
      <c r="E145" s="286">
        <f t="shared" si="4"/>
        <v>0</v>
      </c>
      <c r="F145" s="286">
        <v>0</v>
      </c>
      <c r="G145" s="286">
        <v>0</v>
      </c>
      <c r="H145" s="286">
        <v>0</v>
      </c>
      <c r="I145" s="286">
        <v>0</v>
      </c>
      <c r="J145" s="286">
        <v>0</v>
      </c>
    </row>
    <row r="146" spans="2:10">
      <c r="B146" s="286" t="s">
        <v>556</v>
      </c>
      <c r="C146" s="286">
        <f>'A-Sh BA'!C90</f>
        <v>0</v>
      </c>
      <c r="D146" s="286">
        <f>'A-Sh BA'!D90</f>
        <v>0</v>
      </c>
      <c r="E146" s="286">
        <f t="shared" si="4"/>
        <v>0</v>
      </c>
      <c r="F146" s="286">
        <f>'A-Sh BA'!E90</f>
        <v>0</v>
      </c>
      <c r="G146" s="286">
        <f>'A-Sh BA'!F90</f>
        <v>0</v>
      </c>
      <c r="H146" s="286">
        <f>'A-Sh BA'!G90</f>
        <v>0</v>
      </c>
      <c r="I146" s="286">
        <f>'A-Sh BA'!H90</f>
        <v>0</v>
      </c>
      <c r="J146" s="286" t="e">
        <f>-'A-Sh BA'!#REF!</f>
        <v>#REF!</v>
      </c>
    </row>
    <row r="147" spans="2:10">
      <c r="B147" s="290" t="s">
        <v>2</v>
      </c>
      <c r="C147" s="292">
        <f>SUM(C143:C146)</f>
        <v>0</v>
      </c>
      <c r="D147" s="292">
        <f>SUM(D143:D146)</f>
        <v>0</v>
      </c>
      <c r="E147" s="286">
        <f t="shared" si="4"/>
        <v>0</v>
      </c>
      <c r="F147" s="292">
        <f>SUM(F143:F146)</f>
        <v>0</v>
      </c>
      <c r="G147" s="292">
        <f>SUM(G143:G146)</f>
        <v>0</v>
      </c>
      <c r="H147" s="292">
        <f>SUM(H143:H146)</f>
        <v>0</v>
      </c>
      <c r="I147" s="292">
        <f>SUM(I143:I146)</f>
        <v>0</v>
      </c>
      <c r="J147" s="292" t="e">
        <f>SUM(J143:J146)</f>
        <v>#REF!</v>
      </c>
    </row>
    <row r="148" spans="2:10">
      <c r="B148" s="286"/>
      <c r="C148" s="306">
        <f>-'ardh-shpenz'!D21</f>
        <v>1.7462298274040222E-10</v>
      </c>
      <c r="D148" s="306">
        <f>-'ardh-shpenz'!E21</f>
        <v>1.7462298274040222E-10</v>
      </c>
      <c r="E148" s="286">
        <f t="shared" si="4"/>
        <v>3.4924596548080444E-10</v>
      </c>
      <c r="F148" s="306">
        <f>-'ardh-shpenz'!G21</f>
        <v>1.7462298274040222E-10</v>
      </c>
      <c r="G148" s="306">
        <f>-'ardh-shpenz'!H21</f>
        <v>1.7462298274040222E-10</v>
      </c>
      <c r="H148" s="306">
        <f>-'ardh-shpenz'!I21</f>
        <v>1.7462298274040222E-10</v>
      </c>
      <c r="I148" s="306">
        <f>-'ardh-shpenz'!J21</f>
        <v>1.7462298274040222E-10</v>
      </c>
      <c r="J148" s="306" t="e">
        <f>-'ardh-shpenz'!K21</f>
        <v>#REF!</v>
      </c>
    </row>
    <row r="149" spans="2:10">
      <c r="B149" s="286"/>
      <c r="C149" s="310"/>
      <c r="D149" s="310"/>
      <c r="E149" s="286"/>
      <c r="F149" s="310"/>
      <c r="G149" s="310"/>
      <c r="H149" s="310"/>
      <c r="I149" s="310"/>
      <c r="J149" s="310"/>
    </row>
    <row r="150" spans="2:10">
      <c r="B150" s="286" t="s">
        <v>451</v>
      </c>
      <c r="C150" s="287" t="str">
        <f>+C142</f>
        <v>31 Dhjetor 2018</v>
      </c>
      <c r="D150" s="287" t="str">
        <f>+D142</f>
        <v>31 Dhjetor 2017</v>
      </c>
      <c r="E150" s="286" t="str">
        <f>+E137</f>
        <v>31 Dhjetor 2016</v>
      </c>
      <c r="F150" s="287" t="str">
        <f>+F142</f>
        <v>01/05-31/12/2015</v>
      </c>
      <c r="G150" s="287" t="str">
        <f>+G142</f>
        <v>01/01-30/04/2015</v>
      </c>
      <c r="H150" s="287" t="str">
        <f>+H142</f>
        <v>31 Dhjetor 2014</v>
      </c>
      <c r="I150" s="287" t="s">
        <v>533</v>
      </c>
      <c r="J150" s="287" t="s">
        <v>529</v>
      </c>
    </row>
    <row r="151" spans="2:10">
      <c r="B151" s="286" t="s">
        <v>489</v>
      </c>
      <c r="C151" s="287">
        <f>+'A-Sh BA'!C14</f>
        <v>139030105</v>
      </c>
      <c r="D151" s="287">
        <f>+'A-Sh BA'!D14</f>
        <v>242267880</v>
      </c>
      <c r="E151" s="286">
        <f>+G151+F151</f>
        <v>14515520</v>
      </c>
      <c r="F151" s="287">
        <f>+'A-Sh BA'!E14</f>
        <v>10016075</v>
      </c>
      <c r="G151" s="287">
        <f>+'A-Sh BA'!F14</f>
        <v>4499445</v>
      </c>
      <c r="H151" s="287">
        <f>+'A-Sh BA'!G14</f>
        <v>1533330</v>
      </c>
      <c r="I151" s="287"/>
      <c r="J151" s="287"/>
    </row>
    <row r="152" spans="2:10">
      <c r="B152" s="286" t="s">
        <v>606</v>
      </c>
      <c r="C152" s="287">
        <f>+'A-Sh BA'!C96</f>
        <v>143808440</v>
      </c>
      <c r="D152" s="287">
        <f>+'A-Sh BA'!D96</f>
        <v>240313273</v>
      </c>
      <c r="E152" s="286">
        <f>+G152+F152</f>
        <v>17184877</v>
      </c>
      <c r="F152" s="287">
        <f>+'A-Sh BA'!E96</f>
        <v>12983749</v>
      </c>
      <c r="G152" s="287">
        <f>+'A-Sh BA'!F96</f>
        <v>4201128</v>
      </c>
      <c r="H152" s="287">
        <f>+'A-Sh BA'!G96</f>
        <v>3589391</v>
      </c>
      <c r="I152" s="287"/>
      <c r="J152" s="287"/>
    </row>
    <row r="153" spans="2:10">
      <c r="B153" s="286" t="s">
        <v>110</v>
      </c>
      <c r="C153" s="286">
        <f>+C151-C152</f>
        <v>-4778335</v>
      </c>
      <c r="D153" s="286">
        <f>+D151-D152</f>
        <v>1954607</v>
      </c>
      <c r="E153" s="286">
        <f>+G153+F153</f>
        <v>-2669357</v>
      </c>
      <c r="F153" s="286">
        <f>+F151-F152</f>
        <v>-2967674</v>
      </c>
      <c r="G153" s="286">
        <f>+G151-G152</f>
        <v>298317</v>
      </c>
      <c r="H153" s="286">
        <f>+H151-H152</f>
        <v>-2056061</v>
      </c>
      <c r="I153" s="286">
        <f>+'ardh-shpenz'!J23</f>
        <v>-1779971.2800000003</v>
      </c>
      <c r="J153" s="286" t="e">
        <f>+'ardh-shpenz'!K23</f>
        <v>#REF!</v>
      </c>
    </row>
    <row r="154" spans="2:10">
      <c r="B154" s="286" t="s">
        <v>111</v>
      </c>
      <c r="C154" s="286">
        <f>+C132</f>
        <v>0</v>
      </c>
      <c r="D154" s="286">
        <f>+D132</f>
        <v>27624</v>
      </c>
      <c r="E154" s="286">
        <v>46398</v>
      </c>
      <c r="F154" s="286">
        <f>+F132+F127</f>
        <v>567629</v>
      </c>
      <c r="G154" s="286">
        <f>+G132</f>
        <v>0</v>
      </c>
      <c r="H154" s="286">
        <f>+H132</f>
        <v>0</v>
      </c>
      <c r="I154" s="286">
        <f>+I132</f>
        <v>0</v>
      </c>
      <c r="J154" s="286" t="e">
        <f>+J132</f>
        <v>#REF!</v>
      </c>
    </row>
    <row r="155" spans="2:10">
      <c r="B155" s="286" t="s">
        <v>112</v>
      </c>
      <c r="C155" s="286">
        <f>SUM(C153:C154)</f>
        <v>-4778335</v>
      </c>
      <c r="D155" s="286">
        <f>SUM(D153:D154)</f>
        <v>1982231</v>
      </c>
      <c r="E155" s="286">
        <v>-2622959</v>
      </c>
      <c r="F155" s="286">
        <f>SUM(F153:F154)</f>
        <v>-2400045</v>
      </c>
      <c r="G155" s="286">
        <f>SUM(G153:G154)</f>
        <v>298317</v>
      </c>
      <c r="H155" s="286">
        <f>SUM(H153:H154)</f>
        <v>-2056061</v>
      </c>
      <c r="I155" s="286">
        <f>SUM(I153:I154)</f>
        <v>-1779971.2800000003</v>
      </c>
      <c r="J155" s="286" t="e">
        <f>SUM(J153:J154)</f>
        <v>#REF!</v>
      </c>
    </row>
    <row r="156" spans="2:10">
      <c r="B156" s="286" t="s">
        <v>113</v>
      </c>
      <c r="C156" s="311">
        <v>15</v>
      </c>
      <c r="D156" s="311">
        <v>15</v>
      </c>
      <c r="E156" s="539">
        <f>+D156</f>
        <v>15</v>
      </c>
      <c r="F156" s="311">
        <v>15</v>
      </c>
      <c r="G156" s="311">
        <v>7.5</v>
      </c>
      <c r="H156" s="311">
        <v>7.5</v>
      </c>
      <c r="I156" s="311">
        <v>10</v>
      </c>
      <c r="J156" s="311">
        <v>10</v>
      </c>
    </row>
    <row r="157" spans="2:10">
      <c r="B157" s="292" t="s">
        <v>102</v>
      </c>
      <c r="C157" s="312"/>
      <c r="D157" s="312"/>
      <c r="E157" s="286"/>
      <c r="F157" s="312">
        <f>+F155*0.15</f>
        <v>-360006.75</v>
      </c>
      <c r="G157" s="312">
        <f>+G155*0.075</f>
        <v>22373.774999999998</v>
      </c>
      <c r="H157" s="312">
        <v>0</v>
      </c>
      <c r="I157" s="312">
        <f>+I155*0.1+0.5</f>
        <v>-177996.62800000003</v>
      </c>
      <c r="J157" s="312" t="e">
        <f>+J155*0.1</f>
        <v>#REF!</v>
      </c>
    </row>
    <row r="158" spans="2:10">
      <c r="B158" s="286"/>
      <c r="C158" s="313"/>
      <c r="D158" s="313"/>
      <c r="E158" s="286"/>
      <c r="F158" s="313"/>
      <c r="G158" s="313"/>
      <c r="H158" s="313"/>
      <c r="I158" s="313"/>
      <c r="J158" s="313"/>
    </row>
    <row r="159" spans="2:10">
      <c r="B159" s="292" t="s">
        <v>114</v>
      </c>
      <c r="C159" s="411">
        <f>+C153-C157</f>
        <v>-4778335</v>
      </c>
      <c r="D159" s="411">
        <f>+D153-D157</f>
        <v>1954607</v>
      </c>
      <c r="E159" s="292">
        <v>-2669357</v>
      </c>
      <c r="F159" s="411">
        <f>+F153-F157</f>
        <v>-2607667.25</v>
      </c>
      <c r="G159" s="411">
        <f>+G153-G157</f>
        <v>275943.22499999998</v>
      </c>
      <c r="H159" s="312">
        <f>+H153-H157</f>
        <v>-2056061</v>
      </c>
      <c r="I159" s="312">
        <f>+I153-I157</f>
        <v>-1601974.6520000002</v>
      </c>
      <c r="J159" s="312" t="e">
        <f>+J153-J157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6"/>
  <sheetViews>
    <sheetView topLeftCell="A68" workbookViewId="0">
      <selection activeCell="F87" sqref="F87"/>
    </sheetView>
  </sheetViews>
  <sheetFormatPr defaultRowHeight="15"/>
  <cols>
    <col min="1" max="1" width="9.140625" style="441"/>
    <col min="2" max="2" width="10.140625" style="441" customWidth="1"/>
    <col min="3" max="3" width="16.7109375" style="441" customWidth="1"/>
    <col min="4" max="4" width="15.85546875" style="441" customWidth="1"/>
    <col min="5" max="5" width="3" style="441" customWidth="1"/>
    <col min="6" max="6" width="16.7109375" style="441" customWidth="1"/>
    <col min="7" max="8" width="10" style="441" customWidth="1"/>
    <col min="9" max="9" width="10.28515625" style="441" customWidth="1"/>
    <col min="10" max="10" width="9.28515625" style="441" customWidth="1"/>
    <col min="11" max="11" width="10.5703125" style="441" customWidth="1"/>
    <col min="12" max="12" width="12.42578125" style="441" customWidth="1"/>
    <col min="13" max="13" width="12" style="441" customWidth="1"/>
    <col min="14" max="14" width="11.7109375" style="441" customWidth="1"/>
    <col min="15" max="15" width="4.42578125" style="441" customWidth="1"/>
    <col min="16" max="16" width="12.7109375" style="441" customWidth="1"/>
    <col min="17" max="16384" width="9.140625" style="441"/>
  </cols>
  <sheetData>
    <row r="1" spans="1:13" ht="15.75" hidden="1">
      <c r="A1" s="440"/>
    </row>
    <row r="2" spans="1:13" ht="16.5" hidden="1" thickBot="1">
      <c r="A2" s="440"/>
      <c r="C2" s="440"/>
      <c r="G2" s="440" t="s">
        <v>562</v>
      </c>
      <c r="H2" s="440"/>
      <c r="I2" s="440" t="s">
        <v>581</v>
      </c>
    </row>
    <row r="3" spans="1:13" ht="16.5" hidden="1" thickBot="1">
      <c r="A3" s="442"/>
      <c r="B3" s="443" t="s">
        <v>563</v>
      </c>
      <c r="C3" s="444" t="s">
        <v>561</v>
      </c>
      <c r="D3" s="444" t="s">
        <v>564</v>
      </c>
      <c r="E3" s="444"/>
      <c r="F3" s="443" t="s">
        <v>565</v>
      </c>
      <c r="G3" s="444" t="s">
        <v>566</v>
      </c>
      <c r="H3" s="444" t="s">
        <v>564</v>
      </c>
      <c r="I3" s="444" t="s">
        <v>566</v>
      </c>
      <c r="J3" s="444" t="s">
        <v>564</v>
      </c>
      <c r="K3" s="445"/>
      <c r="L3" s="446" t="s">
        <v>567</v>
      </c>
    </row>
    <row r="4" spans="1:13" hidden="1">
      <c r="A4" s="447" t="s">
        <v>568</v>
      </c>
      <c r="B4" s="448">
        <v>0</v>
      </c>
      <c r="C4" s="449">
        <v>0</v>
      </c>
      <c r="D4" s="449">
        <f>+C4*0.2</f>
        <v>0</v>
      </c>
      <c r="E4" s="449"/>
      <c r="F4" s="450">
        <v>0</v>
      </c>
      <c r="G4" s="451">
        <v>31250</v>
      </c>
      <c r="H4" s="452">
        <f t="shared" ref="H4:H15" si="0">+G4*0.2</f>
        <v>6250</v>
      </c>
      <c r="I4" s="451"/>
      <c r="J4" s="452">
        <f t="shared" ref="J4:J15" si="1">+I4*0.2</f>
        <v>0</v>
      </c>
      <c r="K4" s="450"/>
      <c r="L4" s="453">
        <f>+D4-J4-H4</f>
        <v>-6250</v>
      </c>
    </row>
    <row r="5" spans="1:13" hidden="1">
      <c r="A5" s="454" t="s">
        <v>569</v>
      </c>
      <c r="B5" s="455">
        <v>0</v>
      </c>
      <c r="C5" s="456">
        <v>831665</v>
      </c>
      <c r="D5" s="457">
        <f>+C5*0.2</f>
        <v>166333</v>
      </c>
      <c r="E5" s="457"/>
      <c r="F5" s="458">
        <v>0</v>
      </c>
      <c r="G5" s="459">
        <v>1215540</v>
      </c>
      <c r="H5" s="460">
        <f t="shared" si="0"/>
        <v>243108</v>
      </c>
      <c r="I5" s="459"/>
      <c r="J5" s="460">
        <f t="shared" si="1"/>
        <v>0</v>
      </c>
      <c r="K5" s="461"/>
      <c r="L5" s="453">
        <f>+D5-J5-H5</f>
        <v>-76775</v>
      </c>
      <c r="M5" s="462"/>
    </row>
    <row r="6" spans="1:13" hidden="1">
      <c r="A6" s="454" t="s">
        <v>570</v>
      </c>
      <c r="B6" s="455">
        <v>0</v>
      </c>
      <c r="C6" s="456">
        <v>4693955</v>
      </c>
      <c r="D6" s="457">
        <f t="shared" ref="D6:D15" si="2">+C6*0.2</f>
        <v>938791</v>
      </c>
      <c r="E6" s="456"/>
      <c r="F6" s="458">
        <v>0</v>
      </c>
      <c r="G6" s="459">
        <v>4218540</v>
      </c>
      <c r="H6" s="463">
        <f t="shared" si="0"/>
        <v>843708</v>
      </c>
      <c r="I6" s="459">
        <v>125000</v>
      </c>
      <c r="J6" s="463">
        <f t="shared" si="1"/>
        <v>25000</v>
      </c>
      <c r="K6" s="458"/>
      <c r="L6" s="453">
        <f t="shared" ref="L6:L15" si="3">+D6-J6-H6</f>
        <v>70083</v>
      </c>
      <c r="M6" s="462"/>
    </row>
    <row r="7" spans="1:13" hidden="1">
      <c r="A7" s="454" t="s">
        <v>571</v>
      </c>
      <c r="B7" s="455">
        <v>0</v>
      </c>
      <c r="C7" s="456">
        <v>2250000</v>
      </c>
      <c r="D7" s="457">
        <f t="shared" si="2"/>
        <v>450000</v>
      </c>
      <c r="E7" s="456"/>
      <c r="F7" s="458">
        <v>0</v>
      </c>
      <c r="G7" s="459">
        <v>2670350</v>
      </c>
      <c r="H7" s="463">
        <f t="shared" si="0"/>
        <v>534070</v>
      </c>
      <c r="I7" s="459"/>
      <c r="J7" s="463">
        <f t="shared" si="1"/>
        <v>0</v>
      </c>
      <c r="K7" s="458"/>
      <c r="L7" s="453">
        <f t="shared" si="3"/>
        <v>-84070</v>
      </c>
      <c r="M7" s="462"/>
    </row>
    <row r="8" spans="1:13" hidden="1">
      <c r="A8" s="454" t="s">
        <v>572</v>
      </c>
      <c r="B8" s="455">
        <v>0</v>
      </c>
      <c r="C8" s="456"/>
      <c r="D8" s="457">
        <f t="shared" si="2"/>
        <v>0</v>
      </c>
      <c r="E8" s="456"/>
      <c r="F8" s="458"/>
      <c r="G8" s="459"/>
      <c r="H8" s="463">
        <f t="shared" si="0"/>
        <v>0</v>
      </c>
      <c r="I8" s="459"/>
      <c r="J8" s="463">
        <f t="shared" si="1"/>
        <v>0</v>
      </c>
      <c r="K8" s="458"/>
      <c r="L8" s="453">
        <f t="shared" si="3"/>
        <v>0</v>
      </c>
      <c r="M8" s="462"/>
    </row>
    <row r="9" spans="1:13" hidden="1">
      <c r="A9" s="454" t="s">
        <v>573</v>
      </c>
      <c r="B9" s="455">
        <v>0</v>
      </c>
      <c r="C9" s="456"/>
      <c r="D9" s="457">
        <f t="shared" si="2"/>
        <v>0</v>
      </c>
      <c r="E9" s="456"/>
      <c r="F9" s="458"/>
      <c r="G9" s="459"/>
      <c r="H9" s="463">
        <f t="shared" si="0"/>
        <v>0</v>
      </c>
      <c r="I9" s="459"/>
      <c r="J9" s="463">
        <f t="shared" si="1"/>
        <v>0</v>
      </c>
      <c r="K9" s="458"/>
      <c r="L9" s="453">
        <f t="shared" si="3"/>
        <v>0</v>
      </c>
      <c r="M9" s="462"/>
    </row>
    <row r="10" spans="1:13" hidden="1">
      <c r="A10" s="454" t="s">
        <v>574</v>
      </c>
      <c r="B10" s="455">
        <v>0</v>
      </c>
      <c r="C10" s="456"/>
      <c r="D10" s="457">
        <f t="shared" si="2"/>
        <v>0</v>
      </c>
      <c r="E10" s="456"/>
      <c r="F10" s="458"/>
      <c r="G10" s="459"/>
      <c r="H10" s="463">
        <f t="shared" si="0"/>
        <v>0</v>
      </c>
      <c r="I10" s="459"/>
      <c r="J10" s="463">
        <f t="shared" si="1"/>
        <v>0</v>
      </c>
      <c r="K10" s="458"/>
      <c r="L10" s="453">
        <f t="shared" si="3"/>
        <v>0</v>
      </c>
      <c r="M10" s="462"/>
    </row>
    <row r="11" spans="1:13" hidden="1">
      <c r="A11" s="454" t="s">
        <v>575</v>
      </c>
      <c r="B11" s="455">
        <v>0</v>
      </c>
      <c r="C11" s="456"/>
      <c r="D11" s="457">
        <f t="shared" si="2"/>
        <v>0</v>
      </c>
      <c r="E11" s="456"/>
      <c r="F11" s="458"/>
      <c r="G11" s="459"/>
      <c r="H11" s="463">
        <f t="shared" si="0"/>
        <v>0</v>
      </c>
      <c r="I11" s="459"/>
      <c r="J11" s="463">
        <f t="shared" si="1"/>
        <v>0</v>
      </c>
      <c r="K11" s="458"/>
      <c r="L11" s="453">
        <f t="shared" si="3"/>
        <v>0</v>
      </c>
      <c r="M11" s="462"/>
    </row>
    <row r="12" spans="1:13" hidden="1">
      <c r="A12" s="454" t="s">
        <v>576</v>
      </c>
      <c r="B12" s="455">
        <v>0</v>
      </c>
      <c r="C12" s="456"/>
      <c r="D12" s="457">
        <f t="shared" si="2"/>
        <v>0</v>
      </c>
      <c r="E12" s="456"/>
      <c r="F12" s="458"/>
      <c r="G12" s="459"/>
      <c r="H12" s="463">
        <f t="shared" si="0"/>
        <v>0</v>
      </c>
      <c r="I12" s="459"/>
      <c r="J12" s="463">
        <f t="shared" si="1"/>
        <v>0</v>
      </c>
      <c r="K12" s="458"/>
      <c r="L12" s="453">
        <f t="shared" si="3"/>
        <v>0</v>
      </c>
      <c r="M12" s="462"/>
    </row>
    <row r="13" spans="1:13" hidden="1">
      <c r="A13" s="454" t="s">
        <v>577</v>
      </c>
      <c r="B13" s="455">
        <v>0</v>
      </c>
      <c r="C13" s="456"/>
      <c r="D13" s="457">
        <f t="shared" si="2"/>
        <v>0</v>
      </c>
      <c r="E13" s="456"/>
      <c r="F13" s="458"/>
      <c r="G13" s="459"/>
      <c r="H13" s="463">
        <f t="shared" si="0"/>
        <v>0</v>
      </c>
      <c r="I13" s="459"/>
      <c r="J13" s="463">
        <f t="shared" si="1"/>
        <v>0</v>
      </c>
      <c r="K13" s="458"/>
      <c r="L13" s="453">
        <f t="shared" si="3"/>
        <v>0</v>
      </c>
      <c r="M13" s="462"/>
    </row>
    <row r="14" spans="1:13" hidden="1">
      <c r="A14" s="454" t="s">
        <v>578</v>
      </c>
      <c r="B14" s="455">
        <v>0</v>
      </c>
      <c r="C14" s="456"/>
      <c r="D14" s="457">
        <f t="shared" si="2"/>
        <v>0</v>
      </c>
      <c r="E14" s="456"/>
      <c r="F14" s="458"/>
      <c r="G14" s="459"/>
      <c r="H14" s="463">
        <f t="shared" si="0"/>
        <v>0</v>
      </c>
      <c r="I14" s="459"/>
      <c r="J14" s="463">
        <f t="shared" si="1"/>
        <v>0</v>
      </c>
      <c r="K14" s="458"/>
      <c r="L14" s="453">
        <f t="shared" si="3"/>
        <v>0</v>
      </c>
      <c r="M14" s="462"/>
    </row>
    <row r="15" spans="1:13" ht="15.75" hidden="1" thickBot="1">
      <c r="A15" s="464" t="s">
        <v>579</v>
      </c>
      <c r="B15" s="465">
        <v>0</v>
      </c>
      <c r="C15" s="466"/>
      <c r="D15" s="467">
        <f t="shared" si="2"/>
        <v>0</v>
      </c>
      <c r="E15" s="466"/>
      <c r="F15" s="468"/>
      <c r="G15" s="469"/>
      <c r="H15" s="470">
        <f t="shared" si="0"/>
        <v>0</v>
      </c>
      <c r="I15" s="469"/>
      <c r="J15" s="470">
        <f t="shared" si="1"/>
        <v>0</v>
      </c>
      <c r="K15" s="468"/>
      <c r="L15" s="471">
        <f t="shared" si="3"/>
        <v>0</v>
      </c>
      <c r="M15" s="462"/>
    </row>
    <row r="16" spans="1:13" hidden="1">
      <c r="A16" s="472"/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62"/>
    </row>
    <row r="17" spans="1:13" hidden="1">
      <c r="A17" s="473" t="s">
        <v>531</v>
      </c>
      <c r="B17" s="456">
        <f>SUM(B4:B16)</f>
        <v>0</v>
      </c>
      <c r="C17" s="456">
        <f>SUM(C4:C16)</f>
        <v>7775620</v>
      </c>
      <c r="D17" s="456">
        <f>SUM(D4:D16)</f>
        <v>1555124</v>
      </c>
      <c r="E17" s="456"/>
      <c r="F17" s="456">
        <f>SUM(F4:F16)</f>
        <v>0</v>
      </c>
      <c r="G17" s="456">
        <f>SUM(G4:G16)</f>
        <v>8135680</v>
      </c>
      <c r="H17" s="456">
        <f>SUM(H4:H16)</f>
        <v>1627136</v>
      </c>
      <c r="I17" s="456">
        <f>SUM(I4:I16)</f>
        <v>125000</v>
      </c>
      <c r="J17" s="456">
        <f>SUM(J4:J16)</f>
        <v>25000</v>
      </c>
      <c r="K17" s="456"/>
      <c r="L17" s="456">
        <f>SUM(L4:L15)</f>
        <v>-97012</v>
      </c>
      <c r="M17" s="462"/>
    </row>
    <row r="18" spans="1:13" hidden="1"/>
    <row r="19" spans="1:13" hidden="1">
      <c r="A19" s="441" t="s">
        <v>580</v>
      </c>
      <c r="B19" s="462">
        <f>SUM(B17:C17)</f>
        <v>7775620</v>
      </c>
      <c r="F19" s="462">
        <f>+F17+G17+I17</f>
        <v>8260680</v>
      </c>
      <c r="G19" s="462"/>
      <c r="H19" s="462"/>
      <c r="I19" s="462">
        <f>+H17+J17</f>
        <v>1652136</v>
      </c>
    </row>
    <row r="20" spans="1:13" hidden="1"/>
    <row r="21" spans="1:13" hidden="1"/>
    <row r="22" spans="1:13" ht="15.75" hidden="1">
      <c r="A22" s="440"/>
    </row>
    <row r="23" spans="1:13" ht="16.5" hidden="1" thickBot="1">
      <c r="A23" s="440"/>
      <c r="C23" s="440"/>
      <c r="G23" s="440" t="s">
        <v>562</v>
      </c>
      <c r="H23" s="440"/>
      <c r="I23" s="440" t="s">
        <v>581</v>
      </c>
    </row>
    <row r="24" spans="1:13" ht="16.5" hidden="1" thickBot="1">
      <c r="A24" s="442"/>
      <c r="B24" s="443" t="s">
        <v>563</v>
      </c>
      <c r="C24" s="444" t="s">
        <v>561</v>
      </c>
      <c r="D24" s="444" t="s">
        <v>564</v>
      </c>
      <c r="E24" s="444"/>
      <c r="F24" s="443" t="s">
        <v>565</v>
      </c>
      <c r="G24" s="444" t="s">
        <v>566</v>
      </c>
      <c r="H24" s="444" t="s">
        <v>564</v>
      </c>
      <c r="I24" s="444" t="s">
        <v>566</v>
      </c>
      <c r="J24" s="444" t="s">
        <v>564</v>
      </c>
      <c r="K24" s="445"/>
      <c r="L24" s="446" t="s">
        <v>567</v>
      </c>
    </row>
    <row r="25" spans="1:13" hidden="1">
      <c r="A25" s="447" t="s">
        <v>568</v>
      </c>
      <c r="B25" s="448">
        <v>0</v>
      </c>
      <c r="C25" s="449">
        <v>0</v>
      </c>
      <c r="D25" s="449">
        <f>+C25*0.2</f>
        <v>0</v>
      </c>
      <c r="E25" s="449"/>
      <c r="F25" s="450">
        <v>0</v>
      </c>
      <c r="G25" s="451"/>
      <c r="H25" s="452">
        <f t="shared" ref="H25:H36" si="4">+G25*0.2</f>
        <v>0</v>
      </c>
      <c r="I25" s="451"/>
      <c r="J25" s="452">
        <f t="shared" ref="J25:J36" si="5">+I25*0.2</f>
        <v>0</v>
      </c>
      <c r="K25" s="450"/>
      <c r="L25" s="453">
        <f>+D25-J25-H25</f>
        <v>0</v>
      </c>
    </row>
    <row r="26" spans="1:13" hidden="1">
      <c r="A26" s="454" t="s">
        <v>569</v>
      </c>
      <c r="B26" s="455">
        <v>0</v>
      </c>
      <c r="C26" s="456"/>
      <c r="D26" s="457">
        <f>+C26*0.2</f>
        <v>0</v>
      </c>
      <c r="E26" s="457"/>
      <c r="F26" s="458">
        <v>0</v>
      </c>
      <c r="G26" s="459"/>
      <c r="H26" s="460">
        <f t="shared" si="4"/>
        <v>0</v>
      </c>
      <c r="I26" s="459"/>
      <c r="J26" s="460">
        <f t="shared" si="5"/>
        <v>0</v>
      </c>
      <c r="K26" s="461"/>
      <c r="L26" s="453">
        <f>+D26-J26-H26</f>
        <v>0</v>
      </c>
    </row>
    <row r="27" spans="1:13" hidden="1">
      <c r="A27" s="454" t="s">
        <v>570</v>
      </c>
      <c r="B27" s="455">
        <v>0</v>
      </c>
      <c r="C27" s="456"/>
      <c r="D27" s="457">
        <f t="shared" ref="D27:D36" si="6">+C27*0.2</f>
        <v>0</v>
      </c>
      <c r="E27" s="456"/>
      <c r="F27" s="458">
        <v>0</v>
      </c>
      <c r="G27" s="459"/>
      <c r="H27" s="463">
        <f t="shared" si="4"/>
        <v>0</v>
      </c>
      <c r="I27" s="459"/>
      <c r="J27" s="463">
        <f t="shared" si="5"/>
        <v>0</v>
      </c>
      <c r="K27" s="458"/>
      <c r="L27" s="453">
        <f t="shared" ref="L27:L36" si="7">+D27-J27-H27</f>
        <v>0</v>
      </c>
    </row>
    <row r="28" spans="1:13" hidden="1">
      <c r="A28" s="454" t="s">
        <v>571</v>
      </c>
      <c r="B28" s="455">
        <v>0</v>
      </c>
      <c r="C28" s="456"/>
      <c r="D28" s="457">
        <f t="shared" si="6"/>
        <v>0</v>
      </c>
      <c r="E28" s="456"/>
      <c r="F28" s="458">
        <v>0</v>
      </c>
      <c r="G28" s="459"/>
      <c r="H28" s="463">
        <f t="shared" si="4"/>
        <v>0</v>
      </c>
      <c r="I28" s="459"/>
      <c r="J28" s="463">
        <f t="shared" si="5"/>
        <v>0</v>
      </c>
      <c r="K28" s="458"/>
      <c r="L28" s="453">
        <f t="shared" si="7"/>
        <v>0</v>
      </c>
    </row>
    <row r="29" spans="1:13" hidden="1">
      <c r="A29" s="454" t="s">
        <v>572</v>
      </c>
      <c r="B29" s="455">
        <v>0</v>
      </c>
      <c r="C29" s="456">
        <v>1995000</v>
      </c>
      <c r="D29" s="457">
        <f t="shared" si="6"/>
        <v>399000</v>
      </c>
      <c r="E29" s="456"/>
      <c r="F29" s="458">
        <v>225000</v>
      </c>
      <c r="G29" s="459">
        <v>862810</v>
      </c>
      <c r="H29" s="463">
        <f t="shared" si="4"/>
        <v>172562</v>
      </c>
      <c r="I29" s="459">
        <v>142420</v>
      </c>
      <c r="J29" s="463">
        <f t="shared" si="5"/>
        <v>28484</v>
      </c>
      <c r="K29" s="458"/>
      <c r="L29" s="453">
        <f t="shared" si="7"/>
        <v>197954</v>
      </c>
    </row>
    <row r="30" spans="1:13" hidden="1">
      <c r="A30" s="454" t="s">
        <v>573</v>
      </c>
      <c r="B30" s="455">
        <v>0</v>
      </c>
      <c r="C30" s="456">
        <v>7337385</v>
      </c>
      <c r="D30" s="457">
        <f t="shared" si="6"/>
        <v>1467477</v>
      </c>
      <c r="E30" s="456"/>
      <c r="F30" s="458">
        <v>0</v>
      </c>
      <c r="G30" s="459">
        <v>6370180</v>
      </c>
      <c r="H30" s="463">
        <f t="shared" si="4"/>
        <v>1274036</v>
      </c>
      <c r="I30" s="459">
        <v>0</v>
      </c>
      <c r="J30" s="463">
        <f t="shared" si="5"/>
        <v>0</v>
      </c>
      <c r="K30" s="458"/>
      <c r="L30" s="453">
        <f t="shared" si="7"/>
        <v>193441</v>
      </c>
    </row>
    <row r="31" spans="1:13" hidden="1">
      <c r="A31" s="454" t="s">
        <v>574</v>
      </c>
      <c r="B31" s="455">
        <v>0</v>
      </c>
      <c r="C31" s="456">
        <v>0</v>
      </c>
      <c r="D31" s="457">
        <f t="shared" si="6"/>
        <v>0</v>
      </c>
      <c r="E31" s="456"/>
      <c r="F31" s="458">
        <v>268158</v>
      </c>
      <c r="G31" s="459">
        <v>4219545</v>
      </c>
      <c r="H31" s="463">
        <f t="shared" si="4"/>
        <v>843909</v>
      </c>
      <c r="I31" s="459">
        <v>0</v>
      </c>
      <c r="J31" s="463">
        <f t="shared" si="5"/>
        <v>0</v>
      </c>
      <c r="K31" s="458"/>
      <c r="L31" s="453">
        <f t="shared" si="7"/>
        <v>-843909</v>
      </c>
    </row>
    <row r="32" spans="1:13" hidden="1">
      <c r="A32" s="454" t="s">
        <v>575</v>
      </c>
      <c r="B32" s="455">
        <v>0</v>
      </c>
      <c r="C32" s="456">
        <v>55000</v>
      </c>
      <c r="D32" s="457">
        <f t="shared" si="6"/>
        <v>11000</v>
      </c>
      <c r="E32" s="456"/>
      <c r="F32" s="458">
        <v>0</v>
      </c>
      <c r="G32" s="459">
        <v>5410740</v>
      </c>
      <c r="H32" s="463">
        <f t="shared" si="4"/>
        <v>1082148</v>
      </c>
      <c r="I32" s="459">
        <v>0</v>
      </c>
      <c r="J32" s="463">
        <f t="shared" si="5"/>
        <v>0</v>
      </c>
      <c r="K32" s="458"/>
      <c r="L32" s="453">
        <f t="shared" si="7"/>
        <v>-1071148</v>
      </c>
    </row>
    <row r="33" spans="1:16" hidden="1">
      <c r="A33" s="454" t="s">
        <v>576</v>
      </c>
      <c r="B33" s="455">
        <v>0</v>
      </c>
      <c r="C33" s="456">
        <v>11002220</v>
      </c>
      <c r="D33" s="457">
        <f t="shared" si="6"/>
        <v>2200444</v>
      </c>
      <c r="E33" s="456"/>
      <c r="F33" s="458">
        <v>144926</v>
      </c>
      <c r="G33" s="459">
        <v>5794415</v>
      </c>
      <c r="H33" s="463">
        <f t="shared" si="4"/>
        <v>1158883</v>
      </c>
      <c r="I33" s="459"/>
      <c r="J33" s="463">
        <f t="shared" si="5"/>
        <v>0</v>
      </c>
      <c r="K33" s="458"/>
      <c r="L33" s="453">
        <f t="shared" si="7"/>
        <v>1041561</v>
      </c>
    </row>
    <row r="34" spans="1:16" hidden="1">
      <c r="A34" s="454" t="s">
        <v>577</v>
      </c>
      <c r="B34" s="455">
        <v>0</v>
      </c>
      <c r="C34" s="456">
        <v>8036230</v>
      </c>
      <c r="D34" s="457">
        <f t="shared" si="6"/>
        <v>1607246</v>
      </c>
      <c r="E34" s="456"/>
      <c r="F34" s="458">
        <v>18770</v>
      </c>
      <c r="G34" s="459">
        <v>2762380</v>
      </c>
      <c r="H34" s="463">
        <f t="shared" si="4"/>
        <v>552476</v>
      </c>
      <c r="I34" s="459">
        <v>50000</v>
      </c>
      <c r="J34" s="463">
        <f t="shared" si="5"/>
        <v>10000</v>
      </c>
      <c r="K34" s="458"/>
      <c r="L34" s="453">
        <f t="shared" si="7"/>
        <v>1044770</v>
      </c>
    </row>
    <row r="35" spans="1:16" hidden="1">
      <c r="A35" s="454" t="s">
        <v>578</v>
      </c>
      <c r="B35" s="455">
        <v>0</v>
      </c>
      <c r="C35" s="456">
        <v>7075210</v>
      </c>
      <c r="D35" s="457">
        <f t="shared" si="6"/>
        <v>1415042</v>
      </c>
      <c r="E35" s="456"/>
      <c r="F35" s="458">
        <v>301200</v>
      </c>
      <c r="G35" s="459">
        <v>6331210</v>
      </c>
      <c r="H35" s="463">
        <f t="shared" si="4"/>
        <v>1266242</v>
      </c>
      <c r="I35" s="459">
        <v>0</v>
      </c>
      <c r="J35" s="463">
        <f t="shared" si="5"/>
        <v>0</v>
      </c>
      <c r="K35" s="458"/>
      <c r="L35" s="453">
        <f t="shared" si="7"/>
        <v>148800</v>
      </c>
    </row>
    <row r="36" spans="1:16" ht="15.75" hidden="1" thickBot="1">
      <c r="A36" s="464" t="s">
        <v>579</v>
      </c>
      <c r="B36" s="465">
        <v>0</v>
      </c>
      <c r="C36" s="466">
        <v>16240470</v>
      </c>
      <c r="D36" s="467">
        <f t="shared" si="6"/>
        <v>3248094</v>
      </c>
      <c r="E36" s="466"/>
      <c r="F36" s="468">
        <v>13100</v>
      </c>
      <c r="G36" s="469">
        <v>14461180</v>
      </c>
      <c r="H36" s="470">
        <f t="shared" si="4"/>
        <v>2892236</v>
      </c>
      <c r="I36" s="469">
        <v>0</v>
      </c>
      <c r="J36" s="470">
        <f t="shared" si="5"/>
        <v>0</v>
      </c>
      <c r="K36" s="468"/>
      <c r="L36" s="471">
        <f t="shared" si="7"/>
        <v>355858</v>
      </c>
    </row>
    <row r="37" spans="1:16" hidden="1">
      <c r="A37" s="472"/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</row>
    <row r="38" spans="1:16" hidden="1">
      <c r="A38" s="473" t="s">
        <v>531</v>
      </c>
      <c r="B38" s="456">
        <f>SUM(B25:B37)</f>
        <v>0</v>
      </c>
      <c r="C38" s="456">
        <f>SUM(C25:C37)</f>
        <v>51741515</v>
      </c>
      <c r="D38" s="456">
        <f>SUM(D25:D37)</f>
        <v>10348303</v>
      </c>
      <c r="E38" s="456"/>
      <c r="F38" s="456">
        <f>SUM(F25:F37)</f>
        <v>971154</v>
      </c>
      <c r="G38" s="456">
        <f>SUM(G25:G37)</f>
        <v>46212460</v>
      </c>
      <c r="H38" s="456">
        <f>SUM(H25:H37)</f>
        <v>9242492</v>
      </c>
      <c r="I38" s="456">
        <f>SUM(I25:I37)</f>
        <v>192420</v>
      </c>
      <c r="J38" s="456">
        <f>SUM(J25:J37)</f>
        <v>38484</v>
      </c>
      <c r="K38" s="456"/>
      <c r="L38" s="456">
        <f>SUM(L25:L36)</f>
        <v>1067327</v>
      </c>
    </row>
    <row r="39" spans="1:16" hidden="1">
      <c r="D39" s="462">
        <f>+D17+D38</f>
        <v>11903427</v>
      </c>
    </row>
    <row r="40" spans="1:16" hidden="1">
      <c r="A40" s="441" t="s">
        <v>580</v>
      </c>
      <c r="B40" s="462">
        <f>SUM(B38:C38)</f>
        <v>51741515</v>
      </c>
      <c r="F40" s="462">
        <f>+F38+G38+I38</f>
        <v>47376034</v>
      </c>
      <c r="G40" s="462"/>
      <c r="H40" s="462"/>
      <c r="I40" s="462">
        <f>+H38+J38</f>
        <v>9280976</v>
      </c>
    </row>
    <row r="41" spans="1:16" hidden="1">
      <c r="I41" s="462">
        <f>+I19+I40</f>
        <v>10933112</v>
      </c>
    </row>
    <row r="42" spans="1:16" hidden="1"/>
    <row r="43" spans="1:16" hidden="1">
      <c r="B43" s="462">
        <f>SUM(B19+B40)</f>
        <v>59517135</v>
      </c>
      <c r="C43" s="462">
        <f t="shared" ref="C43:K43" si="8">SUM(C19+C40)</f>
        <v>0</v>
      </c>
      <c r="D43" s="462">
        <f t="shared" si="8"/>
        <v>0</v>
      </c>
      <c r="E43" s="462">
        <f t="shared" si="8"/>
        <v>0</v>
      </c>
      <c r="F43" s="462">
        <f t="shared" si="8"/>
        <v>55636714</v>
      </c>
      <c r="G43" s="462">
        <f t="shared" si="8"/>
        <v>0</v>
      </c>
      <c r="H43" s="462">
        <f t="shared" si="8"/>
        <v>0</v>
      </c>
      <c r="I43" s="462">
        <f>+I17+I38</f>
        <v>317420</v>
      </c>
      <c r="J43" s="462">
        <f t="shared" si="8"/>
        <v>0</v>
      </c>
      <c r="K43" s="462">
        <f t="shared" si="8"/>
        <v>0</v>
      </c>
      <c r="L43" s="462">
        <f>+L17+L38</f>
        <v>970315</v>
      </c>
    </row>
    <row r="44" spans="1:16" hidden="1"/>
    <row r="45" spans="1:16" hidden="1"/>
    <row r="46" spans="1:16" ht="16.5" hidden="1" thickBot="1">
      <c r="A46" s="480" t="s">
        <v>621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.75" hidden="1" thickBot="1">
      <c r="A47" s="481" t="s">
        <v>622</v>
      </c>
      <c r="B47" s="482"/>
      <c r="C47" s="483" t="s">
        <v>561</v>
      </c>
      <c r="D47" s="482"/>
      <c r="E47" s="482"/>
      <c r="F47" s="483" t="s">
        <v>566</v>
      </c>
      <c r="G47" s="482"/>
      <c r="H47" s="581" t="s">
        <v>623</v>
      </c>
      <c r="I47" s="582"/>
      <c r="J47" s="581" t="s">
        <v>624</v>
      </c>
      <c r="K47" s="582"/>
      <c r="L47" s="581" t="s">
        <v>625</v>
      </c>
      <c r="M47" s="582"/>
      <c r="N47" s="482"/>
      <c r="O47" s="482"/>
      <c r="P47" s="484" t="s">
        <v>626</v>
      </c>
    </row>
    <row r="48" spans="1:16" ht="16.5" hidden="1" thickBot="1">
      <c r="A48" s="485" t="s">
        <v>627</v>
      </c>
      <c r="B48" s="486" t="s">
        <v>628</v>
      </c>
      <c r="C48" s="486" t="s">
        <v>629</v>
      </c>
      <c r="D48" s="487" t="s">
        <v>564</v>
      </c>
      <c r="E48"/>
      <c r="F48" s="485" t="s">
        <v>627</v>
      </c>
      <c r="G48" s="486" t="s">
        <v>630</v>
      </c>
      <c r="H48" s="486" t="s">
        <v>631</v>
      </c>
      <c r="I48" s="486" t="s">
        <v>564</v>
      </c>
      <c r="J48" s="486" t="s">
        <v>597</v>
      </c>
      <c r="K48" s="486" t="s">
        <v>564</v>
      </c>
      <c r="L48" s="486" t="s">
        <v>597</v>
      </c>
      <c r="M48" s="486" t="s">
        <v>564</v>
      </c>
      <c r="N48" s="488" t="s">
        <v>632</v>
      </c>
      <c r="O48"/>
      <c r="P48" s="489" t="s">
        <v>564</v>
      </c>
    </row>
    <row r="49" spans="1:16" hidden="1">
      <c r="A49" s="490" t="s">
        <v>568</v>
      </c>
      <c r="B49" s="491">
        <v>0</v>
      </c>
      <c r="C49" s="492">
        <v>501780</v>
      </c>
      <c r="D49" s="493">
        <f>+C49*0.2</f>
        <v>100356</v>
      </c>
      <c r="E49"/>
      <c r="F49" s="494" t="s">
        <v>568</v>
      </c>
      <c r="G49" s="495"/>
      <c r="H49" s="495"/>
      <c r="I49" s="496">
        <f>+H49*0.2</f>
        <v>0</v>
      </c>
      <c r="J49" s="495">
        <v>476455</v>
      </c>
      <c r="K49" s="496">
        <f>+J49*0.2</f>
        <v>95291</v>
      </c>
      <c r="L49" s="495"/>
      <c r="M49" s="496">
        <f>+L49*0.2</f>
        <v>0</v>
      </c>
      <c r="N49" s="493">
        <f>+I49+K49+M49</f>
        <v>95291</v>
      </c>
      <c r="O49"/>
      <c r="P49" s="493">
        <f>+D49-N49</f>
        <v>5065</v>
      </c>
    </row>
    <row r="50" spans="1:16" hidden="1">
      <c r="A50" s="257" t="s">
        <v>569</v>
      </c>
      <c r="B50" s="280">
        <v>0</v>
      </c>
      <c r="C50" s="497">
        <v>564705</v>
      </c>
      <c r="D50" s="498">
        <f t="shared" ref="D50:D60" si="9">+C50*0.2</f>
        <v>112941</v>
      </c>
      <c r="E50"/>
      <c r="F50" s="499" t="s">
        <v>569</v>
      </c>
      <c r="G50" s="280"/>
      <c r="H50" s="280"/>
      <c r="I50" s="497">
        <f>+H50*0.2</f>
        <v>0</v>
      </c>
      <c r="J50" s="280">
        <v>424435</v>
      </c>
      <c r="K50" s="497">
        <f>+J50*0.2</f>
        <v>84887</v>
      </c>
      <c r="L50" s="280"/>
      <c r="M50" s="497">
        <f>+L50*0.2</f>
        <v>0</v>
      </c>
      <c r="N50" s="498">
        <f>+I50+K50+M50</f>
        <v>84887</v>
      </c>
      <c r="O50"/>
      <c r="P50" s="498">
        <f t="shared" ref="P50:P60" si="10">+D50-N50</f>
        <v>28054</v>
      </c>
    </row>
    <row r="51" spans="1:16" hidden="1">
      <c r="A51" s="257" t="s">
        <v>570</v>
      </c>
      <c r="B51" s="280"/>
      <c r="C51" s="497">
        <v>6599785</v>
      </c>
      <c r="D51" s="498">
        <f t="shared" si="9"/>
        <v>1319957</v>
      </c>
      <c r="E51"/>
      <c r="F51" s="499" t="s">
        <v>570</v>
      </c>
      <c r="G51" s="280"/>
      <c r="H51" s="280"/>
      <c r="I51" s="497">
        <f t="shared" ref="I51:I60" si="11">+H51*0.2</f>
        <v>0</v>
      </c>
      <c r="J51" s="280">
        <v>6304950</v>
      </c>
      <c r="K51" s="497">
        <f t="shared" ref="K51:K60" si="12">+J51*0.2</f>
        <v>1260990</v>
      </c>
      <c r="L51" s="280"/>
      <c r="M51" s="497">
        <f t="shared" ref="M51:M60" si="13">+L51*0.2</f>
        <v>0</v>
      </c>
      <c r="N51" s="498">
        <f t="shared" ref="N51:N60" si="14">+I51+K51+M51</f>
        <v>1260990</v>
      </c>
      <c r="O51"/>
      <c r="P51" s="498">
        <f t="shared" si="10"/>
        <v>58967</v>
      </c>
    </row>
    <row r="52" spans="1:16" hidden="1">
      <c r="A52" s="257" t="s">
        <v>571</v>
      </c>
      <c r="B52" s="280">
        <v>0</v>
      </c>
      <c r="C52" s="497">
        <v>24340665</v>
      </c>
      <c r="D52" s="498">
        <f t="shared" si="9"/>
        <v>4868133</v>
      </c>
      <c r="E52"/>
      <c r="F52" s="499" t="s">
        <v>571</v>
      </c>
      <c r="G52" s="280"/>
      <c r="H52" s="280">
        <v>484615</v>
      </c>
      <c r="I52" s="497">
        <f t="shared" si="11"/>
        <v>96923</v>
      </c>
      <c r="J52" s="280">
        <v>23372965</v>
      </c>
      <c r="K52" s="497">
        <f t="shared" si="12"/>
        <v>4674593</v>
      </c>
      <c r="L52" s="280"/>
      <c r="M52" s="497">
        <f t="shared" si="13"/>
        <v>0</v>
      </c>
      <c r="N52" s="498">
        <f t="shared" si="14"/>
        <v>4771516</v>
      </c>
      <c r="O52"/>
      <c r="P52" s="498">
        <f t="shared" si="10"/>
        <v>96617</v>
      </c>
    </row>
    <row r="53" spans="1:16" hidden="1">
      <c r="A53" s="257" t="s">
        <v>572</v>
      </c>
      <c r="B53" s="280">
        <v>0</v>
      </c>
      <c r="C53" s="497">
        <v>28860780</v>
      </c>
      <c r="D53" s="498">
        <f t="shared" si="9"/>
        <v>5772156</v>
      </c>
      <c r="E53"/>
      <c r="F53" s="499" t="s">
        <v>572</v>
      </c>
      <c r="G53" s="280"/>
      <c r="H53" s="280">
        <v>42055</v>
      </c>
      <c r="I53" s="497">
        <f t="shared" si="11"/>
        <v>8411</v>
      </c>
      <c r="J53" s="280">
        <v>28104940</v>
      </c>
      <c r="K53" s="497">
        <f t="shared" si="12"/>
        <v>5620988</v>
      </c>
      <c r="L53" s="280"/>
      <c r="M53" s="497">
        <f t="shared" si="13"/>
        <v>0</v>
      </c>
      <c r="N53" s="498">
        <f t="shared" si="14"/>
        <v>5629399</v>
      </c>
      <c r="O53"/>
      <c r="P53" s="498">
        <f t="shared" si="10"/>
        <v>142757</v>
      </c>
    </row>
    <row r="54" spans="1:16" hidden="1">
      <c r="A54" s="257" t="s">
        <v>633</v>
      </c>
      <c r="B54" s="280">
        <v>0</v>
      </c>
      <c r="C54" s="500">
        <v>35096020</v>
      </c>
      <c r="D54" s="498">
        <f t="shared" si="9"/>
        <v>7019204</v>
      </c>
      <c r="E54"/>
      <c r="F54" s="499" t="s">
        <v>633</v>
      </c>
      <c r="G54" s="280"/>
      <c r="H54" s="280">
        <v>0</v>
      </c>
      <c r="I54" s="497">
        <f t="shared" si="11"/>
        <v>0</v>
      </c>
      <c r="J54" s="280">
        <v>35232605</v>
      </c>
      <c r="K54" s="497">
        <f t="shared" si="12"/>
        <v>7046521</v>
      </c>
      <c r="L54" s="280"/>
      <c r="M54" s="497">
        <f t="shared" si="13"/>
        <v>0</v>
      </c>
      <c r="N54" s="498">
        <f t="shared" si="14"/>
        <v>7046521</v>
      </c>
      <c r="O54"/>
      <c r="P54" s="498">
        <f t="shared" si="10"/>
        <v>-27317</v>
      </c>
    </row>
    <row r="55" spans="1:16" hidden="1">
      <c r="A55" s="257" t="s">
        <v>634</v>
      </c>
      <c r="B55" s="280">
        <v>0</v>
      </c>
      <c r="C55" s="500">
        <v>36478195</v>
      </c>
      <c r="D55" s="498">
        <f t="shared" si="9"/>
        <v>7295639</v>
      </c>
      <c r="E55"/>
      <c r="F55" s="499" t="s">
        <v>634</v>
      </c>
      <c r="G55" s="280"/>
      <c r="H55" s="280"/>
      <c r="I55" s="497">
        <f t="shared" si="11"/>
        <v>0</v>
      </c>
      <c r="J55" s="280">
        <v>36213905</v>
      </c>
      <c r="K55" s="497">
        <f t="shared" si="12"/>
        <v>7242781</v>
      </c>
      <c r="L55" s="280"/>
      <c r="M55" s="497">
        <f t="shared" si="13"/>
        <v>0</v>
      </c>
      <c r="N55" s="498">
        <f t="shared" si="14"/>
        <v>7242781</v>
      </c>
      <c r="O55"/>
      <c r="P55" s="498">
        <f t="shared" si="10"/>
        <v>52858</v>
      </c>
    </row>
    <row r="56" spans="1:16" hidden="1">
      <c r="A56" s="257" t="s">
        <v>635</v>
      </c>
      <c r="B56" s="280">
        <v>0</v>
      </c>
      <c r="C56" s="500">
        <v>9299795</v>
      </c>
      <c r="D56" s="498">
        <f t="shared" si="9"/>
        <v>1859959</v>
      </c>
      <c r="E56"/>
      <c r="F56" s="499" t="s">
        <v>635</v>
      </c>
      <c r="G56" s="280"/>
      <c r="H56" s="280"/>
      <c r="I56" s="497">
        <f t="shared" si="11"/>
        <v>0</v>
      </c>
      <c r="J56" s="280">
        <v>10514192</v>
      </c>
      <c r="K56" s="497">
        <f t="shared" si="12"/>
        <v>2102838.4</v>
      </c>
      <c r="L56" s="280"/>
      <c r="M56" s="497">
        <f t="shared" si="13"/>
        <v>0</v>
      </c>
      <c r="N56" s="498">
        <f t="shared" si="14"/>
        <v>2102838.4</v>
      </c>
      <c r="O56"/>
      <c r="P56" s="498">
        <f t="shared" si="10"/>
        <v>-242879.39999999991</v>
      </c>
    </row>
    <row r="57" spans="1:16" hidden="1">
      <c r="A57" s="257" t="s">
        <v>636</v>
      </c>
      <c r="B57" s="280">
        <v>0</v>
      </c>
      <c r="C57" s="500">
        <v>55041160</v>
      </c>
      <c r="D57" s="498">
        <f t="shared" si="9"/>
        <v>11008232</v>
      </c>
      <c r="E57"/>
      <c r="F57" s="499" t="s">
        <v>636</v>
      </c>
      <c r="G57" s="280"/>
      <c r="H57" s="280">
        <v>483265</v>
      </c>
      <c r="I57" s="497">
        <f t="shared" si="11"/>
        <v>96653</v>
      </c>
      <c r="J57" s="280">
        <v>52582825</v>
      </c>
      <c r="K57" s="497">
        <f t="shared" si="12"/>
        <v>10516565</v>
      </c>
      <c r="L57" s="280"/>
      <c r="M57" s="497">
        <f t="shared" si="13"/>
        <v>0</v>
      </c>
      <c r="N57" s="498">
        <f t="shared" si="14"/>
        <v>10613218</v>
      </c>
      <c r="O57"/>
      <c r="P57" s="498">
        <f t="shared" si="10"/>
        <v>395014</v>
      </c>
    </row>
    <row r="58" spans="1:16" hidden="1">
      <c r="A58" s="257" t="s">
        <v>637</v>
      </c>
      <c r="B58" s="280">
        <v>0</v>
      </c>
      <c r="C58" s="500">
        <v>23430780</v>
      </c>
      <c r="D58" s="498">
        <f t="shared" si="9"/>
        <v>4686156</v>
      </c>
      <c r="E58"/>
      <c r="F58" s="499" t="s">
        <v>637</v>
      </c>
      <c r="G58" s="280"/>
      <c r="H58" s="280">
        <v>802705</v>
      </c>
      <c r="I58" s="497">
        <f t="shared" si="11"/>
        <v>160541</v>
      </c>
      <c r="J58" s="280">
        <v>21030370</v>
      </c>
      <c r="K58" s="497">
        <f t="shared" si="12"/>
        <v>4206074</v>
      </c>
      <c r="L58" s="280"/>
      <c r="M58" s="497">
        <f t="shared" si="13"/>
        <v>0</v>
      </c>
      <c r="N58" s="498">
        <f t="shared" si="14"/>
        <v>4366615</v>
      </c>
      <c r="O58"/>
      <c r="P58" s="498">
        <f t="shared" si="10"/>
        <v>319541</v>
      </c>
    </row>
    <row r="59" spans="1:16" hidden="1">
      <c r="A59" s="257" t="s">
        <v>638</v>
      </c>
      <c r="B59" s="280">
        <v>0</v>
      </c>
      <c r="C59" s="500">
        <v>4681000</v>
      </c>
      <c r="D59" s="498">
        <f t="shared" si="9"/>
        <v>936200</v>
      </c>
      <c r="E59"/>
      <c r="F59" s="499" t="s">
        <v>638</v>
      </c>
      <c r="G59" s="280"/>
      <c r="H59" s="280">
        <v>116410</v>
      </c>
      <c r="I59" s="497">
        <f t="shared" si="11"/>
        <v>23282</v>
      </c>
      <c r="J59" s="280">
        <v>5182100</v>
      </c>
      <c r="K59" s="497">
        <f t="shared" si="12"/>
        <v>1036420</v>
      </c>
      <c r="L59" s="280"/>
      <c r="M59" s="497">
        <f t="shared" si="13"/>
        <v>0</v>
      </c>
      <c r="N59" s="498">
        <f t="shared" si="14"/>
        <v>1059702</v>
      </c>
      <c r="O59"/>
      <c r="P59" s="498">
        <f t="shared" si="10"/>
        <v>-123502</v>
      </c>
    </row>
    <row r="60" spans="1:16" ht="15.75" hidden="1" thickBot="1">
      <c r="A60" s="272" t="s">
        <v>639</v>
      </c>
      <c r="B60" s="501"/>
      <c r="C60" s="502">
        <v>17373215</v>
      </c>
      <c r="D60" s="503">
        <f t="shared" si="9"/>
        <v>3474643</v>
      </c>
      <c r="E60"/>
      <c r="F60" s="504" t="s">
        <v>639</v>
      </c>
      <c r="G60" s="501"/>
      <c r="H60" s="501">
        <v>0</v>
      </c>
      <c r="I60" s="505">
        <f t="shared" si="11"/>
        <v>0</v>
      </c>
      <c r="J60" s="501">
        <v>16281100</v>
      </c>
      <c r="K60" s="505">
        <f t="shared" si="12"/>
        <v>3256220</v>
      </c>
      <c r="L60" s="501"/>
      <c r="M60" s="505">
        <f t="shared" si="13"/>
        <v>0</v>
      </c>
      <c r="N60" s="498">
        <f t="shared" si="14"/>
        <v>3256220</v>
      </c>
      <c r="O60"/>
      <c r="P60" s="506">
        <f t="shared" si="10"/>
        <v>218423</v>
      </c>
    </row>
    <row r="61" spans="1:16" ht="16.5" hidden="1" thickBot="1">
      <c r="A61" s="507"/>
      <c r="B61" s="508">
        <f>SUM(B49:B60)</f>
        <v>0</v>
      </c>
      <c r="C61" s="509">
        <f>SUM(C49:C60)</f>
        <v>242267880</v>
      </c>
      <c r="D61" s="510">
        <f>SUM(D49:D60)</f>
        <v>48453576</v>
      </c>
      <c r="E61"/>
      <c r="F61" s="507"/>
      <c r="G61" s="508">
        <f t="shared" ref="G61:N61" si="15">SUM(G49:G60)</f>
        <v>0</v>
      </c>
      <c r="H61" s="508">
        <f t="shared" si="15"/>
        <v>1929050</v>
      </c>
      <c r="I61" s="509">
        <f t="shared" si="15"/>
        <v>385810</v>
      </c>
      <c r="J61" s="508">
        <f t="shared" si="15"/>
        <v>235720842</v>
      </c>
      <c r="K61" s="509">
        <f t="shared" si="15"/>
        <v>47144168.399999999</v>
      </c>
      <c r="L61" s="508">
        <f t="shared" si="15"/>
        <v>0</v>
      </c>
      <c r="M61" s="509">
        <f t="shared" si="15"/>
        <v>0</v>
      </c>
      <c r="N61" s="511">
        <f t="shared" si="15"/>
        <v>47529978.399999999</v>
      </c>
      <c r="O61"/>
      <c r="P61" s="512">
        <f>SUM(P49:P60)</f>
        <v>923597.60000000009</v>
      </c>
    </row>
    <row r="62" spans="1:16" hidden="1">
      <c r="A62" s="256"/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</row>
    <row r="63" spans="1:16" hidden="1">
      <c r="A63" s="256"/>
      <c r="B63" s="256"/>
      <c r="C63" s="256"/>
      <c r="D63" s="256"/>
      <c r="E63" s="256"/>
      <c r="F63" s="513"/>
      <c r="G63" s="513"/>
      <c r="H63" s="256"/>
      <c r="I63" s="513"/>
      <c r="J63" s="256"/>
      <c r="K63" s="256"/>
      <c r="L63" s="256"/>
      <c r="M63" s="256"/>
      <c r="N63" s="256"/>
      <c r="O63" s="256"/>
      <c r="P63" s="256"/>
    </row>
    <row r="64" spans="1:16" hidden="1">
      <c r="A64" s="441" t="s">
        <v>580</v>
      </c>
      <c r="B64" s="462">
        <f>SUM(B62:C62)</f>
        <v>0</v>
      </c>
      <c r="C64" s="462">
        <f>+C61</f>
        <v>242267880</v>
      </c>
      <c r="F64" s="462"/>
      <c r="G64" s="462">
        <f>+H61+J61</f>
        <v>237649892</v>
      </c>
      <c r="H64" s="462"/>
      <c r="I64" s="462">
        <f>+I61+K61</f>
        <v>47529978.399999999</v>
      </c>
    </row>
    <row r="65" spans="1:16" hidden="1"/>
    <row r="66" spans="1:16" hidden="1"/>
    <row r="67" spans="1:16" hidden="1"/>
    <row r="68" spans="1:16" ht="16.5" thickBot="1">
      <c r="A68" s="557" t="s">
        <v>621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.75" thickBot="1">
      <c r="A69" s="554" t="s">
        <v>678</v>
      </c>
      <c r="B69" s="555"/>
      <c r="C69" s="556" t="s">
        <v>561</v>
      </c>
      <c r="D69" s="482"/>
      <c r="E69" s="482"/>
      <c r="F69" s="483" t="s">
        <v>566</v>
      </c>
      <c r="G69" s="482"/>
      <c r="H69" s="581" t="s">
        <v>623</v>
      </c>
      <c r="I69" s="582"/>
      <c r="J69" s="581" t="s">
        <v>624</v>
      </c>
      <c r="K69" s="582"/>
      <c r="L69" s="581" t="s">
        <v>625</v>
      </c>
      <c r="M69" s="582"/>
      <c r="N69" s="482"/>
      <c r="O69" s="482"/>
      <c r="P69" s="484" t="s">
        <v>626</v>
      </c>
    </row>
    <row r="70" spans="1:16" ht="16.5" thickBot="1">
      <c r="A70" s="485" t="s">
        <v>627</v>
      </c>
      <c r="B70" s="486" t="s">
        <v>628</v>
      </c>
      <c r="C70" s="487" t="s">
        <v>629</v>
      </c>
      <c r="D70" s="542" t="s">
        <v>564</v>
      </c>
      <c r="E70"/>
      <c r="F70" s="485" t="s">
        <v>627</v>
      </c>
      <c r="G70" s="486" t="s">
        <v>630</v>
      </c>
      <c r="H70" s="486" t="s">
        <v>631</v>
      </c>
      <c r="I70" s="486" t="s">
        <v>564</v>
      </c>
      <c r="J70" s="486" t="s">
        <v>597</v>
      </c>
      <c r="K70" s="486" t="s">
        <v>564</v>
      </c>
      <c r="L70" s="486" t="s">
        <v>597</v>
      </c>
      <c r="M70" s="486" t="s">
        <v>564</v>
      </c>
      <c r="N70" s="488" t="s">
        <v>632</v>
      </c>
      <c r="O70"/>
      <c r="P70" s="489" t="s">
        <v>564</v>
      </c>
    </row>
    <row r="71" spans="1:16">
      <c r="A71" s="547" t="s">
        <v>568</v>
      </c>
      <c r="B71" s="491">
        <v>0</v>
      </c>
      <c r="C71" s="548">
        <v>517530</v>
      </c>
      <c r="D71" s="543">
        <f>+C71*0.2</f>
        <v>103506</v>
      </c>
      <c r="E71"/>
      <c r="F71" s="494" t="s">
        <v>568</v>
      </c>
      <c r="G71" s="495"/>
      <c r="H71" s="495"/>
      <c r="I71" s="496">
        <f>+H71*0.2</f>
        <v>0</v>
      </c>
      <c r="J71" s="495"/>
      <c r="K71" s="496">
        <f>+J71*0.2</f>
        <v>0</v>
      </c>
      <c r="L71" s="495">
        <v>390000</v>
      </c>
      <c r="M71" s="496">
        <f>+L71*0.2</f>
        <v>78000</v>
      </c>
      <c r="N71" s="493">
        <f>+I71+K71+M71</f>
        <v>78000</v>
      </c>
      <c r="O71"/>
      <c r="P71" s="493">
        <f>+D71-N71</f>
        <v>25506</v>
      </c>
    </row>
    <row r="72" spans="1:16">
      <c r="A72" s="499" t="s">
        <v>569</v>
      </c>
      <c r="B72" s="280">
        <v>0</v>
      </c>
      <c r="C72" s="549">
        <v>6634890</v>
      </c>
      <c r="D72" s="544">
        <f t="shared" ref="D72:D82" si="16">+C72*0.2</f>
        <v>1326978</v>
      </c>
      <c r="E72"/>
      <c r="F72" s="499" t="s">
        <v>569</v>
      </c>
      <c r="G72" s="280"/>
      <c r="H72" s="280"/>
      <c r="I72" s="497">
        <f>+H72*0.2</f>
        <v>0</v>
      </c>
      <c r="J72" s="280"/>
      <c r="K72" s="497">
        <f>+J72*0.2</f>
        <v>0</v>
      </c>
      <c r="L72" s="280">
        <v>7812300</v>
      </c>
      <c r="M72" s="497">
        <f>+L72*0.2</f>
        <v>1562460</v>
      </c>
      <c r="N72" s="498">
        <f>+I72+K72+M72</f>
        <v>1562460</v>
      </c>
      <c r="O72"/>
      <c r="P72" s="498">
        <f t="shared" ref="P72:P82" si="17">+D72-N72</f>
        <v>-235482</v>
      </c>
    </row>
    <row r="73" spans="1:16">
      <c r="A73" s="499" t="s">
        <v>570</v>
      </c>
      <c r="B73" s="280">
        <v>0</v>
      </c>
      <c r="C73" s="549">
        <v>4803550</v>
      </c>
      <c r="D73" s="544">
        <f t="shared" si="16"/>
        <v>960710</v>
      </c>
      <c r="E73"/>
      <c r="F73" s="499" t="s">
        <v>570</v>
      </c>
      <c r="G73" s="280"/>
      <c r="H73" s="280"/>
      <c r="I73" s="497">
        <f t="shared" ref="I73:I82" si="18">+H73*0.2</f>
        <v>0</v>
      </c>
      <c r="J73" s="280"/>
      <c r="K73" s="497">
        <f t="shared" ref="K73:K82" si="19">+J73*0.2</f>
        <v>0</v>
      </c>
      <c r="L73" s="280">
        <v>4875680</v>
      </c>
      <c r="M73" s="497">
        <f t="shared" ref="M73:M82" si="20">+L73*0.2</f>
        <v>975136</v>
      </c>
      <c r="N73" s="498">
        <f t="shared" ref="N73:N82" si="21">+I73+K73+M73</f>
        <v>975136</v>
      </c>
      <c r="O73"/>
      <c r="P73" s="498">
        <f t="shared" si="17"/>
        <v>-14426</v>
      </c>
    </row>
    <row r="74" spans="1:16">
      <c r="A74" s="499" t="s">
        <v>571</v>
      </c>
      <c r="B74" s="280">
        <v>0</v>
      </c>
      <c r="C74" s="549">
        <v>12954480</v>
      </c>
      <c r="D74" s="544">
        <f t="shared" si="16"/>
        <v>2590896</v>
      </c>
      <c r="E74"/>
      <c r="F74" s="499" t="s">
        <v>571</v>
      </c>
      <c r="G74" s="280"/>
      <c r="H74" s="280"/>
      <c r="I74" s="497">
        <f t="shared" si="18"/>
        <v>0</v>
      </c>
      <c r="J74" s="280"/>
      <c r="K74" s="497">
        <f t="shared" si="19"/>
        <v>0</v>
      </c>
      <c r="L74" s="280">
        <v>12685395</v>
      </c>
      <c r="M74" s="497">
        <f t="shared" si="20"/>
        <v>2537079</v>
      </c>
      <c r="N74" s="498">
        <f t="shared" si="21"/>
        <v>2537079</v>
      </c>
      <c r="O74"/>
      <c r="P74" s="498">
        <f t="shared" si="17"/>
        <v>53817</v>
      </c>
    </row>
    <row r="75" spans="1:16">
      <c r="A75" s="499" t="s">
        <v>572</v>
      </c>
      <c r="B75" s="280">
        <v>0</v>
      </c>
      <c r="C75" s="549">
        <v>11808950</v>
      </c>
      <c r="D75" s="544">
        <f t="shared" si="16"/>
        <v>2361790</v>
      </c>
      <c r="E75"/>
      <c r="F75" s="499" t="s">
        <v>572</v>
      </c>
      <c r="G75" s="280"/>
      <c r="H75" s="280"/>
      <c r="I75" s="497">
        <f t="shared" si="18"/>
        <v>0</v>
      </c>
      <c r="J75" s="280"/>
      <c r="K75" s="497">
        <f t="shared" si="19"/>
        <v>0</v>
      </c>
      <c r="L75" s="280">
        <v>11513200</v>
      </c>
      <c r="M75" s="497">
        <f t="shared" si="20"/>
        <v>2302640</v>
      </c>
      <c r="N75" s="498">
        <f t="shared" si="21"/>
        <v>2302640</v>
      </c>
      <c r="O75"/>
      <c r="P75" s="498">
        <f t="shared" si="17"/>
        <v>59150</v>
      </c>
    </row>
    <row r="76" spans="1:16">
      <c r="A76" s="499" t="s">
        <v>633</v>
      </c>
      <c r="B76" s="280">
        <v>0</v>
      </c>
      <c r="C76" s="550">
        <v>11079165</v>
      </c>
      <c r="D76" s="544">
        <f t="shared" si="16"/>
        <v>2215833</v>
      </c>
      <c r="E76"/>
      <c r="F76" s="499" t="s">
        <v>633</v>
      </c>
      <c r="G76" s="280"/>
      <c r="H76" s="280"/>
      <c r="I76" s="497">
        <f t="shared" si="18"/>
        <v>0</v>
      </c>
      <c r="J76" s="280"/>
      <c r="K76" s="497">
        <f t="shared" si="19"/>
        <v>0</v>
      </c>
      <c r="L76" s="280">
        <v>13290290</v>
      </c>
      <c r="M76" s="497">
        <f t="shared" si="20"/>
        <v>2658058</v>
      </c>
      <c r="N76" s="498">
        <f t="shared" si="21"/>
        <v>2658058</v>
      </c>
      <c r="O76"/>
      <c r="P76" s="498">
        <f t="shared" si="17"/>
        <v>-442225</v>
      </c>
    </row>
    <row r="77" spans="1:16">
      <c r="A77" s="499" t="s">
        <v>634</v>
      </c>
      <c r="B77" s="280">
        <v>0</v>
      </c>
      <c r="C77" s="550">
        <v>12767245</v>
      </c>
      <c r="D77" s="544">
        <f t="shared" si="16"/>
        <v>2553449</v>
      </c>
      <c r="E77"/>
      <c r="F77" s="499" t="s">
        <v>634</v>
      </c>
      <c r="G77" s="280"/>
      <c r="H77" s="280">
        <v>59465</v>
      </c>
      <c r="I77" s="497">
        <f t="shared" si="18"/>
        <v>11893</v>
      </c>
      <c r="J77" s="280"/>
      <c r="K77" s="497">
        <f t="shared" si="19"/>
        <v>0</v>
      </c>
      <c r="L77" s="280">
        <v>12648655</v>
      </c>
      <c r="M77" s="497">
        <f t="shared" si="20"/>
        <v>2529731</v>
      </c>
      <c r="N77" s="498">
        <f t="shared" si="21"/>
        <v>2541624</v>
      </c>
      <c r="O77"/>
      <c r="P77" s="498">
        <f t="shared" si="17"/>
        <v>11825</v>
      </c>
    </row>
    <row r="78" spans="1:16">
      <c r="A78" s="499" t="s">
        <v>635</v>
      </c>
      <c r="B78" s="280">
        <v>0</v>
      </c>
      <c r="C78" s="550">
        <v>26550300</v>
      </c>
      <c r="D78" s="544">
        <f t="shared" si="16"/>
        <v>5310060</v>
      </c>
      <c r="E78"/>
      <c r="F78" s="499" t="s">
        <v>635</v>
      </c>
      <c r="G78" s="280"/>
      <c r="H78" s="280"/>
      <c r="I78" s="497">
        <f t="shared" si="18"/>
        <v>0</v>
      </c>
      <c r="J78" s="280"/>
      <c r="K78" s="497">
        <f t="shared" si="19"/>
        <v>0</v>
      </c>
      <c r="L78" s="280">
        <v>22736270</v>
      </c>
      <c r="M78" s="497">
        <f t="shared" si="20"/>
        <v>4547254</v>
      </c>
      <c r="N78" s="498">
        <f t="shared" si="21"/>
        <v>4547254</v>
      </c>
      <c r="O78"/>
      <c r="P78" s="498">
        <f t="shared" si="17"/>
        <v>762806</v>
      </c>
    </row>
    <row r="79" spans="1:16">
      <c r="A79" s="499" t="s">
        <v>636</v>
      </c>
      <c r="B79" s="280">
        <v>0</v>
      </c>
      <c r="C79" s="550">
        <v>19737575</v>
      </c>
      <c r="D79" s="544">
        <f t="shared" si="16"/>
        <v>3947515</v>
      </c>
      <c r="E79"/>
      <c r="F79" s="499" t="s">
        <v>636</v>
      </c>
      <c r="G79" s="280"/>
      <c r="H79" s="280"/>
      <c r="I79" s="497">
        <f t="shared" si="18"/>
        <v>0</v>
      </c>
      <c r="J79" s="280"/>
      <c r="K79" s="497">
        <f t="shared" si="19"/>
        <v>0</v>
      </c>
      <c r="L79" s="280">
        <v>11021930</v>
      </c>
      <c r="M79" s="497">
        <f t="shared" si="20"/>
        <v>2204386</v>
      </c>
      <c r="N79" s="498">
        <f t="shared" si="21"/>
        <v>2204386</v>
      </c>
      <c r="O79"/>
      <c r="P79" s="498">
        <f t="shared" si="17"/>
        <v>1743129</v>
      </c>
    </row>
    <row r="80" spans="1:16">
      <c r="A80" s="499" t="s">
        <v>637</v>
      </c>
      <c r="B80" s="280">
        <v>0</v>
      </c>
      <c r="C80" s="550">
        <v>14479830</v>
      </c>
      <c r="D80" s="544">
        <f t="shared" si="16"/>
        <v>2895966</v>
      </c>
      <c r="E80"/>
      <c r="F80" s="499" t="s">
        <v>637</v>
      </c>
      <c r="G80" s="280">
        <v>200</v>
      </c>
      <c r="H80" s="280"/>
      <c r="I80" s="497">
        <f t="shared" si="18"/>
        <v>0</v>
      </c>
      <c r="J80" s="280"/>
      <c r="K80" s="497">
        <f t="shared" si="19"/>
        <v>0</v>
      </c>
      <c r="L80" s="280">
        <v>16625920</v>
      </c>
      <c r="M80" s="497">
        <f t="shared" si="20"/>
        <v>3325184</v>
      </c>
      <c r="N80" s="498">
        <f t="shared" si="21"/>
        <v>3325184</v>
      </c>
      <c r="O80"/>
      <c r="P80" s="498">
        <f t="shared" si="17"/>
        <v>-429218</v>
      </c>
    </row>
    <row r="81" spans="1:17">
      <c r="A81" s="499" t="s">
        <v>638</v>
      </c>
      <c r="B81" s="280">
        <v>0</v>
      </c>
      <c r="C81" s="550">
        <v>14563515</v>
      </c>
      <c r="D81" s="544">
        <f t="shared" si="16"/>
        <v>2912703</v>
      </c>
      <c r="E81"/>
      <c r="F81" s="499" t="s">
        <v>638</v>
      </c>
      <c r="G81" s="280">
        <v>100</v>
      </c>
      <c r="H81" s="280"/>
      <c r="I81" s="497">
        <f t="shared" si="18"/>
        <v>0</v>
      </c>
      <c r="J81" s="280"/>
      <c r="K81" s="497">
        <f t="shared" si="19"/>
        <v>0</v>
      </c>
      <c r="L81" s="280">
        <v>19857995</v>
      </c>
      <c r="M81" s="497">
        <f t="shared" si="20"/>
        <v>3971599</v>
      </c>
      <c r="N81" s="498">
        <f t="shared" si="21"/>
        <v>3971599</v>
      </c>
      <c r="O81"/>
      <c r="P81" s="498">
        <f t="shared" si="17"/>
        <v>-1058896</v>
      </c>
    </row>
    <row r="82" spans="1:17" ht="15.75" thickBot="1">
      <c r="A82" s="504" t="s">
        <v>639</v>
      </c>
      <c r="B82" s="501"/>
      <c r="C82" s="551">
        <v>3133075</v>
      </c>
      <c r="D82" s="545">
        <f t="shared" si="16"/>
        <v>626615</v>
      </c>
      <c r="E82"/>
      <c r="F82" s="504" t="s">
        <v>639</v>
      </c>
      <c r="G82" s="501">
        <v>0</v>
      </c>
      <c r="H82" s="501"/>
      <c r="I82" s="505">
        <f t="shared" si="18"/>
        <v>0</v>
      </c>
      <c r="J82" s="501"/>
      <c r="K82" s="505">
        <f t="shared" si="19"/>
        <v>0</v>
      </c>
      <c r="L82" s="501">
        <v>8732875</v>
      </c>
      <c r="M82" s="505">
        <f t="shared" si="20"/>
        <v>1746575</v>
      </c>
      <c r="N82" s="498">
        <f t="shared" si="21"/>
        <v>1746575</v>
      </c>
      <c r="O82"/>
      <c r="P82" s="506">
        <f t="shared" si="17"/>
        <v>-1119960</v>
      </c>
    </row>
    <row r="83" spans="1:17" ht="16.5" thickBot="1">
      <c r="A83" s="507"/>
      <c r="B83" s="508">
        <f>SUM(B71:B82)</f>
        <v>0</v>
      </c>
      <c r="C83" s="552">
        <f>SUM(C71:C82)</f>
        <v>139030105</v>
      </c>
      <c r="D83" s="546">
        <f>SUM(D71:D82)</f>
        <v>27806021</v>
      </c>
      <c r="E83"/>
      <c r="F83" s="507"/>
      <c r="G83" s="508">
        <f t="shared" ref="G83:N83" si="22">SUM(G71:G82)</f>
        <v>300</v>
      </c>
      <c r="H83" s="508">
        <f t="shared" si="22"/>
        <v>59465</v>
      </c>
      <c r="I83" s="509">
        <f t="shared" si="22"/>
        <v>11893</v>
      </c>
      <c r="J83" s="508">
        <f t="shared" si="22"/>
        <v>0</v>
      </c>
      <c r="K83" s="509">
        <f t="shared" si="22"/>
        <v>0</v>
      </c>
      <c r="L83" s="508">
        <f t="shared" si="22"/>
        <v>142190510</v>
      </c>
      <c r="M83" s="509">
        <f t="shared" si="22"/>
        <v>28438102</v>
      </c>
      <c r="N83" s="511">
        <f t="shared" si="22"/>
        <v>28449995</v>
      </c>
      <c r="O83"/>
      <c r="P83" s="512">
        <f>SUM(P71:P82)</f>
        <v>-643974</v>
      </c>
    </row>
    <row r="84" spans="1:17">
      <c r="A84" s="256"/>
      <c r="B84" s="256"/>
      <c r="C84" s="256"/>
      <c r="D84" s="256"/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</row>
    <row r="85" spans="1:17" ht="15.75" thickBot="1">
      <c r="A85" s="256"/>
      <c r="B85" s="256"/>
      <c r="C85" s="256"/>
      <c r="D85" s="256"/>
      <c r="E85" s="256"/>
      <c r="F85" s="513"/>
      <c r="G85" s="513"/>
      <c r="H85" s="256"/>
      <c r="I85" s="513"/>
      <c r="J85" s="256"/>
      <c r="K85" s="256"/>
      <c r="L85" s="256"/>
      <c r="M85" s="256"/>
      <c r="N85" s="256"/>
      <c r="O85" s="256"/>
      <c r="P85" s="256"/>
    </row>
    <row r="86" spans="1:17" ht="16.5" thickBot="1">
      <c r="A86" s="540" t="s">
        <v>679</v>
      </c>
      <c r="B86" s="541"/>
      <c r="C86" s="553">
        <f>+C83</f>
        <v>139030105</v>
      </c>
      <c r="F86" s="558">
        <f>+G83+H83+L83</f>
        <v>142250275</v>
      </c>
      <c r="G86" s="462">
        <f>+H83+J83</f>
        <v>59465</v>
      </c>
      <c r="H86" s="462"/>
      <c r="I86" s="462">
        <f>+I83+K83</f>
        <v>11893</v>
      </c>
      <c r="Q86" s="440"/>
    </row>
  </sheetData>
  <mergeCells count="6">
    <mergeCell ref="H47:I47"/>
    <mergeCell ref="J47:K47"/>
    <mergeCell ref="L47:M47"/>
    <mergeCell ref="H69:I69"/>
    <mergeCell ref="J69:K69"/>
    <mergeCell ref="L69:M6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0"/>
    <pageSetUpPr fitToPage="1"/>
  </sheetPr>
  <dimension ref="A1:L84"/>
  <sheetViews>
    <sheetView zoomScale="75" workbookViewId="0">
      <selection activeCell="D32" sqref="D32"/>
    </sheetView>
  </sheetViews>
  <sheetFormatPr defaultRowHeight="15.75"/>
  <cols>
    <col min="1" max="1" width="4.5703125" style="82" customWidth="1"/>
    <col min="2" max="2" width="52.85546875" style="79" customWidth="1"/>
    <col min="3" max="3" width="10.42578125" style="80" customWidth="1"/>
    <col min="4" max="5" width="21.140625" style="81" customWidth="1"/>
    <col min="6" max="6" width="24.28515625" style="81" hidden="1" customWidth="1"/>
    <col min="7" max="7" width="19.28515625" style="81" hidden="1" customWidth="1"/>
    <col min="8" max="8" width="21.140625" style="81" hidden="1" customWidth="1"/>
    <col min="9" max="10" width="19.28515625" style="81" hidden="1" customWidth="1"/>
    <col min="11" max="11" width="11.7109375" style="82" customWidth="1"/>
    <col min="12" max="13" width="9.140625" style="82"/>
    <col min="14" max="14" width="17.85546875" style="82" customWidth="1"/>
    <col min="15" max="16384" width="9.140625" style="82"/>
  </cols>
  <sheetData>
    <row r="1" spans="1:10">
      <c r="A1" s="25" t="s">
        <v>640</v>
      </c>
    </row>
    <row r="2" spans="1:10">
      <c r="A2" s="83" t="s">
        <v>687</v>
      </c>
    </row>
    <row r="3" spans="1:10">
      <c r="A3" s="83" t="s">
        <v>94</v>
      </c>
    </row>
    <row r="5" spans="1:10" ht="33" customHeight="1" thickBot="1">
      <c r="A5" s="84" t="s">
        <v>0</v>
      </c>
      <c r="C5" s="80" t="s">
        <v>429</v>
      </c>
      <c r="D5" s="423" t="s">
        <v>686</v>
      </c>
      <c r="E5" s="423" t="s">
        <v>641</v>
      </c>
      <c r="F5" s="423" t="s">
        <v>609</v>
      </c>
      <c r="G5" s="423" t="s">
        <v>582</v>
      </c>
      <c r="H5" s="423" t="s">
        <v>546</v>
      </c>
      <c r="I5" s="85" t="s">
        <v>546</v>
      </c>
      <c r="J5" s="85" t="s">
        <v>529</v>
      </c>
    </row>
    <row r="6" spans="1:10" ht="16.5" thickTop="1">
      <c r="A6" s="84" t="s">
        <v>42</v>
      </c>
    </row>
    <row r="7" spans="1:10">
      <c r="D7" s="86"/>
      <c r="E7" s="86"/>
      <c r="F7" s="86"/>
      <c r="G7" s="86"/>
      <c r="H7" s="86"/>
      <c r="I7" s="86"/>
      <c r="J7" s="86"/>
    </row>
    <row r="8" spans="1:10">
      <c r="B8" s="79" t="s">
        <v>1</v>
      </c>
      <c r="C8" s="80" t="s">
        <v>421</v>
      </c>
      <c r="D8" s="87">
        <f>+BA!D50</f>
        <v>2526999</v>
      </c>
      <c r="E8" s="87">
        <f>+BA!E50</f>
        <v>7799</v>
      </c>
      <c r="F8" s="87">
        <f>+BA!F50</f>
        <v>131408.1</v>
      </c>
      <c r="G8" s="87">
        <f>+BA!G50</f>
        <v>42034.33</v>
      </c>
      <c r="H8" s="87">
        <f>+BA!H50</f>
        <v>31774</v>
      </c>
      <c r="I8" s="87">
        <v>0</v>
      </c>
      <c r="J8" s="87" t="e">
        <f>+BA!#REF!</f>
        <v>#REF!</v>
      </c>
    </row>
    <row r="9" spans="1:10">
      <c r="B9" s="79" t="s">
        <v>41</v>
      </c>
      <c r="D9" s="86"/>
      <c r="E9" s="86"/>
      <c r="F9" s="86"/>
      <c r="G9" s="86"/>
      <c r="H9" s="86"/>
      <c r="I9" s="86"/>
      <c r="J9" s="86"/>
    </row>
    <row r="10" spans="1:10">
      <c r="B10" s="84"/>
      <c r="D10" s="89">
        <f>SUM(D8:D9)</f>
        <v>2526999</v>
      </c>
      <c r="E10" s="89">
        <f t="shared" ref="E10:J10" si="0">SUM(E8:E9)</f>
        <v>7799</v>
      </c>
      <c r="F10" s="89">
        <f t="shared" si="0"/>
        <v>131408.1</v>
      </c>
      <c r="G10" s="89">
        <f t="shared" si="0"/>
        <v>42034.33</v>
      </c>
      <c r="H10" s="89">
        <f t="shared" si="0"/>
        <v>31774</v>
      </c>
      <c r="I10" s="89">
        <f t="shared" si="0"/>
        <v>0</v>
      </c>
      <c r="J10" s="89" t="e">
        <f t="shared" si="0"/>
        <v>#REF!</v>
      </c>
    </row>
    <row r="11" spans="1:10">
      <c r="A11" s="79" t="s">
        <v>43</v>
      </c>
      <c r="D11" s="86"/>
      <c r="E11" s="86"/>
      <c r="F11" s="86"/>
      <c r="G11" s="86"/>
      <c r="H11" s="86"/>
      <c r="I11" s="86"/>
      <c r="J11" s="86"/>
    </row>
    <row r="12" spans="1:10">
      <c r="B12" s="79" t="s">
        <v>52</v>
      </c>
      <c r="C12" s="80" t="s">
        <v>420</v>
      </c>
      <c r="D12" s="90">
        <f>+BA!D42</f>
        <v>15411512</v>
      </c>
      <c r="E12" s="90">
        <f>+BA!E42</f>
        <v>20793462.060000002</v>
      </c>
      <c r="F12" s="90">
        <f>+BA!F42</f>
        <v>90000.4</v>
      </c>
      <c r="G12" s="90">
        <f>+BA!G42</f>
        <v>4146845.77</v>
      </c>
      <c r="H12" s="90">
        <f>+BA!H42</f>
        <v>932306</v>
      </c>
      <c r="I12" s="90">
        <f>+BA!I42</f>
        <v>154306</v>
      </c>
      <c r="J12" s="90" t="e">
        <f>+BA!#REF!</f>
        <v>#REF!</v>
      </c>
    </row>
    <row r="13" spans="1:10">
      <c r="B13" s="79" t="s">
        <v>44</v>
      </c>
      <c r="C13" s="80" t="s">
        <v>420</v>
      </c>
      <c r="D13" s="90">
        <f>+BA!D45+BA!D44</f>
        <v>66000</v>
      </c>
      <c r="E13" s="90">
        <f>+BA!E45+BA!E44</f>
        <v>66000</v>
      </c>
      <c r="F13" s="90">
        <f>+BA!F45+BA!F44</f>
        <v>6000</v>
      </c>
      <c r="G13" s="90">
        <f>+BA!G45+BA!G44</f>
        <v>6000</v>
      </c>
      <c r="H13" s="90">
        <f>+BA!H45+BA!H44</f>
        <v>6000</v>
      </c>
      <c r="I13" s="90">
        <v>0</v>
      </c>
      <c r="J13" s="90" t="e">
        <f>+BA!#REF!+BA!#REF!</f>
        <v>#REF!</v>
      </c>
    </row>
    <row r="14" spans="1:10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</row>
    <row r="15" spans="1:10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</row>
    <row r="16" spans="1:10">
      <c r="D16" s="89">
        <f>SUM(D12:D15)</f>
        <v>15477512</v>
      </c>
      <c r="E16" s="89">
        <f t="shared" ref="E16:J16" si="1">SUM(E12:E15)</f>
        <v>20859462.060000002</v>
      </c>
      <c r="F16" s="89">
        <f t="shared" si="1"/>
        <v>96000.4</v>
      </c>
      <c r="G16" s="89">
        <f t="shared" si="1"/>
        <v>4152845.77</v>
      </c>
      <c r="H16" s="89">
        <f t="shared" si="1"/>
        <v>938306</v>
      </c>
      <c r="I16" s="89">
        <f t="shared" si="1"/>
        <v>154306</v>
      </c>
      <c r="J16" s="89" t="e">
        <f t="shared" si="1"/>
        <v>#REF!</v>
      </c>
    </row>
    <row r="17" spans="1:10">
      <c r="A17" s="79" t="s">
        <v>5</v>
      </c>
      <c r="D17" s="86"/>
      <c r="E17" s="86"/>
      <c r="F17" s="86"/>
      <c r="G17" s="86"/>
      <c r="H17" s="86"/>
      <c r="I17" s="86"/>
      <c r="J17" s="86"/>
    </row>
    <row r="18" spans="1:10">
      <c r="B18" s="79" t="s">
        <v>506</v>
      </c>
      <c r="D18" s="91">
        <f>+BA!D35</f>
        <v>0</v>
      </c>
      <c r="E18" s="91">
        <f>+BA!E35</f>
        <v>0</v>
      </c>
      <c r="F18" s="91">
        <f>+BA!F35</f>
        <v>0</v>
      </c>
      <c r="G18" s="91">
        <f>+BA!G35</f>
        <v>1419573</v>
      </c>
      <c r="H18" s="91">
        <f>+BA!H35</f>
        <v>0</v>
      </c>
      <c r="I18" s="91">
        <f>+BA!I35</f>
        <v>0</v>
      </c>
      <c r="J18" s="91" t="e">
        <f>+BA!#REF!</f>
        <v>#REF!</v>
      </c>
    </row>
    <row r="19" spans="1:10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>
        <f>+BA!I36</f>
        <v>0</v>
      </c>
      <c r="J19" s="91" t="e">
        <f>+BA!#REF!</f>
        <v>#REF!</v>
      </c>
    </row>
    <row r="20" spans="1:10">
      <c r="B20" s="79" t="s">
        <v>515</v>
      </c>
      <c r="C20" s="80" t="s">
        <v>419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>
        <f>+BA!I37</f>
        <v>0</v>
      </c>
      <c r="J20" s="86" t="e">
        <f>+BA!#REF!</f>
        <v>#REF!</v>
      </c>
    </row>
    <row r="21" spans="1:10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>
        <f>+BA!I38</f>
        <v>0</v>
      </c>
      <c r="J21" s="91" t="e">
        <f>+BA!#REF!</f>
        <v>#REF!</v>
      </c>
    </row>
    <row r="22" spans="1:10">
      <c r="B22" s="79" t="s">
        <v>46</v>
      </c>
      <c r="C22" s="80" t="s">
        <v>422</v>
      </c>
      <c r="D22" s="86"/>
      <c r="E22" s="86"/>
      <c r="F22" s="86"/>
      <c r="G22" s="86"/>
      <c r="H22" s="86"/>
      <c r="I22" s="86"/>
      <c r="J22" s="86"/>
    </row>
    <row r="23" spans="1:10" ht="12.75" customHeight="1">
      <c r="D23" s="89">
        <f>SUM(D18:D22)</f>
        <v>0</v>
      </c>
      <c r="E23" s="89">
        <f t="shared" ref="E23:J23" si="2">SUM(E18:E22)</f>
        <v>0</v>
      </c>
      <c r="F23" s="89">
        <f t="shared" si="2"/>
        <v>0</v>
      </c>
      <c r="G23" s="89">
        <f t="shared" si="2"/>
        <v>1419573</v>
      </c>
      <c r="H23" s="89">
        <f t="shared" si="2"/>
        <v>0</v>
      </c>
      <c r="I23" s="89">
        <f t="shared" si="2"/>
        <v>0</v>
      </c>
      <c r="J23" s="89" t="e">
        <f t="shared" si="2"/>
        <v>#REF!</v>
      </c>
    </row>
    <row r="24" spans="1:10">
      <c r="B24" s="79" t="s">
        <v>47</v>
      </c>
      <c r="D24" s="86"/>
      <c r="E24" s="86"/>
      <c r="F24" s="86"/>
      <c r="G24" s="86"/>
      <c r="H24" s="86"/>
      <c r="I24" s="86"/>
      <c r="J24" s="86"/>
    </row>
    <row r="25" spans="1:10">
      <c r="B25" s="79" t="s">
        <v>48</v>
      </c>
      <c r="D25" s="86"/>
      <c r="E25" s="86"/>
      <c r="F25" s="86"/>
      <c r="G25" s="86"/>
      <c r="H25" s="86"/>
      <c r="I25" s="86"/>
      <c r="J25" s="86"/>
    </row>
    <row r="26" spans="1:10">
      <c r="B26" s="79" t="s">
        <v>49</v>
      </c>
      <c r="C26" s="80" t="s">
        <v>423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>
        <f>+BA!H54</f>
        <v>0</v>
      </c>
      <c r="I26" s="86">
        <f>+BA!I54</f>
        <v>0</v>
      </c>
      <c r="J26" s="86" t="e">
        <f>+BA!#REF!</f>
        <v>#REF!</v>
      </c>
    </row>
    <row r="27" spans="1:10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>
        <f>+BA!I58</f>
        <v>0</v>
      </c>
      <c r="J27" s="91" t="e">
        <f>+BA!#REF!</f>
        <v>#REF!</v>
      </c>
    </row>
    <row r="28" spans="1:10">
      <c r="D28" s="86"/>
      <c r="E28" s="86"/>
      <c r="F28" s="86"/>
      <c r="G28" s="86"/>
      <c r="H28" s="86"/>
      <c r="I28" s="86"/>
      <c r="J28" s="86"/>
    </row>
    <row r="29" spans="1:10" ht="16.5" thickBot="1">
      <c r="B29" s="92" t="s">
        <v>50</v>
      </c>
      <c r="D29" s="93">
        <f>+D23+D16+D10+D26+D27</f>
        <v>18004511</v>
      </c>
      <c r="E29" s="93">
        <f t="shared" ref="E29:J29" si="3">+E23+E16+E10+E26+E27</f>
        <v>20867261.060000002</v>
      </c>
      <c r="F29" s="93">
        <f t="shared" si="3"/>
        <v>227408.5</v>
      </c>
      <c r="G29" s="93">
        <f t="shared" si="3"/>
        <v>5614453.0999999996</v>
      </c>
      <c r="H29" s="93">
        <f t="shared" si="3"/>
        <v>970080</v>
      </c>
      <c r="I29" s="93">
        <f t="shared" si="3"/>
        <v>154306</v>
      </c>
      <c r="J29" s="93" t="e">
        <f t="shared" si="3"/>
        <v>#REF!</v>
      </c>
    </row>
    <row r="30" spans="1:10" ht="12" customHeight="1" thickTop="1">
      <c r="D30" s="86"/>
      <c r="E30" s="86"/>
      <c r="F30" s="86"/>
      <c r="G30" s="86"/>
      <c r="H30" s="86"/>
      <c r="I30" s="86"/>
      <c r="J30" s="86"/>
    </row>
    <row r="31" spans="1:10">
      <c r="A31" s="84" t="s">
        <v>7</v>
      </c>
      <c r="D31" s="86"/>
      <c r="E31" s="86"/>
      <c r="F31" s="86"/>
      <c r="G31" s="86"/>
      <c r="H31" s="86"/>
      <c r="I31" s="86"/>
      <c r="J31" s="86"/>
    </row>
    <row r="32" spans="1:10">
      <c r="B32" s="79" t="s">
        <v>51</v>
      </c>
      <c r="D32" s="86"/>
      <c r="E32" s="86"/>
      <c r="F32" s="86"/>
      <c r="G32" s="86"/>
      <c r="H32" s="86"/>
      <c r="I32" s="86"/>
      <c r="J32" s="86"/>
    </row>
    <row r="33" spans="1:10">
      <c r="B33" s="79" t="s">
        <v>53</v>
      </c>
      <c r="C33" s="80">
        <v>4</v>
      </c>
      <c r="D33" s="87">
        <f>+BA!D20</f>
        <v>2704811</v>
      </c>
      <c r="E33" s="87">
        <f>+BA!E20</f>
        <v>2704811</v>
      </c>
      <c r="F33" s="87">
        <f>+BA!F20</f>
        <v>2847169</v>
      </c>
      <c r="G33" s="87">
        <f>+BA!G20</f>
        <v>2847169</v>
      </c>
      <c r="H33" s="87">
        <f>+BA!H20</f>
        <v>2847169</v>
      </c>
      <c r="I33" s="87">
        <v>0</v>
      </c>
      <c r="J33" s="87" t="e">
        <f>+BA!#REF!</f>
        <v>#REF!</v>
      </c>
    </row>
    <row r="34" spans="1:10">
      <c r="B34" s="79" t="s">
        <v>54</v>
      </c>
      <c r="D34" s="86"/>
      <c r="E34" s="86"/>
      <c r="F34" s="86"/>
      <c r="G34" s="86"/>
      <c r="H34" s="86"/>
      <c r="I34" s="86"/>
      <c r="J34" s="86"/>
    </row>
    <row r="35" spans="1:10">
      <c r="B35" s="79" t="s">
        <v>55</v>
      </c>
      <c r="D35" s="86"/>
      <c r="E35" s="86"/>
      <c r="F35" s="86"/>
      <c r="G35" s="86"/>
      <c r="H35" s="86"/>
      <c r="I35" s="86"/>
      <c r="J35" s="86"/>
    </row>
    <row r="36" spans="1:10" ht="16.5" thickBot="1">
      <c r="B36" s="92" t="s">
        <v>56</v>
      </c>
      <c r="D36" s="93">
        <f>SUM(D33:D35)</f>
        <v>2704811</v>
      </c>
      <c r="E36" s="93">
        <f t="shared" ref="E36:J36" si="4">SUM(E33:E35)</f>
        <v>2704811</v>
      </c>
      <c r="F36" s="93">
        <f t="shared" si="4"/>
        <v>2847169</v>
      </c>
      <c r="G36" s="93">
        <f t="shared" si="4"/>
        <v>2847169</v>
      </c>
      <c r="H36" s="93">
        <f t="shared" si="4"/>
        <v>2847169</v>
      </c>
      <c r="I36" s="93">
        <f t="shared" si="4"/>
        <v>0</v>
      </c>
      <c r="J36" s="93" t="e">
        <f t="shared" si="4"/>
        <v>#REF!</v>
      </c>
    </row>
    <row r="37" spans="1:10" ht="16.5" thickTop="1">
      <c r="D37" s="86"/>
      <c r="E37" s="86"/>
      <c r="F37" s="86"/>
      <c r="G37" s="86"/>
      <c r="H37" s="86"/>
      <c r="I37" s="86"/>
      <c r="J37" s="86"/>
    </row>
    <row r="38" spans="1:10">
      <c r="B38" s="84" t="s">
        <v>57</v>
      </c>
      <c r="D38" s="94">
        <f>+D29+D36</f>
        <v>20709322</v>
      </c>
      <c r="E38" s="94">
        <f t="shared" ref="E38:J38" si="5">+E29+E36</f>
        <v>23572072.060000002</v>
      </c>
      <c r="F38" s="94">
        <f t="shared" si="5"/>
        <v>3074577.5</v>
      </c>
      <c r="G38" s="94">
        <f t="shared" si="5"/>
        <v>8461622.0999999996</v>
      </c>
      <c r="H38" s="94">
        <f t="shared" si="5"/>
        <v>3817249</v>
      </c>
      <c r="I38" s="94">
        <f t="shared" si="5"/>
        <v>154306</v>
      </c>
      <c r="J38" s="94" t="e">
        <f t="shared" si="5"/>
        <v>#REF!</v>
      </c>
    </row>
    <row r="39" spans="1:10">
      <c r="D39" s="86"/>
      <c r="E39" s="86"/>
      <c r="F39" s="86"/>
      <c r="G39" s="86"/>
      <c r="H39" s="86"/>
      <c r="I39" s="86"/>
      <c r="J39" s="86"/>
    </row>
    <row r="40" spans="1:10">
      <c r="A40" s="25" t="s">
        <v>77</v>
      </c>
      <c r="D40" s="86"/>
      <c r="E40" s="86"/>
      <c r="F40" s="86"/>
      <c r="G40" s="86"/>
      <c r="H40" s="86"/>
      <c r="I40" s="86"/>
      <c r="J40" s="86"/>
    </row>
    <row r="41" spans="1:10" ht="9.75" customHeight="1">
      <c r="D41" s="86"/>
      <c r="E41" s="86"/>
      <c r="F41" s="86"/>
      <c r="G41" s="86"/>
      <c r="H41" s="86"/>
      <c r="I41" s="86"/>
      <c r="J41" s="86"/>
    </row>
    <row r="42" spans="1:10">
      <c r="A42" s="25" t="s">
        <v>105</v>
      </c>
      <c r="D42" s="86"/>
      <c r="E42" s="86"/>
      <c r="F42" s="86"/>
      <c r="G42" s="86"/>
      <c r="H42" s="86"/>
      <c r="I42" s="86"/>
      <c r="J42" s="86"/>
    </row>
    <row r="43" spans="1:10">
      <c r="B43" s="82" t="s">
        <v>58</v>
      </c>
      <c r="C43" s="80" t="s">
        <v>425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>
        <f>BA!H98</f>
        <v>0</v>
      </c>
      <c r="I43" s="90">
        <f>BA!I98</f>
        <v>0</v>
      </c>
      <c r="J43" s="90" t="e">
        <f>BA!#REF!</f>
        <v>#REF!</v>
      </c>
    </row>
    <row r="44" spans="1:10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</row>
    <row r="45" spans="1:10">
      <c r="B45" s="83" t="s">
        <v>60</v>
      </c>
      <c r="C45" s="80" t="s">
        <v>424</v>
      </c>
      <c r="D45" s="86">
        <f>BA!D101</f>
        <v>28907148.100000001</v>
      </c>
      <c r="E45" s="86">
        <f>BA!E101</f>
        <v>26624200.060000002</v>
      </c>
      <c r="F45" s="86">
        <f>BA!F101</f>
        <v>7682935</v>
      </c>
      <c r="G45" s="86">
        <f>BA!G101</f>
        <v>6514174</v>
      </c>
      <c r="H45" s="86">
        <f>BA!H101</f>
        <v>3862809</v>
      </c>
      <c r="I45" s="86">
        <f>BA!I101</f>
        <v>3068045</v>
      </c>
      <c r="J45" s="86" t="e">
        <f>BA!#REF!</f>
        <v>#REF!</v>
      </c>
    </row>
    <row r="46" spans="1:10">
      <c r="B46" s="83" t="s">
        <v>61</v>
      </c>
      <c r="D46" s="90">
        <f>+BA!D102</f>
        <v>1257852</v>
      </c>
      <c r="E46" s="90">
        <f>+BA!E102</f>
        <v>1011528</v>
      </c>
      <c r="F46" s="90">
        <f>+BA!F102</f>
        <v>2072162</v>
      </c>
      <c r="G46" s="90">
        <f>+BA!G102</f>
        <v>4353806</v>
      </c>
      <c r="H46" s="90">
        <f>+BA!H102</f>
        <v>3039338</v>
      </c>
      <c r="I46" s="90">
        <f>+BA!I102</f>
        <v>845465</v>
      </c>
      <c r="J46" s="90" t="e">
        <f>+BA!#REF!</f>
        <v>#REF!</v>
      </c>
    </row>
    <row r="47" spans="1:10">
      <c r="B47" s="83" t="s">
        <v>8</v>
      </c>
      <c r="C47" s="80" t="s">
        <v>427</v>
      </c>
      <c r="D47" s="86">
        <f>+BA!D103+BA!D104</f>
        <v>187475</v>
      </c>
      <c r="E47" s="86">
        <f>+BA!E103+BA!E104</f>
        <v>801162</v>
      </c>
      <c r="F47" s="86">
        <f>+BA!F103+BA!F104</f>
        <v>138905.4</v>
      </c>
      <c r="G47" s="86">
        <f>+BA!G103+BA!G104</f>
        <v>411181</v>
      </c>
      <c r="H47" s="86">
        <f>+BA!H103+BA!H104</f>
        <v>270958</v>
      </c>
      <c r="I47" s="86">
        <v>0</v>
      </c>
      <c r="J47" s="86" t="e">
        <f>+BA!#REF!+BA!#REF!</f>
        <v>#REF!</v>
      </c>
    </row>
    <row r="48" spans="1:10">
      <c r="B48" s="83" t="s">
        <v>93</v>
      </c>
      <c r="C48" s="80" t="s">
        <v>428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1034212</v>
      </c>
      <c r="H48" s="90">
        <f>+BA!H106+BA!H105</f>
        <v>794212</v>
      </c>
      <c r="I48" s="90">
        <f>+BA!I106+BA!I105</f>
        <v>1280873</v>
      </c>
      <c r="J48" s="90" t="e">
        <f>+BA!#REF!+BA!#REF!</f>
        <v>#REF!</v>
      </c>
    </row>
    <row r="49" spans="1:12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</row>
    <row r="50" spans="1:12">
      <c r="B50" s="83" t="s">
        <v>63</v>
      </c>
      <c r="C50" s="80" t="s">
        <v>426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>
        <f>+BA!H92</f>
        <v>0</v>
      </c>
      <c r="I50" s="90">
        <f>+BA!I92</f>
        <v>0</v>
      </c>
      <c r="J50" s="90" t="e">
        <f>+BA!#REF!</f>
        <v>#REF!</v>
      </c>
    </row>
    <row r="51" spans="1:12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</row>
    <row r="52" spans="1:12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</row>
    <row r="53" spans="1:12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</row>
    <row r="54" spans="1:12">
      <c r="B54" s="82"/>
      <c r="D54" s="86"/>
      <c r="E54" s="86"/>
      <c r="F54" s="86"/>
      <c r="G54" s="86"/>
      <c r="H54" s="86"/>
      <c r="I54" s="86"/>
      <c r="J54" s="86"/>
    </row>
    <row r="55" spans="1:12" ht="16.5" thickBot="1">
      <c r="B55" s="92" t="s">
        <v>66</v>
      </c>
      <c r="D55" s="93">
        <f>SUM(D43:D54)</f>
        <v>30352475.100000001</v>
      </c>
      <c r="E55" s="93">
        <f t="shared" ref="E55:J55" si="6">SUM(E43:E54)</f>
        <v>28436890.060000002</v>
      </c>
      <c r="F55" s="93">
        <f t="shared" si="6"/>
        <v>9894002.4000000004</v>
      </c>
      <c r="G55" s="93">
        <f t="shared" si="6"/>
        <v>12313373</v>
      </c>
      <c r="H55" s="93">
        <f t="shared" si="6"/>
        <v>7967317</v>
      </c>
      <c r="I55" s="93">
        <f t="shared" si="6"/>
        <v>5194383</v>
      </c>
      <c r="J55" s="93" t="e">
        <f t="shared" si="6"/>
        <v>#REF!</v>
      </c>
      <c r="K55" s="79"/>
      <c r="L55" s="79"/>
    </row>
    <row r="56" spans="1:12" ht="16.5" thickTop="1">
      <c r="A56" s="25" t="s">
        <v>67</v>
      </c>
      <c r="D56" s="86"/>
      <c r="E56" s="86"/>
      <c r="F56" s="86"/>
      <c r="G56" s="86"/>
      <c r="H56" s="86"/>
      <c r="I56" s="86"/>
      <c r="J56" s="86"/>
      <c r="K56" s="79"/>
      <c r="L56" s="79"/>
    </row>
    <row r="57" spans="1:12">
      <c r="B57" s="82" t="s">
        <v>68</v>
      </c>
      <c r="C57" s="80">
        <v>6</v>
      </c>
      <c r="D57" s="90"/>
      <c r="E57" s="90"/>
      <c r="F57" s="90"/>
      <c r="G57" s="90"/>
      <c r="H57" s="90"/>
      <c r="I57" s="90"/>
      <c r="J57" s="90"/>
      <c r="K57" s="79"/>
      <c r="L57" s="79"/>
    </row>
    <row r="58" spans="1:12">
      <c r="B58" s="82" t="s">
        <v>69</v>
      </c>
      <c r="D58" s="90"/>
      <c r="E58" s="90"/>
      <c r="F58" s="90"/>
      <c r="G58" s="90"/>
      <c r="H58" s="90"/>
      <c r="I58" s="90"/>
      <c r="J58" s="90"/>
      <c r="K58" s="79"/>
      <c r="L58" s="79"/>
    </row>
    <row r="59" spans="1:12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</row>
    <row r="60" spans="1:12">
      <c r="B60" s="82" t="s">
        <v>64</v>
      </c>
      <c r="D60" s="86"/>
      <c r="E60" s="86"/>
      <c r="F60" s="86"/>
      <c r="G60" s="86"/>
      <c r="H60" s="86"/>
      <c r="I60" s="86"/>
      <c r="J60" s="86"/>
    </row>
    <row r="61" spans="1:12" ht="16.5" thickBot="1">
      <c r="B61" s="92" t="s">
        <v>71</v>
      </c>
      <c r="D61" s="93">
        <f>SUM(D57:D60)</f>
        <v>0</v>
      </c>
      <c r="E61" s="93">
        <f t="shared" ref="E61:J61" si="7">SUM(E57:E60)</f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3">
        <f t="shared" si="7"/>
        <v>0</v>
      </c>
      <c r="K61" s="95"/>
    </row>
    <row r="62" spans="1:12" ht="12.75" customHeight="1" thickTop="1">
      <c r="D62" s="86"/>
      <c r="E62" s="86"/>
      <c r="F62" s="86"/>
      <c r="G62" s="86"/>
      <c r="H62" s="86"/>
      <c r="I62" s="86"/>
      <c r="J62" s="86"/>
    </row>
    <row r="63" spans="1:12">
      <c r="A63" s="25" t="s">
        <v>72</v>
      </c>
      <c r="K63" s="95"/>
    </row>
    <row r="64" spans="1:12">
      <c r="B64" s="82" t="s">
        <v>40</v>
      </c>
      <c r="C64" s="80">
        <v>7</v>
      </c>
      <c r="D64" s="86">
        <f>+BA!D69</f>
        <v>4000000</v>
      </c>
      <c r="E64" s="86">
        <f>+BA!E69</f>
        <v>4000000</v>
      </c>
      <c r="F64" s="86">
        <f>+BA!F69</f>
        <v>4000000</v>
      </c>
      <c r="G64" s="86">
        <f>+BA!G69</f>
        <v>4000000</v>
      </c>
      <c r="H64" s="86">
        <f>+BA!H69</f>
        <v>4000000</v>
      </c>
      <c r="I64" s="86">
        <f>+BA!I69</f>
        <v>4000000</v>
      </c>
      <c r="J64" s="86" t="e">
        <f>+BA!#REF!</f>
        <v>#REF!</v>
      </c>
    </row>
    <row r="65" spans="2:11">
      <c r="B65" s="82" t="s">
        <v>415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>
        <f>+BA!I70</f>
        <v>0</v>
      </c>
      <c r="J65" s="86" t="e">
        <f>+BA!#REF!</f>
        <v>#REF!</v>
      </c>
    </row>
    <row r="66" spans="2:11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>
        <f>+BA!I74</f>
        <v>0</v>
      </c>
      <c r="J66" s="90" t="e">
        <f>+BA!#REF!</f>
        <v>#REF!</v>
      </c>
      <c r="K66" s="95"/>
    </row>
    <row r="67" spans="2:11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>
        <f>+BA!I73</f>
        <v>0</v>
      </c>
      <c r="J67" s="90" t="e">
        <f>+BA!#REF!</f>
        <v>#REF!</v>
      </c>
    </row>
    <row r="68" spans="2:11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>
        <f>+BA!I75</f>
        <v>0</v>
      </c>
      <c r="J68" s="90" t="e">
        <f>+BA!#REF!</f>
        <v>#REF!</v>
      </c>
    </row>
    <row r="69" spans="2:11">
      <c r="B69" s="82" t="s">
        <v>75</v>
      </c>
      <c r="C69" s="80">
        <v>7</v>
      </c>
      <c r="D69" s="86">
        <f>+BA!D76</f>
        <v>-8864818.0999999996</v>
      </c>
      <c r="E69" s="86">
        <f>+BA!E76</f>
        <v>-10819425</v>
      </c>
      <c r="F69" s="86">
        <f>+BA!F76</f>
        <v>-7851750.9000000004</v>
      </c>
      <c r="G69" s="86">
        <f>+BA!G76</f>
        <v>-8150068</v>
      </c>
      <c r="H69" s="86">
        <f>+BA!H76</f>
        <v>-6069007</v>
      </c>
      <c r="I69" s="86">
        <f>+BA!I76</f>
        <v>-4289035</v>
      </c>
      <c r="J69" s="86" t="e">
        <f>+BA!#REF!</f>
        <v>#REF!</v>
      </c>
    </row>
    <row r="70" spans="2:11">
      <c r="B70" s="82" t="s">
        <v>76</v>
      </c>
      <c r="C70" s="80">
        <v>7</v>
      </c>
      <c r="D70" s="86">
        <f>+BA!D77</f>
        <v>-4778335</v>
      </c>
      <c r="E70" s="86">
        <f>+BA!E77</f>
        <v>1954607</v>
      </c>
      <c r="F70" s="86">
        <f>+BA!F77</f>
        <v>-2967674</v>
      </c>
      <c r="G70" s="86">
        <f>+BA!G77</f>
        <v>298317.09999999998</v>
      </c>
      <c r="H70" s="86">
        <f>+BA!H77</f>
        <v>-2081061</v>
      </c>
      <c r="I70" s="86">
        <v>0</v>
      </c>
      <c r="J70" s="86" t="e">
        <f>+BA!#REF!</f>
        <v>#REF!</v>
      </c>
    </row>
    <row r="71" spans="2:11" ht="16.5" thickBot="1">
      <c r="B71" s="92" t="s">
        <v>119</v>
      </c>
      <c r="D71" s="93">
        <f>SUM(D64:D70)</f>
        <v>-9643153.0999999996</v>
      </c>
      <c r="E71" s="93">
        <f t="shared" ref="E71:J71" si="8">SUM(E64:E70)</f>
        <v>-4864818</v>
      </c>
      <c r="F71" s="93">
        <f t="shared" si="8"/>
        <v>-6819424.9000000004</v>
      </c>
      <c r="G71" s="93">
        <f t="shared" si="8"/>
        <v>-3851750.9</v>
      </c>
      <c r="H71" s="93">
        <f t="shared" si="8"/>
        <v>-4150068</v>
      </c>
      <c r="I71" s="93">
        <f t="shared" si="8"/>
        <v>-289035</v>
      </c>
      <c r="J71" s="93" t="e">
        <f t="shared" si="8"/>
        <v>#REF!</v>
      </c>
    </row>
    <row r="72" spans="2:11" ht="16.5" thickTop="1">
      <c r="B72" s="82"/>
      <c r="D72" s="90"/>
      <c r="E72" s="90"/>
      <c r="F72" s="90"/>
      <c r="G72" s="90"/>
      <c r="H72" s="90"/>
      <c r="I72" s="90"/>
      <c r="J72" s="90"/>
    </row>
    <row r="73" spans="2:11">
      <c r="B73" s="92" t="s">
        <v>78</v>
      </c>
      <c r="D73" s="94">
        <f>+D71+D61+D55</f>
        <v>20709322</v>
      </c>
      <c r="E73" s="94">
        <f t="shared" ref="E73:J73" si="9">+E71+E61+E55</f>
        <v>23572072.060000002</v>
      </c>
      <c r="F73" s="94">
        <f t="shared" si="9"/>
        <v>3074577.5</v>
      </c>
      <c r="G73" s="94">
        <f t="shared" si="9"/>
        <v>8461622.0999999996</v>
      </c>
      <c r="H73" s="94">
        <f t="shared" si="9"/>
        <v>3817249</v>
      </c>
      <c r="I73" s="94">
        <f t="shared" si="9"/>
        <v>4905348</v>
      </c>
      <c r="J73" s="94" t="e">
        <f t="shared" si="9"/>
        <v>#REF!</v>
      </c>
      <c r="K73" s="95"/>
    </row>
    <row r="75" spans="2:11">
      <c r="C75" s="92">
        <v>2</v>
      </c>
      <c r="D75" s="88"/>
      <c r="E75" s="88"/>
      <c r="F75" s="88"/>
      <c r="G75" s="88"/>
      <c r="H75" s="88"/>
      <c r="I75" s="88"/>
      <c r="J75" s="88"/>
    </row>
    <row r="76" spans="2:11">
      <c r="B76" s="97" t="s">
        <v>559</v>
      </c>
      <c r="C76" s="92"/>
      <c r="D76" s="97" t="s">
        <v>599</v>
      </c>
      <c r="E76" s="97"/>
      <c r="F76" s="97"/>
      <c r="I76" s="97"/>
      <c r="J76" s="97"/>
    </row>
    <row r="77" spans="2:11" ht="18" customHeight="1">
      <c r="B77" s="92"/>
      <c r="C77" s="92"/>
      <c r="D77" s="96"/>
      <c r="E77" s="96"/>
      <c r="F77" s="96"/>
      <c r="G77" s="96"/>
      <c r="H77" s="96"/>
      <c r="I77" s="96"/>
      <c r="J77" s="96"/>
    </row>
    <row r="78" spans="2:11" ht="33" hidden="1" customHeight="1">
      <c r="B78" s="80"/>
      <c r="D78" s="88"/>
      <c r="E78" s="88"/>
      <c r="F78" s="88"/>
      <c r="G78" s="88"/>
      <c r="H78" s="88"/>
      <c r="I78" s="88"/>
      <c r="J78" s="88"/>
    </row>
    <row r="79" spans="2:11" hidden="1">
      <c r="D79" s="88">
        <f>+D73-D38</f>
        <v>0</v>
      </c>
      <c r="E79" s="88">
        <f t="shared" ref="E79:J79" si="10">+E73-E38</f>
        <v>0</v>
      </c>
      <c r="F79" s="88">
        <f t="shared" si="10"/>
        <v>0</v>
      </c>
      <c r="G79" s="88">
        <f t="shared" si="10"/>
        <v>0</v>
      </c>
      <c r="H79" s="88">
        <f t="shared" si="10"/>
        <v>0</v>
      </c>
      <c r="I79" s="88">
        <f t="shared" si="10"/>
        <v>4751042</v>
      </c>
      <c r="J79" s="88" t="e">
        <f t="shared" si="10"/>
        <v>#REF!</v>
      </c>
    </row>
    <row r="80" spans="2:11" hidden="1">
      <c r="D80" s="98"/>
      <c r="E80" s="98"/>
      <c r="F80" s="98"/>
      <c r="G80" s="98"/>
      <c r="H80" s="98"/>
      <c r="I80" s="98"/>
      <c r="J80" s="98"/>
    </row>
    <row r="81" spans="4:10" hidden="1">
      <c r="D81" s="98"/>
      <c r="E81" s="98"/>
      <c r="F81" s="98"/>
      <c r="G81" s="98"/>
      <c r="H81" s="98"/>
      <c r="I81" s="98"/>
      <c r="J81" s="98"/>
    </row>
    <row r="82" spans="4:10">
      <c r="D82" s="98"/>
      <c r="E82" s="98"/>
      <c r="F82" s="98"/>
      <c r="G82" s="98"/>
      <c r="H82" s="98"/>
      <c r="I82" s="98"/>
      <c r="J82" s="98"/>
    </row>
    <row r="83" spans="4:10">
      <c r="D83" s="98"/>
      <c r="E83" s="98"/>
      <c r="F83" s="98"/>
      <c r="G83" s="98"/>
      <c r="H83" s="98"/>
      <c r="I83" s="98"/>
      <c r="J83" s="98"/>
    </row>
    <row r="84" spans="4:10">
      <c r="D84" s="98"/>
      <c r="E84" s="98"/>
      <c r="F84" s="98"/>
      <c r="G84" s="98"/>
      <c r="H84" s="98"/>
      <c r="I84" s="98"/>
      <c r="J84" s="98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K39"/>
  <sheetViews>
    <sheetView tabSelected="1" workbookViewId="0">
      <selection activeCell="M32" sqref="M32"/>
    </sheetView>
  </sheetViews>
  <sheetFormatPr defaultRowHeight="12.75"/>
  <cols>
    <col min="1" max="1" width="3.85546875" style="1" customWidth="1"/>
    <col min="2" max="2" width="46.42578125" style="1" customWidth="1"/>
    <col min="3" max="3" width="7.5703125" style="12" customWidth="1"/>
    <col min="4" max="5" width="18.28515625" style="8" customWidth="1"/>
    <col min="6" max="8" width="16.28515625" style="8" hidden="1" customWidth="1"/>
    <col min="9" max="9" width="14.42578125" style="8" hidden="1" customWidth="1"/>
    <col min="10" max="11" width="16.28515625" style="8" hidden="1" customWidth="1"/>
    <col min="12" max="12" width="9.140625" style="1" customWidth="1"/>
    <col min="13" max="14" width="9.140625" style="1"/>
    <col min="15" max="15" width="17.85546875" style="1" customWidth="1"/>
    <col min="16" max="16384" width="9.140625" style="1"/>
  </cols>
  <sheetData>
    <row r="1" spans="1:11" ht="15.75">
      <c r="A1" s="25" t="s">
        <v>640</v>
      </c>
    </row>
    <row r="2" spans="1:11" ht="15.75">
      <c r="A2" s="14" t="s">
        <v>688</v>
      </c>
    </row>
    <row r="3" spans="1:11" ht="15.75">
      <c r="A3" s="14" t="s">
        <v>94</v>
      </c>
    </row>
    <row r="4" spans="1:11" ht="15.75">
      <c r="A4" s="14"/>
    </row>
    <row r="5" spans="1:11" ht="13.5" thickBot="1">
      <c r="C5" s="12" t="s">
        <v>429</v>
      </c>
      <c r="D5" s="422" t="s">
        <v>686</v>
      </c>
      <c r="E5" s="422" t="s">
        <v>641</v>
      </c>
      <c r="F5" s="422" t="s">
        <v>609</v>
      </c>
      <c r="G5" s="422" t="s">
        <v>601</v>
      </c>
      <c r="H5" s="422" t="s">
        <v>602</v>
      </c>
      <c r="I5" s="422" t="s">
        <v>546</v>
      </c>
      <c r="J5" s="17" t="s">
        <v>546</v>
      </c>
      <c r="K5" s="17" t="s">
        <v>529</v>
      </c>
    </row>
    <row r="6" spans="1:11" ht="13.5" thickTop="1"/>
    <row r="8" spans="1:11">
      <c r="B8" s="1" t="s">
        <v>10</v>
      </c>
      <c r="C8" s="12">
        <v>8</v>
      </c>
      <c r="D8" s="8">
        <f>+'A-Sh BA'!C12</f>
        <v>139030105</v>
      </c>
      <c r="E8" s="8">
        <f>+'A-Sh BA'!D12</f>
        <v>242267880</v>
      </c>
      <c r="F8" s="8">
        <f>+H8+G8</f>
        <v>14515520</v>
      </c>
      <c r="G8" s="8">
        <f>+'A-Sh BA'!E12</f>
        <v>10016075</v>
      </c>
      <c r="H8" s="8">
        <f>+'A-Sh BA'!F12</f>
        <v>4499445</v>
      </c>
      <c r="I8" s="8">
        <f>+'A-Sh BA'!G12</f>
        <v>1533330</v>
      </c>
      <c r="J8" s="8">
        <f>+'A-Sh BA'!H12</f>
        <v>1950000</v>
      </c>
      <c r="K8" s="8" t="e">
        <f>+'A-Sh BA'!#REF!</f>
        <v>#REF!</v>
      </c>
    </row>
    <row r="9" spans="1:11">
      <c r="B9" s="1" t="s">
        <v>79</v>
      </c>
      <c r="C9" s="12">
        <v>9</v>
      </c>
      <c r="D9" s="8">
        <f>+'A-Sh BA'!C19</f>
        <v>0</v>
      </c>
      <c r="E9" s="8">
        <f>+'A-Sh BA'!D19</f>
        <v>0</v>
      </c>
      <c r="F9" s="8">
        <f t="shared" ref="F9:F15" si="0">+H9+G9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>
        <f>+'A-Sh BA'!H19</f>
        <v>0</v>
      </c>
      <c r="K9" s="8" t="e">
        <f>+'A-Sh BA'!#REF!</f>
        <v>#REF!</v>
      </c>
    </row>
    <row r="10" spans="1:11" ht="25.5">
      <c r="B10" s="4" t="s">
        <v>80</v>
      </c>
    </row>
    <row r="11" spans="1:11" ht="25.5">
      <c r="B11" s="4" t="s">
        <v>81</v>
      </c>
    </row>
    <row r="12" spans="1:11">
      <c r="B12" s="1" t="s">
        <v>82</v>
      </c>
      <c r="C12" s="12">
        <v>10</v>
      </c>
      <c r="D12" s="8">
        <f>-'A-Sh BA'!C65-'A-Sh BA'!C68</f>
        <v>-136417240</v>
      </c>
      <c r="E12" s="8">
        <f>-'A-Sh BA'!D65-'A-Sh BA'!D68</f>
        <v>-122331341</v>
      </c>
      <c r="F12" s="8">
        <f t="shared" si="0"/>
        <v>-3969784</v>
      </c>
      <c r="G12" s="8">
        <f>-'A-Sh BA'!E65-'A-Sh BA'!E68</f>
        <v>-2802142</v>
      </c>
      <c r="H12" s="8">
        <f>-'A-Sh BA'!F65-'A-Sh BA'!F68</f>
        <v>-1167642</v>
      </c>
      <c r="I12" s="8">
        <f>-'A-Sh BA'!G65-'A-Sh BA'!G68</f>
        <v>0</v>
      </c>
      <c r="J12" s="8">
        <f>-'A-Sh BA'!H65-'A-Sh BA'!H68</f>
        <v>0</v>
      </c>
      <c r="K12" s="8" t="e">
        <f>-'A-Sh BA'!#REF!-'A-Sh BA'!#REF!</f>
        <v>#REF!</v>
      </c>
    </row>
    <row r="13" spans="1:11">
      <c r="B13" s="1" t="s">
        <v>83</v>
      </c>
      <c r="C13" s="12">
        <v>11</v>
      </c>
      <c r="D13" s="8">
        <f>-'A-Sh BA'!C71-'A-Sh BA'!C76-'A-Sh BA'!C77</f>
        <v>-5833721</v>
      </c>
      <c r="E13" s="8">
        <f>-'A-Sh BA'!D71-'A-Sh BA'!D76-'A-Sh BA'!D77</f>
        <v>-115584359</v>
      </c>
      <c r="F13" s="8">
        <f t="shared" si="0"/>
        <v>-9989827</v>
      </c>
      <c r="G13" s="8">
        <f>-'A-Sh BA'!E71-'A-Sh BA'!E76-'A-Sh BA'!E77</f>
        <v>-8634328</v>
      </c>
      <c r="H13" s="8">
        <f>-'A-Sh BA'!F71-'A-Sh BA'!F76-'A-Sh BA'!F77</f>
        <v>-1355499</v>
      </c>
      <c r="I13" s="8">
        <f>-'A-Sh BA'!G71-'A-Sh BA'!G76-'A-Sh BA'!G77</f>
        <v>-708379</v>
      </c>
      <c r="J13" s="8">
        <f>-'A-Sh BA'!H71-'A-Sh BA'!H76-'A-Sh BA'!H77</f>
        <v>-1174354.28</v>
      </c>
      <c r="K13" s="8" t="e">
        <f>-'A-Sh BA'!#REF!-'A-Sh BA'!#REF!-'A-Sh BA'!#REF!</f>
        <v>#REF!</v>
      </c>
    </row>
    <row r="14" spans="1:11">
      <c r="B14" s="1" t="s">
        <v>11</v>
      </c>
      <c r="C14" s="12">
        <v>12</v>
      </c>
      <c r="D14" s="8">
        <f>-'A-Sh BA'!C72</f>
        <v>-1557479</v>
      </c>
      <c r="E14" s="8">
        <f>-'A-Sh BA'!D72</f>
        <v>-2255215</v>
      </c>
      <c r="F14" s="8">
        <f t="shared" si="0"/>
        <v>-3225266</v>
      </c>
      <c r="G14" s="8">
        <f>-'A-Sh BA'!E72</f>
        <v>-1547279</v>
      </c>
      <c r="H14" s="8">
        <f>-'A-Sh BA'!F72</f>
        <v>-1677987</v>
      </c>
      <c r="I14" s="8">
        <f>-'A-Sh BA'!G72</f>
        <v>-2822907</v>
      </c>
      <c r="J14" s="8">
        <f>-'A-Sh BA'!H72</f>
        <v>-2419635</v>
      </c>
      <c r="K14" s="8" t="e">
        <f>-'A-Sh BA'!#REF!</f>
        <v>#REF!</v>
      </c>
    </row>
    <row r="15" spans="1:11">
      <c r="B15" s="1" t="s">
        <v>84</v>
      </c>
      <c r="D15" s="21">
        <f>-'A-Sh BA'!C81</f>
        <v>0</v>
      </c>
      <c r="E15" s="21">
        <f>-'A-Sh BA'!D81</f>
        <v>-142358</v>
      </c>
      <c r="F15" s="8">
        <f t="shared" si="0"/>
        <v>0</v>
      </c>
      <c r="G15" s="21">
        <f>-'A-Sh BA'!E81</f>
        <v>0</v>
      </c>
      <c r="H15" s="21">
        <f>-'A-Sh BA'!F81</f>
        <v>0</v>
      </c>
      <c r="I15" s="21">
        <f>-'A-Sh BA'!G81</f>
        <v>-58105</v>
      </c>
      <c r="J15" s="21">
        <f>-'A-Sh BA'!H81</f>
        <v>-135982</v>
      </c>
      <c r="K15" s="21" t="e">
        <f>-'A-Sh BA'!#REF!</f>
        <v>#REF!</v>
      </c>
    </row>
    <row r="16" spans="1:11" ht="13.5" thickBot="1">
      <c r="D16" s="9">
        <f>SUM(D8:D15)</f>
        <v>-4778335</v>
      </c>
      <c r="E16" s="9">
        <f t="shared" ref="E16:K16" si="1">SUM(E8:E15)</f>
        <v>1954607</v>
      </c>
      <c r="F16" s="9">
        <f t="shared" si="1"/>
        <v>-2669357</v>
      </c>
      <c r="G16" s="9">
        <f t="shared" si="1"/>
        <v>-2967674</v>
      </c>
      <c r="H16" s="9">
        <f t="shared" si="1"/>
        <v>298317</v>
      </c>
      <c r="I16" s="9">
        <f t="shared" si="1"/>
        <v>-2056061</v>
      </c>
      <c r="J16" s="9">
        <f t="shared" si="1"/>
        <v>-1779971.28</v>
      </c>
      <c r="K16" s="9" t="e">
        <f t="shared" si="1"/>
        <v>#REF!</v>
      </c>
    </row>
    <row r="17" spans="1:11" s="2" customFormat="1" ht="13.5" thickTop="1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</row>
    <row r="18" spans="1:11" s="2" customFormat="1">
      <c r="B18" s="5"/>
      <c r="C18" s="7"/>
      <c r="D18" s="10"/>
      <c r="E18" s="10"/>
      <c r="F18" s="10"/>
      <c r="G18" s="10"/>
      <c r="H18" s="10"/>
      <c r="I18" s="10"/>
      <c r="J18" s="10"/>
      <c r="K18" s="10"/>
    </row>
    <row r="19" spans="1:11" s="2" customFormat="1" ht="25.5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</row>
    <row r="20" spans="1:11">
      <c r="B20" s="4" t="s">
        <v>87</v>
      </c>
    </row>
    <row r="21" spans="1:11">
      <c r="B21" s="1" t="s">
        <v>12</v>
      </c>
      <c r="C21" s="12">
        <v>13</v>
      </c>
      <c r="D21" s="8">
        <f>+'A-Sh BA'!C36-'A-Sh BA'!C89</f>
        <v>-1.7462298274040222E-10</v>
      </c>
      <c r="E21" s="8">
        <f>+'A-Sh BA'!D36-'A-Sh BA'!D89</f>
        <v>-1.7462298274040222E-10</v>
      </c>
      <c r="F21" s="8">
        <f>+H21+G21</f>
        <v>-3.4924596548080444E-10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>
        <f>+'A-Sh BA'!H36-'A-Sh BA'!H89</f>
        <v>-1.7462298274040222E-10</v>
      </c>
      <c r="K21" s="8" t="e">
        <f>+'A-Sh BA'!#REF!-'A-Sh BA'!#REF!</f>
        <v>#REF!</v>
      </c>
    </row>
    <row r="23" spans="1:11" ht="13.5" thickBot="1">
      <c r="B23" s="6" t="s">
        <v>13</v>
      </c>
      <c r="C23" s="13"/>
      <c r="D23" s="22">
        <f>+D16+D21</f>
        <v>-4778335</v>
      </c>
      <c r="E23" s="22">
        <f>+E16+E21</f>
        <v>1954606.9999999998</v>
      </c>
      <c r="F23" s="22">
        <f t="shared" ref="F23:K23" si="2">+F16+F21</f>
        <v>-2669357.0000000005</v>
      </c>
      <c r="G23" s="22">
        <f t="shared" si="2"/>
        <v>-2967674</v>
      </c>
      <c r="H23" s="22">
        <f t="shared" si="2"/>
        <v>298316.99999999983</v>
      </c>
      <c r="I23" s="425">
        <f t="shared" si="2"/>
        <v>-2056061.0000000002</v>
      </c>
      <c r="J23" s="22">
        <f t="shared" si="2"/>
        <v>-1779971.2800000003</v>
      </c>
      <c r="K23" s="22" t="e">
        <f t="shared" si="2"/>
        <v>#REF!</v>
      </c>
    </row>
    <row r="24" spans="1:11" s="2" customFormat="1" ht="13.5" thickTop="1">
      <c r="C24" s="13"/>
      <c r="D24" s="10"/>
      <c r="E24" s="10"/>
      <c r="F24" s="10"/>
      <c r="G24" s="10"/>
      <c r="H24" s="10"/>
      <c r="I24" s="424"/>
      <c r="J24" s="10"/>
      <c r="K24" s="10"/>
    </row>
    <row r="25" spans="1:11" s="2" customFormat="1">
      <c r="B25" s="5" t="s">
        <v>14</v>
      </c>
      <c r="C25" s="13">
        <v>14</v>
      </c>
      <c r="D25" s="10">
        <f>-'A-Sh BA'!C102</f>
        <v>0</v>
      </c>
      <c r="E25" s="10">
        <f>-'A-Sh BA'!D102</f>
        <v>0</v>
      </c>
      <c r="F25" s="10">
        <f>+H25+G25</f>
        <v>0</v>
      </c>
      <c r="G25" s="10">
        <f>-'A-Sh BA'!E102</f>
        <v>0</v>
      </c>
      <c r="H25" s="10">
        <f>-'A-Sh BA'!F102</f>
        <v>0</v>
      </c>
      <c r="I25" s="424">
        <f>-'A-Sh BA'!G102</f>
        <v>-25000</v>
      </c>
      <c r="J25" s="10">
        <f>-'A-Sh BA'!H102</f>
        <v>0</v>
      </c>
      <c r="K25" s="10" t="e">
        <f>-'A-Sh BA'!#REF!</f>
        <v>#REF!</v>
      </c>
    </row>
    <row r="26" spans="1:11" s="2" customFormat="1">
      <c r="B26" s="5"/>
      <c r="C26" s="13"/>
      <c r="D26" s="10"/>
      <c r="E26" s="10"/>
      <c r="F26" s="10"/>
      <c r="G26" s="10"/>
      <c r="H26" s="10"/>
      <c r="I26" s="424"/>
      <c r="J26" s="10"/>
      <c r="K26" s="10"/>
    </row>
    <row r="27" spans="1:11" s="2" customFormat="1" ht="13.5" thickBot="1">
      <c r="B27" s="6" t="s">
        <v>15</v>
      </c>
      <c r="C27" s="7"/>
      <c r="D27" s="15">
        <f>+D23+D25</f>
        <v>-4778335</v>
      </c>
      <c r="E27" s="15">
        <f>+E23+E25+0.1</f>
        <v>1954607.0999999999</v>
      </c>
      <c r="F27" s="15">
        <f>+F23+F25</f>
        <v>-2669357.0000000005</v>
      </c>
      <c r="G27" s="15">
        <f>+G23+G25</f>
        <v>-2967674</v>
      </c>
      <c r="H27" s="15">
        <f>+H23+H25+0.1</f>
        <v>298317.0999999998</v>
      </c>
      <c r="I27" s="425">
        <f>+I23+I25</f>
        <v>-2081061.0000000002</v>
      </c>
      <c r="J27" s="15">
        <f>+J23+J25</f>
        <v>-1779971.2800000003</v>
      </c>
      <c r="K27" s="15" t="e">
        <f>+K23+K25</f>
        <v>#REF!</v>
      </c>
    </row>
    <row r="28" spans="1:11" s="2" customFormat="1" ht="13.5" thickTop="1">
      <c r="D28" s="10"/>
      <c r="E28" s="10"/>
      <c r="F28" s="10"/>
      <c r="G28" s="10"/>
      <c r="H28" s="10"/>
      <c r="I28" s="10"/>
      <c r="J28" s="10"/>
      <c r="K28" s="10"/>
    </row>
    <row r="29" spans="1:11" s="2" customFormat="1">
      <c r="D29" s="10"/>
      <c r="E29" s="10"/>
      <c r="F29" s="10"/>
      <c r="G29" s="10"/>
      <c r="H29" s="10"/>
      <c r="I29" s="10"/>
      <c r="J29" s="10"/>
      <c r="K29" s="10"/>
    </row>
    <row r="30" spans="1:11" s="2" customFormat="1">
      <c r="D30" s="10"/>
      <c r="E30" s="10"/>
      <c r="F30" s="10"/>
      <c r="G30" s="10"/>
      <c r="H30" s="10"/>
      <c r="I30" s="10"/>
      <c r="J30" s="10"/>
      <c r="K30" s="10"/>
    </row>
    <row r="31" spans="1:11" s="2" customFormat="1" ht="15.75">
      <c r="B31" s="97" t="s">
        <v>559</v>
      </c>
      <c r="C31" s="92"/>
      <c r="D31" s="97" t="s">
        <v>599</v>
      </c>
      <c r="E31" s="97"/>
      <c r="F31" s="97"/>
      <c r="G31" s="81"/>
      <c r="J31" s="97"/>
      <c r="K31" s="10"/>
    </row>
    <row r="32" spans="1:11" s="2" customFormat="1">
      <c r="D32" s="10"/>
      <c r="E32" s="10"/>
      <c r="F32" s="10"/>
      <c r="G32" s="10"/>
      <c r="H32" s="10"/>
      <c r="I32" s="10"/>
      <c r="J32" s="10"/>
      <c r="K32" s="10"/>
    </row>
    <row r="33" spans="2:11" s="2" customFormat="1">
      <c r="D33" s="10"/>
      <c r="E33" s="10"/>
      <c r="F33" s="10"/>
      <c r="G33" s="10"/>
      <c r="H33" s="10"/>
      <c r="I33" s="10"/>
      <c r="J33" s="10"/>
      <c r="K33" s="10"/>
    </row>
    <row r="34" spans="2:11" s="2" customFormat="1">
      <c r="C34" s="353"/>
      <c r="D34" s="10"/>
      <c r="E34" s="10"/>
      <c r="F34" s="10"/>
      <c r="G34" s="10"/>
      <c r="H34" s="10"/>
      <c r="I34" s="10"/>
      <c r="J34" s="10"/>
      <c r="K34" s="10"/>
    </row>
    <row r="35" spans="2:11" s="2" customFormat="1">
      <c r="C35" s="7"/>
      <c r="D35" s="8"/>
      <c r="E35" s="8"/>
      <c r="F35" s="8"/>
      <c r="G35" s="8"/>
      <c r="H35" s="8"/>
      <c r="I35" s="8"/>
      <c r="J35" s="8"/>
      <c r="K35" s="8"/>
    </row>
    <row r="36" spans="2:11" ht="15.75">
      <c r="B36" s="19"/>
      <c r="C36" s="19"/>
      <c r="I36" s="97"/>
      <c r="J36" s="97"/>
      <c r="K36" s="97"/>
    </row>
    <row r="37" spans="2:11" ht="14.25">
      <c r="B37" s="19"/>
      <c r="C37" s="19"/>
      <c r="D37" s="56"/>
      <c r="E37" s="56"/>
      <c r="F37" s="56"/>
      <c r="G37" s="56"/>
      <c r="H37" s="56"/>
      <c r="I37" s="56"/>
      <c r="J37" s="56"/>
      <c r="K37" s="56"/>
    </row>
    <row r="38" spans="2:11" ht="15">
      <c r="B38" s="18"/>
      <c r="C38" s="18"/>
      <c r="D38" s="20"/>
      <c r="E38" s="20"/>
      <c r="F38" s="20"/>
      <c r="G38" s="20"/>
      <c r="H38" s="20"/>
      <c r="I38" s="20"/>
      <c r="J38" s="20"/>
      <c r="K38" s="20"/>
    </row>
    <row r="39" spans="2:11">
      <c r="C39" s="354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zoomScale="80" workbookViewId="0">
      <selection activeCell="D32" sqref="D32"/>
    </sheetView>
  </sheetViews>
  <sheetFormatPr defaultRowHeight="15.75"/>
  <cols>
    <col min="1" max="1" width="3.140625" style="82" customWidth="1"/>
    <col min="2" max="2" width="64.140625" style="82" customWidth="1"/>
    <col min="3" max="3" width="4.5703125" style="82" customWidth="1"/>
    <col min="4" max="5" width="22.140625" style="99" customWidth="1"/>
    <col min="6" max="7" width="19.7109375" style="99" hidden="1" customWidth="1"/>
    <col min="8" max="8" width="18.28515625" style="99" hidden="1" customWidth="1"/>
    <col min="9" max="9" width="18.42578125" style="99" hidden="1" customWidth="1"/>
    <col min="10" max="11" width="15.7109375" style="99" hidden="1" customWidth="1"/>
    <col min="12" max="12" width="9.140625" style="82" customWidth="1"/>
    <col min="13" max="13" width="13.140625" style="82" bestFit="1" customWidth="1"/>
    <col min="14" max="14" width="9.140625" style="82"/>
    <col min="15" max="15" width="17.85546875" style="82" customWidth="1"/>
    <col min="16" max="16384" width="9.140625" style="82"/>
  </cols>
  <sheetData>
    <row r="1" spans="1:12">
      <c r="A1" s="25" t="s">
        <v>640</v>
      </c>
    </row>
    <row r="2" spans="1:12">
      <c r="A2" s="101" t="s">
        <v>25</v>
      </c>
    </row>
    <row r="3" spans="1:12" s="79" customFormat="1">
      <c r="A3" s="102" t="s">
        <v>689</v>
      </c>
      <c r="D3" s="103"/>
      <c r="E3" s="103"/>
      <c r="F3" s="103"/>
      <c r="G3" s="103"/>
      <c r="H3" s="103"/>
      <c r="I3" s="103"/>
      <c r="J3" s="103"/>
      <c r="K3" s="103"/>
    </row>
    <row r="4" spans="1:12" s="79" customFormat="1">
      <c r="A4" s="83" t="s">
        <v>94</v>
      </c>
      <c r="D4" s="103"/>
      <c r="E4" s="103"/>
      <c r="F4" s="103"/>
      <c r="G4" s="103"/>
      <c r="H4" s="103"/>
      <c r="I4" s="103"/>
      <c r="J4" s="103"/>
      <c r="K4" s="103"/>
    </row>
    <row r="5" spans="1:12" s="79" customFormat="1">
      <c r="D5" s="105"/>
      <c r="E5" s="105"/>
      <c r="F5" s="105"/>
      <c r="G5" s="105"/>
      <c r="H5" s="105"/>
      <c r="I5" s="105"/>
      <c r="J5" s="105"/>
      <c r="K5" s="105"/>
    </row>
    <row r="6" spans="1:12" s="79" customFormat="1" ht="16.5" customHeight="1" thickBot="1">
      <c r="B6" s="104"/>
      <c r="C6" s="104"/>
      <c r="D6" s="422" t="s">
        <v>686</v>
      </c>
      <c r="E6" s="422" t="s">
        <v>641</v>
      </c>
      <c r="F6" s="422" t="s">
        <v>609</v>
      </c>
      <c r="G6" s="422" t="s">
        <v>583</v>
      </c>
      <c r="H6" s="422" t="s">
        <v>582</v>
      </c>
      <c r="I6" s="422" t="s">
        <v>546</v>
      </c>
      <c r="J6" s="106" t="s">
        <v>547</v>
      </c>
      <c r="K6" s="106" t="s">
        <v>530</v>
      </c>
    </row>
    <row r="7" spans="1:12" s="79" customFormat="1" ht="16.5" thickTop="1">
      <c r="A7" s="84" t="s">
        <v>26</v>
      </c>
      <c r="D7" s="105"/>
      <c r="E7" s="105"/>
      <c r="F7" s="105"/>
      <c r="G7" s="105"/>
      <c r="H7" s="105"/>
      <c r="I7" s="105"/>
      <c r="J7" s="105"/>
      <c r="K7" s="105"/>
    </row>
    <row r="8" spans="1:12" s="79" customFormat="1">
      <c r="B8" s="79" t="s">
        <v>27</v>
      </c>
      <c r="D8" s="107">
        <f>+'ardh-shpenz'!D23</f>
        <v>-4778335</v>
      </c>
      <c r="E8" s="107">
        <f>+'ardh-shpenz'!E23</f>
        <v>1954606.9999999998</v>
      </c>
      <c r="F8" s="107">
        <f>+H8+G8</f>
        <v>-2669357</v>
      </c>
      <c r="G8" s="107">
        <f>+'ardh-shpenz'!G23</f>
        <v>-2967674</v>
      </c>
      <c r="H8" s="107">
        <f>+'ardh-shpenz'!H23</f>
        <v>298316.99999999983</v>
      </c>
      <c r="I8" s="107">
        <f>+'ardh-shpenz'!I23</f>
        <v>-2056061.0000000002</v>
      </c>
      <c r="J8" s="107">
        <f>+'ardh-shpenz'!J23</f>
        <v>-1779971.2800000003</v>
      </c>
      <c r="K8" s="107" t="e">
        <f>+'ardh-shpenz'!K23</f>
        <v>#REF!</v>
      </c>
    </row>
    <row r="9" spans="1:12" s="79" customFormat="1">
      <c r="B9" s="79" t="s">
        <v>28</v>
      </c>
      <c r="D9" s="107"/>
      <c r="E9" s="107"/>
      <c r="F9" s="107">
        <f t="shared" ref="F9:F18" si="0">+H9+G9</f>
        <v>0</v>
      </c>
      <c r="G9" s="107"/>
      <c r="H9" s="107"/>
      <c r="I9" s="107"/>
      <c r="J9" s="107"/>
      <c r="K9" s="107"/>
    </row>
    <row r="10" spans="1:12" s="79" customFormat="1">
      <c r="B10" s="79" t="s">
        <v>29</v>
      </c>
      <c r="D10" s="107">
        <f>-'ardh-shpenz'!D15</f>
        <v>0</v>
      </c>
      <c r="E10" s="107">
        <f>-'ardh-shpenz'!E15</f>
        <v>142358</v>
      </c>
      <c r="F10" s="107">
        <f t="shared" si="0"/>
        <v>0</v>
      </c>
      <c r="G10" s="107">
        <f>-'ardh-shpenz'!G15</f>
        <v>0</v>
      </c>
      <c r="H10" s="107">
        <f>-'ardh-shpenz'!H15</f>
        <v>0</v>
      </c>
      <c r="I10" s="107">
        <f>-'ardh-shpenz'!I15</f>
        <v>58105</v>
      </c>
      <c r="J10" s="107">
        <f>-'ardh-shpenz'!J15</f>
        <v>135982</v>
      </c>
      <c r="K10" s="107" t="e">
        <f>-'ardh-shpenz'!K15</f>
        <v>#REF!</v>
      </c>
    </row>
    <row r="11" spans="1:12" s="79" customFormat="1">
      <c r="B11" s="79" t="s">
        <v>30</v>
      </c>
      <c r="D11" s="107">
        <v>0</v>
      </c>
      <c r="E11" s="107">
        <f>+BK!E27-BK!C27+BK!C51-BK!E51</f>
        <v>0</v>
      </c>
      <c r="F11" s="107">
        <f t="shared" si="0"/>
        <v>0</v>
      </c>
      <c r="G11" s="107">
        <f>+BK!G27-BK!F27+BK!F51-BK!G51</f>
        <v>0</v>
      </c>
      <c r="H11" s="107">
        <f>+BK!H27-BK!G27+BK!G51-BK!H51</f>
        <v>0</v>
      </c>
      <c r="I11" s="107">
        <f>+BK!I27-BK!H27+BK!H51-BK!I51</f>
        <v>0</v>
      </c>
      <c r="J11" s="107" t="e">
        <f>+BK!J27-BK!I27+BK!I51-BK!J51</f>
        <v>#REF!</v>
      </c>
      <c r="K11" s="107" t="e">
        <f>+BK!K27-BK!J27+BK!J51-BK!K51</f>
        <v>#REF!</v>
      </c>
      <c r="L11" s="107"/>
    </row>
    <row r="12" spans="1:12" s="79" customFormat="1">
      <c r="B12" s="79" t="s">
        <v>31</v>
      </c>
      <c r="D12" s="105"/>
      <c r="E12" s="105"/>
      <c r="F12" s="107">
        <f t="shared" si="0"/>
        <v>0</v>
      </c>
      <c r="G12" s="105"/>
      <c r="H12" s="105"/>
      <c r="I12" s="105"/>
      <c r="J12" s="105"/>
      <c r="K12" s="105"/>
    </row>
    <row r="13" spans="1:12" s="79" customFormat="1">
      <c r="B13" s="79" t="s">
        <v>32</v>
      </c>
      <c r="D13" s="105"/>
      <c r="E13" s="105"/>
      <c r="F13" s="107">
        <f t="shared" si="0"/>
        <v>0</v>
      </c>
      <c r="G13" s="105"/>
      <c r="H13" s="105"/>
      <c r="I13" s="105"/>
      <c r="J13" s="105"/>
      <c r="K13" s="105"/>
    </row>
    <row r="14" spans="1:12" s="79" customFormat="1">
      <c r="B14" s="104"/>
      <c r="C14" s="104"/>
      <c r="D14" s="105"/>
      <c r="E14" s="105"/>
      <c r="F14" s="107">
        <f t="shared" si="0"/>
        <v>0</v>
      </c>
      <c r="G14" s="105"/>
      <c r="H14" s="105"/>
      <c r="I14" s="105"/>
      <c r="J14" s="105"/>
      <c r="K14" s="105"/>
    </row>
    <row r="15" spans="1:12" s="79" customFormat="1" ht="31.5">
      <c r="B15" s="108" t="s">
        <v>88</v>
      </c>
      <c r="C15" s="108"/>
      <c r="D15" s="103">
        <f>+BK!E12-BK!D12+BK!E13-BK!D13+BK!E25-BK!D25+BK!E26-BK!D26</f>
        <v>5381950.0600000024</v>
      </c>
      <c r="E15" s="103">
        <f>+BK!F12-BK!E12+BK!F13-BK!E13+BK!F25-BK!E25+BK!F26-BK!E26</f>
        <v>-20763461.660000004</v>
      </c>
      <c r="F15" s="107">
        <f t="shared" si="0"/>
        <v>842305.60000000009</v>
      </c>
      <c r="G15" s="103">
        <f>+BK!G12-BK!F12+BK!G13-BK!F13+BK!G25-BK!F25+BK!G26-BK!F26</f>
        <v>4056845.37</v>
      </c>
      <c r="H15" s="103">
        <f>+BK!H12-BK!G12+BK!H13-BK!G13+BK!H25-BK!G25+BK!H26-BK!G26</f>
        <v>-3214539.77</v>
      </c>
      <c r="I15" s="103">
        <f>+BK!I12-BK!H12+BK!I13-BK!H13+BK!I25-BK!H25+BK!I26-BK!H26</f>
        <v>-784000</v>
      </c>
      <c r="J15" s="103" t="e">
        <f>+BK!J12-BK!I12+BK!J13-BK!I13+BK!J25-BK!I25+BK!J26-BK!I26</f>
        <v>#REF!</v>
      </c>
      <c r="K15" s="103" t="e">
        <f>+BK!#REF!-BK!J12+BK!#REF!-BK!J13+BK!#REF!-BK!J25+BK!#REF!-BK!J26</f>
        <v>#REF!</v>
      </c>
    </row>
    <row r="16" spans="1:12" s="79" customFormat="1">
      <c r="D16" s="105"/>
      <c r="E16" s="105"/>
      <c r="F16" s="107">
        <f t="shared" si="0"/>
        <v>0</v>
      </c>
      <c r="G16" s="105"/>
      <c r="H16" s="105"/>
      <c r="I16" s="105"/>
      <c r="J16" s="105"/>
      <c r="K16" s="105"/>
    </row>
    <row r="17" spans="1:13" s="79" customFormat="1">
      <c r="B17" s="79" t="s">
        <v>33</v>
      </c>
      <c r="D17" s="107">
        <f>+BK!E18+BK!E19+BK!E20+BK!E21+BK!E22-BK!D22-BK!D21-BK!D20-BK!D19-BK!D18</f>
        <v>0</v>
      </c>
      <c r="E17" s="107">
        <f>+BK!F18+BK!F19+BK!F20+BK!F21+BK!F22-BK!E22-BK!E21-BK!E20-BK!E19-BK!E18</f>
        <v>0</v>
      </c>
      <c r="F17" s="107">
        <f t="shared" si="0"/>
        <v>0</v>
      </c>
      <c r="G17" s="107">
        <f>+BK!G18+BK!G19+BK!G20+BK!G21+BK!G22-BK!F22-BK!F21-BK!F20-BK!F19-BK!F18</f>
        <v>1419573</v>
      </c>
      <c r="H17" s="107">
        <f>+BK!H18+BK!H19+BK!H20+BK!H21+BK!H22-BK!G22-BK!G21-BK!G20-BK!G19-BK!G18</f>
        <v>-1419573</v>
      </c>
      <c r="I17" s="107">
        <f>+BK!I18+BK!I19+BK!I20+BK!I21+BK!I22-BK!H22-BK!H21-BK!H20-BK!H19-BK!H18</f>
        <v>0</v>
      </c>
      <c r="J17" s="107" t="e">
        <f>+BK!J18+BK!J19+BK!J20+BK!J21+BK!J22-BK!I22-BK!I21-BK!I20-BK!I19-BK!I18</f>
        <v>#REF!</v>
      </c>
      <c r="K17" s="107" t="e">
        <f>+BK!#REF!+BK!#REF!+BK!#REF!+BK!#REF!+BK!#REF!-BK!J22-BK!J21-BK!J20-BK!J19-BK!J18</f>
        <v>#REF!</v>
      </c>
    </row>
    <row r="18" spans="1:13" s="79" customFormat="1">
      <c r="B18" s="79" t="s">
        <v>120</v>
      </c>
      <c r="D18" s="103">
        <f>BK!D43-BK!E43+BK!D45-BK!E45+BK!D46-BK!E46+BK!D47-BK!E47+BK!D48-BK!E48+BK!D49-BK!E49+BK!D50-BK!E50-E21+'ardh-shpenz'!D25</f>
        <v>1915585.0399999991</v>
      </c>
      <c r="E18" s="103">
        <f>BK!E43-BK!F43+BK!E45-BK!F45+BK!E46-BK!F46+BK!E47-BK!F47+BK!E48-BK!F48+BK!E49-BK!F49+BK!E50-BK!F50-F21+'ardh-shpenz'!E25</f>
        <v>18542887.660000004</v>
      </c>
      <c r="F18" s="107">
        <f t="shared" si="0"/>
        <v>1926685.4</v>
      </c>
      <c r="G18" s="103">
        <f>BK!F43-BK!G43+BK!F45-BK!G45+BK!F46-BK!G46+BK!F47-BK!G47+BK!F48-BK!G48+BK!F49-BK!G49+BK!F50-BK!G50-G21+'ardh-shpenz'!G25</f>
        <v>-2419370.6</v>
      </c>
      <c r="H18" s="103">
        <f>BK!G43-BK!H43+BK!G45-BK!H45+BK!G46-BK!H46+BK!G47-BK!H47+BK!G48-BK!H48+BK!G49-BK!H49+BK!G50-BK!H50-H21+'ardh-shpenz'!H25</f>
        <v>4346056</v>
      </c>
      <c r="I18" s="103">
        <f>BK!H43-BK!I43+BK!H45-BK!I45+BK!H46-BK!I46+BK!H47-BK!I47+BK!H48-BK!I48+BK!H49-BK!I49+BK!H50-BK!I50-I21+'ardh-shpenz'!I25</f>
        <v>2747934</v>
      </c>
      <c r="J18" s="103" t="e">
        <f>BK!I43-BK!J43+BK!I45-BK!J45+BK!I46-BK!J46+BK!I47-BK!J47+BK!I48-BK!J48+BK!I49-BK!J49+BK!I50-BK!J50-J21+'ardh-shpenz'!J25</f>
        <v>#REF!</v>
      </c>
      <c r="K18" s="103" t="e">
        <f>BK!J43-BK!#REF!+BK!J45-BK!#REF!+BK!J46-BK!#REF!+BK!J47-BK!#REF!+BK!J48-BK!#REF!+BK!J49-BK!#REF!+BK!J50-BK!#REF!-K21+'ardh-shpenz'!K25</f>
        <v>#REF!</v>
      </c>
    </row>
    <row r="19" spans="1:13" s="79" customFormat="1">
      <c r="B19" s="102" t="s">
        <v>34</v>
      </c>
      <c r="C19" s="102"/>
      <c r="D19" s="109">
        <f>SUM(D8:D18)</f>
        <v>2519200.1000000015</v>
      </c>
      <c r="E19" s="109">
        <f t="shared" ref="E19:K19" si="1">SUM(E8:E18)</f>
        <v>-123609</v>
      </c>
      <c r="F19" s="109">
        <f t="shared" si="1"/>
        <v>99634</v>
      </c>
      <c r="G19" s="109">
        <f t="shared" si="1"/>
        <v>89373.770000000019</v>
      </c>
      <c r="H19" s="109">
        <f t="shared" si="1"/>
        <v>10260.230000000447</v>
      </c>
      <c r="I19" s="109">
        <f t="shared" si="1"/>
        <v>-34022</v>
      </c>
      <c r="J19" s="109" t="e">
        <f t="shared" si="1"/>
        <v>#REF!</v>
      </c>
      <c r="K19" s="109" t="e">
        <f t="shared" si="1"/>
        <v>#REF!</v>
      </c>
      <c r="M19" s="110"/>
    </row>
    <row r="20" spans="1:13" s="79" customFormat="1" ht="12.75" customHeight="1">
      <c r="B20" s="79" t="s">
        <v>16</v>
      </c>
      <c r="D20" s="105"/>
      <c r="E20" s="105"/>
      <c r="F20" s="105"/>
      <c r="G20" s="105"/>
      <c r="H20" s="105"/>
      <c r="I20" s="105"/>
      <c r="J20" s="105"/>
      <c r="K20" s="105"/>
    </row>
    <row r="21" spans="1:13" s="79" customFormat="1" ht="12.75" customHeight="1">
      <c r="B21" s="79" t="s">
        <v>17</v>
      </c>
      <c r="D21" s="107"/>
      <c r="E21" s="107"/>
      <c r="F21" s="107"/>
      <c r="G21" s="107"/>
      <c r="H21" s="107"/>
      <c r="I21" s="107"/>
      <c r="J21" s="107"/>
      <c r="K21" s="107"/>
    </row>
    <row r="22" spans="1:13" s="79" customFormat="1">
      <c r="D22" s="105"/>
      <c r="E22" s="105"/>
      <c r="F22" s="105"/>
      <c r="G22" s="105"/>
      <c r="H22" s="105"/>
      <c r="I22" s="105"/>
      <c r="J22" s="105"/>
      <c r="K22" s="105"/>
    </row>
    <row r="23" spans="1:13" s="79" customFormat="1">
      <c r="A23" s="111" t="s">
        <v>18</v>
      </c>
      <c r="D23" s="112">
        <f>SUM(D19:D22)</f>
        <v>2519200.1000000015</v>
      </c>
      <c r="E23" s="112">
        <f t="shared" ref="E23:K23" si="2">SUM(E19:E22)</f>
        <v>-123609</v>
      </c>
      <c r="F23" s="112">
        <f t="shared" si="2"/>
        <v>99634</v>
      </c>
      <c r="G23" s="112">
        <f t="shared" si="2"/>
        <v>89373.770000000019</v>
      </c>
      <c r="H23" s="112">
        <f t="shared" si="2"/>
        <v>10260.230000000447</v>
      </c>
      <c r="I23" s="112">
        <f t="shared" si="2"/>
        <v>-34022</v>
      </c>
      <c r="J23" s="112" t="e">
        <f t="shared" si="2"/>
        <v>#REF!</v>
      </c>
      <c r="K23" s="112" t="e">
        <f t="shared" si="2"/>
        <v>#REF!</v>
      </c>
    </row>
    <row r="24" spans="1:13" s="79" customFormat="1">
      <c r="A24" s="111"/>
      <c r="D24" s="103"/>
      <c r="E24" s="103"/>
      <c r="F24" s="103"/>
      <c r="G24" s="103"/>
      <c r="H24" s="103"/>
      <c r="I24" s="103"/>
      <c r="J24" s="103"/>
      <c r="K24" s="103"/>
    </row>
    <row r="25" spans="1:13" s="79" customFormat="1">
      <c r="B25" s="79" t="s">
        <v>35</v>
      </c>
      <c r="D25" s="103"/>
      <c r="E25" s="103"/>
      <c r="F25" s="103"/>
      <c r="G25" s="103"/>
      <c r="H25" s="103"/>
      <c r="I25" s="103"/>
      <c r="J25" s="103"/>
      <c r="K25" s="103"/>
    </row>
    <row r="26" spans="1:13" s="79" customFormat="1">
      <c r="B26" s="79" t="s">
        <v>36</v>
      </c>
      <c r="D26" s="107">
        <f>-BK!D33+BK!E33+'ardh-shpenz'!D15</f>
        <v>0</v>
      </c>
      <c r="E26" s="107">
        <f>-BK!E33+BK!F33+'ardh-shpenz'!E15</f>
        <v>0</v>
      </c>
      <c r="F26" s="107">
        <f>+H26+G26</f>
        <v>0</v>
      </c>
      <c r="G26" s="107">
        <f>-BK!F33+BK!G33+'ardh-shpenz'!G15</f>
        <v>0</v>
      </c>
      <c r="H26" s="107">
        <f>-BK!G33+BK!H33+'ardh-shpenz'!H15</f>
        <v>0</v>
      </c>
      <c r="I26" s="107">
        <f>-BK!H33+BK!I33+'ardh-shpenz'!I15</f>
        <v>-2905274</v>
      </c>
      <c r="J26" s="107" t="e">
        <f>-BK!I33+BK!J33+'ardh-shpenz'!J15</f>
        <v>#REF!</v>
      </c>
      <c r="K26" s="107" t="e">
        <f>-BK!J33+BK!#REF!+'ardh-shpenz'!K15</f>
        <v>#REF!</v>
      </c>
    </row>
    <row r="27" spans="1:13" s="79" customFormat="1">
      <c r="B27" s="79" t="s">
        <v>37</v>
      </c>
      <c r="D27" s="105"/>
      <c r="E27" s="105"/>
      <c r="F27" s="105"/>
      <c r="G27" s="105"/>
      <c r="H27" s="105"/>
      <c r="I27" s="105"/>
      <c r="J27" s="105"/>
      <c r="K27" s="105"/>
    </row>
    <row r="28" spans="1:13" s="79" customFormat="1" ht="12.75" customHeight="1">
      <c r="B28" s="79" t="s">
        <v>19</v>
      </c>
      <c r="D28" s="105"/>
      <c r="E28" s="105"/>
      <c r="F28" s="105"/>
      <c r="G28" s="105"/>
      <c r="H28" s="105"/>
      <c r="I28" s="105"/>
      <c r="J28" s="105"/>
      <c r="K28" s="105"/>
    </row>
    <row r="29" spans="1:13" s="79" customFormat="1" ht="12.75" customHeight="1">
      <c r="B29" s="79" t="s">
        <v>20</v>
      </c>
      <c r="D29" s="113"/>
      <c r="E29" s="113"/>
      <c r="F29" s="113"/>
      <c r="G29" s="113"/>
      <c r="H29" s="113"/>
      <c r="I29" s="113"/>
      <c r="J29" s="113"/>
      <c r="K29" s="113"/>
    </row>
    <row r="30" spans="1:13" s="79" customFormat="1">
      <c r="B30" s="104"/>
      <c r="C30" s="104"/>
      <c r="D30" s="105"/>
      <c r="E30" s="105"/>
      <c r="F30" s="105"/>
      <c r="G30" s="105"/>
      <c r="H30" s="105"/>
      <c r="I30" s="105"/>
      <c r="J30" s="105"/>
      <c r="K30" s="105"/>
    </row>
    <row r="31" spans="1:13" s="79" customFormat="1">
      <c r="B31" s="80" t="s">
        <v>89</v>
      </c>
      <c r="C31" s="80"/>
      <c r="D31" s="112">
        <f>SUM(D25:D29)</f>
        <v>0</v>
      </c>
      <c r="E31" s="112">
        <f>SUM(E25:E29)</f>
        <v>0</v>
      </c>
      <c r="F31" s="112">
        <f t="shared" ref="F31:K31" si="3">SUM(F25:F29)</f>
        <v>0</v>
      </c>
      <c r="G31" s="112">
        <f t="shared" si="3"/>
        <v>0</v>
      </c>
      <c r="H31" s="112">
        <f t="shared" si="3"/>
        <v>0</v>
      </c>
      <c r="I31" s="112">
        <f t="shared" si="3"/>
        <v>-2905274</v>
      </c>
      <c r="J31" s="112" t="e">
        <f t="shared" si="3"/>
        <v>#REF!</v>
      </c>
      <c r="K31" s="112" t="e">
        <f t="shared" si="3"/>
        <v>#REF!</v>
      </c>
    </row>
    <row r="32" spans="1:13" s="79" customFormat="1">
      <c r="B32" s="104"/>
      <c r="C32" s="104"/>
      <c r="D32" s="105"/>
      <c r="E32" s="105"/>
      <c r="F32" s="105"/>
      <c r="G32" s="105"/>
      <c r="H32" s="105"/>
      <c r="I32" s="105"/>
      <c r="J32" s="105"/>
      <c r="K32" s="105"/>
    </row>
    <row r="33" spans="2:11" s="79" customFormat="1">
      <c r="B33" s="79" t="s">
        <v>91</v>
      </c>
      <c r="D33" s="103">
        <v>0</v>
      </c>
      <c r="E33" s="103">
        <v>0</v>
      </c>
      <c r="F33" s="103">
        <f>+G33+H33</f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</row>
    <row r="34" spans="2:11" s="79" customFormat="1">
      <c r="B34" s="79" t="s">
        <v>21</v>
      </c>
      <c r="D34" s="103"/>
      <c r="E34" s="103"/>
      <c r="F34" s="103">
        <f>+G34+H34</f>
        <v>0</v>
      </c>
      <c r="G34" s="103"/>
      <c r="H34" s="103"/>
      <c r="I34" s="103"/>
      <c r="J34" s="103"/>
      <c r="K34" s="103"/>
    </row>
    <row r="35" spans="2:11" s="79" customFormat="1">
      <c r="B35" s="79" t="s">
        <v>38</v>
      </c>
      <c r="D35" s="107">
        <f>+BK!D57-BK!E57</f>
        <v>0</v>
      </c>
      <c r="E35" s="107">
        <f>+BK!E57-BK!F57</f>
        <v>0</v>
      </c>
      <c r="F35" s="103">
        <f>+G35+H35</f>
        <v>0</v>
      </c>
      <c r="G35" s="107">
        <f>+BK!F57-BK!G57</f>
        <v>0</v>
      </c>
      <c r="H35" s="107">
        <f>+BK!G57-BK!H57</f>
        <v>0</v>
      </c>
      <c r="I35" s="107">
        <f>+BK!H57-BK!I57</f>
        <v>0</v>
      </c>
      <c r="J35" s="107">
        <f>+BK!I57-BK!J57</f>
        <v>0</v>
      </c>
      <c r="K35" s="107" t="e">
        <f>+BK!J57-BK!#REF!</f>
        <v>#REF!</v>
      </c>
    </row>
    <row r="36" spans="2:11" s="79" customFormat="1">
      <c r="B36" s="79" t="s">
        <v>22</v>
      </c>
      <c r="D36" s="105"/>
      <c r="E36" s="105"/>
      <c r="F36" s="103">
        <f>+G36+H36</f>
        <v>0</v>
      </c>
      <c r="G36" s="105"/>
      <c r="H36" s="105"/>
      <c r="I36" s="105"/>
      <c r="J36" s="105"/>
      <c r="K36" s="105"/>
    </row>
    <row r="37" spans="2:11" s="79" customFormat="1" ht="15" customHeight="1">
      <c r="B37" s="79" t="s">
        <v>39</v>
      </c>
      <c r="D37" s="114">
        <v>0</v>
      </c>
      <c r="E37" s="114">
        <v>0</v>
      </c>
      <c r="F37" s="103">
        <f>+G37+H37</f>
        <v>0</v>
      </c>
      <c r="G37" s="114">
        <v>0</v>
      </c>
      <c r="H37" s="114">
        <f>+BK!G64+BK!G65+BK!G66+BK!G67+BK!G68+BK!G69-BK!H64-BK!H65-BK!H66-BK!H67-BK!H68-BK!H69+-BK!H70</f>
        <v>0</v>
      </c>
      <c r="I37" s="114">
        <f>+BK!H64+BK!H65+BK!H66+BK!H67+BK!H68+BK!H69-BK!I64-BK!I65-BK!I66-BK!I67-BK!I68-BK!I69+-BK!I70</f>
        <v>-1779972</v>
      </c>
      <c r="J37" s="114" t="e">
        <f>+BK!I64+BK!I65+BK!I66+BK!I67+BK!I68+BK!I69-BK!J64-BK!J65-BK!J66-BK!J67-BK!J68-BK!J69+-BK!J70</f>
        <v>#REF!</v>
      </c>
      <c r="K37" s="114" t="e">
        <f>+BK!J64+BK!J65+BK!J66+BK!J67+BK!J68+BK!J69-BK!#REF!-BK!#REF!-BK!#REF!-BK!#REF!-BK!#REF!-BK!#REF!+-BK!#REF!</f>
        <v>#REF!</v>
      </c>
    </row>
    <row r="38" spans="2:11" s="79" customFormat="1">
      <c r="B38" s="104"/>
      <c r="C38" s="104"/>
      <c r="D38" s="105"/>
      <c r="E38" s="105"/>
      <c r="F38" s="105"/>
      <c r="G38" s="105"/>
      <c r="H38" s="105"/>
      <c r="I38" s="105"/>
      <c r="J38" s="105"/>
      <c r="K38" s="105"/>
    </row>
    <row r="39" spans="2:11" s="79" customFormat="1">
      <c r="B39" s="80" t="s">
        <v>121</v>
      </c>
      <c r="C39" s="80"/>
      <c r="D39" s="112">
        <f>SUM(D33:D38)</f>
        <v>0</v>
      </c>
      <c r="E39" s="112">
        <f t="shared" ref="E39:K39" si="4">SUM(E33:E38)</f>
        <v>0</v>
      </c>
      <c r="F39" s="112">
        <f t="shared" si="4"/>
        <v>0</v>
      </c>
      <c r="G39" s="112">
        <f t="shared" si="4"/>
        <v>0</v>
      </c>
      <c r="H39" s="112">
        <f t="shared" si="4"/>
        <v>0</v>
      </c>
      <c r="I39" s="112">
        <f t="shared" si="4"/>
        <v>-1779972</v>
      </c>
      <c r="J39" s="112" t="e">
        <f t="shared" si="4"/>
        <v>#REF!</v>
      </c>
      <c r="K39" s="112" t="e">
        <f t="shared" si="4"/>
        <v>#REF!</v>
      </c>
    </row>
    <row r="40" spans="2:11" s="79" customFormat="1">
      <c r="B40" s="104"/>
      <c r="C40" s="104"/>
      <c r="D40" s="105"/>
      <c r="E40" s="105"/>
      <c r="F40" s="105"/>
      <c r="G40" s="105"/>
      <c r="H40" s="105"/>
      <c r="I40" s="105"/>
      <c r="J40" s="105"/>
      <c r="K40" s="105"/>
    </row>
    <row r="41" spans="2:11" s="79" customFormat="1">
      <c r="B41" s="111" t="s">
        <v>23</v>
      </c>
      <c r="C41" s="111"/>
      <c r="D41" s="115">
        <f>+D39+D23+D31</f>
        <v>2519200.1000000015</v>
      </c>
      <c r="E41" s="115">
        <f>+E39+E23+E31</f>
        <v>-123609</v>
      </c>
      <c r="F41" s="115">
        <f t="shared" ref="F41:K41" si="5">+F39+F23+F31</f>
        <v>99634</v>
      </c>
      <c r="G41" s="115">
        <f t="shared" si="5"/>
        <v>89373.770000000019</v>
      </c>
      <c r="H41" s="115">
        <f t="shared" si="5"/>
        <v>10260.230000000447</v>
      </c>
      <c r="I41" s="115">
        <f t="shared" si="5"/>
        <v>-4719268</v>
      </c>
      <c r="J41" s="115" t="e">
        <f t="shared" si="5"/>
        <v>#REF!</v>
      </c>
      <c r="K41" s="115" t="e">
        <f t="shared" si="5"/>
        <v>#REF!</v>
      </c>
    </row>
    <row r="42" spans="2:11" s="79" customFormat="1">
      <c r="B42" s="111"/>
      <c r="C42" s="111"/>
      <c r="D42" s="107"/>
      <c r="E42" s="107"/>
      <c r="F42" s="107"/>
      <c r="G42" s="107"/>
      <c r="H42" s="107"/>
      <c r="I42" s="107"/>
      <c r="J42" s="107"/>
      <c r="K42" s="107"/>
    </row>
    <row r="43" spans="2:11" s="79" customFormat="1">
      <c r="B43" s="111" t="s">
        <v>90</v>
      </c>
      <c r="C43" s="111"/>
      <c r="D43" s="116">
        <f>+E44</f>
        <v>7799</v>
      </c>
      <c r="E43" s="116">
        <f>+F44</f>
        <v>131408</v>
      </c>
      <c r="F43" s="116">
        <v>42034</v>
      </c>
      <c r="G43" s="116">
        <v>31774</v>
      </c>
      <c r="H43" s="116">
        <f>+I44</f>
        <v>-4719268</v>
      </c>
      <c r="I43" s="116">
        <v>0</v>
      </c>
      <c r="J43" s="116">
        <v>165113</v>
      </c>
      <c r="K43" s="116" t="e">
        <f>+#REF!</f>
        <v>#REF!</v>
      </c>
    </row>
    <row r="44" spans="2:11" s="79" customFormat="1">
      <c r="B44" s="111" t="s">
        <v>24</v>
      </c>
      <c r="C44" s="111"/>
      <c r="D44" s="117">
        <f>+D43+D41</f>
        <v>2526999.1000000015</v>
      </c>
      <c r="E44" s="117">
        <f>+E43+E41</f>
        <v>7799</v>
      </c>
      <c r="F44" s="117">
        <v>131408</v>
      </c>
      <c r="G44" s="117">
        <v>42034</v>
      </c>
      <c r="H44" s="117">
        <f>+H43+H41</f>
        <v>-4709007.7699999996</v>
      </c>
      <c r="I44" s="117">
        <f>+I43+I41</f>
        <v>-4719268</v>
      </c>
      <c r="J44" s="117">
        <v>130091</v>
      </c>
      <c r="K44" s="117" t="e">
        <f>+BK!J8</f>
        <v>#REF!</v>
      </c>
    </row>
    <row r="45" spans="2:11" s="79" customFormat="1">
      <c r="D45" s="103"/>
      <c r="E45" s="103"/>
      <c r="F45" s="103"/>
      <c r="G45" s="103"/>
      <c r="H45" s="103"/>
      <c r="I45" s="103"/>
      <c r="J45" s="103"/>
      <c r="K45" s="103"/>
    </row>
    <row r="46" spans="2:11" s="79" customFormat="1">
      <c r="D46" s="103"/>
      <c r="E46" s="103"/>
      <c r="F46" s="103"/>
      <c r="G46" s="103"/>
      <c r="H46" s="103"/>
      <c r="I46" s="103"/>
      <c r="J46" s="103"/>
      <c r="K46" s="103"/>
    </row>
    <row r="48" spans="2:11">
      <c r="B48" s="97" t="s">
        <v>559</v>
      </c>
      <c r="C48" s="92"/>
      <c r="D48" s="97" t="s">
        <v>599</v>
      </c>
      <c r="F48" s="97"/>
      <c r="G48" s="81"/>
      <c r="J48" s="97"/>
    </row>
    <row r="49" spans="2:11">
      <c r="B49" s="95"/>
      <c r="C49" s="95"/>
    </row>
    <row r="50" spans="2:11">
      <c r="B50" s="92"/>
      <c r="C50" s="92"/>
      <c r="D50" s="97"/>
      <c r="E50" s="97"/>
      <c r="F50" s="97"/>
      <c r="G50" s="97"/>
      <c r="H50" s="97"/>
      <c r="I50" s="97"/>
      <c r="J50" s="97"/>
      <c r="K50" s="97"/>
    </row>
    <row r="51" spans="2:11">
      <c r="B51" s="92"/>
      <c r="C51" s="92"/>
      <c r="D51" s="96"/>
      <c r="E51" s="96"/>
      <c r="F51" s="96"/>
      <c r="G51" s="96"/>
      <c r="H51" s="96"/>
      <c r="I51" s="96"/>
      <c r="J51" s="96"/>
      <c r="K51" s="96"/>
    </row>
    <row r="52" spans="2:11">
      <c r="B52" s="80"/>
      <c r="C52" s="92">
        <v>4</v>
      </c>
      <c r="D52" s="88"/>
      <c r="E52" s="88"/>
      <c r="F52" s="88"/>
      <c r="G52" s="88"/>
      <c r="H52" s="88"/>
      <c r="I52" s="88"/>
      <c r="J52" s="88"/>
      <c r="K52" s="88"/>
    </row>
  </sheetData>
  <phoneticPr fontId="3" type="noConversion"/>
  <pageMargins left="0.59" right="0.59" top="0.81" bottom="0.67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topLeftCell="A13" workbookViewId="0">
      <selection activeCell="D32" sqref="D32"/>
    </sheetView>
  </sheetViews>
  <sheetFormatPr defaultRowHeight="12.75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>
      <c r="A1" s="25" t="s">
        <v>640</v>
      </c>
    </row>
    <row r="2" spans="1:11" ht="16.5">
      <c r="A2" s="11" t="s">
        <v>690</v>
      </c>
    </row>
    <row r="3" spans="1:11" ht="16.5">
      <c r="A3" s="11" t="s">
        <v>94</v>
      </c>
    </row>
    <row r="4" spans="1:11" ht="13.5" thickBot="1"/>
    <row r="5" spans="1:11" ht="13.5" thickBot="1">
      <c r="B5" s="561"/>
      <c r="C5" s="563" t="s">
        <v>431</v>
      </c>
      <c r="D5" s="563"/>
      <c r="E5" s="563"/>
      <c r="F5" s="563"/>
      <c r="G5" s="563"/>
      <c r="H5" s="563"/>
      <c r="I5" s="564"/>
      <c r="J5" s="434"/>
      <c r="K5" s="435"/>
    </row>
    <row r="6" spans="1:11" ht="63" customHeight="1" thickBot="1">
      <c r="B6" s="562"/>
      <c r="C6" s="319" t="s">
        <v>92</v>
      </c>
      <c r="D6" s="319" t="s">
        <v>432</v>
      </c>
      <c r="E6" s="319" t="s">
        <v>433</v>
      </c>
      <c r="F6" s="319" t="s">
        <v>434</v>
      </c>
      <c r="G6" s="319" t="s">
        <v>435</v>
      </c>
      <c r="H6" s="320" t="s">
        <v>436</v>
      </c>
      <c r="I6" s="321" t="s">
        <v>2</v>
      </c>
      <c r="J6" s="322" t="s">
        <v>437</v>
      </c>
      <c r="K6" s="321" t="s">
        <v>2</v>
      </c>
    </row>
    <row r="7" spans="1:11" ht="26.25" customHeight="1" thickBot="1">
      <c r="A7" s="58" t="s">
        <v>450</v>
      </c>
      <c r="B7" s="123" t="s">
        <v>691</v>
      </c>
      <c r="C7" s="124">
        <v>4000000</v>
      </c>
      <c r="D7" s="124"/>
      <c r="E7" s="124"/>
      <c r="F7" s="124"/>
      <c r="G7" s="124"/>
      <c r="H7" s="125">
        <f>+BK!E69</f>
        <v>-10819425</v>
      </c>
      <c r="I7" s="126">
        <f>+C7+H7+F7</f>
        <v>-6819425</v>
      </c>
      <c r="J7" s="318"/>
      <c r="K7" s="126">
        <f>+I7</f>
        <v>-6819425</v>
      </c>
    </row>
    <row r="8" spans="1:11">
      <c r="A8" s="58" t="s">
        <v>156</v>
      </c>
      <c r="B8" s="436" t="s">
        <v>438</v>
      </c>
      <c r="C8" s="323"/>
      <c r="D8" s="323"/>
      <c r="E8" s="323"/>
      <c r="F8" s="323"/>
      <c r="G8" s="323"/>
      <c r="H8" s="324"/>
      <c r="I8" s="389"/>
      <c r="J8" s="387"/>
      <c r="K8" s="369"/>
    </row>
    <row r="9" spans="1:11">
      <c r="A9" s="58" t="s">
        <v>158</v>
      </c>
      <c r="B9" s="374" t="s">
        <v>439</v>
      </c>
      <c r="C9" s="59"/>
      <c r="D9" s="59"/>
      <c r="E9" s="59"/>
      <c r="F9" s="59"/>
      <c r="G9" s="59"/>
      <c r="H9" s="119"/>
      <c r="I9" s="390"/>
      <c r="J9" s="388"/>
      <c r="K9" s="370"/>
    </row>
    <row r="10" spans="1:11" ht="25.5">
      <c r="A10" s="58">
        <v>1</v>
      </c>
      <c r="B10" s="374" t="s">
        <v>440</v>
      </c>
      <c r="C10" s="59"/>
      <c r="D10" s="59"/>
      <c r="E10" s="59"/>
      <c r="F10" s="59"/>
      <c r="G10" s="59"/>
      <c r="H10" s="119"/>
      <c r="I10" s="390"/>
      <c r="J10" s="388"/>
      <c r="K10" s="370"/>
    </row>
    <row r="11" spans="1:11" ht="38.25">
      <c r="A11" s="58">
        <v>2</v>
      </c>
      <c r="B11" s="374" t="s">
        <v>441</v>
      </c>
      <c r="C11" s="59"/>
      <c r="D11" s="59"/>
      <c r="E11" s="59"/>
      <c r="F11" s="59"/>
      <c r="G11" s="59"/>
      <c r="H11" s="119"/>
      <c r="I11" s="390"/>
      <c r="J11" s="388"/>
      <c r="K11" s="370"/>
    </row>
    <row r="12" spans="1:11">
      <c r="A12" s="58">
        <v>3</v>
      </c>
      <c r="B12" s="374" t="s">
        <v>442</v>
      </c>
      <c r="C12" s="59"/>
      <c r="D12" s="59"/>
      <c r="E12" s="59"/>
      <c r="F12" s="59"/>
      <c r="G12" s="59"/>
      <c r="H12" s="119">
        <f>+BK!E70</f>
        <v>1954607</v>
      </c>
      <c r="I12" s="390">
        <f>+C12+H12+F12</f>
        <v>1954607</v>
      </c>
      <c r="J12" s="388"/>
      <c r="K12" s="370">
        <f>+H12</f>
        <v>1954607</v>
      </c>
    </row>
    <row r="13" spans="1:11">
      <c r="A13" s="58">
        <v>4</v>
      </c>
      <c r="B13" s="374" t="s">
        <v>443</v>
      </c>
      <c r="C13" s="59"/>
      <c r="D13" s="59"/>
      <c r="E13" s="59"/>
      <c r="F13" s="59"/>
      <c r="G13" s="59"/>
      <c r="H13" s="119">
        <v>0</v>
      </c>
      <c r="I13" s="390">
        <f>+C13+H13+F13</f>
        <v>0</v>
      </c>
      <c r="J13" s="119"/>
      <c r="K13" s="370">
        <f>+H13</f>
        <v>0</v>
      </c>
    </row>
    <row r="14" spans="1:11" ht="25.5">
      <c r="A14" s="58">
        <v>5</v>
      </c>
      <c r="B14" s="374" t="s">
        <v>444</v>
      </c>
      <c r="C14" s="59"/>
      <c r="D14" s="59"/>
      <c r="E14" s="59"/>
      <c r="F14" s="59"/>
      <c r="G14" s="59"/>
      <c r="H14" s="119"/>
      <c r="I14" s="390"/>
      <c r="J14" s="388"/>
      <c r="K14" s="370"/>
    </row>
    <row r="15" spans="1:11" ht="13.5" thickBot="1">
      <c r="A15" s="58">
        <v>6</v>
      </c>
      <c r="B15" s="437" t="s">
        <v>445</v>
      </c>
      <c r="C15" s="121"/>
      <c r="D15" s="121"/>
      <c r="E15" s="121"/>
      <c r="F15" s="121"/>
      <c r="G15" s="121"/>
      <c r="H15" s="122">
        <v>0</v>
      </c>
      <c r="I15" s="122"/>
      <c r="J15" s="393"/>
      <c r="K15" s="438"/>
    </row>
    <row r="16" spans="1:11" ht="13.5" thickBot="1">
      <c r="A16" s="58" t="s">
        <v>134</v>
      </c>
      <c r="B16" s="123" t="s">
        <v>692</v>
      </c>
      <c r="C16" s="124">
        <f>SUM(C7:C15)</f>
        <v>4000000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-8864818</v>
      </c>
      <c r="I16" s="391">
        <f t="shared" si="0"/>
        <v>-4864818</v>
      </c>
      <c r="J16" s="394">
        <f t="shared" si="0"/>
        <v>0</v>
      </c>
      <c r="K16" s="392">
        <f t="shared" si="0"/>
        <v>-4864818</v>
      </c>
    </row>
    <row r="17" spans="1:11" ht="25.5">
      <c r="A17" s="58">
        <v>1</v>
      </c>
      <c r="B17" s="371" t="s">
        <v>446</v>
      </c>
      <c r="C17" s="372"/>
      <c r="D17" s="372"/>
      <c r="E17" s="372"/>
      <c r="F17" s="372"/>
      <c r="G17" s="372"/>
      <c r="H17" s="373"/>
      <c r="I17" s="381"/>
      <c r="J17" s="387"/>
      <c r="K17" s="385"/>
    </row>
    <row r="18" spans="1:11" ht="51">
      <c r="A18" s="58">
        <v>2</v>
      </c>
      <c r="B18" s="374" t="s">
        <v>542</v>
      </c>
      <c r="C18" s="59"/>
      <c r="D18" s="59"/>
      <c r="E18" s="59"/>
      <c r="F18" s="59"/>
      <c r="G18" s="59"/>
      <c r="H18" s="375"/>
      <c r="I18" s="120"/>
      <c r="J18" s="388"/>
      <c r="K18" s="370">
        <f>+H18</f>
        <v>0</v>
      </c>
    </row>
    <row r="19" spans="1:11" ht="15.75" customHeight="1">
      <c r="A19" s="58">
        <v>3</v>
      </c>
      <c r="B19" s="376" t="s">
        <v>447</v>
      </c>
      <c r="C19" s="59"/>
      <c r="D19" s="59"/>
      <c r="E19" s="59"/>
      <c r="F19" s="59"/>
      <c r="G19" s="59"/>
      <c r="H19" s="375">
        <f>+BK!D70</f>
        <v>-4778335</v>
      </c>
      <c r="I19" s="120">
        <f>+H19</f>
        <v>-4778335</v>
      </c>
      <c r="J19" s="388"/>
      <c r="K19" s="370">
        <f>+I19</f>
        <v>-4778335</v>
      </c>
    </row>
    <row r="20" spans="1:11">
      <c r="A20" s="58">
        <v>4</v>
      </c>
      <c r="B20" s="374" t="s">
        <v>443</v>
      </c>
      <c r="C20" s="59"/>
      <c r="D20" s="59"/>
      <c r="E20" s="59"/>
      <c r="F20" s="59"/>
      <c r="G20" s="59"/>
      <c r="H20" s="375">
        <v>0</v>
      </c>
      <c r="I20" s="120">
        <f>+H20</f>
        <v>0</v>
      </c>
      <c r="J20" s="388"/>
      <c r="K20" s="370">
        <f>+I20</f>
        <v>0</v>
      </c>
    </row>
    <row r="21" spans="1:11" ht="13.5" thickBot="1">
      <c r="A21" s="58">
        <v>5</v>
      </c>
      <c r="B21" s="377" t="s">
        <v>448</v>
      </c>
      <c r="C21" s="378"/>
      <c r="D21" s="378"/>
      <c r="E21" s="378"/>
      <c r="F21" s="378"/>
      <c r="G21" s="378"/>
      <c r="H21" s="379"/>
      <c r="I21" s="384"/>
      <c r="J21" s="384"/>
      <c r="K21" s="386"/>
    </row>
    <row r="22" spans="1:11" ht="13.5" thickBot="1">
      <c r="A22" s="58">
        <v>6</v>
      </c>
      <c r="B22" s="383" t="s">
        <v>449</v>
      </c>
      <c r="C22" s="124"/>
      <c r="D22" s="124"/>
      <c r="E22" s="124"/>
      <c r="F22" s="124"/>
      <c r="G22" s="124"/>
      <c r="H22" s="382"/>
      <c r="I22" s="380"/>
      <c r="J22" s="247"/>
      <c r="K22" s="380"/>
    </row>
    <row r="23" spans="1:11" ht="13.5" thickBot="1">
      <c r="A23" s="58" t="s">
        <v>144</v>
      </c>
      <c r="B23" s="325" t="s">
        <v>693</v>
      </c>
      <c r="C23" s="326">
        <f>+C16</f>
        <v>4000000</v>
      </c>
      <c r="D23" s="124"/>
      <c r="E23" s="124"/>
      <c r="F23" s="124"/>
      <c r="G23" s="124"/>
      <c r="H23" s="125">
        <f>SUM(H16:H22)</f>
        <v>-13643153</v>
      </c>
      <c r="I23" s="394">
        <f>SUM(I16:I22)</f>
        <v>-9643153</v>
      </c>
      <c r="J23" s="394">
        <f>SUM(J16:J22)</f>
        <v>0</v>
      </c>
      <c r="K23" s="394">
        <f>SUM(K16:K22)</f>
        <v>-9643153</v>
      </c>
    </row>
    <row r="27" spans="1:11" ht="15.75">
      <c r="B27" s="92"/>
      <c r="C27" s="97" t="s">
        <v>559</v>
      </c>
      <c r="E27" s="96"/>
      <c r="F27" s="96"/>
      <c r="G27" s="100"/>
      <c r="H27" s="82"/>
      <c r="I27" s="97" t="s">
        <v>430</v>
      </c>
    </row>
    <row r="28" spans="1:11">
      <c r="E28" s="355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opLeftCell="C1" workbookViewId="0">
      <selection activeCell="D32" sqref="D32"/>
    </sheetView>
  </sheetViews>
  <sheetFormatPr defaultRowHeight="12.75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>
      <c r="C1" s="25" t="s">
        <v>640</v>
      </c>
    </row>
    <row r="2" spans="1:18" ht="13.5">
      <c r="C2" s="132" t="s">
        <v>493</v>
      </c>
    </row>
    <row r="3" spans="1:18">
      <c r="C3" s="133" t="s">
        <v>694</v>
      </c>
    </row>
    <row r="4" spans="1:18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25.5" customHeight="1">
      <c r="A7" s="567"/>
      <c r="B7" s="567"/>
      <c r="C7" s="138" t="s">
        <v>451</v>
      </c>
      <c r="D7" s="139"/>
      <c r="E7" s="140"/>
      <c r="F7" s="141" t="s">
        <v>452</v>
      </c>
      <c r="G7" s="142" t="s">
        <v>453</v>
      </c>
      <c r="H7" s="143" t="s">
        <v>672</v>
      </c>
      <c r="I7" s="142" t="s">
        <v>673</v>
      </c>
      <c r="J7" s="144" t="s">
        <v>512</v>
      </c>
      <c r="K7" s="131" t="s">
        <v>454</v>
      </c>
      <c r="L7" s="145" t="s">
        <v>455</v>
      </c>
      <c r="M7" s="146"/>
      <c r="N7" s="147"/>
      <c r="O7" s="565" t="s">
        <v>456</v>
      </c>
    </row>
    <row r="8" spans="1:18" ht="13.5" thickBot="1">
      <c r="A8" s="137"/>
      <c r="B8" s="137"/>
      <c r="C8" s="148"/>
      <c r="D8" s="149"/>
      <c r="E8" s="140"/>
      <c r="F8" s="150"/>
      <c r="G8" s="151"/>
      <c r="H8" s="151"/>
      <c r="I8" s="151"/>
      <c r="J8" s="246" t="s">
        <v>674</v>
      </c>
      <c r="K8" s="152"/>
      <c r="L8" s="152"/>
      <c r="M8" s="146"/>
      <c r="N8" s="147"/>
      <c r="O8" s="566"/>
    </row>
    <row r="9" spans="1:18" ht="13.5" thickBot="1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>
      <c r="A10" s="137"/>
      <c r="B10" s="137"/>
      <c r="C10" s="156"/>
      <c r="D10" s="157"/>
      <c r="E10" s="140"/>
      <c r="F10" s="327"/>
      <c r="G10" s="328"/>
      <c r="H10" s="329"/>
      <c r="I10" s="328"/>
      <c r="J10" s="330"/>
      <c r="K10" s="330"/>
      <c r="L10" s="331"/>
      <c r="M10" s="146"/>
      <c r="N10" s="147"/>
      <c r="O10" s="158"/>
    </row>
    <row r="11" spans="1:18">
      <c r="A11" s="137"/>
      <c r="B11" s="137"/>
      <c r="C11" s="159"/>
      <c r="D11" s="160"/>
      <c r="E11" s="140"/>
      <c r="F11" s="161"/>
      <c r="G11" s="162"/>
      <c r="H11" s="163" t="s">
        <v>509</v>
      </c>
      <c r="I11" s="162"/>
      <c r="J11" s="164"/>
      <c r="K11" s="164"/>
      <c r="L11" s="165"/>
      <c r="M11" s="146"/>
      <c r="N11" s="147"/>
      <c r="O11" s="166"/>
    </row>
    <row r="12" spans="1:18" ht="13.5" thickBot="1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>
      <c r="A13" s="174" t="s">
        <v>457</v>
      </c>
      <c r="B13" s="174" t="s">
        <v>458</v>
      </c>
      <c r="C13" s="175" t="s">
        <v>695</v>
      </c>
      <c r="D13" s="176" t="s">
        <v>459</v>
      </c>
      <c r="E13" s="177" t="s">
        <v>460</v>
      </c>
      <c r="F13" s="178"/>
      <c r="G13" s="179"/>
      <c r="H13" s="180">
        <v>1652240</v>
      </c>
      <c r="I13" s="181">
        <v>553280</v>
      </c>
      <c r="J13" s="182">
        <v>977966</v>
      </c>
      <c r="K13" s="183"/>
      <c r="L13" s="184">
        <f>SUM(F13:K13)</f>
        <v>3183486</v>
      </c>
      <c r="M13" s="185"/>
      <c r="N13" s="186"/>
      <c r="O13" s="184"/>
    </row>
    <row r="14" spans="1:18" ht="13.5">
      <c r="A14" s="174" t="s">
        <v>457</v>
      </c>
      <c r="B14" s="187" t="s">
        <v>461</v>
      </c>
      <c r="C14" s="188" t="s">
        <v>695</v>
      </c>
      <c r="D14" s="189" t="s">
        <v>462</v>
      </c>
      <c r="E14" s="177" t="s">
        <v>460</v>
      </c>
      <c r="F14" s="190"/>
      <c r="G14" s="191"/>
      <c r="H14" s="192">
        <v>185137</v>
      </c>
      <c r="I14" s="191">
        <v>139280</v>
      </c>
      <c r="J14" s="193">
        <v>154258</v>
      </c>
      <c r="K14" s="194"/>
      <c r="L14" s="195">
        <f>SUM(F14:K14)</f>
        <v>478675</v>
      </c>
      <c r="M14" s="185"/>
      <c r="N14" s="186"/>
      <c r="O14" s="195"/>
      <c r="R14" s="203"/>
    </row>
    <row r="15" spans="1:18" ht="14.25" thickBot="1">
      <c r="A15" s="174" t="s">
        <v>457</v>
      </c>
      <c r="B15" s="187" t="s">
        <v>463</v>
      </c>
      <c r="C15" s="196" t="s">
        <v>695</v>
      </c>
      <c r="D15" s="197" t="s">
        <v>464</v>
      </c>
      <c r="E15" s="177" t="s">
        <v>460</v>
      </c>
      <c r="F15" s="198"/>
      <c r="G15" s="199"/>
      <c r="H15" s="200"/>
      <c r="I15" s="200"/>
      <c r="J15" s="200"/>
      <c r="K15" s="201"/>
      <c r="L15" s="332"/>
      <c r="M15" s="185"/>
      <c r="N15" s="186"/>
      <c r="O15" s="202"/>
      <c r="R15" s="356"/>
    </row>
    <row r="16" spans="1:18" ht="14.25" thickBot="1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>
      <c r="A17" s="174" t="s">
        <v>465</v>
      </c>
      <c r="B17" s="174" t="s">
        <v>458</v>
      </c>
      <c r="C17" s="213" t="s">
        <v>696</v>
      </c>
      <c r="D17" s="214" t="s">
        <v>466</v>
      </c>
      <c r="E17" s="177" t="s">
        <v>460</v>
      </c>
      <c r="F17" s="215"/>
      <c r="G17" s="216"/>
      <c r="H17" s="217"/>
      <c r="I17" s="191"/>
      <c r="J17" s="193"/>
      <c r="K17" s="194"/>
      <c r="L17" s="195">
        <f>SUM(F17:K17)</f>
        <v>0</v>
      </c>
      <c r="M17" s="212"/>
      <c r="N17" s="186"/>
      <c r="O17" s="184"/>
    </row>
    <row r="18" spans="1:17" ht="13.5">
      <c r="A18" s="174" t="s">
        <v>467</v>
      </c>
      <c r="B18" s="174" t="s">
        <v>458</v>
      </c>
      <c r="C18" s="213" t="s">
        <v>697</v>
      </c>
      <c r="D18" s="214" t="s">
        <v>466</v>
      </c>
      <c r="E18" s="177" t="s">
        <v>468</v>
      </c>
      <c r="F18" s="215"/>
      <c r="G18" s="216"/>
      <c r="H18" s="221"/>
      <c r="I18" s="191"/>
      <c r="J18" s="193"/>
      <c r="K18" s="222"/>
      <c r="L18" s="220">
        <f>SUM(F18:K18)</f>
        <v>0</v>
      </c>
      <c r="M18" s="212"/>
      <c r="N18" s="186"/>
      <c r="O18" s="220"/>
    </row>
    <row r="19" spans="1:17" ht="13.5">
      <c r="A19" s="174" t="s">
        <v>469</v>
      </c>
      <c r="B19" s="174" t="s">
        <v>470</v>
      </c>
      <c r="C19" s="213" t="s">
        <v>471</v>
      </c>
      <c r="D19" s="214"/>
      <c r="E19" s="177" t="s">
        <v>472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>
        <v>0</v>
      </c>
      <c r="M20" s="212"/>
      <c r="N20" s="186"/>
      <c r="O20" s="220"/>
    </row>
    <row r="21" spans="1:17" ht="13.5">
      <c r="A21" s="174" t="s">
        <v>463</v>
      </c>
      <c r="B21" s="174"/>
      <c r="C21" s="213" t="s">
        <v>473</v>
      </c>
      <c r="D21" s="214"/>
      <c r="E21" s="177" t="s">
        <v>460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>
      <c r="A22" s="174" t="s">
        <v>474</v>
      </c>
      <c r="B22" s="174"/>
      <c r="C22" s="213" t="s">
        <v>475</v>
      </c>
      <c r="D22" s="214"/>
      <c r="E22" s="177" t="s">
        <v>460</v>
      </c>
      <c r="F22" s="215"/>
      <c r="G22" s="216"/>
      <c r="H22" s="191">
        <v>0</v>
      </c>
      <c r="I22" s="191">
        <v>0</v>
      </c>
      <c r="J22" s="193">
        <v>0</v>
      </c>
      <c r="K22" s="194"/>
      <c r="L22" s="195">
        <f>SUM(F22:K22)</f>
        <v>0</v>
      </c>
      <c r="M22" s="212"/>
      <c r="N22" s="186"/>
      <c r="O22" s="195"/>
    </row>
    <row r="23" spans="1:17" ht="13.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>
        <v>0</v>
      </c>
      <c r="M23" s="212"/>
      <c r="N23" s="186"/>
      <c r="O23" s="220"/>
    </row>
    <row r="24" spans="1:17" ht="13.5">
      <c r="A24" s="174" t="s">
        <v>476</v>
      </c>
      <c r="B24" s="187" t="s">
        <v>461</v>
      </c>
      <c r="C24" s="213" t="s">
        <v>477</v>
      </c>
      <c r="D24" s="214"/>
      <c r="E24" s="177" t="s">
        <v>468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>
      <c r="A25" s="174" t="s">
        <v>476</v>
      </c>
      <c r="B25" s="187" t="s">
        <v>463</v>
      </c>
      <c r="C25" s="213" t="s">
        <v>478</v>
      </c>
      <c r="D25" s="214"/>
      <c r="E25" s="177" t="s">
        <v>468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>
      <c r="A26" s="174" t="s">
        <v>469</v>
      </c>
      <c r="B26" s="174" t="s">
        <v>479</v>
      </c>
      <c r="C26" s="213" t="s">
        <v>480</v>
      </c>
      <c r="D26" s="214"/>
      <c r="E26" s="177" t="s">
        <v>472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>
      <c r="A28" s="174" t="s">
        <v>481</v>
      </c>
      <c r="B28" s="174" t="s">
        <v>482</v>
      </c>
      <c r="C28" s="426" t="s">
        <v>698</v>
      </c>
      <c r="D28" s="427" t="s">
        <v>459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1652240</v>
      </c>
      <c r="I28" s="233">
        <f t="shared" si="0"/>
        <v>553280</v>
      </c>
      <c r="J28" s="234">
        <f>+J13+J17</f>
        <v>977966</v>
      </c>
      <c r="K28" s="234">
        <f t="shared" si="0"/>
        <v>0</v>
      </c>
      <c r="L28" s="184">
        <f>SUM(F28:K28)</f>
        <v>3183486</v>
      </c>
      <c r="M28" s="185"/>
      <c r="N28" s="186"/>
      <c r="O28" s="184"/>
    </row>
    <row r="29" spans="1:17" ht="13.5">
      <c r="A29" s="174" t="s">
        <v>481</v>
      </c>
      <c r="B29" s="174" t="s">
        <v>483</v>
      </c>
      <c r="C29" s="428" t="s">
        <v>698</v>
      </c>
      <c r="D29" s="429" t="s">
        <v>462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185137</v>
      </c>
      <c r="I29" s="236">
        <f t="shared" si="1"/>
        <v>139280</v>
      </c>
      <c r="J29" s="237">
        <f>+J14+J22</f>
        <v>154258</v>
      </c>
      <c r="K29" s="237">
        <f t="shared" si="1"/>
        <v>0</v>
      </c>
      <c r="L29" s="195">
        <f>SUM(F29:K29)</f>
        <v>478675</v>
      </c>
      <c r="M29" s="185"/>
      <c r="N29" s="186"/>
      <c r="O29" s="195"/>
    </row>
    <row r="30" spans="1:17" ht="13.5" thickBot="1">
      <c r="A30" s="238" t="s">
        <v>481</v>
      </c>
      <c r="B30" s="174" t="s">
        <v>484</v>
      </c>
      <c r="C30" s="430" t="s">
        <v>698</v>
      </c>
      <c r="D30" s="431" t="s">
        <v>485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1467103</v>
      </c>
      <c r="I30" s="241">
        <f t="shared" si="2"/>
        <v>414000</v>
      </c>
      <c r="J30" s="242">
        <f t="shared" si="2"/>
        <v>823708</v>
      </c>
      <c r="K30" s="242">
        <f t="shared" si="2"/>
        <v>0</v>
      </c>
      <c r="L30" s="357">
        <f t="shared" si="2"/>
        <v>2704811</v>
      </c>
      <c r="M30" s="185"/>
      <c r="N30" s="186"/>
      <c r="O30" s="202"/>
      <c r="Q30" s="333"/>
    </row>
    <row r="31" spans="1:17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>
      <c r="G36" s="355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workbookViewId="0">
      <selection activeCell="D32" sqref="D32"/>
    </sheetView>
  </sheetViews>
  <sheetFormatPr defaultRowHeight="12.75"/>
  <cols>
    <col min="1" max="1" width="5.7109375" style="395" customWidth="1"/>
    <col min="2" max="2" width="34.42578125" style="395" customWidth="1"/>
    <col min="3" max="3" width="23.7109375" style="395" customWidth="1"/>
    <col min="4" max="4" width="14.5703125" style="395" customWidth="1"/>
    <col min="5" max="5" width="10.85546875" style="395" customWidth="1"/>
    <col min="6" max="6" width="22.7109375" style="396" customWidth="1"/>
    <col min="7" max="10" width="9.140625" style="395"/>
    <col min="11" max="11" width="17.85546875" style="395" customWidth="1"/>
    <col min="12" max="16384" width="9.140625" style="395"/>
  </cols>
  <sheetData>
    <row r="1" spans="1:6" ht="18">
      <c r="B1" s="253" t="s">
        <v>516</v>
      </c>
      <c r="C1" s="254" t="s">
        <v>584</v>
      </c>
    </row>
    <row r="2" spans="1:6" ht="15.75">
      <c r="B2"/>
      <c r="C2" s="255" t="s">
        <v>699</v>
      </c>
      <c r="D2"/>
    </row>
    <row r="3" spans="1:6">
      <c r="B3"/>
      <c r="C3"/>
    </row>
    <row r="4" spans="1:6">
      <c r="B4"/>
      <c r="C4"/>
      <c r="D4"/>
    </row>
    <row r="5" spans="1:6" ht="15.75">
      <c r="B5" s="25" t="s">
        <v>640</v>
      </c>
      <c r="C5"/>
      <c r="D5"/>
    </row>
    <row r="6" spans="1:6" ht="18">
      <c r="B6" s="256" t="s">
        <v>642</v>
      </c>
      <c r="C6"/>
      <c r="D6"/>
    </row>
    <row r="8" spans="1:6" ht="15">
      <c r="A8" s="397" t="s">
        <v>155</v>
      </c>
      <c r="B8" s="398" t="s">
        <v>550</v>
      </c>
      <c r="C8" s="399" t="s">
        <v>551</v>
      </c>
      <c r="D8" s="400" t="s">
        <v>517</v>
      </c>
      <c r="E8" s="398" t="s">
        <v>552</v>
      </c>
      <c r="F8" s="401" t="s">
        <v>553</v>
      </c>
    </row>
    <row r="9" spans="1:6" ht="15">
      <c r="A9" s="402"/>
      <c r="B9" s="403"/>
      <c r="C9" s="404"/>
      <c r="D9" s="404"/>
      <c r="E9" s="404"/>
      <c r="F9" s="404"/>
    </row>
    <row r="10" spans="1:6" ht="15">
      <c r="A10" s="402"/>
      <c r="B10" s="403"/>
      <c r="C10" s="404"/>
      <c r="D10" s="404"/>
      <c r="E10" s="404"/>
      <c r="F10" s="404"/>
    </row>
    <row r="11" spans="1:6" ht="15">
      <c r="A11" s="402"/>
      <c r="B11" s="403"/>
      <c r="C11" s="404"/>
      <c r="D11" s="404"/>
      <c r="E11" s="405"/>
      <c r="F11" s="404"/>
    </row>
    <row r="12" spans="1:6" ht="15">
      <c r="A12" s="402"/>
      <c r="B12" s="406"/>
      <c r="C12" s="404"/>
      <c r="D12" s="404"/>
      <c r="E12" s="405"/>
      <c r="F12" s="404"/>
    </row>
    <row r="13" spans="1:6" ht="15">
      <c r="A13" s="402"/>
      <c r="B13" s="403"/>
      <c r="C13" s="404"/>
      <c r="D13" s="404"/>
      <c r="E13" s="405"/>
      <c r="F13" s="404"/>
    </row>
    <row r="14" spans="1:6" ht="15">
      <c r="A14" s="402"/>
      <c r="B14" s="403"/>
      <c r="C14" s="404"/>
      <c r="D14" s="404"/>
      <c r="E14" s="405"/>
      <c r="F14" s="404"/>
    </row>
    <row r="15" spans="1:6" ht="15">
      <c r="A15" s="402"/>
      <c r="B15" s="403"/>
      <c r="C15" s="404"/>
      <c r="D15" s="404"/>
      <c r="E15" s="405"/>
      <c r="F15" s="404"/>
    </row>
    <row r="16" spans="1:6" ht="15">
      <c r="A16" s="402"/>
      <c r="B16" s="403"/>
      <c r="C16" s="404"/>
      <c r="D16" s="404"/>
      <c r="E16" s="405"/>
      <c r="F16" s="404"/>
    </row>
    <row r="17" spans="1:7" ht="15">
      <c r="A17" s="402"/>
      <c r="B17" s="403"/>
      <c r="C17" s="404"/>
      <c r="D17" s="404"/>
      <c r="E17" s="405"/>
      <c r="F17" s="404"/>
    </row>
    <row r="18" spans="1:7" ht="15.75" thickBot="1">
      <c r="A18" s="402"/>
      <c r="B18" s="406"/>
      <c r="C18" s="404"/>
      <c r="D18" s="404"/>
      <c r="E18" s="405"/>
      <c r="F18" s="404"/>
    </row>
    <row r="19" spans="1:7" ht="17.25" customHeight="1" thickBot="1">
      <c r="A19" s="407"/>
      <c r="B19" s="408"/>
      <c r="C19" s="408"/>
      <c r="D19" s="568" t="s">
        <v>554</v>
      </c>
      <c r="E19" s="568"/>
      <c r="F19" s="409">
        <f>SUM(F9:F18)</f>
        <v>0</v>
      </c>
    </row>
    <row r="21" spans="1:7" ht="20.25">
      <c r="B21"/>
      <c r="C21"/>
      <c r="D21"/>
      <c r="E21" s="258" t="s">
        <v>518</v>
      </c>
      <c r="F21" s="395"/>
      <c r="G21"/>
    </row>
    <row r="22" spans="1:7">
      <c r="B22"/>
      <c r="C22"/>
      <c r="D22"/>
      <c r="E22"/>
      <c r="F22"/>
      <c r="G22"/>
    </row>
    <row r="23" spans="1:7">
      <c r="B23"/>
      <c r="C23"/>
      <c r="D23"/>
      <c r="E23"/>
      <c r="F23"/>
      <c r="G23"/>
    </row>
    <row r="24" spans="1:7">
      <c r="B24" s="259" t="s">
        <v>519</v>
      </c>
      <c r="C24"/>
      <c r="D24"/>
      <c r="E24"/>
      <c r="F24"/>
      <c r="G24"/>
    </row>
    <row r="25" spans="1:7">
      <c r="B25" s="259" t="s">
        <v>520</v>
      </c>
      <c r="C25"/>
      <c r="D25"/>
      <c r="E25"/>
      <c r="F25"/>
      <c r="G25"/>
    </row>
    <row r="32" spans="1:7">
      <c r="C32" s="395">
        <v>7</v>
      </c>
    </row>
  </sheetData>
  <mergeCells count="1">
    <mergeCell ref="D19:E19"/>
  </mergeCells>
  <phoneticPr fontId="3" type="noConversion"/>
  <pageMargins left="0.75" right="0.75" top="1" bottom="1" header="0.5" footer="0.5"/>
  <pageSetup paperSize="9" scale="7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workbookViewId="0">
      <selection activeCell="D32" sqref="D32"/>
    </sheetView>
  </sheetViews>
  <sheetFormatPr defaultRowHeight="12.75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  <col min="11" max="11" width="17.85546875" customWidth="1"/>
  </cols>
  <sheetData>
    <row r="1" spans="1:6" ht="15.75">
      <c r="B1" s="25" t="s">
        <v>640</v>
      </c>
    </row>
    <row r="2" spans="1:6" ht="18">
      <c r="B2" s="256" t="s">
        <v>642</v>
      </c>
    </row>
    <row r="3" spans="1:6" ht="15">
      <c r="B3" s="256"/>
    </row>
    <row r="4" spans="1:6" ht="18">
      <c r="B4" s="336" t="s">
        <v>534</v>
      </c>
      <c r="E4" s="255" t="s">
        <v>699</v>
      </c>
    </row>
    <row r="6" spans="1:6" ht="15">
      <c r="A6" s="337" t="s">
        <v>155</v>
      </c>
      <c r="B6" s="338"/>
      <c r="C6" s="338"/>
      <c r="D6" s="338"/>
      <c r="E6" s="338"/>
      <c r="F6" s="256"/>
    </row>
    <row r="7" spans="1:6" ht="15">
      <c r="A7" s="339" t="s">
        <v>535</v>
      </c>
      <c r="B7" s="339" t="s">
        <v>536</v>
      </c>
      <c r="C7" s="339" t="s">
        <v>537</v>
      </c>
      <c r="D7" s="339" t="s">
        <v>538</v>
      </c>
      <c r="E7" s="339" t="s">
        <v>539</v>
      </c>
      <c r="F7" s="340"/>
    </row>
    <row r="8" spans="1:6" ht="15.95" customHeight="1">
      <c r="A8" s="341"/>
      <c r="B8" s="474"/>
      <c r="C8" s="474"/>
      <c r="D8" s="474"/>
      <c r="E8" s="415"/>
    </row>
    <row r="9" spans="1:6" ht="15.95" customHeight="1">
      <c r="A9" s="342"/>
      <c r="B9" s="343"/>
      <c r="C9" s="343"/>
      <c r="D9" s="343"/>
      <c r="E9" s="347"/>
    </row>
    <row r="10" spans="1:6" ht="15.95" customHeight="1">
      <c r="A10" s="342"/>
      <c r="B10" s="343"/>
      <c r="C10" s="343"/>
      <c r="D10" s="343"/>
      <c r="E10" s="347"/>
    </row>
    <row r="11" spans="1:6" ht="15.95" customHeight="1">
      <c r="A11" s="342"/>
      <c r="B11" s="343"/>
      <c r="C11" s="343"/>
      <c r="D11" s="343"/>
      <c r="E11" s="347"/>
    </row>
    <row r="12" spans="1:6" ht="15.95" customHeight="1">
      <c r="A12" s="342"/>
      <c r="B12" s="343"/>
      <c r="C12" s="343"/>
      <c r="D12" s="343"/>
      <c r="E12" s="347"/>
    </row>
    <row r="13" spans="1:6" ht="15.95" customHeight="1">
      <c r="A13" s="342"/>
      <c r="B13" s="343"/>
      <c r="C13" s="343"/>
      <c r="D13" s="343"/>
      <c r="E13" s="347"/>
    </row>
    <row r="14" spans="1:6" ht="15.95" customHeight="1">
      <c r="A14" s="342"/>
      <c r="B14" s="343"/>
      <c r="C14" s="343"/>
      <c r="D14" s="343"/>
      <c r="E14" s="347"/>
    </row>
    <row r="15" spans="1:6" ht="15.95" customHeight="1">
      <c r="A15" s="342"/>
      <c r="B15" s="343"/>
      <c r="C15" s="343"/>
      <c r="D15" s="343"/>
      <c r="E15" s="347"/>
    </row>
    <row r="16" spans="1:6" ht="15.95" customHeight="1">
      <c r="A16" s="342"/>
      <c r="B16" s="343"/>
      <c r="C16" s="343"/>
      <c r="D16" s="343"/>
      <c r="E16" s="347"/>
    </row>
    <row r="17" spans="1:5" ht="15.95" customHeight="1">
      <c r="A17" s="342"/>
      <c r="B17" s="343"/>
      <c r="C17" s="343"/>
      <c r="D17" s="343"/>
      <c r="E17" s="347"/>
    </row>
    <row r="18" spans="1:5" ht="15.95" customHeight="1">
      <c r="A18" s="342"/>
      <c r="B18" s="343"/>
      <c r="C18" s="343"/>
      <c r="D18" s="343"/>
      <c r="E18" s="347"/>
    </row>
    <row r="19" spans="1:5" ht="15.95" customHeight="1">
      <c r="A19" s="342"/>
      <c r="B19" s="343"/>
      <c r="C19" s="343"/>
      <c r="D19" s="343"/>
      <c r="E19" s="347"/>
    </row>
    <row r="20" spans="1:5" ht="15.95" customHeight="1">
      <c r="A20" s="342"/>
      <c r="B20" s="343"/>
      <c r="C20" s="343"/>
      <c r="D20" s="343"/>
      <c r="E20" s="347"/>
    </row>
    <row r="21" spans="1:5" ht="15.95" customHeight="1">
      <c r="A21" s="342"/>
      <c r="B21" s="343"/>
      <c r="C21" s="343"/>
      <c r="D21" s="343"/>
      <c r="E21" s="347"/>
    </row>
    <row r="22" spans="1:5" ht="15.95" customHeight="1">
      <c r="A22" s="342"/>
      <c r="B22" s="343"/>
      <c r="C22" s="343"/>
      <c r="D22" s="343"/>
      <c r="E22" s="347"/>
    </row>
    <row r="23" spans="1:5" ht="15.95" customHeight="1">
      <c r="A23" s="342"/>
      <c r="B23" s="343"/>
      <c r="C23" s="343"/>
      <c r="D23" s="343"/>
      <c r="E23" s="347"/>
    </row>
    <row r="24" spans="1:5" ht="15.95" customHeight="1" thickBot="1">
      <c r="A24" s="345"/>
      <c r="B24" s="346"/>
      <c r="C24" s="346"/>
      <c r="D24" s="346"/>
      <c r="E24" s="348"/>
    </row>
    <row r="25" spans="1:5" ht="15.95" customHeight="1" thickBot="1">
      <c r="A25" s="349"/>
      <c r="B25" s="350"/>
      <c r="C25" s="350"/>
      <c r="D25" s="350"/>
      <c r="E25" s="351">
        <f>SUM(E8:E24)</f>
        <v>0</v>
      </c>
    </row>
    <row r="27" spans="1:5" ht="15.75">
      <c r="B27" s="334" t="s">
        <v>540</v>
      </c>
      <c r="C27" s="256"/>
      <c r="D27" s="256"/>
    </row>
    <row r="29" spans="1:5" ht="15">
      <c r="B29" s="344"/>
      <c r="C29" s="256"/>
    </row>
    <row r="34" spans="3:3">
      <c r="C34" s="285">
        <v>8</v>
      </c>
    </row>
  </sheetData>
  <phoneticPr fontId="3" type="noConversion"/>
  <pageMargins left="0.75" right="0.75" top="1" bottom="1" header="0.5" footer="0.5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opLeftCell="A28" workbookViewId="0">
      <selection activeCell="D32" sqref="D32"/>
    </sheetView>
  </sheetViews>
  <sheetFormatPr defaultRowHeight="12.75"/>
  <cols>
    <col min="1" max="1" width="4.7109375" customWidth="1"/>
    <col min="2" max="2" width="3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6.5">
      <c r="A1" s="514" t="s">
        <v>643</v>
      </c>
      <c r="B1" s="77"/>
      <c r="C1" s="77"/>
      <c r="D1" s="77"/>
      <c r="E1" s="77"/>
      <c r="F1" s="77"/>
    </row>
    <row r="2" spans="1:6" ht="16.5">
      <c r="A2" s="569" t="s">
        <v>644</v>
      </c>
      <c r="B2" s="569"/>
      <c r="C2" s="569"/>
      <c r="D2" s="569"/>
      <c r="E2" s="569"/>
      <c r="F2" s="569"/>
    </row>
    <row r="3" spans="1:6" ht="16.5">
      <c r="A3" s="77"/>
      <c r="B3" s="77"/>
      <c r="C3" s="77"/>
      <c r="D3" s="77"/>
      <c r="E3" s="77"/>
      <c r="F3" s="77"/>
    </row>
    <row r="4" spans="1:6">
      <c r="A4" s="570" t="s">
        <v>703</v>
      </c>
      <c r="B4" s="570"/>
      <c r="C4" s="570"/>
      <c r="D4" s="570"/>
      <c r="E4" s="570"/>
      <c r="F4" s="570"/>
    </row>
    <row r="6" spans="1:6">
      <c r="A6" s="571" t="s">
        <v>645</v>
      </c>
      <c r="B6" s="572" t="s">
        <v>521</v>
      </c>
      <c r="C6" s="573" t="s">
        <v>646</v>
      </c>
      <c r="D6" s="573"/>
      <c r="E6" s="573"/>
      <c r="F6" s="573"/>
    </row>
    <row r="7" spans="1:6">
      <c r="A7" s="571"/>
      <c r="B7" s="572"/>
      <c r="C7" s="573"/>
      <c r="D7" s="573"/>
      <c r="E7" s="573"/>
      <c r="F7" s="573"/>
    </row>
    <row r="8" spans="1:6">
      <c r="A8" s="571"/>
      <c r="B8" s="572"/>
      <c r="C8" s="515" t="s">
        <v>552</v>
      </c>
      <c r="D8" s="515" t="s">
        <v>517</v>
      </c>
      <c r="E8" s="515" t="s">
        <v>647</v>
      </c>
      <c r="F8" s="515" t="s">
        <v>648</v>
      </c>
    </row>
    <row r="9" spans="1:6">
      <c r="A9" s="516" t="s">
        <v>133</v>
      </c>
      <c r="B9" s="517" t="s">
        <v>649</v>
      </c>
      <c r="C9" s="518"/>
      <c r="D9" s="519"/>
      <c r="E9" s="520"/>
      <c r="F9" s="521"/>
    </row>
    <row r="10" spans="1:6">
      <c r="A10" s="518">
        <v>1</v>
      </c>
      <c r="B10" s="522" t="s">
        <v>650</v>
      </c>
      <c r="C10" s="518" t="s">
        <v>585</v>
      </c>
      <c r="D10" s="519">
        <v>3</v>
      </c>
      <c r="E10" s="520"/>
      <c r="F10" s="520">
        <v>319500</v>
      </c>
    </row>
    <row r="11" spans="1:6">
      <c r="A11" s="518">
        <v>2</v>
      </c>
      <c r="B11" s="522" t="s">
        <v>651</v>
      </c>
      <c r="C11" s="518" t="s">
        <v>585</v>
      </c>
      <c r="D11" s="519">
        <v>6</v>
      </c>
      <c r="E11" s="520">
        <v>38963.333333333299</v>
      </c>
      <c r="F11" s="520">
        <f>+D11*E11</f>
        <v>233779.9999999998</v>
      </c>
    </row>
    <row r="12" spans="1:6">
      <c r="A12" s="523"/>
      <c r="B12" s="524" t="s">
        <v>652</v>
      </c>
      <c r="C12" s="523"/>
      <c r="D12" s="525"/>
      <c r="E12" s="526"/>
      <c r="F12" s="527">
        <f>SUM(F10:F11)</f>
        <v>553279.99999999977</v>
      </c>
    </row>
    <row r="13" spans="1:6">
      <c r="A13" s="516" t="s">
        <v>134</v>
      </c>
      <c r="B13" s="517" t="s">
        <v>653</v>
      </c>
      <c r="C13" s="518"/>
      <c r="D13" s="519"/>
      <c r="E13" s="520"/>
      <c r="F13" s="521"/>
    </row>
    <row r="14" spans="1:6">
      <c r="A14" s="518">
        <v>1</v>
      </c>
      <c r="B14" s="522" t="s">
        <v>654</v>
      </c>
      <c r="C14" s="518" t="s">
        <v>585</v>
      </c>
      <c r="D14" s="519">
        <v>4</v>
      </c>
      <c r="E14" s="520"/>
      <c r="F14" s="520">
        <v>224433</v>
      </c>
    </row>
    <row r="15" spans="1:6">
      <c r="A15" s="518">
        <v>2</v>
      </c>
      <c r="B15" s="522" t="s">
        <v>655</v>
      </c>
      <c r="C15" s="518" t="s">
        <v>585</v>
      </c>
      <c r="D15" s="519">
        <v>1</v>
      </c>
      <c r="E15" s="520">
        <v>186500</v>
      </c>
      <c r="F15" s="520">
        <f>+E15*D15</f>
        <v>186500</v>
      </c>
    </row>
    <row r="16" spans="1:6">
      <c r="A16" s="518">
        <v>3</v>
      </c>
      <c r="B16" s="522" t="s">
        <v>656</v>
      </c>
      <c r="C16" s="518" t="s">
        <v>585</v>
      </c>
      <c r="D16" s="519">
        <v>1</v>
      </c>
      <c r="E16" s="520">
        <v>291806.7</v>
      </c>
      <c r="F16" s="520">
        <f>+E16*D16</f>
        <v>291806.7</v>
      </c>
    </row>
    <row r="17" spans="1:6">
      <c r="A17" s="518">
        <v>4</v>
      </c>
      <c r="B17" s="522" t="s">
        <v>657</v>
      </c>
      <c r="C17" s="518" t="s">
        <v>585</v>
      </c>
      <c r="D17" s="519">
        <v>1</v>
      </c>
      <c r="E17" s="520">
        <v>80000</v>
      </c>
      <c r="F17" s="520">
        <f>+E17*D17</f>
        <v>80000</v>
      </c>
    </row>
    <row r="18" spans="1:6">
      <c r="A18" s="518">
        <v>5</v>
      </c>
      <c r="B18" s="522" t="s">
        <v>658</v>
      </c>
      <c r="C18" s="518" t="s">
        <v>585</v>
      </c>
      <c r="D18" s="519">
        <v>1</v>
      </c>
      <c r="E18" s="520">
        <v>35000</v>
      </c>
      <c r="F18" s="520">
        <f>+E18*D18</f>
        <v>35000</v>
      </c>
    </row>
    <row r="19" spans="1:6">
      <c r="A19" s="518">
        <v>6</v>
      </c>
      <c r="B19" s="522" t="s">
        <v>659</v>
      </c>
      <c r="C19" s="518" t="s">
        <v>585</v>
      </c>
      <c r="D19" s="519">
        <v>1</v>
      </c>
      <c r="E19" s="520">
        <v>12000</v>
      </c>
      <c r="F19" s="520">
        <f>+E19*D19</f>
        <v>12000</v>
      </c>
    </row>
    <row r="20" spans="1:6">
      <c r="A20" s="518">
        <v>7</v>
      </c>
      <c r="B20" s="528" t="s">
        <v>660</v>
      </c>
      <c r="C20" s="529" t="s">
        <v>585</v>
      </c>
      <c r="D20" s="530">
        <v>1</v>
      </c>
      <c r="E20" s="531">
        <v>750000</v>
      </c>
      <c r="F20" s="531">
        <f>+D20*E20</f>
        <v>750000</v>
      </c>
    </row>
    <row r="21" spans="1:6">
      <c r="A21" s="518">
        <v>8</v>
      </c>
      <c r="B21" s="528" t="s">
        <v>661</v>
      </c>
      <c r="C21" s="529" t="s">
        <v>585</v>
      </c>
      <c r="D21" s="531">
        <v>1</v>
      </c>
      <c r="E21" s="531">
        <v>72500</v>
      </c>
      <c r="F21" s="531">
        <f>+D21*E21</f>
        <v>72500</v>
      </c>
    </row>
    <row r="22" spans="1:6">
      <c r="A22" s="523"/>
      <c r="B22" s="524" t="s">
        <v>662</v>
      </c>
      <c r="C22" s="523"/>
      <c r="D22" s="525"/>
      <c r="E22" s="526"/>
      <c r="F22" s="527">
        <f>SUM(F14:F21)</f>
        <v>1652239.7</v>
      </c>
    </row>
    <row r="23" spans="1:6">
      <c r="A23" s="516" t="s">
        <v>144</v>
      </c>
      <c r="B23" s="517" t="s">
        <v>107</v>
      </c>
      <c r="C23" s="516"/>
      <c r="D23" s="532"/>
      <c r="E23" s="521"/>
      <c r="F23" s="521"/>
    </row>
    <row r="24" spans="1:6">
      <c r="A24" s="518">
        <v>1</v>
      </c>
      <c r="B24" s="522" t="s">
        <v>663</v>
      </c>
      <c r="C24" s="529" t="s">
        <v>585</v>
      </c>
      <c r="D24" s="533">
        <v>2</v>
      </c>
      <c r="E24" s="520">
        <v>488983</v>
      </c>
      <c r="F24" s="520">
        <f>+D24*E24</f>
        <v>977966</v>
      </c>
    </row>
    <row r="25" spans="1:6">
      <c r="A25" s="523"/>
      <c r="B25" s="524" t="s">
        <v>664</v>
      </c>
      <c r="C25" s="523"/>
      <c r="D25" s="525"/>
      <c r="E25" s="526"/>
      <c r="F25" s="527">
        <f>SUM(F24)</f>
        <v>977966</v>
      </c>
    </row>
    <row r="26" spans="1:6">
      <c r="A26" s="257"/>
      <c r="B26" s="257"/>
      <c r="C26" s="257"/>
      <c r="D26" s="257"/>
      <c r="E26" s="530"/>
      <c r="F26" s="257"/>
    </row>
    <row r="27" spans="1:6" ht="16.5">
      <c r="A27" s="534"/>
      <c r="B27" s="535" t="s">
        <v>665</v>
      </c>
      <c r="C27" s="534"/>
      <c r="D27" s="536"/>
      <c r="E27" s="536"/>
      <c r="F27" s="537">
        <f>+F12+F22+F25</f>
        <v>3183485.6999999997</v>
      </c>
    </row>
    <row r="32" spans="1:6">
      <c r="B32" s="260" t="s">
        <v>527</v>
      </c>
    </row>
    <row r="33" spans="2:4">
      <c r="B33" s="260" t="s">
        <v>666</v>
      </c>
    </row>
    <row r="35" spans="2:4">
      <c r="D35" s="260">
        <v>9</v>
      </c>
    </row>
  </sheetData>
  <mergeCells count="5">
    <mergeCell ref="A2:F2"/>
    <mergeCell ref="A4:F4"/>
    <mergeCell ref="A6:A8"/>
    <mergeCell ref="B6:B8"/>
    <mergeCell ref="C6:F7"/>
  </mergeCells>
  <phoneticPr fontId="3" type="noConversion"/>
  <pageMargins left="0.55000000000000004" right="0.38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 mater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edroboniku</cp:lastModifiedBy>
  <cp:lastPrinted>2019-07-29T12:44:36Z</cp:lastPrinted>
  <dcterms:created xsi:type="dcterms:W3CDTF">2008-12-17T10:29:05Z</dcterms:created>
  <dcterms:modified xsi:type="dcterms:W3CDTF">2019-07-29T12:44:46Z</dcterms:modified>
</cp:coreProperties>
</file>