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1600" windowHeight="9735" tabRatio="823" activeTab="2"/>
  </bookViews>
  <sheets>
    <sheet name="Kop." sheetId="1" r:id="rId1"/>
    <sheet name="Aktivet" sheetId="4" r:id="rId2"/>
    <sheet name="Pasivet" sheetId="14" r:id="rId3"/>
    <sheet name="PASH" sheetId="15" r:id="rId4"/>
    <sheet name="Fluksi " sheetId="18" r:id="rId5"/>
    <sheet name="Kapitali" sheetId="25" r:id="rId6"/>
    <sheet name="Shenimet Spjeguse" sheetId="29" r:id="rId7"/>
    <sheet name="aam" sheetId="30" r:id="rId8"/>
    <sheet name="Sheet2" sheetId="33" r:id="rId9"/>
    <sheet name="Sheet1" sheetId="32" r:id="rId10"/>
    <sheet name="INV AAM" sheetId="31" r:id="rId11"/>
  </sheets>
  <externalReferences>
    <externalReference r:id="rId12"/>
    <externalReference r:id="rId13"/>
  </externalReferences>
  <definedNames>
    <definedName name="_Key1" hidden="1">[1]PRODUKTE!#REF!</definedName>
    <definedName name="_Key2" hidden="1">[1]PRODUKTE!#REF!</definedName>
    <definedName name="_Order1" hidden="1">255</definedName>
    <definedName name="_Order2" hidden="1">255</definedName>
    <definedName name="_xlnm.Print_Area" localSheetId="7">aam!$A$1:$G$50</definedName>
    <definedName name="_xlnm.Print_Area" localSheetId="1">Aktivet!$A$1:$G$56</definedName>
    <definedName name="_xlnm.Print_Area" localSheetId="4">'Fluksi '!$A$2:$E$45</definedName>
    <definedName name="_xlnm.Print_Area" localSheetId="10">'INV AAM'!#REF!</definedName>
    <definedName name="_xlnm.Print_Area" localSheetId="5">Kapitali!$A$1:$M$27</definedName>
    <definedName name="_xlnm.Print_Area" localSheetId="0">Kop.!$A$2:$J$53</definedName>
    <definedName name="_xlnm.Print_Area" localSheetId="3">PASH!$B$2:$H$61</definedName>
    <definedName name="_xlnm.Print_Area" localSheetId="2">Pasivet!$B$3:$H$51</definedName>
    <definedName name="_xlnm.Print_Area" localSheetId="6">'Shenimet Spjeguse'!#REF!</definedName>
  </definedNames>
  <calcPr calcId="152511"/>
</workbook>
</file>

<file path=xl/calcChain.xml><?xml version="1.0" encoding="utf-8"?>
<calcChain xmlns="http://schemas.openxmlformats.org/spreadsheetml/2006/main">
  <c r="K27" i="4" l="1"/>
  <c r="K21" i="4"/>
  <c r="F24" i="4"/>
  <c r="E26" i="30"/>
  <c r="E25" i="30"/>
  <c r="L16" i="15"/>
  <c r="L13" i="15"/>
  <c r="M7" i="15"/>
  <c r="L7" i="15"/>
  <c r="D11" i="18"/>
  <c r="G11" i="18" l="1"/>
  <c r="J290" i="29"/>
  <c r="D306" i="29" l="1"/>
  <c r="M270" i="29"/>
  <c r="G270" i="29"/>
  <c r="F270" i="29"/>
  <c r="F273" i="29" s="1"/>
  <c r="K269" i="29"/>
  <c r="J269" i="29"/>
  <c r="I269" i="29"/>
  <c r="H269" i="29"/>
  <c r="K268" i="29"/>
  <c r="J268" i="29"/>
  <c r="I268" i="29"/>
  <c r="H268" i="29"/>
  <c r="K267" i="29"/>
  <c r="J267" i="29"/>
  <c r="I267" i="29"/>
  <c r="H267" i="29"/>
  <c r="K266" i="29"/>
  <c r="J266" i="29"/>
  <c r="I266" i="29"/>
  <c r="H266" i="29"/>
  <c r="K265" i="29"/>
  <c r="J265" i="29"/>
  <c r="I265" i="29"/>
  <c r="H265" i="29"/>
  <c r="K264" i="29"/>
  <c r="J264" i="29"/>
  <c r="I264" i="29"/>
  <c r="H264" i="29"/>
  <c r="K263" i="29"/>
  <c r="J263" i="29"/>
  <c r="I263" i="29"/>
  <c r="H263" i="29"/>
  <c r="K262" i="29"/>
  <c r="J262" i="29"/>
  <c r="I262" i="29"/>
  <c r="H262" i="29"/>
  <c r="K261" i="29"/>
  <c r="J261" i="29"/>
  <c r="I261" i="29"/>
  <c r="H261" i="29"/>
  <c r="K260" i="29"/>
  <c r="J260" i="29"/>
  <c r="I260" i="29"/>
  <c r="H260" i="29"/>
  <c r="K259" i="29"/>
  <c r="J259" i="29"/>
  <c r="I259" i="29"/>
  <c r="H259" i="29"/>
  <c r="K258" i="29"/>
  <c r="J258" i="29"/>
  <c r="I258" i="29"/>
  <c r="H258" i="29"/>
  <c r="F249" i="29"/>
  <c r="F248" i="29"/>
  <c r="G236" i="29"/>
  <c r="H236" i="29"/>
  <c r="I236" i="29"/>
  <c r="J236" i="29"/>
  <c r="K236" i="29"/>
  <c r="F236" i="29"/>
  <c r="F218" i="29"/>
  <c r="F219" i="29" s="1"/>
  <c r="F220" i="29" s="1"/>
  <c r="H198" i="29"/>
  <c r="J197" i="29" s="1"/>
  <c r="J154" i="29"/>
  <c r="J148" i="29" s="1"/>
  <c r="J156" i="29"/>
  <c r="J189" i="29"/>
  <c r="J191" i="29"/>
  <c r="J173" i="29"/>
  <c r="J170" i="29"/>
  <c r="J169" i="29"/>
  <c r="J126" i="29"/>
  <c r="J125" i="29" s="1"/>
  <c r="J111" i="29"/>
  <c r="J109" i="29"/>
  <c r="J104" i="29"/>
  <c r="J101" i="29"/>
  <c r="H80" i="29"/>
  <c r="J80" i="29" s="1"/>
  <c r="H81" i="29"/>
  <c r="J81" i="29" s="1"/>
  <c r="H82" i="29"/>
  <c r="J82" i="29" s="1"/>
  <c r="H83" i="29"/>
  <c r="J83" i="29" s="1"/>
  <c r="I84" i="29"/>
  <c r="J88" i="29" s="1"/>
  <c r="E84" i="29"/>
  <c r="H79" i="29"/>
  <c r="J79" i="29" s="1"/>
  <c r="G78" i="29"/>
  <c r="F78" i="29"/>
  <c r="F84" i="29" s="1"/>
  <c r="J86" i="29" s="1"/>
  <c r="J74" i="29"/>
  <c r="J72" i="29"/>
  <c r="I54" i="29"/>
  <c r="J53" i="29" s="1"/>
  <c r="I48" i="29"/>
  <c r="I47" i="29"/>
  <c r="J46" i="29"/>
  <c r="K19" i="29"/>
  <c r="K18" i="29"/>
  <c r="K17" i="29"/>
  <c r="J13" i="29"/>
  <c r="K13" i="29" s="1"/>
  <c r="K12" i="29"/>
  <c r="K14" i="29"/>
  <c r="K15" i="29"/>
  <c r="K16" i="29"/>
  <c r="I24" i="29"/>
  <c r="K24" i="29" s="1"/>
  <c r="K26" i="29" s="1"/>
  <c r="J283" i="29"/>
  <c r="E177" i="29"/>
  <c r="E178" i="29" s="1"/>
  <c r="E179" i="29" s="1"/>
  <c r="E180" i="29" s="1"/>
  <c r="E181" i="29" s="1"/>
  <c r="E182" i="29" s="1"/>
  <c r="E183" i="29" s="1"/>
  <c r="J139" i="29"/>
  <c r="J96" i="29"/>
  <c r="J95" i="29"/>
  <c r="J94" i="29"/>
  <c r="F250" i="29" l="1"/>
  <c r="K270" i="29"/>
  <c r="H270" i="29"/>
  <c r="L259" i="29"/>
  <c r="L260" i="29"/>
  <c r="L261" i="29"/>
  <c r="L262" i="29"/>
  <c r="L263" i="29"/>
  <c r="L264" i="29"/>
  <c r="L265" i="29"/>
  <c r="L266" i="29"/>
  <c r="L267" i="29"/>
  <c r="L268" i="29"/>
  <c r="I270" i="29"/>
  <c r="L269" i="29"/>
  <c r="J270" i="29"/>
  <c r="L258" i="29"/>
  <c r="H237" i="29"/>
  <c r="H242" i="29" s="1"/>
  <c r="H252" i="29" s="1"/>
  <c r="H78" i="29"/>
  <c r="J78" i="29" s="1"/>
  <c r="J84" i="29" s="1"/>
  <c r="J188" i="29"/>
  <c r="J168" i="29"/>
  <c r="H84" i="29"/>
  <c r="G84" i="29"/>
  <c r="J108" i="29"/>
  <c r="I49" i="29"/>
  <c r="J175" i="29"/>
  <c r="F221" i="29"/>
  <c r="L270" i="29" l="1"/>
  <c r="J155" i="29"/>
  <c r="J194" i="29" s="1"/>
  <c r="J196" i="29" s="1"/>
  <c r="J200" i="29" s="1"/>
  <c r="J201" i="29" s="1"/>
  <c r="F275" i="29"/>
  <c r="G40" i="15"/>
  <c r="F277" i="29" l="1"/>
  <c r="F279" i="29" s="1"/>
  <c r="J59" i="29" l="1"/>
  <c r="F33" i="4"/>
  <c r="F47" i="4"/>
  <c r="G39" i="15" l="1"/>
  <c r="J57" i="29"/>
  <c r="G12" i="30"/>
  <c r="G13" i="30"/>
  <c r="G14" i="30"/>
  <c r="G15" i="30"/>
  <c r="G16" i="30"/>
  <c r="G44" i="30" s="1"/>
  <c r="F17" i="30"/>
  <c r="D40" i="30"/>
  <c r="D41" i="30"/>
  <c r="D42" i="30"/>
  <c r="D43" i="30"/>
  <c r="D44" i="30"/>
  <c r="A38" i="30"/>
  <c r="A39" i="30" s="1"/>
  <c r="A40" i="30" s="1"/>
  <c r="A41" i="30" s="1"/>
  <c r="A42" i="30" s="1"/>
  <c r="A43" i="30" s="1"/>
  <c r="A44" i="30" s="1"/>
  <c r="G28" i="30"/>
  <c r="G42" i="30" s="1"/>
  <c r="G29" i="30"/>
  <c r="G30" i="30"/>
  <c r="A24" i="30"/>
  <c r="A25" i="30" s="1"/>
  <c r="A26" i="30" s="1"/>
  <c r="A27" i="30" s="1"/>
  <c r="A28" i="30" s="1"/>
  <c r="A29" i="30" s="1"/>
  <c r="A30" i="30" s="1"/>
  <c r="E31" i="30"/>
  <c r="F31" i="30"/>
  <c r="D17" i="30"/>
  <c r="A10" i="30"/>
  <c r="A11" i="30" s="1"/>
  <c r="A12" i="30" s="1"/>
  <c r="A13" i="30" s="1"/>
  <c r="A14" i="30" s="1"/>
  <c r="A15" i="30" s="1"/>
  <c r="A16" i="30" s="1"/>
  <c r="J58" i="29"/>
  <c r="E11" i="30"/>
  <c r="E17" i="30" s="1"/>
  <c r="D38" i="30"/>
  <c r="D39" i="30"/>
  <c r="D37" i="30"/>
  <c r="D45" i="30" s="1"/>
  <c r="G43" i="30" l="1"/>
  <c r="G11" i="30"/>
  <c r="F21" i="4"/>
  <c r="D23" i="18"/>
  <c r="G25" i="30"/>
  <c r="F43" i="30"/>
  <c r="F42" i="30"/>
  <c r="E42" i="30"/>
  <c r="F41" i="30"/>
  <c r="E41" i="30"/>
  <c r="F40" i="30"/>
  <c r="E40" i="30"/>
  <c r="F39" i="30"/>
  <c r="F38" i="30"/>
  <c r="E38" i="30"/>
  <c r="F37" i="30"/>
  <c r="E37" i="30"/>
  <c r="G27" i="30"/>
  <c r="G41" i="30" s="1"/>
  <c r="G26" i="30"/>
  <c r="G40" i="30" s="1"/>
  <c r="F45" i="4" s="1"/>
  <c r="J73" i="29" s="1"/>
  <c r="G24" i="30"/>
  <c r="G23" i="30"/>
  <c r="E43" i="30"/>
  <c r="E39" i="30"/>
  <c r="G10" i="30"/>
  <c r="G9" i="30"/>
  <c r="F19" i="18"/>
  <c r="J8" i="25"/>
  <c r="K8" i="25" s="1"/>
  <c r="M8" i="25" s="1"/>
  <c r="J315" i="29" s="1"/>
  <c r="J4" i="25"/>
  <c r="K4" i="25" s="1"/>
  <c r="G46" i="14"/>
  <c r="J144" i="29" s="1"/>
  <c r="F13" i="4"/>
  <c r="D15" i="18" s="1"/>
  <c r="D6" i="25"/>
  <c r="D16" i="25" s="1"/>
  <c r="D18" i="25" s="1"/>
  <c r="D27" i="25" s="1"/>
  <c r="E6" i="25"/>
  <c r="E16" i="25" s="1"/>
  <c r="E18" i="25" s="1"/>
  <c r="E27" i="25" s="1"/>
  <c r="F6" i="25"/>
  <c r="F16" i="25" s="1"/>
  <c r="F18" i="25" s="1"/>
  <c r="F27" i="25" s="1"/>
  <c r="G6" i="25"/>
  <c r="H6" i="25"/>
  <c r="H16" i="25"/>
  <c r="H18" i="25" s="1"/>
  <c r="H27" i="25" s="1"/>
  <c r="I6" i="25"/>
  <c r="I16" i="25" s="1"/>
  <c r="I18" i="25" s="1"/>
  <c r="I27" i="25" s="1"/>
  <c r="L6" i="25"/>
  <c r="C6" i="25"/>
  <c r="C16" i="25" s="1"/>
  <c r="C18" i="25" s="1"/>
  <c r="C27" i="25" s="1"/>
  <c r="G6" i="14"/>
  <c r="G32" i="15"/>
  <c r="G11" i="15"/>
  <c r="K24" i="25"/>
  <c r="M24" i="25" s="1"/>
  <c r="M25" i="25"/>
  <c r="G43" i="14"/>
  <c r="G21" i="15"/>
  <c r="K9" i="25"/>
  <c r="M9" i="25" s="1"/>
  <c r="K10" i="25"/>
  <c r="M10" i="25" s="1"/>
  <c r="M12" i="25"/>
  <c r="K5" i="25"/>
  <c r="M5" i="25"/>
  <c r="K7" i="25"/>
  <c r="M7" i="25" s="1"/>
  <c r="K11" i="25"/>
  <c r="M11" i="25"/>
  <c r="K13" i="25"/>
  <c r="M13" i="25" s="1"/>
  <c r="K14" i="25"/>
  <c r="M14" i="25" s="1"/>
  <c r="K15" i="25"/>
  <c r="M15" i="25" s="1"/>
  <c r="K17" i="25"/>
  <c r="M17" i="25"/>
  <c r="K19" i="25"/>
  <c r="M19" i="25" s="1"/>
  <c r="K21" i="25"/>
  <c r="M21" i="25"/>
  <c r="K22" i="25"/>
  <c r="M22" i="25" s="1"/>
  <c r="K23" i="25"/>
  <c r="M23" i="25"/>
  <c r="K26" i="25"/>
  <c r="M26" i="25" s="1"/>
  <c r="G21" i="14"/>
  <c r="F9" i="4"/>
  <c r="D13" i="18"/>
  <c r="G16" i="25"/>
  <c r="G18" i="25" s="1"/>
  <c r="G27" i="25" s="1"/>
  <c r="G57" i="15"/>
  <c r="G32" i="14"/>
  <c r="G14" i="15"/>
  <c r="D43" i="18"/>
  <c r="F6" i="4"/>
  <c r="D46" i="18" s="1"/>
  <c r="H52" i="14"/>
  <c r="J56" i="29" l="1"/>
  <c r="K22" i="4"/>
  <c r="K23" i="4" s="1"/>
  <c r="G38" i="15"/>
  <c r="G42" i="14"/>
  <c r="J141" i="29" s="1"/>
  <c r="J140" i="29" s="1"/>
  <c r="J142" i="29"/>
  <c r="G39" i="30"/>
  <c r="D28" i="18"/>
  <c r="H9" i="18"/>
  <c r="J306" i="29"/>
  <c r="G20" i="14"/>
  <c r="J100" i="29"/>
  <c r="J302" i="29"/>
  <c r="H7" i="18"/>
  <c r="D17" i="18"/>
  <c r="D16" i="18"/>
  <c r="F31" i="4"/>
  <c r="G36" i="14"/>
  <c r="D36" i="18" s="1"/>
  <c r="G17" i="30"/>
  <c r="G31" i="30"/>
  <c r="E45" i="30"/>
  <c r="F45" i="30"/>
  <c r="G37" i="30"/>
  <c r="G45" i="30" s="1"/>
  <c r="G38" i="30"/>
  <c r="M4" i="25"/>
  <c r="M6" i="25" s="1"/>
  <c r="J317" i="29" s="1"/>
  <c r="K6" i="25"/>
  <c r="J6" i="25"/>
  <c r="J16" i="25" s="1"/>
  <c r="G43" i="15" l="1"/>
  <c r="G51" i="15" s="1"/>
  <c r="G58" i="15" s="1"/>
  <c r="G47" i="14" s="1"/>
  <c r="J39" i="15"/>
  <c r="J40" i="15" s="1"/>
  <c r="K41" i="15" s="1"/>
  <c r="F42" i="4"/>
  <c r="J70" i="29" s="1"/>
  <c r="D40" i="18"/>
  <c r="H10" i="18"/>
  <c r="J307" i="29"/>
  <c r="G37" i="14"/>
  <c r="G17" i="18"/>
  <c r="J292" i="29"/>
  <c r="J305" i="29"/>
  <c r="J308" i="29" s="1"/>
  <c r="H8" i="18"/>
  <c r="K16" i="25"/>
  <c r="M16" i="25" s="1"/>
  <c r="J18" i="25"/>
  <c r="K18" i="25" s="1"/>
  <c r="M18" i="25" s="1"/>
  <c r="D7" i="18" l="1"/>
  <c r="G7" i="18" s="1"/>
  <c r="G18" i="18" s="1"/>
  <c r="F40" i="4"/>
  <c r="F53" i="4" s="1"/>
  <c r="J20" i="25"/>
  <c r="K20" i="25" s="1"/>
  <c r="M20" i="25" s="1"/>
  <c r="J319" i="29" s="1"/>
  <c r="J320" i="29" s="1"/>
  <c r="J145" i="29"/>
  <c r="J289" i="29"/>
  <c r="J296" i="29" s="1"/>
  <c r="J310" i="29" s="1"/>
  <c r="J312" i="29" s="1"/>
  <c r="H18" i="18"/>
  <c r="G48" i="14"/>
  <c r="D19" i="18" l="1"/>
  <c r="D42" i="18" s="1"/>
  <c r="D45" i="18" s="1"/>
  <c r="D48" i="18" s="1"/>
  <c r="J68" i="29"/>
  <c r="F54" i="4"/>
  <c r="G49" i="14"/>
  <c r="J137" i="29"/>
  <c r="J27" i="25"/>
  <c r="K27" i="25" s="1"/>
  <c r="M27" i="25" s="1"/>
  <c r="F58" i="4" l="1"/>
  <c r="G53" i="14"/>
</calcChain>
</file>

<file path=xl/sharedStrings.xml><?xml version="1.0" encoding="utf-8"?>
<sst xmlns="http://schemas.openxmlformats.org/spreadsheetml/2006/main" count="837" uniqueCount="540">
  <si>
    <t>Data e krijimit</t>
  </si>
  <si>
    <t>Nr. i  Regjistrit  Tregetar</t>
  </si>
  <si>
    <t>Nr</t>
  </si>
  <si>
    <t>I</t>
  </si>
  <si>
    <t>II</t>
  </si>
  <si>
    <t>Adresa e Selise</t>
  </si>
  <si>
    <t>P A S Q Y R A T     F I N A N C I A R E</t>
  </si>
  <si>
    <t>A   K   T   I   V   E   T</t>
  </si>
  <si>
    <t>Aktivet  monetare</t>
  </si>
  <si>
    <t>Banka</t>
  </si>
  <si>
    <t>Arka</t>
  </si>
  <si>
    <t>Veprimtaria  Kryesore</t>
  </si>
  <si>
    <t>Ligjit Nr. 9228 Date 29.04.2004     Per Kontabilitetin dhe Pasqyrat Financiare  )</t>
  </si>
  <si>
    <t>NIPT -i</t>
  </si>
  <si>
    <t>Pasqyra Financiare jane te shprehura ne</t>
  </si>
  <si>
    <t>Pasqyra Financiare jane te rumbullakosura ne</t>
  </si>
  <si>
    <t>Nga</t>
  </si>
  <si>
    <t>Deri</t>
  </si>
  <si>
    <t xml:space="preserve">  Data  e  mbylljes se Pasqyrave Financiare</t>
  </si>
  <si>
    <t>Pasqyra Financiare jane individuale</t>
  </si>
  <si>
    <t>Pasqyra Financiare jane te konsoliduara</t>
  </si>
  <si>
    <t xml:space="preserve">  Periudha  Kontabel e Pasqyrave Financiare</t>
  </si>
  <si>
    <t>Pershkrimi  i  Elementeve</t>
  </si>
  <si>
    <t>Emertimi dhe Forma ligjore</t>
  </si>
  <si>
    <t>Totali</t>
  </si>
  <si>
    <t>Investime</t>
  </si>
  <si>
    <t>Te tjera Financiare</t>
  </si>
  <si>
    <t>Në tituj pronësie të njësive ekonomike brenda grupit</t>
  </si>
  <si>
    <t>Aksionet e veta</t>
  </si>
  <si>
    <t>Të drejta të arkëtueshme</t>
  </si>
  <si>
    <t>Nga njësitë ekonomike brenda grupit</t>
  </si>
  <si>
    <t>Nga  njësitë ekonomike ku ka interesa pjesëmarrëse</t>
  </si>
  <si>
    <t>Kapital i nënshkruar i papaguar</t>
  </si>
  <si>
    <t>Inventarët</t>
  </si>
  <si>
    <t>Lëndë e parë dhe materiale të konsumueshme</t>
  </si>
  <si>
    <t xml:space="preserve">Produkte të gatshme </t>
  </si>
  <si>
    <t xml:space="preserve">Mallra                                                        </t>
  </si>
  <si>
    <t>Aktive Biologjike (Gjë e gjallë në rritje e majmëri)</t>
  </si>
  <si>
    <t>Parapagime për inventar</t>
  </si>
  <si>
    <t>Shpenzime të shtyra</t>
  </si>
  <si>
    <t>Të arkëtueshme nga të ardhurat e konstatuara</t>
  </si>
  <si>
    <t>Aktive tatimore të shtyra</t>
  </si>
  <si>
    <t>Kapitali i nënshkruar i papaguar</t>
  </si>
  <si>
    <t>Aktive financiare</t>
  </si>
  <si>
    <t>Tituj pronësie në njësitë ekonomike brenda grupit</t>
  </si>
  <si>
    <t xml:space="preserve">Tituj të huadhënies në njësitë ekonomike brenda grupit </t>
  </si>
  <si>
    <t xml:space="preserve">Tituj pronësie  në njësitë ekonomike ku ka interesa pjesëmarrëse </t>
  </si>
  <si>
    <t>Tituj të huadhënies  në njësitë ekonomike ku ka interesa pjesëmarrëse</t>
  </si>
  <si>
    <t xml:space="preserve">Tituj të tjerë të mbajtur si aktive afatgjata </t>
  </si>
  <si>
    <t>Tituj të tjerë të huadhënies</t>
  </si>
  <si>
    <t>Aktivet materiale</t>
  </si>
  <si>
    <t>Toka dhe ndërtesa</t>
  </si>
  <si>
    <t>Impiante dhe makineri</t>
  </si>
  <si>
    <t xml:space="preserve">Të tjera Instalime dhe pajisje </t>
  </si>
  <si>
    <t xml:space="preserve">Parapagime për aktive materiale dhe në proces </t>
  </si>
  <si>
    <t>Ativet biologjike</t>
  </si>
  <si>
    <t>Aktive jo materiale:</t>
  </si>
  <si>
    <t>Koncesione,patenta,liçenca,marka tregtare,të drejta dhe aktive të ngjashme</t>
  </si>
  <si>
    <t>Emri i Mirë</t>
  </si>
  <si>
    <t xml:space="preserve">Parapagime për AAJM                                                                 </t>
  </si>
  <si>
    <t>TOTALI   AKTIVEVE    AFATSHKURTRA</t>
  </si>
  <si>
    <t>Aktivet Afatshkurtra</t>
  </si>
  <si>
    <t>TOTALI   AKTIVEVE    AFATGJATA</t>
  </si>
  <si>
    <t>Aktivet Afatgjata</t>
  </si>
  <si>
    <t>DETYRIMET  DHE  KAPITALI</t>
  </si>
  <si>
    <t>Detyrime afatshkurtra:</t>
  </si>
  <si>
    <t>Titujt e huamarrjes</t>
  </si>
  <si>
    <t>Detyrime ndaj institucioneve të kredisë</t>
  </si>
  <si>
    <t xml:space="preserve">Arkëtime në avancë për porosi </t>
  </si>
  <si>
    <t>Të pagueshme për aktivitetin e shfrytëzimit</t>
  </si>
  <si>
    <t>Dëftesa të pagueshme</t>
  </si>
  <si>
    <t>Të pagueshme ndaj njësive ekonomike brenda grupit</t>
  </si>
  <si>
    <t>Të pagueshme ndaj  njësive ekonomike ku ka interesa pjesëmarrëse</t>
  </si>
  <si>
    <t>Të pagueshme ndaj punonjësve dhe sigurimeve shoqërore/shëndetsore</t>
  </si>
  <si>
    <t>Të pagueshme për detyrimet tatimore</t>
  </si>
  <si>
    <t>Të pagueshme për shpenzime të konstatuara</t>
  </si>
  <si>
    <t xml:space="preserve">Të ardhura të shtyra </t>
  </si>
  <si>
    <t>Provizione</t>
  </si>
  <si>
    <t>A K T I V E    T O T A L E</t>
  </si>
  <si>
    <t>D E T Y R I M E T     T O T A L E</t>
  </si>
  <si>
    <t>Detyrime afatgjata:</t>
  </si>
  <si>
    <t xml:space="preserve">Arkëtimet në avancë për porosi </t>
  </si>
  <si>
    <t>Të tjera të pagueshme</t>
  </si>
  <si>
    <t xml:space="preserve">Të pagueshme për shpenzime të konstatuara </t>
  </si>
  <si>
    <t>Të ardhura të shtyra</t>
  </si>
  <si>
    <t>Provizione:</t>
  </si>
  <si>
    <t>►</t>
  </si>
  <si>
    <t xml:space="preserve">Provizione  për pensionet </t>
  </si>
  <si>
    <t>Provizione të tjera</t>
  </si>
  <si>
    <t>Detyrime tatimore të shtyra</t>
  </si>
  <si>
    <t>Totali  i  Detyrimeve    afatshkurtera</t>
  </si>
  <si>
    <t>Totali  i  Detyrimeve    afatgjata</t>
  </si>
  <si>
    <t>Kapitali dhe Rezervat</t>
  </si>
  <si>
    <t>Kapitali i Nënshkruar</t>
  </si>
  <si>
    <t>Primi i lidhur me kapitalin</t>
  </si>
  <si>
    <t>Rezerva rivlerësimi</t>
  </si>
  <si>
    <t>Rezerva të tjera</t>
  </si>
  <si>
    <t xml:space="preserve">Rezerva ligjore </t>
  </si>
  <si>
    <t>Rezerva statutore</t>
  </si>
  <si>
    <t xml:space="preserve">Fitimi i pashpërndarë </t>
  </si>
  <si>
    <t>Fitim / Humbja e  Vitit</t>
  </si>
  <si>
    <t>Totali  i  Kapitalit</t>
  </si>
  <si>
    <t>TOTALI   I   DETYRIMEVE   DHE   KAPITALIT</t>
  </si>
  <si>
    <t>Pasqyra e Performancës</t>
  </si>
  <si>
    <t>(Pasqyra e të ardhurave dhe shpenzimeve)</t>
  </si>
  <si>
    <t>Formati 1 – Shpenzimet e shfrytëzimit të klasifikuara sipas natyrës</t>
  </si>
  <si>
    <t>Të ardhura nga aktiviteti i shfrytëzimit</t>
  </si>
  <si>
    <t>Ndryshimi në inventarin e produkteve të gatshme dhe prodhimit në proces</t>
  </si>
  <si>
    <t>Puna e kryer nga njësia ekonomike dhe e kapitalizuar</t>
  </si>
  <si>
    <t>Të ardhura të tjera të shfrytëzimit</t>
  </si>
  <si>
    <t xml:space="preserve">Lënda e parë dhe materiale të konsumueshme </t>
  </si>
  <si>
    <t xml:space="preserve">Të tjera shpenzime </t>
  </si>
  <si>
    <t>Shpenzime të personelit</t>
  </si>
  <si>
    <t>Paga dhe shpërblime</t>
  </si>
  <si>
    <t xml:space="preserve">Shpenzime të sigurimeve shoqërore/shëndetsore (paraqitur veçmas </t>
  </si>
  <si>
    <t>nga shpenzimet për pensionet)</t>
  </si>
  <si>
    <t>Zhvlerësimi i aktiveve afatgjata materiale</t>
  </si>
  <si>
    <t>Shpenzime konsumi dhe amortizimi</t>
  </si>
  <si>
    <t>Shpenzime të tjera shfrytëzimi</t>
  </si>
  <si>
    <t xml:space="preserve">Të ardhura të tjera </t>
  </si>
  <si>
    <t xml:space="preserve">Të ardhura nga njësitë ekonomike ku ka interesa pjesëmarrëse (paraqitur </t>
  </si>
  <si>
    <t>veçmas të ardhurat   nga njësitë ekonomike brenda grupit)</t>
  </si>
  <si>
    <t>Të ardhura nga investimet dhe huatë e tjera pjesë e aktiveve afatgjata</t>
  </si>
  <si>
    <t xml:space="preserve">Interesa të arkëtueshëm dhe të ardhura të tjera të ngjashme (paraqitur </t>
  </si>
  <si>
    <t>veçmas të ardhurat nga njësitë ekonomike brenda grupit)</t>
  </si>
  <si>
    <t>(paraqitur veçmas të ardhurat nga njësitë ekonomike brenda grupit)</t>
  </si>
  <si>
    <t xml:space="preserve">Zhvlerësimi i aktiveve  financiare dhe investimeve financiare të mbajtura si </t>
  </si>
  <si>
    <t xml:space="preserve"> aktive afatshkurtra</t>
  </si>
  <si>
    <t>Shpenzime financiare</t>
  </si>
  <si>
    <t>Shpenzime interesi dhe shpenzime  të ngjashme (paraqitur veçmas</t>
  </si>
  <si>
    <t>shpenzimet për t'u paguar tek njësitë ekonomike brenda grupit)</t>
  </si>
  <si>
    <t xml:space="preserve">Pjesa e fitimit/humbjes nga pjesëmarrjet </t>
  </si>
  <si>
    <t>Fitimi/Humbja para tatimit</t>
  </si>
  <si>
    <t>Shpenzimi i tatimit mbi fitimin</t>
  </si>
  <si>
    <t>Shpenzimi aktual i tatimit mbi fitimin</t>
  </si>
  <si>
    <t>Shpenzimi i tatim fitimit të shtyrë</t>
  </si>
  <si>
    <t>Pjesa e tatim fitimit të  pjesëmarrjeve</t>
  </si>
  <si>
    <t>Fitimi/Humbja e vitit</t>
  </si>
  <si>
    <t>Fitimi/Humbja për:</t>
  </si>
  <si>
    <t>Pronarët e njësisë ekonomike mëmë</t>
  </si>
  <si>
    <t>Interesat jo-kontrolluese</t>
  </si>
  <si>
    <t xml:space="preserve">Pasqyra e të Ardhurave Gjithëpërfshirëse  </t>
  </si>
  <si>
    <t>Të ardhura të tjera gjithëpërfshirëse për vitin:</t>
  </si>
  <si>
    <t>Diferencat (+/-) nga përkthimi i monedhës në veprimtari të huaja</t>
  </si>
  <si>
    <t>Diferencat (+/-) nga rivlerësimi i aktiveve afatgjata materiale</t>
  </si>
  <si>
    <t>Diferencat (+/-) nga rivlerësimi i aktivet financiare të mbajtura për shitje</t>
  </si>
  <si>
    <t>Pjesa e të ardhurave gjithëpërfshirëse nga pjesëmarrjet</t>
  </si>
  <si>
    <t>Totali i të ardhurave të tjera gjithëpërfshirëse për vitin</t>
  </si>
  <si>
    <t>Totali i të ardhurave gjithëpërfshirëse për vitin</t>
  </si>
  <si>
    <t>Totali i të ardhurave/humbjeve gjithëpërfshirëse për:</t>
  </si>
  <si>
    <t>Pasqyra   e   Fluksit   te Mjeteve   Monetare</t>
  </si>
  <si>
    <t>Fluksi i Mjeteve Monetare nga/(përdorur në) aktivitetin e shfrytëzimit</t>
  </si>
  <si>
    <t>Interes i paguar</t>
  </si>
  <si>
    <t>Mjete monetare neto nga/(përdorur në) aktivitetin e shfrytëzimit</t>
  </si>
  <si>
    <t>Fluksi i Mjeteve Monetare nga/(përdorur në) aktivitetin e investimit</t>
  </si>
  <si>
    <t>Para neto të përdorura për blerjen e filialeve</t>
  </si>
  <si>
    <t>Para neto të arkëtuara nga shitja e filialeve</t>
  </si>
  <si>
    <t>Pagesa për blerjen e aktiveve afatgjata materiale</t>
  </si>
  <si>
    <t>Arkëtime nga shitja e aktiveve afatgjata materiale</t>
  </si>
  <si>
    <t>Pagesa për blerjen e investimeve të tjera</t>
  </si>
  <si>
    <t>Arkëtime nga shitja e investimeve të tjera</t>
  </si>
  <si>
    <t>Dividentë të arkëtuar</t>
  </si>
  <si>
    <t>Mjete monetare neto nga/(përdorur në) aktivitetin e investimit</t>
  </si>
  <si>
    <t>Fluksi i Mjeteve Monetare nga/(përdorur në) aktivitetin e  financimit</t>
  </si>
  <si>
    <t>Arkëtime nga emetimi i kapitalit aksionar</t>
  </si>
  <si>
    <t>Arkëtime nga emetimi i aksioneve të përdorura si kolateral</t>
  </si>
  <si>
    <t>Hua të arkëtuara</t>
  </si>
  <si>
    <t>Pagesa e kostove të transaksionit që lidhen me kreditë dhe huatë</t>
  </si>
  <si>
    <t>Riblerje e aksioneve të veta</t>
  </si>
  <si>
    <t>Pagesa e aksioneve të përdorura si kolateral</t>
  </si>
  <si>
    <t>Pagesa e huave</t>
  </si>
  <si>
    <t>Pagesë e detyrimeve të qirasë financiare</t>
  </si>
  <si>
    <t>Dividendë të paguar</t>
  </si>
  <si>
    <t>Mjete monetare neto nga/(përdorur në) aktivitetin e financimit</t>
  </si>
  <si>
    <t>Rritje/(rënie) neto në mjete monetare dhe ekuivalentë të mjeteve monetare</t>
  </si>
  <si>
    <t>Efekti i luhatjeve të kursit të këmbimit të mjeteve monetare</t>
  </si>
  <si>
    <t>(metoda indirekte)</t>
  </si>
  <si>
    <t>Fitim / Humbja e vitit</t>
  </si>
  <si>
    <t>Rregullimet për shpenzimet jomonetare:</t>
  </si>
  <si>
    <t>Shpenzimet financiare jomonetare</t>
  </si>
  <si>
    <t>Shpenzimet për tatimin mbi fitimin jomonetar</t>
  </si>
  <si>
    <t>Fluksi i mjeteve monetare i përfshirë në aktivitetet investuese:</t>
  </si>
  <si>
    <t>Ndryshimet në aktivet dhe detyrimet e shfrytëzimit:</t>
  </si>
  <si>
    <t>Rënie/(rritje) në të drejtat e arkëtueshme dhe të tjera</t>
  </si>
  <si>
    <t>Rënie/(rritje) në inventarë</t>
  </si>
  <si>
    <t>Rritje/(rënie) në detyrimet e pagueshme</t>
  </si>
  <si>
    <t>Totali i transaksioneve me pronarët e njësisë ekonomike</t>
  </si>
  <si>
    <t>Emetimi i kapitalit të nënshkruar</t>
  </si>
  <si>
    <t>Transaksionet me pronarët e njësisë ekonomike të njohura direkt në kapital:</t>
  </si>
  <si>
    <t>Të ardhura totale gjithëpërfshirëse për vitin:</t>
  </si>
  <si>
    <t>Të ardhura të tjera gjithëpërfshirëse:</t>
  </si>
  <si>
    <t>Totali i të ardhura gjithëpërfshirëse për vitin:</t>
  </si>
  <si>
    <t>Efekti i ndryshimeve në politikat kontabël</t>
  </si>
  <si>
    <t>Interesa Jo-Kontrollues</t>
  </si>
  <si>
    <t>Fitimet e Pashpërndara</t>
  </si>
  <si>
    <t>Rezerva Statutore</t>
  </si>
  <si>
    <t>Rezerva Ligjore</t>
  </si>
  <si>
    <t>Rezerva Rivlerësimi</t>
  </si>
  <si>
    <t>Kapitali i nënshkruar</t>
  </si>
  <si>
    <t>Pasqyra e Ndryshimeve në Kapitalin Neto</t>
  </si>
  <si>
    <t xml:space="preserve">(  Ne zbatim te Standartit Kombetar te Kontabilitetit Nr.2 te Permiresuar dhe </t>
  </si>
  <si>
    <t>Pasqyra e Pozicionit Financiar (Bilanci)</t>
  </si>
  <si>
    <t>Emertimi</t>
  </si>
  <si>
    <t>Shenimet</t>
  </si>
  <si>
    <t>13.1</t>
  </si>
  <si>
    <t>13.2</t>
  </si>
  <si>
    <t>13.3</t>
  </si>
  <si>
    <t>13.4</t>
  </si>
  <si>
    <t>13.5</t>
  </si>
  <si>
    <t>13.6</t>
  </si>
  <si>
    <t>13.7</t>
  </si>
  <si>
    <t>13.8</t>
  </si>
  <si>
    <t>13.9</t>
  </si>
  <si>
    <t>13.10</t>
  </si>
  <si>
    <t>17.1</t>
  </si>
  <si>
    <t>17.2</t>
  </si>
  <si>
    <t>17.3</t>
  </si>
  <si>
    <t>17.4</t>
  </si>
  <si>
    <t>17.5</t>
  </si>
  <si>
    <t>17.6</t>
  </si>
  <si>
    <t>17.7</t>
  </si>
  <si>
    <t>17.8</t>
  </si>
  <si>
    <t>20.1</t>
  </si>
  <si>
    <t>20.2</t>
  </si>
  <si>
    <t>26.1</t>
  </si>
  <si>
    <t>26.2</t>
  </si>
  <si>
    <t>26.3</t>
  </si>
  <si>
    <t>TIRANE</t>
  </si>
  <si>
    <t>PO</t>
  </si>
  <si>
    <t>LEKE</t>
  </si>
  <si>
    <t>BILANCI</t>
  </si>
  <si>
    <t>Subvencione te shfrytezimit</t>
  </si>
  <si>
    <t>LLOGARI JASHT BILANCIT</t>
  </si>
  <si>
    <t>Gjendje</t>
  </si>
  <si>
    <t>Shtesa</t>
  </si>
  <si>
    <t>Pakesime</t>
  </si>
  <si>
    <t>Toka</t>
  </si>
  <si>
    <t>Ndertime</t>
  </si>
  <si>
    <t>Makineri,paisje</t>
  </si>
  <si>
    <t>Mjete transporti</t>
  </si>
  <si>
    <t>kompjuterike</t>
  </si>
  <si>
    <t>Zyre</t>
  </si>
  <si>
    <t xml:space="preserve">             TOTALI</t>
  </si>
  <si>
    <t>Administratori</t>
  </si>
  <si>
    <t>Shpenzime të tjera financiare(DIF KONVERTIMI)</t>
  </si>
  <si>
    <t>Mjete monetare dhe ekuivalentë të mjeteve monetare më 1 janar 2016</t>
  </si>
  <si>
    <t>Mjete monetare dhe ekuivalentë të mjeteve monetare më 31 dhjetor 2016</t>
  </si>
  <si>
    <t>Pozicioni financiar i rideklaruar më 1 janar 2016</t>
  </si>
  <si>
    <t xml:space="preserve">ALBANIA CHICKEN FARM </t>
  </si>
  <si>
    <t>L33431801N</t>
  </si>
  <si>
    <t xml:space="preserve">AGANAS    KAVAJE </t>
  </si>
  <si>
    <t>31/10/2013</t>
  </si>
  <si>
    <t>IMPIANT I RRITJES SE ZOGJVE  TREGETI</t>
  </si>
  <si>
    <t>MISHI ME SHUMICE E PAKICE</t>
  </si>
  <si>
    <t>Lëndë e djegese  të konsumueshme</t>
  </si>
  <si>
    <t xml:space="preserve">Amballazhe </t>
  </si>
  <si>
    <t xml:space="preserve">Te tjera materiale afatgjata mjete transporti </t>
  </si>
  <si>
    <t>Nga aktiviteti i shfrytëzimit   kliente</t>
  </si>
  <si>
    <t xml:space="preserve">Të arketueshme nga detyrimet tatimore tvsh </t>
  </si>
  <si>
    <t xml:space="preserve">Të arketueshme nga detyrimet tatimore tatim fitimi </t>
  </si>
  <si>
    <t xml:space="preserve">Të tjera  parapagime dogane </t>
  </si>
  <si>
    <t xml:space="preserve">Të pagueshme për aktivitetin e shfrytëzimit furnitore </t>
  </si>
  <si>
    <t xml:space="preserve">Të tjera të pagueshme </t>
  </si>
  <si>
    <t xml:space="preserve">Shpenzime të tjera financiare </t>
  </si>
  <si>
    <t>Fitimi / Humbja e vitit    2016</t>
  </si>
  <si>
    <t xml:space="preserve">Shoqeria   CHICKEN FARM ALBANIA </t>
  </si>
  <si>
    <t>Sasia</t>
  </si>
  <si>
    <t>Invest proces</t>
  </si>
  <si>
    <t xml:space="preserve">Marenglen MEQEMEJA </t>
  </si>
  <si>
    <t>Viti   2017</t>
  </si>
  <si>
    <t>Aktivet Afatgjata Materiale  me vlere fillestare   2017</t>
  </si>
  <si>
    <t>Amortizimi A.A.Materiale   2017</t>
  </si>
  <si>
    <t>Vlera Kontabel Neto e A.A.Materiale  2017</t>
  </si>
  <si>
    <t>01.01.2017</t>
  </si>
  <si>
    <t>31.12.2017</t>
  </si>
  <si>
    <t>Shitje e punimeve dhe e sherbimeve</t>
  </si>
  <si>
    <t>Shitje mallrash</t>
  </si>
  <si>
    <t>Shitje materiale e furnitura</t>
  </si>
  <si>
    <t>Fitim nga kembimet valutore</t>
  </si>
  <si>
    <t>Blerje /shpenzime te materialeve</t>
  </si>
  <si>
    <t>Ndrysh.gjend.mater.tjera</t>
  </si>
  <si>
    <t>Ndrysh.gjend.mallra</t>
  </si>
  <si>
    <t>Bl.energji,avull,uje</t>
  </si>
  <si>
    <t>Blerje /shpenzime mallra, sherbimesh</t>
  </si>
  <si>
    <t>Blerje amballazhi</t>
  </si>
  <si>
    <t>Blerje /shpenzime te tjera</t>
  </si>
  <si>
    <t>Qira</t>
  </si>
  <si>
    <t>Mirembajtje dhe riparime</t>
  </si>
  <si>
    <t>Sigurime</t>
  </si>
  <si>
    <t>Studime dhe kerkime</t>
  </si>
  <si>
    <t>Te tjera</t>
  </si>
  <si>
    <t>Shpz.postare e telekom.</t>
  </si>
  <si>
    <t>Transporte per blerje</t>
  </si>
  <si>
    <t>Transporte per shitje</t>
  </si>
  <si>
    <t>Sherbime bankare</t>
  </si>
  <si>
    <t>Taksa dhe tarifa vendore</t>
  </si>
  <si>
    <t xml:space="preserve">Skanimne ne dogane </t>
  </si>
  <si>
    <t>Pagat dhe shperblimet e personelit</t>
  </si>
  <si>
    <t>Sigurimet shoqerore dhe shendetesore</t>
  </si>
  <si>
    <t>Gjoba dhe demshperblime</t>
  </si>
  <si>
    <t>Zbritje akorduar klienteve</t>
  </si>
  <si>
    <t>Shpenzime  per interesa</t>
  </si>
  <si>
    <t>Ndysh.gjendje produkti</t>
  </si>
  <si>
    <t>121Z</t>
  </si>
  <si>
    <t xml:space="preserve">HUMBJE/FITIM </t>
  </si>
  <si>
    <t>Kapitali i paguar</t>
  </si>
  <si>
    <t>Rezerva ligjore</t>
  </si>
  <si>
    <t>Fitim / humbja e pashperndare</t>
  </si>
  <si>
    <t>Rezultati i ushtrimit</t>
  </si>
  <si>
    <t>instalime teknike specifike</t>
  </si>
  <si>
    <t>Makineri dhe pajisje pune</t>
  </si>
  <si>
    <t>AA materiale ne proces</t>
  </si>
  <si>
    <t>Per instalime teknike, makinerite, pajisje, instrum dhe vegl</t>
  </si>
  <si>
    <t>Per mjete transporti</t>
  </si>
  <si>
    <t>Per mjetet e transportit</t>
  </si>
  <si>
    <t>Per AA biologjike</t>
  </si>
  <si>
    <t>Materiale ndihmese</t>
  </si>
  <si>
    <t>Produkte te ndermjetme</t>
  </si>
  <si>
    <t>Mallra grupi I</t>
  </si>
  <si>
    <t>Furnitore per mallra , produkte e sherbime</t>
  </si>
  <si>
    <t>Kliente per mallra , produkte e sherbime</t>
  </si>
  <si>
    <t>Paga e shperblime</t>
  </si>
  <si>
    <t>Sigurime shoqerore dhe shendetsore</t>
  </si>
  <si>
    <t>Akciza</t>
  </si>
  <si>
    <t>Tatim mbi fitimin</t>
  </si>
  <si>
    <t>TVSH blerje</t>
  </si>
  <si>
    <t>Shteti-TVSH per tu paguar</t>
  </si>
  <si>
    <t>TVSH e zbriteshme</t>
  </si>
  <si>
    <t>Shteti-TVSH e zbritshme</t>
  </si>
  <si>
    <t>Det. per takse dog. etvsh ne  dogane</t>
  </si>
  <si>
    <t>Tatimi ne burim</t>
  </si>
  <si>
    <t>Te drejta dhe detyrime ndaj ortakeve dhe aksionereve</t>
  </si>
  <si>
    <t>Debitore te tjere ,kreditore te tjere</t>
  </si>
  <si>
    <t>Bankat</t>
  </si>
  <si>
    <t>Vlera monetare ne leke</t>
  </si>
  <si>
    <t>Banka EUR</t>
  </si>
  <si>
    <t>Vlera monetare ne lek</t>
  </si>
  <si>
    <t>Arka ne EUR</t>
  </si>
  <si>
    <t>Xhirime te brendshme</t>
  </si>
  <si>
    <t xml:space="preserve">Aktive biollogjike </t>
  </si>
  <si>
    <t>Pozicioni financiar i rideklaruar më 31 dhjetor 2016</t>
  </si>
  <si>
    <t>Fitimi / Humbja e vitit 2017</t>
  </si>
  <si>
    <t>Pozicioni financiar më 31 dhjetor 2017</t>
  </si>
  <si>
    <t>Pozicioni financiar i rideklaruar më 31 dhjetor 2017</t>
  </si>
  <si>
    <t>amortizim i AQ afatgjate</t>
  </si>
  <si>
    <t>Referenca</t>
  </si>
  <si>
    <t>B</t>
  </si>
  <si>
    <t>Shënimet qe shpjegojnë zërat e ndryshëm të pasqyrave financiare</t>
  </si>
  <si>
    <t>AKTIVET  AFAT SHKURTERA</t>
  </si>
  <si>
    <t>Emri i Bankes</t>
  </si>
  <si>
    <t>Monedha</t>
  </si>
  <si>
    <t>Nr llogarise</t>
  </si>
  <si>
    <t>Vlera ne</t>
  </si>
  <si>
    <t xml:space="preserve">Kursi </t>
  </si>
  <si>
    <t>valute</t>
  </si>
  <si>
    <t>fund vitit</t>
  </si>
  <si>
    <t>leke</t>
  </si>
  <si>
    <t>BKT</t>
  </si>
  <si>
    <t>LEK</t>
  </si>
  <si>
    <t>EURO</t>
  </si>
  <si>
    <t>RFZ</t>
  </si>
  <si>
    <t>E M E R T I M I</t>
  </si>
  <si>
    <t>Arka ne Leke</t>
  </si>
  <si>
    <t>Arka ne Euro</t>
  </si>
  <si>
    <t>Shoqeria nuk ka tituj pronesie te njesive ekonomike brenda grupit</t>
  </si>
  <si>
    <t>Shoqeria nuk ka riblerje te aksione te emetuara me pare nga ana jone</t>
  </si>
  <si>
    <t>Shoqeria nuk ka aktive te tjera financiare te investuara</t>
  </si>
  <si>
    <t>Nga aktiviteti i shfrytëzimit</t>
  </si>
  <si>
    <t>Kliente per mallra,produkte e sherbime</t>
  </si>
  <si>
    <t>&gt;</t>
  </si>
  <si>
    <t xml:space="preserve">     Fatura te pa likuiduara nen nje vit</t>
  </si>
  <si>
    <t xml:space="preserve">     Fatura te pa likuiduara mbi nje vit</t>
  </si>
  <si>
    <t xml:space="preserve">     Zhvleresimi i te drejtave dhe detyrimeve</t>
  </si>
  <si>
    <t xml:space="preserve">     Shoqeria nuk ka te drejta dhe detyrimendaj njesive ekonomike brenda grupit</t>
  </si>
  <si>
    <t>Të arketueshme nga detyrimet tatimore</t>
  </si>
  <si>
    <t>TVSH</t>
  </si>
  <si>
    <t>Tatim fitimi derdh teper</t>
  </si>
  <si>
    <t xml:space="preserve">     Shoqeria nuk te drejta dhe detyrime ndaj njësive ekonomike me interesa pjesëmarrëse</t>
  </si>
  <si>
    <t xml:space="preserve">Të tjera </t>
  </si>
  <si>
    <t>AKTIVET AFATGJATA</t>
  </si>
  <si>
    <t xml:space="preserve">Aktivet  financiare </t>
  </si>
  <si>
    <t>Aktive  materiale</t>
  </si>
  <si>
    <t>Analiza e posteve te amortizushme</t>
  </si>
  <si>
    <t>Aktivet e blera gjate vitit</t>
  </si>
  <si>
    <t>Aktive te shitura gjate vitit</t>
  </si>
  <si>
    <t>Amortizimi vjetor</t>
  </si>
  <si>
    <t>Amortizimi i aktiveve te shitura</t>
  </si>
  <si>
    <t>Aktivet nga Egzistenca e kontrollit efektiv (SKK 1; 17,18,79,80) gjate vitit</t>
  </si>
  <si>
    <t xml:space="preserve">Inventaret analitike bashkangjitur </t>
  </si>
  <si>
    <t xml:space="preserve">Ativet biologjike </t>
  </si>
  <si>
    <t>Aktive  jo materiale</t>
  </si>
  <si>
    <t>Aktive tatimore te shtyra</t>
  </si>
  <si>
    <t>Kapitali i nenshkruar i pa paguar</t>
  </si>
  <si>
    <t>III</t>
  </si>
  <si>
    <t>DETYRIMET    DHE  KAPITALI</t>
  </si>
  <si>
    <t>Paradhënie për punonjësit</t>
  </si>
  <si>
    <t>Sigurime shoqërore dhe shëndetsore</t>
  </si>
  <si>
    <t>Organizma të tjera shoqërore</t>
  </si>
  <si>
    <t>Detyrime të tjera</t>
  </si>
  <si>
    <t>Tatim mbi të ardhurat personale</t>
  </si>
  <si>
    <t>Tatime të tjera për punonjësit</t>
  </si>
  <si>
    <t>Shteti- TVSh për t’u paguar</t>
  </si>
  <si>
    <t>Të tjera tatime pët’u paguar dhe për t’u kthyer (teprica kreditore)</t>
  </si>
  <si>
    <t>Tatime të shtyra (teprica kreditore)</t>
  </si>
  <si>
    <t>Tatimi në burim</t>
  </si>
  <si>
    <t>Debitore kreditore tjere (ortake)</t>
  </si>
  <si>
    <t>Pasqyra   e   te   Ardhurave   dhe   Shpenzimeve</t>
  </si>
  <si>
    <t>●</t>
  </si>
  <si>
    <t>Shpenzimet perbehen nga</t>
  </si>
  <si>
    <t>Shpenzime të tjera financiare</t>
  </si>
  <si>
    <t>(diferenca negative konvertimi)</t>
  </si>
  <si>
    <t>Fitimi (Humbja) e vitit financiar</t>
  </si>
  <si>
    <t>Fitimi i ushtrimit</t>
  </si>
  <si>
    <t>Shpenzime te pa zbriteshme</t>
  </si>
  <si>
    <t>gjoba</t>
  </si>
  <si>
    <t>paga dhene me arke</t>
  </si>
  <si>
    <t>Fitimi para tatimit</t>
  </si>
  <si>
    <t>Tatimi mbi fitimin</t>
  </si>
  <si>
    <t>RAKORDIMI ME DEKLARIMET NE FDP</t>
  </si>
  <si>
    <t>Muaji</t>
  </si>
  <si>
    <t>Shitje me tvsh</t>
  </si>
  <si>
    <t>Tvsh</t>
  </si>
  <si>
    <t>Janar</t>
  </si>
  <si>
    <t>Shkurt</t>
  </si>
  <si>
    <t>Mars</t>
  </si>
  <si>
    <t>Prill</t>
  </si>
  <si>
    <t>Maj</t>
  </si>
  <si>
    <t>Qershor</t>
  </si>
  <si>
    <t>Korrik</t>
  </si>
  <si>
    <t>Gusht</t>
  </si>
  <si>
    <t>Shtator</t>
  </si>
  <si>
    <t>Tetor</t>
  </si>
  <si>
    <t>Nentor</t>
  </si>
  <si>
    <t>Dhjetor</t>
  </si>
  <si>
    <t>TOTAL</t>
  </si>
  <si>
    <t>Deklarimi</t>
  </si>
  <si>
    <t>Bilanci</t>
  </si>
  <si>
    <t>Diferenca</t>
  </si>
  <si>
    <t>deklarimi</t>
  </si>
  <si>
    <t>nga keto zbriten</t>
  </si>
  <si>
    <t>Ndryshimi gjendjeve</t>
  </si>
  <si>
    <t>Blerje e AAM</t>
  </si>
  <si>
    <t>Diferenca ne vl e tatushme dogane</t>
  </si>
  <si>
    <t>faturimi</t>
  </si>
  <si>
    <t>vl tat dogan</t>
  </si>
  <si>
    <t>diferenca</t>
  </si>
  <si>
    <t>NR.</t>
  </si>
  <si>
    <t xml:space="preserve">FONDI PAGAVE </t>
  </si>
  <si>
    <t xml:space="preserve">PAGA  PER </t>
  </si>
  <si>
    <t xml:space="preserve">PAGUAR </t>
  </si>
  <si>
    <t>PUNONJ.</t>
  </si>
  <si>
    <t>GJITHSEJ</t>
  </si>
  <si>
    <t>LLOG RITJE SIG.</t>
  </si>
  <si>
    <t>PUNEDHENESI</t>
  </si>
  <si>
    <t>PUNEMARESI</t>
  </si>
  <si>
    <t>JANAR</t>
  </si>
  <si>
    <t xml:space="preserve">SHKURTE </t>
  </si>
  <si>
    <t xml:space="preserve">MARS </t>
  </si>
  <si>
    <t>PRILL</t>
  </si>
  <si>
    <t>MAJ</t>
  </si>
  <si>
    <t>QERSHOR</t>
  </si>
  <si>
    <t>KORRIK</t>
  </si>
  <si>
    <t>GUSHTE</t>
  </si>
  <si>
    <t>SHTATOR</t>
  </si>
  <si>
    <t>TETOR</t>
  </si>
  <si>
    <t>NENTOR</t>
  </si>
  <si>
    <t>DHJETOR</t>
  </si>
  <si>
    <t>paga</t>
  </si>
  <si>
    <t>sigurime</t>
  </si>
  <si>
    <t>total</t>
  </si>
  <si>
    <t>Pasqyra   e   Fluksit   Monetar  -  Metoda  Indirekte</t>
  </si>
  <si>
    <t>Mjetet monetare ne fillim te periudhes kontabel</t>
  </si>
  <si>
    <t xml:space="preserve">Ne fluksin monetar kane ndikuar </t>
  </si>
  <si>
    <t>Pozitivisht :</t>
  </si>
  <si>
    <t>Fitimi  neto</t>
  </si>
  <si>
    <t>Amortizimin</t>
  </si>
  <si>
    <t>Rritje/renie ne tepricen e detyrimeve ,per tu paguar</t>
  </si>
  <si>
    <t>Renje e gjendjes inventareve</t>
  </si>
  <si>
    <t>Shuma e Faktoreve me influence Pozitive</t>
  </si>
  <si>
    <t>dhe Negativisht :</t>
  </si>
  <si>
    <t>Humbja ushtrimit</t>
  </si>
  <si>
    <t>Blerja e aktiveve afatgjata materiale</t>
  </si>
  <si>
    <t>Rritje e gjendjes inventareve</t>
  </si>
  <si>
    <t>Shuma e Faktoreve me influence Negative</t>
  </si>
  <si>
    <t>Gjendja e Mj.Monetare me 31.12.2017</t>
  </si>
  <si>
    <t>cash flow</t>
  </si>
  <si>
    <t xml:space="preserve">Pasqyra  e  Ndryshimeve  ne  Kapital  </t>
  </si>
  <si>
    <t>Fitimi (humbja) neto e vitit 2016</t>
  </si>
  <si>
    <t>Shperndarje dividenti</t>
  </si>
  <si>
    <t>Fitimi qe bartet nga viti I kaluar</t>
  </si>
  <si>
    <t>Rivleresime</t>
  </si>
  <si>
    <t>Humbje/fitimi I vitit</t>
  </si>
  <si>
    <t>Rritja e kapitalit aksioner</t>
  </si>
  <si>
    <t>Llogarite jashte bilancit</t>
  </si>
  <si>
    <t>ska</t>
  </si>
  <si>
    <t>C</t>
  </si>
  <si>
    <t>Shënime të tjera shpjegeuse</t>
  </si>
  <si>
    <t xml:space="preserve">Ngjarje te ndodhura pas dates se bilancit per te cilat behen rregullime apo ngjarje te </t>
  </si>
  <si>
    <t>ndodhura pas dates se bilancit per te cilat nuk behen rregulline  nuk ka.</t>
  </si>
  <si>
    <t>Gabime materiale te ndodhura ne periudhat kontabel te mepareshme te konstatuara gjate</t>
  </si>
  <si>
    <t>periudhes raportuese dhe qe ka  korigjim nuk ka.</t>
  </si>
  <si>
    <t>Per Drejtimin  e Njesise  Ekonomike</t>
  </si>
  <si>
    <t>(   ________________  )</t>
  </si>
  <si>
    <t xml:space="preserve">INTESA </t>
  </si>
  <si>
    <t>PROCREDIT</t>
  </si>
  <si>
    <t>VENETO</t>
  </si>
  <si>
    <t xml:space="preserve">  REDITORE NE DOGAN E </t>
  </si>
  <si>
    <t xml:space="preserve">Kliente </t>
  </si>
  <si>
    <t xml:space="preserve">materiale afatgjate  Biollogjire </t>
  </si>
  <si>
    <t>Vlera 1.01.2017</t>
  </si>
  <si>
    <t>shtesa 2017</t>
  </si>
  <si>
    <t>Amortizimi  akumuluar</t>
  </si>
  <si>
    <t xml:space="preserve">Vlera e mbetur </t>
  </si>
  <si>
    <t xml:space="preserve">amortizimi vjetor </t>
  </si>
  <si>
    <t>Vlera neto 31/12/2017</t>
  </si>
  <si>
    <t xml:space="preserve">Ndryshimi gjendjes prod gatshme </t>
  </si>
  <si>
    <t>Blerje perjashtuar</t>
  </si>
  <si>
    <t xml:space="preserve">Importe(pa tvsh </t>
  </si>
  <si>
    <t>Importe(Blerje)</t>
  </si>
  <si>
    <t>tvsh importe</t>
  </si>
  <si>
    <t>Bl.bren.vend</t>
  </si>
  <si>
    <t>TVSH bl.bren</t>
  </si>
  <si>
    <t xml:space="preserve">Fdp shpenzime </t>
  </si>
  <si>
    <t>Shenz ne  fdp</t>
  </si>
  <si>
    <t>shpen interesa</t>
  </si>
  <si>
    <t>Blerje AQ</t>
  </si>
  <si>
    <t xml:space="preserve">Refernca dog </t>
  </si>
  <si>
    <t xml:space="preserve">Diferenca </t>
  </si>
  <si>
    <t xml:space="preserve">DITARI PAGAVE </t>
  </si>
  <si>
    <t>SHENDETE</t>
  </si>
  <si>
    <t>KONTRIBUTI</t>
  </si>
  <si>
    <t xml:space="preserve">TATIM </t>
  </si>
  <si>
    <t>PUNEMARES</t>
  </si>
  <si>
    <t>PUNEDHENES</t>
  </si>
  <si>
    <t>GJITSEJ</t>
  </si>
  <si>
    <t>page</t>
  </si>
  <si>
    <t>pagesa  nga blerja e aktiveve afatgjata materiale</t>
  </si>
  <si>
    <t>.</t>
  </si>
  <si>
    <t xml:space="preserve">   Gjenja  e Mj.Monetare me 01.01.2017</t>
  </si>
  <si>
    <t>Provizore per celjen etj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</si>
</sst>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(* #,##0.00_);_(* \(#,##0.00\);_(* &quot;-&quot;??_);_(@_)"/>
    <numFmt numFmtId="164" formatCode="_-* #,##0.00_-;\-* #,##0.00_-;_-* &quot;-&quot;??_-;_-@_-"/>
    <numFmt numFmtId="165" formatCode="_-* #,##0.00_L_e_k_-;\-* #,##0.00_L_e_k_-;_-* &quot;-&quot;??_L_e_k_-;_-@_-"/>
    <numFmt numFmtId="166" formatCode="_-* #,##0.00\ _€_-;\-* #,##0.00\ _€_-;_-* &quot;-&quot;??\ _€_-;_-@_-"/>
    <numFmt numFmtId="167" formatCode="_-* #,##0_L_e_k_-;\-* #,##0_L_e_k_-;_-* &quot;-&quot;??_L_e_k_-;_-@_-"/>
    <numFmt numFmtId="168" formatCode="_(* #,##0_);_(* \(#,##0\);_(* &quot;-&quot;??_);_(@_)"/>
    <numFmt numFmtId="169" formatCode="0.0000"/>
    <numFmt numFmtId="170" formatCode="_-* #,##0_-;\-* #,##0_-;_-* &quot;-&quot;??_-;_-@_-"/>
    <numFmt numFmtId="171" formatCode="#,##0.000000000"/>
  </numFmts>
  <fonts count="5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</font>
    <font>
      <sz val="12"/>
      <name val="Arial"/>
      <family val="2"/>
    </font>
    <font>
      <u/>
      <sz val="12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10"/>
      <name val="Arial"/>
      <family val="2"/>
    </font>
    <font>
      <u/>
      <sz val="10"/>
      <name val="Arial"/>
      <family val="2"/>
    </font>
    <font>
      <i/>
      <sz val="10"/>
      <name val="Arial"/>
      <family val="2"/>
    </font>
    <font>
      <u/>
      <sz val="14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i/>
      <sz val="14"/>
      <name val="Arial"/>
      <family val="2"/>
    </font>
    <font>
      <sz val="12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i/>
      <sz val="12"/>
      <name val="Arial"/>
      <family val="2"/>
    </font>
    <font>
      <sz val="9"/>
      <name val="Arial"/>
      <family val="2"/>
    </font>
    <font>
      <b/>
      <sz val="26"/>
      <name val="Arial Narrow"/>
      <family val="2"/>
    </font>
    <font>
      <b/>
      <sz val="26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sz val="8"/>
      <name val="Times New Roman"/>
      <family val="1"/>
    </font>
    <font>
      <sz val="8"/>
      <name val="Times New Roman"/>
      <family val="1"/>
    </font>
    <font>
      <b/>
      <i/>
      <sz val="12"/>
      <name val="Arial"/>
      <family val="2"/>
    </font>
    <font>
      <b/>
      <i/>
      <sz val="10"/>
      <name val="Arial"/>
      <family val="2"/>
    </font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2"/>
      <name val="Calibri"/>
      <family val="2"/>
      <scheme val="minor"/>
    </font>
    <font>
      <sz val="10"/>
      <color rgb="FFFF0000"/>
      <name val="Arial"/>
      <family val="2"/>
    </font>
    <font>
      <sz val="8"/>
      <name val="Calibri"/>
      <family val="2"/>
      <scheme val="minor"/>
    </font>
    <font>
      <sz val="9"/>
      <color rgb="FF00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9"/>
      <name val="Arial"/>
      <family val="2"/>
    </font>
    <font>
      <sz val="9"/>
      <name val="Times New Roman"/>
      <family val="1"/>
    </font>
    <font>
      <b/>
      <u/>
      <sz val="9"/>
      <name val="Arial"/>
      <family val="2"/>
    </font>
    <font>
      <sz val="9"/>
      <name val="Arial"/>
      <family val="2"/>
      <charset val="238"/>
    </font>
    <font>
      <i/>
      <sz val="9"/>
      <name val="Arial"/>
      <family val="2"/>
    </font>
    <font>
      <b/>
      <u/>
      <sz val="9"/>
      <name val="Arial"/>
      <family val="2"/>
      <charset val="238"/>
    </font>
    <font>
      <i/>
      <sz val="9"/>
      <name val="Arial"/>
      <family val="2"/>
      <charset val="238"/>
    </font>
    <font>
      <sz val="9"/>
      <color theme="1"/>
      <name val="Arial"/>
      <family val="2"/>
    </font>
    <font>
      <sz val="9"/>
      <color theme="1"/>
      <name val="Calibri"/>
      <family val="2"/>
      <scheme val="minor"/>
    </font>
    <font>
      <b/>
      <sz val="9"/>
      <name val="Calibri"/>
      <family val="2"/>
      <charset val="238"/>
    </font>
    <font>
      <b/>
      <sz val="9"/>
      <name val="Times New Roman"/>
      <family val="1"/>
    </font>
    <font>
      <b/>
      <i/>
      <u/>
      <sz val="9"/>
      <name val="Times New Roman"/>
      <family val="1"/>
    </font>
    <font>
      <b/>
      <i/>
      <sz val="9"/>
      <name val="Times New Roman"/>
      <family val="1"/>
    </font>
    <font>
      <b/>
      <i/>
      <u/>
      <sz val="9"/>
      <name val="Arial"/>
      <family val="2"/>
    </font>
    <font>
      <u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2">
    <xf numFmtId="0" fontId="0" fillId="0" borderId="0"/>
    <xf numFmtId="165" fontId="7" fillId="0" borderId="0" applyFont="0" applyFill="0" applyBorder="0" applyAlignment="0" applyProtection="0"/>
    <xf numFmtId="166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0" fontId="33" fillId="0" borderId="0"/>
    <xf numFmtId="0" fontId="11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9" fontId="10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420">
    <xf numFmtId="0" fontId="0" fillId="0" borderId="0" xfId="0"/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center"/>
    </xf>
    <xf numFmtId="0" fontId="10" fillId="0" borderId="1" xfId="0" applyFont="1" applyBorder="1"/>
    <xf numFmtId="0" fontId="10" fillId="0" borderId="0" xfId="0" applyFont="1" applyBorder="1"/>
    <xf numFmtId="0" fontId="10" fillId="0" borderId="2" xfId="0" applyFont="1" applyBorder="1"/>
    <xf numFmtId="0" fontId="10" fillId="0" borderId="0" xfId="0" applyFont="1"/>
    <xf numFmtId="0" fontId="10" fillId="0" borderId="3" xfId="0" applyFont="1" applyBorder="1"/>
    <xf numFmtId="0" fontId="10" fillId="0" borderId="4" xfId="0" applyFont="1" applyBorder="1" applyAlignment="1">
      <alignment horizontal="center"/>
    </xf>
    <xf numFmtId="0" fontId="10" fillId="0" borderId="5" xfId="0" applyFont="1" applyBorder="1" applyAlignment="1">
      <alignment horizontal="left"/>
    </xf>
    <xf numFmtId="3" fontId="10" fillId="0" borderId="6" xfId="0" applyNumberFormat="1" applyFont="1" applyBorder="1"/>
    <xf numFmtId="0" fontId="14" fillId="0" borderId="3" xfId="0" applyFont="1" applyBorder="1" applyAlignment="1">
      <alignment vertical="center"/>
    </xf>
    <xf numFmtId="0" fontId="12" fillId="0" borderId="5" xfId="0" applyFont="1" applyBorder="1" applyAlignment="1">
      <alignment horizontal="left" vertical="center"/>
    </xf>
    <xf numFmtId="0" fontId="14" fillId="0" borderId="3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5" fillId="0" borderId="0" xfId="0" applyFont="1" applyAlignment="1">
      <alignment vertical="center"/>
    </xf>
    <xf numFmtId="3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3" fontId="10" fillId="0" borderId="0" xfId="0" applyNumberFormat="1" applyFont="1"/>
    <xf numFmtId="0" fontId="9" fillId="0" borderId="0" xfId="0" applyFont="1" applyAlignment="1">
      <alignment horizontal="center" vertical="center"/>
    </xf>
    <xf numFmtId="0" fontId="35" fillId="0" borderId="0" xfId="7" applyFont="1"/>
    <xf numFmtId="0" fontId="35" fillId="0" borderId="0" xfId="7" applyFont="1" applyAlignment="1">
      <alignment vertical="center"/>
    </xf>
    <xf numFmtId="0" fontId="35" fillId="0" borderId="6" xfId="7" applyFont="1" applyBorder="1"/>
    <xf numFmtId="0" fontId="20" fillId="0" borderId="6" xfId="7" applyFont="1" applyBorder="1" applyAlignment="1">
      <alignment vertical="center" textRotation="90" wrapText="1"/>
    </xf>
    <xf numFmtId="0" fontId="22" fillId="0" borderId="6" xfId="0" applyFont="1" applyBorder="1" applyAlignment="1">
      <alignment horizontal="center" vertical="center"/>
    </xf>
    <xf numFmtId="0" fontId="21" fillId="0" borderId="6" xfId="7" applyFont="1" applyBorder="1" applyAlignment="1">
      <alignment vertical="center" wrapText="1"/>
    </xf>
    <xf numFmtId="0" fontId="20" fillId="0" borderId="6" xfId="7" applyFont="1" applyBorder="1" applyAlignment="1">
      <alignment vertical="center" wrapText="1"/>
    </xf>
    <xf numFmtId="0" fontId="9" fillId="0" borderId="6" xfId="0" applyFont="1" applyBorder="1" applyAlignment="1">
      <alignment horizontal="left" vertical="center"/>
    </xf>
    <xf numFmtId="0" fontId="12" fillId="0" borderId="5" xfId="0" applyFont="1" applyBorder="1" applyAlignment="1">
      <alignment vertical="center"/>
    </xf>
    <xf numFmtId="0" fontId="12" fillId="0" borderId="3" xfId="0" applyFont="1" applyBorder="1" applyAlignment="1">
      <alignment vertical="center"/>
    </xf>
    <xf numFmtId="1" fontId="12" fillId="0" borderId="8" xfId="0" applyNumberFormat="1" applyFont="1" applyBorder="1" applyAlignment="1">
      <alignment horizontal="center" vertical="center"/>
    </xf>
    <xf numFmtId="3" fontId="10" fillId="0" borderId="6" xfId="0" applyNumberFormat="1" applyFont="1" applyBorder="1" applyAlignment="1">
      <alignment vertical="center"/>
    </xf>
    <xf numFmtId="0" fontId="10" fillId="0" borderId="6" xfId="0" applyFont="1" applyBorder="1" applyAlignment="1">
      <alignment horizontal="center" vertical="center"/>
    </xf>
    <xf numFmtId="3" fontId="10" fillId="0" borderId="6" xfId="0" applyNumberFormat="1" applyFont="1" applyBorder="1" applyAlignment="1">
      <alignment horizontal="center" vertical="center"/>
    </xf>
    <xf numFmtId="3" fontId="12" fillId="0" borderId="6" xfId="0" applyNumberFormat="1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0" fillId="0" borderId="4" xfId="0" applyFont="1" applyBorder="1" applyAlignment="1">
      <alignment horizontal="left" vertical="center"/>
    </xf>
    <xf numFmtId="0" fontId="10" fillId="0" borderId="3" xfId="0" applyFont="1" applyBorder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0" fontId="14" fillId="0" borderId="4" xfId="0" applyFont="1" applyBorder="1" applyAlignment="1">
      <alignment vertical="center"/>
    </xf>
    <xf numFmtId="3" fontId="10" fillId="0" borderId="9" xfId="0" applyNumberFormat="1" applyFont="1" applyBorder="1" applyAlignment="1">
      <alignment horizontal="center" vertical="center"/>
    </xf>
    <xf numFmtId="0" fontId="10" fillId="0" borderId="7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0" fontId="14" fillId="0" borderId="11" xfId="0" applyFont="1" applyBorder="1" applyAlignment="1">
      <alignment horizontal="left" vertical="center"/>
    </xf>
    <xf numFmtId="0" fontId="10" fillId="0" borderId="4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1" fontId="12" fillId="0" borderId="6" xfId="0" applyNumberFormat="1" applyFont="1" applyBorder="1" applyAlignment="1">
      <alignment horizontal="center" vertical="center"/>
    </xf>
    <xf numFmtId="3" fontId="10" fillId="0" borderId="9" xfId="0" applyNumberFormat="1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14" fillId="0" borderId="4" xfId="0" applyFont="1" applyBorder="1" applyAlignment="1">
      <alignment horizontal="left" vertical="center"/>
    </xf>
    <xf numFmtId="0" fontId="10" fillId="0" borderId="12" xfId="0" applyFont="1" applyBorder="1" applyAlignment="1">
      <alignment horizontal="left" vertical="center"/>
    </xf>
    <xf numFmtId="0" fontId="10" fillId="0" borderId="8" xfId="0" applyFont="1" applyBorder="1" applyAlignment="1">
      <alignment horizontal="left" vertical="center"/>
    </xf>
    <xf numFmtId="0" fontId="10" fillId="0" borderId="13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10" fillId="0" borderId="7" xfId="0" applyFont="1" applyBorder="1"/>
    <xf numFmtId="0" fontId="10" fillId="0" borderId="12" xfId="0" applyFont="1" applyBorder="1"/>
    <xf numFmtId="0" fontId="10" fillId="0" borderId="8" xfId="0" applyFont="1" applyBorder="1"/>
    <xf numFmtId="0" fontId="24" fillId="0" borderId="1" xfId="0" applyFont="1" applyBorder="1"/>
    <xf numFmtId="0" fontId="24" fillId="0" borderId="0" xfId="0" applyFont="1" applyBorder="1"/>
    <xf numFmtId="0" fontId="24" fillId="0" borderId="13" xfId="0" applyFont="1" applyBorder="1"/>
    <xf numFmtId="0" fontId="24" fillId="0" borderId="13" xfId="0" applyFont="1" applyBorder="1" applyAlignment="1">
      <alignment horizontal="right"/>
    </xf>
    <xf numFmtId="0" fontId="24" fillId="0" borderId="13" xfId="0" applyFont="1" applyBorder="1" applyAlignment="1">
      <alignment horizontal="center"/>
    </xf>
    <xf numFmtId="0" fontId="24" fillId="0" borderId="2" xfId="0" applyFont="1" applyBorder="1"/>
    <xf numFmtId="0" fontId="24" fillId="0" borderId="0" xfId="0" applyFont="1"/>
    <xf numFmtId="0" fontId="24" fillId="0" borderId="4" xfId="0" applyFont="1" applyBorder="1"/>
    <xf numFmtId="0" fontId="24" fillId="0" borderId="0" xfId="0" applyNumberFormat="1" applyFont="1" applyBorder="1" applyAlignment="1">
      <alignment horizontal="center"/>
    </xf>
    <xf numFmtId="0" fontId="24" fillId="0" borderId="0" xfId="0" applyFont="1" applyBorder="1" applyAlignment="1">
      <alignment horizontal="center"/>
    </xf>
    <xf numFmtId="0" fontId="26" fillId="0" borderId="0" xfId="0" applyFont="1" applyBorder="1" applyAlignment="1">
      <alignment horizontal="center"/>
    </xf>
    <xf numFmtId="0" fontId="8" fillId="0" borderId="1" xfId="0" applyFont="1" applyBorder="1"/>
    <xf numFmtId="0" fontId="8" fillId="0" borderId="0" xfId="0" applyFont="1" applyBorder="1"/>
    <xf numFmtId="0" fontId="8" fillId="0" borderId="2" xfId="0" applyFont="1" applyBorder="1"/>
    <xf numFmtId="0" fontId="8" fillId="0" borderId="0" xfId="0" applyFont="1"/>
    <xf numFmtId="0" fontId="10" fillId="0" borderId="10" xfId="0" applyFont="1" applyBorder="1"/>
    <xf numFmtId="0" fontId="10" fillId="0" borderId="13" xfId="0" applyFont="1" applyBorder="1"/>
    <xf numFmtId="0" fontId="10" fillId="0" borderId="11" xfId="0" applyFont="1" applyBorder="1"/>
    <xf numFmtId="0" fontId="8" fillId="0" borderId="0" xfId="0" applyFont="1" applyAlignment="1">
      <alignment horizontal="center"/>
    </xf>
    <xf numFmtId="0" fontId="17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6" xfId="0" applyFont="1" applyBorder="1" applyAlignment="1">
      <alignment horizontal="center"/>
    </xf>
    <xf numFmtId="0" fontId="12" fillId="0" borderId="8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/>
    </xf>
    <xf numFmtId="0" fontId="15" fillId="0" borderId="0" xfId="0" applyFont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0" fillId="0" borderId="0" xfId="0" applyFont="1" applyAlignment="1">
      <alignment horizontal="right"/>
    </xf>
    <xf numFmtId="167" fontId="37" fillId="0" borderId="0" xfId="1" applyNumberFormat="1" applyFont="1" applyAlignment="1">
      <alignment vertical="center"/>
    </xf>
    <xf numFmtId="167" fontId="29" fillId="0" borderId="6" xfId="1" applyNumberFormat="1" applyFont="1" applyBorder="1" applyAlignment="1">
      <alignment horizontal="center" vertical="center" textRotation="90"/>
    </xf>
    <xf numFmtId="167" fontId="29" fillId="0" borderId="6" xfId="1" applyNumberFormat="1" applyFont="1" applyBorder="1" applyAlignment="1">
      <alignment horizontal="center" vertical="center" textRotation="90" wrapText="1"/>
    </xf>
    <xf numFmtId="167" fontId="29" fillId="0" borderId="6" xfId="1" applyNumberFormat="1" applyFont="1" applyBorder="1" applyAlignment="1">
      <alignment horizontal="center" vertical="center" wrapText="1"/>
    </xf>
    <xf numFmtId="167" fontId="30" fillId="0" borderId="6" xfId="1" applyNumberFormat="1" applyFont="1" applyBorder="1" applyAlignment="1">
      <alignment horizontal="center" vertical="center" wrapText="1"/>
    </xf>
    <xf numFmtId="0" fontId="37" fillId="0" borderId="0" xfId="1" applyNumberFormat="1" applyFont="1" applyAlignment="1">
      <alignment vertical="center"/>
    </xf>
    <xf numFmtId="1" fontId="37" fillId="0" borderId="0" xfId="1" applyNumberFormat="1" applyFont="1" applyAlignment="1">
      <alignment vertical="center"/>
    </xf>
    <xf numFmtId="3" fontId="36" fillId="0" borderId="6" xfId="0" applyNumberFormat="1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0" fontId="10" fillId="0" borderId="12" xfId="0" applyFont="1" applyBorder="1" applyAlignment="1">
      <alignment vertical="center"/>
    </xf>
    <xf numFmtId="0" fontId="10" fillId="0" borderId="8" xfId="0" applyFont="1" applyBorder="1" applyAlignment="1">
      <alignment vertical="center"/>
    </xf>
    <xf numFmtId="0" fontId="10" fillId="0" borderId="13" xfId="0" applyFont="1" applyBorder="1" applyAlignment="1">
      <alignment vertical="center"/>
    </xf>
    <xf numFmtId="0" fontId="10" fillId="0" borderId="11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14" xfId="0" applyFont="1" applyBorder="1" applyAlignment="1">
      <alignment vertical="center"/>
    </xf>
    <xf numFmtId="14" fontId="24" fillId="0" borderId="13" xfId="0" applyNumberFormat="1" applyFont="1" applyBorder="1"/>
    <xf numFmtId="0" fontId="38" fillId="0" borderId="13" xfId="0" applyFont="1" applyBorder="1"/>
    <xf numFmtId="0" fontId="38" fillId="0" borderId="0" xfId="0" applyFont="1"/>
    <xf numFmtId="3" fontId="14" fillId="0" borderId="16" xfId="4" applyNumberFormat="1" applyFont="1" applyBorder="1" applyAlignment="1">
      <alignment vertical="center"/>
    </xf>
    <xf numFmtId="3" fontId="0" fillId="0" borderId="0" xfId="0" applyNumberFormat="1"/>
    <xf numFmtId="0" fontId="0" fillId="0" borderId="0" xfId="0" applyFill="1"/>
    <xf numFmtId="168" fontId="0" fillId="0" borderId="0" xfId="3" applyNumberFormat="1" applyFont="1" applyFill="1" applyAlignment="1">
      <alignment horizontal="center"/>
    </xf>
    <xf numFmtId="0" fontId="10" fillId="0" borderId="0" xfId="0" applyFont="1" applyFill="1" applyAlignment="1">
      <alignment horizontal="left"/>
    </xf>
    <xf numFmtId="167" fontId="35" fillId="0" borderId="0" xfId="7" applyNumberFormat="1" applyFont="1"/>
    <xf numFmtId="167" fontId="30" fillId="2" borderId="6" xfId="1" applyNumberFormat="1" applyFont="1" applyFill="1" applyBorder="1" applyAlignment="1">
      <alignment horizontal="center" vertical="center" wrapText="1"/>
    </xf>
    <xf numFmtId="3" fontId="37" fillId="0" borderId="0" xfId="1" applyNumberFormat="1" applyFont="1" applyAlignment="1">
      <alignment vertical="center"/>
    </xf>
    <xf numFmtId="3" fontId="10" fillId="2" borderId="6" xfId="0" applyNumberFormat="1" applyFont="1" applyFill="1" applyBorder="1" applyAlignment="1">
      <alignment horizontal="center" vertical="center"/>
    </xf>
    <xf numFmtId="0" fontId="24" fillId="0" borderId="4" xfId="0" applyFont="1" applyBorder="1" applyAlignment="1">
      <alignment horizontal="center"/>
    </xf>
    <xf numFmtId="0" fontId="10" fillId="0" borderId="13" xfId="0" applyFont="1" applyBorder="1" applyAlignment="1">
      <alignment horizontal="center" vertical="center"/>
    </xf>
    <xf numFmtId="3" fontId="10" fillId="0" borderId="14" xfId="0" applyNumberFormat="1" applyFont="1" applyBorder="1" applyAlignment="1">
      <alignment horizontal="center" vertical="center"/>
    </xf>
    <xf numFmtId="167" fontId="10" fillId="0" borderId="0" xfId="1" applyNumberFormat="1" applyFont="1" applyAlignment="1">
      <alignment vertical="center"/>
    </xf>
    <xf numFmtId="167" fontId="10" fillId="0" borderId="0" xfId="1" applyNumberFormat="1" applyFont="1"/>
    <xf numFmtId="0" fontId="10" fillId="0" borderId="11" xfId="0" applyFont="1" applyBorder="1" applyAlignment="1">
      <alignment horizontal="center" vertical="center"/>
    </xf>
    <xf numFmtId="0" fontId="9" fillId="0" borderId="0" xfId="0" applyFont="1" applyFill="1" applyAlignment="1">
      <alignment horizontal="left" vertical="center"/>
    </xf>
    <xf numFmtId="0" fontId="13" fillId="0" borderId="0" xfId="0" applyFont="1" applyFill="1" applyAlignment="1">
      <alignment horizontal="center" vertical="center"/>
    </xf>
    <xf numFmtId="0" fontId="15" fillId="0" borderId="0" xfId="0" applyFont="1" applyFill="1" applyAlignment="1">
      <alignment vertical="center"/>
    </xf>
    <xf numFmtId="0" fontId="15" fillId="0" borderId="0" xfId="0" applyFont="1" applyFill="1" applyAlignment="1">
      <alignment horizontal="center" vertical="center"/>
    </xf>
    <xf numFmtId="3" fontId="10" fillId="0" borderId="0" xfId="0" applyNumberFormat="1" applyFont="1" applyFill="1" applyAlignment="1">
      <alignment horizontal="center" vertical="center"/>
    </xf>
    <xf numFmtId="0" fontId="10" fillId="0" borderId="0" xfId="0" applyFont="1" applyFill="1" applyAlignment="1">
      <alignment vertical="center"/>
    </xf>
    <xf numFmtId="0" fontId="10" fillId="0" borderId="0" xfId="0" applyFont="1" applyFill="1" applyAlignment="1">
      <alignment horizontal="center"/>
    </xf>
    <xf numFmtId="3" fontId="10" fillId="0" borderId="0" xfId="0" applyNumberFormat="1" applyFont="1" applyFill="1"/>
    <xf numFmtId="0" fontId="12" fillId="0" borderId="9" xfId="0" applyFont="1" applyFill="1" applyBorder="1" applyAlignment="1">
      <alignment vertical="center"/>
    </xf>
    <xf numFmtId="1" fontId="12" fillId="0" borderId="8" xfId="0" applyNumberFormat="1" applyFont="1" applyFill="1" applyBorder="1" applyAlignment="1">
      <alignment horizontal="center" vertical="center"/>
    </xf>
    <xf numFmtId="1" fontId="12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/>
    <xf numFmtId="0" fontId="10" fillId="0" borderId="6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3" fontId="10" fillId="0" borderId="0" xfId="0" applyNumberFormat="1" applyFont="1" applyFill="1" applyBorder="1" applyAlignment="1">
      <alignment vertical="center"/>
    </xf>
    <xf numFmtId="0" fontId="22" fillId="0" borderId="4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vertical="center"/>
    </xf>
    <xf numFmtId="0" fontId="10" fillId="0" borderId="4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vertical="center"/>
    </xf>
    <xf numFmtId="0" fontId="14" fillId="0" borderId="3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3" fontId="10" fillId="0" borderId="0" xfId="0" applyNumberFormat="1" applyFont="1" applyFill="1" applyAlignment="1">
      <alignment vertical="center"/>
    </xf>
    <xf numFmtId="0" fontId="12" fillId="0" borderId="14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vertical="center"/>
    </xf>
    <xf numFmtId="0" fontId="12" fillId="0" borderId="6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vertical="center"/>
    </xf>
    <xf numFmtId="0" fontId="31" fillId="0" borderId="0" xfId="0" applyFont="1" applyAlignment="1">
      <alignment horizontal="left" vertical="center"/>
    </xf>
    <xf numFmtId="0" fontId="32" fillId="0" borderId="0" xfId="0" applyFont="1"/>
    <xf numFmtId="0" fontId="10" fillId="0" borderId="9" xfId="0" applyFont="1" applyBorder="1" applyAlignment="1">
      <alignment horizontal="center"/>
    </xf>
    <xf numFmtId="14" fontId="10" fillId="0" borderId="14" xfId="0" applyNumberFormat="1" applyFont="1" applyBorder="1" applyAlignment="1">
      <alignment horizontal="center"/>
    </xf>
    <xf numFmtId="0" fontId="0" fillId="0" borderId="0" xfId="0" applyBorder="1"/>
    <xf numFmtId="0" fontId="0" fillId="0" borderId="6" xfId="0" applyBorder="1" applyAlignment="1">
      <alignment horizontal="center"/>
    </xf>
    <xf numFmtId="0" fontId="16" fillId="0" borderId="0" xfId="0" applyFont="1"/>
    <xf numFmtId="3" fontId="10" fillId="0" borderId="6" xfId="4" applyNumberFormat="1" applyFont="1" applyBorder="1"/>
    <xf numFmtId="3" fontId="10" fillId="0" borderId="6" xfId="4" applyNumberFormat="1" applyFont="1" applyFill="1" applyBorder="1"/>
    <xf numFmtId="3" fontId="0" fillId="0" borderId="0" xfId="0" applyNumberFormat="1" applyBorder="1"/>
    <xf numFmtId="0" fontId="16" fillId="0" borderId="6" xfId="0" applyFont="1" applyBorder="1"/>
    <xf numFmtId="37" fontId="10" fillId="0" borderId="6" xfId="0" applyNumberFormat="1" applyFont="1" applyFill="1" applyBorder="1"/>
    <xf numFmtId="0" fontId="12" fillId="0" borderId="6" xfId="0" applyFont="1" applyFill="1" applyBorder="1"/>
    <xf numFmtId="0" fontId="10" fillId="0" borderId="6" xfId="0" applyFont="1" applyBorder="1"/>
    <xf numFmtId="0" fontId="10" fillId="0" borderId="17" xfId="0" applyFont="1" applyBorder="1" applyAlignment="1">
      <alignment vertical="center"/>
    </xf>
    <xf numFmtId="0" fontId="14" fillId="0" borderId="16" xfId="0" applyFont="1" applyBorder="1" applyAlignment="1">
      <alignment vertical="center"/>
    </xf>
    <xf numFmtId="0" fontId="14" fillId="0" borderId="16" xfId="0" applyFont="1" applyBorder="1" applyAlignment="1">
      <alignment horizontal="center" vertical="center"/>
    </xf>
    <xf numFmtId="3" fontId="14" fillId="0" borderId="18" xfId="4" applyNumberFormat="1" applyFont="1" applyBorder="1" applyAlignment="1">
      <alignment vertical="center"/>
    </xf>
    <xf numFmtId="1" fontId="0" fillId="0" borderId="0" xfId="0" applyNumberFormat="1"/>
    <xf numFmtId="168" fontId="0" fillId="0" borderId="0" xfId="2" applyNumberFormat="1" applyFont="1"/>
    <xf numFmtId="0" fontId="12" fillId="0" borderId="0" xfId="0" applyFont="1" applyBorder="1"/>
    <xf numFmtId="3" fontId="10" fillId="0" borderId="0" xfId="4" applyNumberFormat="1" applyFont="1" applyFill="1" applyBorder="1"/>
    <xf numFmtId="3" fontId="10" fillId="0" borderId="16" xfId="4" applyNumberFormat="1" applyFont="1" applyBorder="1"/>
    <xf numFmtId="170" fontId="33" fillId="0" borderId="6" xfId="3" applyNumberFormat="1" applyFont="1" applyFill="1" applyBorder="1"/>
    <xf numFmtId="167" fontId="10" fillId="0" borderId="6" xfId="1" applyNumberFormat="1" applyFont="1" applyBorder="1"/>
    <xf numFmtId="167" fontId="0" fillId="0" borderId="6" xfId="1" applyNumberFormat="1" applyFont="1" applyBorder="1"/>
    <xf numFmtId="167" fontId="0" fillId="0" borderId="0" xfId="1" applyNumberFormat="1" applyFont="1" applyBorder="1"/>
    <xf numFmtId="167" fontId="0" fillId="0" borderId="0" xfId="1" applyNumberFormat="1" applyFont="1"/>
    <xf numFmtId="170" fontId="10" fillId="0" borderId="0" xfId="0" applyNumberFormat="1" applyFont="1" applyAlignment="1">
      <alignment vertical="center"/>
    </xf>
    <xf numFmtId="0" fontId="0" fillId="0" borderId="0" xfId="0"/>
    <xf numFmtId="0" fontId="16" fillId="0" borderId="0" xfId="0" applyFont="1"/>
    <xf numFmtId="0" fontId="0" fillId="0" borderId="0" xfId="0" applyBorder="1"/>
    <xf numFmtId="3" fontId="0" fillId="0" borderId="0" xfId="0" applyNumberFormat="1" applyBorder="1"/>
    <xf numFmtId="0" fontId="10" fillId="0" borderId="0" xfId="0" applyFont="1" applyFill="1"/>
    <xf numFmtId="0" fontId="10" fillId="0" borderId="6" xfId="0" applyFont="1" applyBorder="1"/>
    <xf numFmtId="0" fontId="0" fillId="0" borderId="6" xfId="0" applyBorder="1" applyAlignment="1">
      <alignment horizontal="center"/>
    </xf>
    <xf numFmtId="0" fontId="16" fillId="0" borderId="6" xfId="0" applyFont="1" applyBorder="1"/>
    <xf numFmtId="3" fontId="10" fillId="0" borderId="6" xfId="0" applyNumberFormat="1" applyFont="1" applyFill="1" applyBorder="1" applyAlignment="1">
      <alignment vertical="center"/>
    </xf>
    <xf numFmtId="3" fontId="12" fillId="0" borderId="6" xfId="0" applyNumberFormat="1" applyFont="1" applyFill="1" applyBorder="1" applyAlignment="1">
      <alignment horizontal="center" vertical="center"/>
    </xf>
    <xf numFmtId="3" fontId="10" fillId="0" borderId="9" xfId="0" applyNumberFormat="1" applyFont="1" applyFill="1" applyBorder="1" applyAlignment="1">
      <alignment vertical="center"/>
    </xf>
    <xf numFmtId="167" fontId="10" fillId="0" borderId="9" xfId="1" applyNumberFormat="1" applyFont="1" applyFill="1" applyBorder="1" applyAlignment="1">
      <alignment vertical="center"/>
    </xf>
    <xf numFmtId="0" fontId="10" fillId="0" borderId="14" xfId="0" applyFont="1" applyFill="1" applyBorder="1" applyAlignment="1">
      <alignment vertical="center"/>
    </xf>
    <xf numFmtId="170" fontId="10" fillId="0" borderId="0" xfId="0" applyNumberFormat="1" applyFont="1" applyFill="1" applyAlignment="1">
      <alignment vertical="center"/>
    </xf>
    <xf numFmtId="0" fontId="10" fillId="0" borderId="15" xfId="0" applyFont="1" applyBorder="1"/>
    <xf numFmtId="0" fontId="0" fillId="0" borderId="15" xfId="0" applyBorder="1" applyAlignment="1">
      <alignment horizontal="center"/>
    </xf>
    <xf numFmtId="3" fontId="10" fillId="0" borderId="15" xfId="4" applyNumberFormat="1" applyFont="1" applyBorder="1"/>
    <xf numFmtId="170" fontId="33" fillId="0" borderId="15" xfId="3" applyNumberFormat="1" applyFont="1" applyFill="1" applyBorder="1"/>
    <xf numFmtId="167" fontId="10" fillId="0" borderId="15" xfId="1" applyNumberFormat="1" applyFont="1" applyBorder="1"/>
    <xf numFmtId="171" fontId="0" fillId="0" borderId="0" xfId="0" applyNumberFormat="1"/>
    <xf numFmtId="168" fontId="10" fillId="0" borderId="0" xfId="0" applyNumberFormat="1" applyFont="1" applyAlignment="1">
      <alignment vertical="center"/>
    </xf>
    <xf numFmtId="1" fontId="12" fillId="0" borderId="6" xfId="0" applyNumberFormat="1" applyFont="1" applyFill="1" applyBorder="1" applyAlignment="1">
      <alignment horizontal="center" vertical="center"/>
    </xf>
    <xf numFmtId="3" fontId="10" fillId="0" borderId="6" xfId="0" applyNumberFormat="1" applyFont="1" applyFill="1" applyBorder="1"/>
    <xf numFmtId="3" fontId="10" fillId="0" borderId="6" xfId="0" applyNumberFormat="1" applyFont="1" applyFill="1" applyBorder="1" applyAlignment="1">
      <alignment horizontal="center" vertical="center"/>
    </xf>
    <xf numFmtId="0" fontId="12" fillId="0" borderId="0" xfId="0" applyFont="1" applyFill="1" applyAlignment="1">
      <alignment vertical="center"/>
    </xf>
    <xf numFmtId="168" fontId="10" fillId="0" borderId="0" xfId="0" applyNumberFormat="1" applyFont="1" applyFill="1" applyAlignment="1">
      <alignment vertical="center"/>
    </xf>
    <xf numFmtId="43" fontId="10" fillId="0" borderId="0" xfId="0" applyNumberFormat="1" applyFont="1" applyFill="1" applyAlignment="1">
      <alignment vertical="center"/>
    </xf>
    <xf numFmtId="0" fontId="22" fillId="0" borderId="13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right" vertical="center"/>
    </xf>
    <xf numFmtId="0" fontId="10" fillId="0" borderId="0" xfId="0" applyFont="1" applyFill="1" applyBorder="1" applyAlignment="1">
      <alignment vertical="center"/>
    </xf>
    <xf numFmtId="0" fontId="34" fillId="0" borderId="0" xfId="0" applyFont="1" applyFill="1" applyAlignment="1">
      <alignment vertical="center"/>
    </xf>
    <xf numFmtId="0" fontId="10" fillId="0" borderId="0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right"/>
    </xf>
    <xf numFmtId="0" fontId="10" fillId="0" borderId="0" xfId="0" applyFont="1" applyFill="1" applyBorder="1"/>
    <xf numFmtId="3" fontId="39" fillId="0" borderId="0" xfId="0" applyNumberFormat="1" applyFont="1" applyFill="1" applyAlignment="1">
      <alignment horizontal="center" vertical="center"/>
    </xf>
    <xf numFmtId="3" fontId="39" fillId="0" borderId="0" xfId="0" applyNumberFormat="1" applyFont="1" applyFill="1"/>
    <xf numFmtId="1" fontId="40" fillId="0" borderId="8" xfId="0" applyNumberFormat="1" applyFont="1" applyFill="1" applyBorder="1" applyAlignment="1">
      <alignment horizontal="center" vertical="center"/>
    </xf>
    <xf numFmtId="3" fontId="39" fillId="0" borderId="6" xfId="0" applyNumberFormat="1" applyFont="1" applyFill="1" applyBorder="1" applyAlignment="1">
      <alignment vertical="center"/>
    </xf>
    <xf numFmtId="3" fontId="5" fillId="0" borderId="6" xfId="0" applyNumberFormat="1" applyFont="1" applyFill="1" applyBorder="1"/>
    <xf numFmtId="3" fontId="39" fillId="0" borderId="0" xfId="0" applyNumberFormat="1" applyFont="1" applyFill="1" applyBorder="1" applyAlignment="1">
      <alignment vertical="center"/>
    </xf>
    <xf numFmtId="3" fontId="39" fillId="0" borderId="0" xfId="0" applyNumberFormat="1" applyFont="1" applyFill="1" applyBorder="1"/>
    <xf numFmtId="167" fontId="39" fillId="0" borderId="0" xfId="1" applyNumberFormat="1" applyFont="1" applyFill="1" applyBorder="1" applyAlignment="1">
      <alignment vertical="center"/>
    </xf>
    <xf numFmtId="168" fontId="10" fillId="3" borderId="0" xfId="0" applyNumberFormat="1" applyFont="1" applyFill="1" applyAlignment="1">
      <alignment vertical="center"/>
    </xf>
    <xf numFmtId="167" fontId="39" fillId="0" borderId="0" xfId="1" applyNumberFormat="1" applyFont="1" applyFill="1" applyAlignment="1">
      <alignment horizontal="center" vertical="center"/>
    </xf>
    <xf numFmtId="167" fontId="39" fillId="0" borderId="0" xfId="1" applyNumberFormat="1" applyFont="1" applyFill="1"/>
    <xf numFmtId="167" fontId="40" fillId="0" borderId="8" xfId="1" applyNumberFormat="1" applyFont="1" applyFill="1" applyBorder="1" applyAlignment="1">
      <alignment horizontal="center" vertical="center"/>
    </xf>
    <xf numFmtId="167" fontId="39" fillId="0" borderId="6" xfId="1" applyNumberFormat="1" applyFont="1" applyFill="1" applyBorder="1" applyAlignment="1">
      <alignment vertical="center"/>
    </xf>
    <xf numFmtId="167" fontId="39" fillId="0" borderId="0" xfId="1" applyNumberFormat="1" applyFont="1" applyFill="1" applyBorder="1"/>
    <xf numFmtId="167" fontId="24" fillId="0" borderId="3" xfId="1" applyNumberFormat="1" applyFont="1" applyFill="1" applyBorder="1"/>
    <xf numFmtId="167" fontId="24" fillId="0" borderId="6" xfId="1" applyNumberFormat="1" applyFont="1" applyFill="1" applyBorder="1" applyAlignment="1">
      <alignment horizontal="right"/>
    </xf>
    <xf numFmtId="167" fontId="24" fillId="0" borderId="3" xfId="1" applyNumberFormat="1" applyFont="1" applyFill="1" applyBorder="1" applyAlignment="1">
      <alignment horizontal="right"/>
    </xf>
    <xf numFmtId="167" fontId="24" fillId="0" borderId="3" xfId="1" applyNumberFormat="1" applyFont="1" applyFill="1" applyBorder="1" applyAlignment="1">
      <alignment vertical="center"/>
    </xf>
    <xf numFmtId="167" fontId="24" fillId="0" borderId="6" xfId="1" applyNumberFormat="1" applyFont="1" applyFill="1" applyBorder="1" applyAlignment="1">
      <alignment horizontal="right" vertical="center"/>
    </xf>
    <xf numFmtId="167" fontId="24" fillId="0" borderId="0" xfId="1" applyNumberFormat="1" applyFont="1" applyFill="1" applyBorder="1"/>
    <xf numFmtId="167" fontId="24" fillId="0" borderId="0" xfId="1" applyNumberFormat="1" applyFont="1" applyFill="1" applyBorder="1" applyAlignment="1">
      <alignment horizontal="right"/>
    </xf>
    <xf numFmtId="167" fontId="24" fillId="0" borderId="3" xfId="1" applyNumberFormat="1" applyFont="1" applyFill="1" applyBorder="1" applyAlignment="1">
      <alignment horizontal="right" vertical="center"/>
    </xf>
    <xf numFmtId="167" fontId="41" fillId="0" borderId="0" xfId="1" applyNumberFormat="1" applyFont="1" applyFill="1" applyBorder="1" applyAlignment="1">
      <alignment horizontal="right"/>
    </xf>
    <xf numFmtId="168" fontId="41" fillId="0" borderId="19" xfId="12" applyNumberFormat="1" applyFont="1" applyFill="1" applyBorder="1"/>
    <xf numFmtId="168" fontId="41" fillId="0" borderId="24" xfId="12" applyNumberFormat="1" applyFont="1" applyFill="1" applyBorder="1"/>
    <xf numFmtId="168" fontId="41" fillId="0" borderId="20" xfId="12" applyNumberFormat="1" applyFont="1" applyFill="1" applyBorder="1"/>
    <xf numFmtId="168" fontId="41" fillId="0" borderId="28" xfId="12" applyNumberFormat="1" applyFont="1" applyFill="1" applyBorder="1"/>
    <xf numFmtId="167" fontId="42" fillId="0" borderId="6" xfId="1" applyNumberFormat="1" applyFont="1" applyFill="1" applyBorder="1" applyAlignment="1">
      <alignment horizontal="left"/>
    </xf>
    <xf numFmtId="167" fontId="41" fillId="0" borderId="17" xfId="1" applyNumberFormat="1" applyFont="1" applyFill="1" applyBorder="1" applyAlignment="1">
      <alignment horizontal="left"/>
    </xf>
    <xf numFmtId="165" fontId="24" fillId="0" borderId="0" xfId="1" applyFont="1" applyFill="1" applyBorder="1" applyAlignment="1">
      <alignment horizontal="right"/>
    </xf>
    <xf numFmtId="165" fontId="24" fillId="0" borderId="6" xfId="1" applyFont="1" applyFill="1" applyBorder="1" applyAlignment="1">
      <alignment horizontal="right"/>
    </xf>
    <xf numFmtId="167" fontId="24" fillId="0" borderId="0" xfId="1" applyNumberFormat="1" applyFont="1" applyFill="1"/>
    <xf numFmtId="167" fontId="43" fillId="0" borderId="0" xfId="1" applyNumberFormat="1" applyFont="1" applyFill="1" applyBorder="1" applyAlignment="1">
      <alignment horizontal="center" vertical="center"/>
    </xf>
    <xf numFmtId="167" fontId="41" fillId="0" borderId="0" xfId="1" applyNumberFormat="1" applyFont="1" applyFill="1" applyBorder="1" applyAlignment="1">
      <alignment horizontal="center"/>
    </xf>
    <xf numFmtId="165" fontId="43" fillId="0" borderId="0" xfId="1" applyFont="1" applyFill="1" applyBorder="1" applyAlignment="1">
      <alignment horizontal="right" vertical="center"/>
    </xf>
    <xf numFmtId="167" fontId="44" fillId="0" borderId="0" xfId="1" applyNumberFormat="1" applyFont="1" applyFill="1"/>
    <xf numFmtId="167" fontId="43" fillId="0" borderId="0" xfId="1" applyNumberFormat="1" applyFont="1" applyFill="1" applyBorder="1"/>
    <xf numFmtId="167" fontId="24" fillId="0" borderId="0" xfId="1" applyNumberFormat="1" applyFont="1" applyFill="1" applyBorder="1" applyAlignment="1"/>
    <xf numFmtId="167" fontId="24" fillId="0" borderId="0" xfId="1" applyNumberFormat="1" applyFont="1" applyFill="1" applyBorder="1" applyAlignment="1">
      <alignment horizontal="center"/>
    </xf>
    <xf numFmtId="167" fontId="41" fillId="0" borderId="0" xfId="1" applyNumberFormat="1" applyFont="1" applyFill="1" applyBorder="1" applyAlignment="1">
      <alignment horizontal="center" vertical="center"/>
    </xf>
    <xf numFmtId="167" fontId="41" fillId="0" borderId="0" xfId="1" applyNumberFormat="1" applyFont="1" applyFill="1" applyBorder="1" applyAlignment="1">
      <alignment vertical="center"/>
    </xf>
    <xf numFmtId="167" fontId="43" fillId="0" borderId="0" xfId="1" applyNumberFormat="1" applyFont="1" applyFill="1" applyBorder="1" applyAlignment="1">
      <alignment horizontal="left" vertical="center"/>
    </xf>
    <xf numFmtId="167" fontId="24" fillId="0" borderId="0" xfId="1" applyNumberFormat="1" applyFont="1" applyFill="1" applyBorder="1" applyAlignment="1">
      <alignment vertical="center"/>
    </xf>
    <xf numFmtId="167" fontId="45" fillId="0" borderId="0" xfId="1" applyNumberFormat="1" applyFont="1" applyFill="1" applyBorder="1" applyAlignment="1">
      <alignment horizontal="center"/>
    </xf>
    <xf numFmtId="167" fontId="24" fillId="0" borderId="6" xfId="1" applyNumberFormat="1" applyFont="1" applyFill="1" applyBorder="1" applyAlignment="1">
      <alignment horizontal="center"/>
    </xf>
    <xf numFmtId="167" fontId="24" fillId="0" borderId="6" xfId="1" applyNumberFormat="1" applyFont="1" applyFill="1" applyBorder="1" applyAlignment="1"/>
    <xf numFmtId="167" fontId="24" fillId="0" borderId="6" xfId="1" applyNumberFormat="1" applyFont="1" applyFill="1" applyBorder="1"/>
    <xf numFmtId="167" fontId="24" fillId="0" borderId="6" xfId="1" applyNumberFormat="1" applyFont="1" applyFill="1" applyBorder="1" applyAlignment="1">
      <alignment horizontal="center" vertical="center"/>
    </xf>
    <xf numFmtId="167" fontId="24" fillId="0" borderId="6" xfId="1" applyNumberFormat="1" applyFont="1" applyFill="1" applyBorder="1" applyAlignment="1">
      <alignment vertical="center"/>
    </xf>
    <xf numFmtId="167" fontId="24" fillId="0" borderId="0" xfId="1" applyNumberFormat="1" applyFont="1" applyFill="1" applyBorder="1" applyAlignment="1">
      <alignment horizontal="center" vertical="center"/>
    </xf>
    <xf numFmtId="165" fontId="24" fillId="0" borderId="0" xfId="1" applyFont="1" applyFill="1" applyBorder="1" applyAlignment="1">
      <alignment horizontal="right" vertical="center"/>
    </xf>
    <xf numFmtId="167" fontId="45" fillId="0" borderId="0" xfId="1" applyNumberFormat="1" applyFont="1" applyFill="1" applyBorder="1" applyAlignment="1">
      <alignment vertical="center"/>
    </xf>
    <xf numFmtId="167" fontId="24" fillId="0" borderId="0" xfId="1" applyNumberFormat="1" applyFont="1" applyFill="1" applyBorder="1" applyAlignment="1">
      <alignment horizontal="left" vertical="center"/>
    </xf>
    <xf numFmtId="167" fontId="44" fillId="0" borderId="5" xfId="1" applyNumberFormat="1" applyFont="1" applyFill="1" applyBorder="1" applyAlignment="1">
      <alignment vertical="center"/>
    </xf>
    <xf numFmtId="167" fontId="44" fillId="0" borderId="4" xfId="1" applyNumberFormat="1" applyFont="1" applyFill="1" applyBorder="1"/>
    <xf numFmtId="167" fontId="44" fillId="0" borderId="3" xfId="1" applyNumberFormat="1" applyFont="1" applyFill="1" applyBorder="1"/>
    <xf numFmtId="167" fontId="44" fillId="0" borderId="5" xfId="1" applyNumberFormat="1" applyFont="1" applyFill="1" applyBorder="1"/>
    <xf numFmtId="167" fontId="44" fillId="0" borderId="3" xfId="1" applyNumberFormat="1" applyFont="1" applyFill="1" applyBorder="1" applyAlignment="1">
      <alignment horizontal="center"/>
    </xf>
    <xf numFmtId="167" fontId="46" fillId="0" borderId="0" xfId="1" applyNumberFormat="1" applyFont="1" applyFill="1" applyBorder="1" applyAlignment="1">
      <alignment vertical="center"/>
    </xf>
    <xf numFmtId="167" fontId="44" fillId="0" borderId="0" xfId="1" applyNumberFormat="1" applyFont="1" applyFill="1" applyBorder="1"/>
    <xf numFmtId="167" fontId="44" fillId="0" borderId="0" xfId="1" applyNumberFormat="1" applyFont="1" applyFill="1" applyBorder="1" applyAlignment="1">
      <alignment vertical="center"/>
    </xf>
    <xf numFmtId="167" fontId="43" fillId="0" borderId="0" xfId="1" applyNumberFormat="1" applyFont="1" applyFill="1" applyBorder="1" applyAlignment="1">
      <alignment horizontal="center"/>
    </xf>
    <xf numFmtId="167" fontId="44" fillId="0" borderId="0" xfId="1" applyNumberFormat="1" applyFont="1" applyFill="1" applyBorder="1" applyAlignment="1">
      <alignment horizontal="center"/>
    </xf>
    <xf numFmtId="167" fontId="44" fillId="0" borderId="0" xfId="1" applyNumberFormat="1" applyFont="1" applyFill="1" applyBorder="1" applyAlignment="1"/>
    <xf numFmtId="167" fontId="47" fillId="0" borderId="0" xfId="1" applyNumberFormat="1" applyFont="1" applyFill="1" applyBorder="1" applyAlignment="1">
      <alignment vertical="center"/>
    </xf>
    <xf numFmtId="167" fontId="41" fillId="0" borderId="0" xfId="1" applyNumberFormat="1" applyFont="1" applyFill="1" applyBorder="1"/>
    <xf numFmtId="167" fontId="48" fillId="0" borderId="0" xfId="1" applyNumberFormat="1" applyFont="1" applyFill="1" applyBorder="1" applyAlignment="1">
      <alignment vertical="center"/>
    </xf>
    <xf numFmtId="165" fontId="44" fillId="0" borderId="0" xfId="1" applyFont="1" applyFill="1" applyBorder="1" applyAlignment="1">
      <alignment horizontal="right"/>
    </xf>
    <xf numFmtId="167" fontId="24" fillId="0" borderId="6" xfId="1" applyNumberFormat="1" applyFont="1" applyBorder="1"/>
    <xf numFmtId="167" fontId="44" fillId="0" borderId="6" xfId="1" applyNumberFormat="1" applyFont="1" applyFill="1" applyBorder="1" applyAlignment="1">
      <alignment horizontal="center" vertical="center"/>
    </xf>
    <xf numFmtId="167" fontId="24" fillId="0" borderId="0" xfId="1" applyNumberFormat="1" applyFont="1" applyBorder="1"/>
    <xf numFmtId="167" fontId="43" fillId="0" borderId="0" xfId="1" applyNumberFormat="1" applyFont="1" applyFill="1" applyBorder="1" applyAlignment="1">
      <alignment vertical="center"/>
    </xf>
    <xf numFmtId="167" fontId="46" fillId="0" borderId="0" xfId="1" applyNumberFormat="1" applyFont="1" applyFill="1" applyBorder="1" applyAlignment="1">
      <alignment horizontal="center" vertical="center"/>
    </xf>
    <xf numFmtId="167" fontId="46" fillId="0" borderId="0" xfId="1" applyNumberFormat="1" applyFont="1" applyFill="1" applyBorder="1" applyAlignment="1">
      <alignment horizontal="left" vertical="center"/>
    </xf>
    <xf numFmtId="167" fontId="50" fillId="0" borderId="0" xfId="1" applyNumberFormat="1" applyFont="1" applyFill="1" applyBorder="1" applyAlignment="1">
      <alignment horizontal="center"/>
    </xf>
    <xf numFmtId="167" fontId="45" fillId="0" borderId="0" xfId="1" applyNumberFormat="1" applyFont="1" applyFill="1" applyBorder="1" applyAlignment="1">
      <alignment horizontal="left" vertical="center"/>
    </xf>
    <xf numFmtId="167" fontId="41" fillId="0" borderId="0" xfId="1" applyNumberFormat="1" applyFont="1" applyFill="1" applyBorder="1" applyAlignment="1">
      <alignment horizontal="left" vertical="center"/>
    </xf>
    <xf numFmtId="167" fontId="51" fillId="0" borderId="0" xfId="1" applyNumberFormat="1" applyFont="1" applyFill="1" applyBorder="1" applyAlignment="1">
      <alignment horizontal="right"/>
    </xf>
    <xf numFmtId="167" fontId="44" fillId="0" borderId="0" xfId="1" applyNumberFormat="1" applyFont="1" applyFill="1" applyBorder="1" applyAlignment="1">
      <alignment horizontal="center" vertical="center"/>
    </xf>
    <xf numFmtId="167" fontId="52" fillId="0" borderId="0" xfId="1" applyNumberFormat="1" applyFont="1" applyFill="1" applyBorder="1" applyAlignment="1">
      <alignment horizontal="left"/>
    </xf>
    <xf numFmtId="167" fontId="44" fillId="0" borderId="0" xfId="1" applyNumberFormat="1" applyFont="1" applyFill="1" applyBorder="1" applyAlignment="1">
      <alignment horizontal="right" vertical="center"/>
    </xf>
    <xf numFmtId="167" fontId="44" fillId="0" borderId="6" xfId="1" applyNumberFormat="1" applyFont="1" applyFill="1" applyBorder="1" applyAlignment="1">
      <alignment vertical="center"/>
    </xf>
    <xf numFmtId="167" fontId="52" fillId="0" borderId="6" xfId="1" applyNumberFormat="1" applyFont="1" applyFill="1" applyBorder="1" applyAlignment="1">
      <alignment horizontal="left"/>
    </xf>
    <xf numFmtId="167" fontId="41" fillId="0" borderId="6" xfId="1" applyNumberFormat="1" applyFont="1" applyFill="1" applyBorder="1" applyAlignment="1">
      <alignment vertical="center"/>
    </xf>
    <xf numFmtId="167" fontId="51" fillId="0" borderId="6" xfId="1" applyNumberFormat="1" applyFont="1" applyFill="1" applyBorder="1" applyAlignment="1">
      <alignment horizontal="left"/>
    </xf>
    <xf numFmtId="165" fontId="24" fillId="0" borderId="0" xfId="1" applyFont="1" applyFill="1" applyAlignment="1">
      <alignment horizontal="right"/>
    </xf>
    <xf numFmtId="167" fontId="52" fillId="0" borderId="0" xfId="1" applyNumberFormat="1" applyFont="1" applyFill="1" applyBorder="1" applyAlignment="1">
      <alignment horizontal="center"/>
    </xf>
    <xf numFmtId="167" fontId="53" fillId="0" borderId="0" xfId="1" applyNumberFormat="1" applyFont="1" applyFill="1" applyBorder="1" applyAlignment="1">
      <alignment horizontal="left"/>
    </xf>
    <xf numFmtId="167" fontId="52" fillId="0" borderId="0" xfId="1" applyNumberFormat="1" applyFont="1" applyFill="1" applyBorder="1" applyAlignment="1">
      <alignment horizontal="right"/>
    </xf>
    <xf numFmtId="167" fontId="54" fillId="0" borderId="0" xfId="1" applyNumberFormat="1" applyFont="1" applyFill="1" applyBorder="1" applyAlignment="1">
      <alignment horizontal="right" vertical="center"/>
    </xf>
    <xf numFmtId="167" fontId="55" fillId="0" borderId="0" xfId="1" applyNumberFormat="1" applyFont="1" applyFill="1" applyBorder="1" applyAlignment="1">
      <alignment vertical="center"/>
    </xf>
    <xf numFmtId="165" fontId="52" fillId="0" borderId="0" xfId="1" applyFont="1" applyFill="1" applyBorder="1" applyAlignment="1">
      <alignment horizontal="right"/>
    </xf>
    <xf numFmtId="167" fontId="24" fillId="0" borderId="5" xfId="1" applyNumberFormat="1" applyFont="1" applyFill="1" applyBorder="1"/>
    <xf numFmtId="167" fontId="24" fillId="0" borderId="4" xfId="1" applyNumberFormat="1" applyFont="1" applyFill="1" applyBorder="1"/>
    <xf numFmtId="167" fontId="45" fillId="0" borderId="6" xfId="1" applyNumberFormat="1" applyFont="1" applyFill="1" applyBorder="1" applyAlignment="1">
      <alignment vertical="center"/>
    </xf>
    <xf numFmtId="167" fontId="50" fillId="0" borderId="0" xfId="1" applyNumberFormat="1" applyFont="1" applyFill="1" applyBorder="1" applyAlignment="1">
      <alignment horizontal="center" vertical="center"/>
    </xf>
    <xf numFmtId="167" fontId="24" fillId="0" borderId="5" xfId="1" applyNumberFormat="1" applyFont="1" applyFill="1" applyBorder="1" applyAlignment="1">
      <alignment vertical="center"/>
    </xf>
    <xf numFmtId="167" fontId="24" fillId="0" borderId="4" xfId="1" applyNumberFormat="1" applyFont="1" applyFill="1" applyBorder="1" applyAlignment="1">
      <alignment vertical="center"/>
    </xf>
    <xf numFmtId="167" fontId="52" fillId="0" borderId="0" xfId="1" applyNumberFormat="1" applyFont="1" applyFill="1" applyBorder="1" applyAlignment="1">
      <alignment horizontal="left" vertical="center"/>
    </xf>
    <xf numFmtId="167" fontId="55" fillId="0" borderId="0" xfId="1" applyNumberFormat="1" applyFont="1" applyFill="1" applyBorder="1" applyAlignment="1"/>
    <xf numFmtId="167" fontId="42" fillId="0" borderId="0" xfId="1" applyNumberFormat="1" applyFont="1" applyFill="1" applyBorder="1" applyAlignment="1">
      <alignment horizontal="left"/>
    </xf>
    <xf numFmtId="167" fontId="51" fillId="0" borderId="0" xfId="1" applyNumberFormat="1" applyFont="1" applyFill="1" applyBorder="1" applyAlignment="1">
      <alignment horizontal="left"/>
    </xf>
    <xf numFmtId="167" fontId="24" fillId="0" borderId="0" xfId="1" applyNumberFormat="1" applyFont="1" applyFill="1" applyBorder="1" applyAlignment="1">
      <alignment horizontal="left"/>
    </xf>
    <xf numFmtId="167" fontId="24" fillId="0" borderId="0" xfId="1" applyNumberFormat="1" applyFont="1" applyFill="1" applyBorder="1" applyAlignment="1">
      <alignment horizontal="right" vertical="center"/>
    </xf>
    <xf numFmtId="167" fontId="41" fillId="0" borderId="0" xfId="1" applyNumberFormat="1" applyFont="1" applyFill="1" applyBorder="1" applyAlignment="1">
      <alignment horizontal="right" vertical="center"/>
    </xf>
    <xf numFmtId="167" fontId="45" fillId="0" borderId="0" xfId="1" applyNumberFormat="1" applyFont="1" applyFill="1" applyBorder="1" applyAlignment="1">
      <alignment horizontal="center" vertical="center"/>
    </xf>
    <xf numFmtId="167" fontId="44" fillId="0" borderId="0" xfId="1" applyNumberFormat="1" applyFont="1" applyFill="1" applyBorder="1" applyAlignment="1">
      <alignment horizontal="right"/>
    </xf>
    <xf numFmtId="167" fontId="24" fillId="0" borderId="6" xfId="1" applyNumberFormat="1" applyFont="1" applyFill="1" applyBorder="1" applyAlignment="1">
      <alignment horizontal="center" wrapText="1"/>
    </xf>
    <xf numFmtId="167" fontId="49" fillId="0" borderId="0" xfId="1" applyNumberFormat="1" applyFont="1"/>
    <xf numFmtId="167" fontId="24" fillId="3" borderId="0" xfId="1" applyNumberFormat="1" applyFont="1" applyFill="1" applyBorder="1" applyAlignment="1">
      <alignment horizontal="right"/>
    </xf>
    <xf numFmtId="167" fontId="24" fillId="0" borderId="0" xfId="1" applyNumberFormat="1" applyFont="1" applyFill="1" applyAlignment="1">
      <alignment horizontal="right"/>
    </xf>
    <xf numFmtId="167" fontId="41" fillId="0" borderId="21" xfId="1" applyNumberFormat="1" applyFont="1" applyFill="1" applyBorder="1" applyAlignment="1">
      <alignment horizontal="left"/>
    </xf>
    <xf numFmtId="167" fontId="41" fillId="0" borderId="22" xfId="1" applyNumberFormat="1" applyFont="1" applyFill="1" applyBorder="1"/>
    <xf numFmtId="167" fontId="41" fillId="0" borderId="23" xfId="1" applyNumberFormat="1" applyFont="1" applyFill="1" applyBorder="1" applyAlignment="1">
      <alignment horizontal="left"/>
    </xf>
    <xf numFmtId="167" fontId="41" fillId="0" borderId="23" xfId="1" applyNumberFormat="1" applyFont="1" applyFill="1" applyBorder="1"/>
    <xf numFmtId="167" fontId="41" fillId="0" borderId="25" xfId="1" applyNumberFormat="1" applyFont="1" applyFill="1" applyBorder="1" applyAlignment="1">
      <alignment horizontal="left"/>
    </xf>
    <xf numFmtId="167" fontId="41" fillId="0" borderId="26" xfId="1" applyNumberFormat="1" applyFont="1" applyFill="1" applyBorder="1"/>
    <xf numFmtId="167" fontId="41" fillId="0" borderId="27" xfId="1" applyNumberFormat="1" applyFont="1" applyFill="1" applyBorder="1" applyAlignment="1">
      <alignment horizontal="left"/>
    </xf>
    <xf numFmtId="167" fontId="41" fillId="0" borderId="27" xfId="1" applyNumberFormat="1" applyFont="1" applyFill="1" applyBorder="1"/>
    <xf numFmtId="167" fontId="45" fillId="0" borderId="3" xfId="1" applyNumberFormat="1" applyFont="1" applyBorder="1" applyAlignment="1">
      <alignment vertical="center"/>
    </xf>
    <xf numFmtId="167" fontId="42" fillId="0" borderId="0" xfId="1" applyNumberFormat="1" applyFont="1" applyFill="1" applyBorder="1" applyAlignment="1">
      <alignment horizontal="right"/>
    </xf>
    <xf numFmtId="0" fontId="12" fillId="0" borderId="5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17" fillId="0" borderId="0" xfId="0" applyFont="1" applyFill="1" applyAlignment="1">
      <alignment horizontal="center" vertical="center"/>
    </xf>
    <xf numFmtId="0" fontId="12" fillId="0" borderId="4" xfId="0" applyFont="1" applyFill="1" applyBorder="1" applyAlignment="1">
      <alignment horizontal="left" vertical="center"/>
    </xf>
    <xf numFmtId="0" fontId="12" fillId="0" borderId="8" xfId="0" applyFont="1" applyFill="1" applyBorder="1" applyAlignment="1">
      <alignment horizontal="center" vertical="center"/>
    </xf>
    <xf numFmtId="167" fontId="39" fillId="0" borderId="6" xfId="1" applyNumberFormat="1" applyFont="1" applyFill="1" applyBorder="1" applyAlignment="1">
      <alignment horizontal="right"/>
    </xf>
    <xf numFmtId="168" fontId="2" fillId="0" borderId="0" xfId="29" applyNumberFormat="1" applyFont="1" applyFill="1"/>
    <xf numFmtId="168" fontId="0" fillId="0" borderId="0" xfId="1" applyNumberFormat="1" applyFont="1" applyFill="1" applyAlignment="1">
      <alignment horizontal="right"/>
    </xf>
    <xf numFmtId="168" fontId="0" fillId="0" borderId="6" xfId="1" applyNumberFormat="1" applyFont="1" applyFill="1" applyBorder="1" applyAlignment="1">
      <alignment horizontal="right"/>
    </xf>
    <xf numFmtId="168" fontId="0" fillId="0" borderId="0" xfId="1" applyNumberFormat="1" applyFont="1" applyFill="1"/>
    <xf numFmtId="0" fontId="25" fillId="0" borderId="1" xfId="0" applyFont="1" applyBorder="1" applyAlignment="1">
      <alignment horizontal="center"/>
    </xf>
    <xf numFmtId="0" fontId="25" fillId="0" borderId="0" xfId="0" applyFont="1" applyBorder="1" applyAlignment="1">
      <alignment horizontal="center"/>
    </xf>
    <xf numFmtId="0" fontId="25" fillId="0" borderId="2" xfId="0" applyFont="1" applyBorder="1" applyAlignment="1">
      <alignment horizontal="center"/>
    </xf>
    <xf numFmtId="0" fontId="24" fillId="0" borderId="0" xfId="0" applyFont="1" applyBorder="1" applyAlignment="1">
      <alignment horizontal="center"/>
    </xf>
    <xf numFmtId="0" fontId="24" fillId="0" borderId="13" xfId="0" applyFont="1" applyBorder="1" applyAlignment="1">
      <alignment horizontal="center"/>
    </xf>
    <xf numFmtId="46" fontId="24" fillId="0" borderId="0" xfId="0" applyNumberFormat="1" applyFont="1" applyBorder="1" applyAlignment="1">
      <alignment horizontal="center"/>
    </xf>
    <xf numFmtId="0" fontId="24" fillId="0" borderId="4" xfId="0" applyFont="1" applyBorder="1" applyAlignment="1">
      <alignment horizontal="center"/>
    </xf>
    <xf numFmtId="21" fontId="24" fillId="0" borderId="0" xfId="0" applyNumberFormat="1" applyFont="1" applyBorder="1" applyAlignment="1">
      <alignment horizontal="center"/>
    </xf>
    <xf numFmtId="0" fontId="12" fillId="0" borderId="5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7" fillId="0" borderId="0" xfId="0" applyFont="1" applyFill="1" applyAlignment="1">
      <alignment horizontal="center" vertical="center"/>
    </xf>
    <xf numFmtId="0" fontId="12" fillId="0" borderId="5" xfId="0" applyFont="1" applyFill="1" applyBorder="1" applyAlignment="1">
      <alignment horizontal="left" vertical="center"/>
    </xf>
    <xf numFmtId="0" fontId="12" fillId="0" borderId="4" xfId="0" applyFont="1" applyFill="1" applyBorder="1" applyAlignment="1">
      <alignment horizontal="left" vertical="center"/>
    </xf>
    <xf numFmtId="0" fontId="12" fillId="0" borderId="3" xfId="0" applyFont="1" applyFill="1" applyBorder="1" applyAlignment="1">
      <alignment horizontal="left" vertical="center"/>
    </xf>
    <xf numFmtId="0" fontId="12" fillId="0" borderId="7" xfId="0" applyFont="1" applyFill="1" applyBorder="1" applyAlignment="1">
      <alignment horizontal="center" vertical="center"/>
    </xf>
    <xf numFmtId="0" fontId="12" fillId="0" borderId="12" xfId="0" applyFont="1" applyFill="1" applyBorder="1" applyAlignment="1">
      <alignment horizontal="center" vertical="center"/>
    </xf>
    <xf numFmtId="0" fontId="12" fillId="0" borderId="8" xfId="0" applyFont="1" applyFill="1" applyBorder="1" applyAlignment="1">
      <alignment horizontal="center" vertical="center"/>
    </xf>
    <xf numFmtId="3" fontId="10" fillId="0" borderId="9" xfId="0" applyNumberFormat="1" applyFont="1" applyBorder="1" applyAlignment="1">
      <alignment horizontal="center" vertical="center"/>
    </xf>
    <xf numFmtId="3" fontId="10" fillId="0" borderId="14" xfId="0" applyNumberFormat="1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3" fontId="10" fillId="0" borderId="9" xfId="0" applyNumberFormat="1" applyFont="1" applyFill="1" applyBorder="1" applyAlignment="1">
      <alignment horizontal="center" vertical="center"/>
    </xf>
    <xf numFmtId="3" fontId="10" fillId="0" borderId="14" xfId="0" applyNumberFormat="1" applyFont="1" applyFill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3" fontId="12" fillId="0" borderId="9" xfId="0" applyNumberFormat="1" applyFont="1" applyFill="1" applyBorder="1" applyAlignment="1">
      <alignment horizontal="center" vertical="center"/>
    </xf>
    <xf numFmtId="3" fontId="12" fillId="0" borderId="14" xfId="0" applyNumberFormat="1" applyFont="1" applyFill="1" applyBorder="1" applyAlignment="1">
      <alignment horizontal="center" vertical="center"/>
    </xf>
    <xf numFmtId="3" fontId="12" fillId="0" borderId="9" xfId="0" applyNumberFormat="1" applyFont="1" applyBorder="1" applyAlignment="1">
      <alignment horizontal="center" vertical="center"/>
    </xf>
    <xf numFmtId="3" fontId="12" fillId="0" borderId="14" xfId="0" applyNumberFormat="1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0" fontId="17" fillId="0" borderId="9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23" fillId="0" borderId="0" xfId="0" applyFont="1" applyAlignment="1">
      <alignment horizontal="center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34" fillId="0" borderId="0" xfId="7" applyFont="1" applyAlignment="1">
      <alignment horizontal="center"/>
    </xf>
    <xf numFmtId="167" fontId="24" fillId="0" borderId="6" xfId="1" applyNumberFormat="1" applyFont="1" applyFill="1" applyBorder="1" applyAlignment="1">
      <alignment horizontal="left"/>
    </xf>
    <xf numFmtId="167" fontId="24" fillId="0" borderId="6" xfId="1" applyNumberFormat="1" applyFont="1" applyFill="1" applyBorder="1" applyAlignment="1">
      <alignment horizontal="center"/>
    </xf>
    <xf numFmtId="167" fontId="43" fillId="0" borderId="0" xfId="1" applyNumberFormat="1" applyFont="1" applyFill="1" applyBorder="1" applyAlignment="1">
      <alignment horizontal="left"/>
    </xf>
    <xf numFmtId="167" fontId="24" fillId="0" borderId="6" xfId="1" applyNumberFormat="1" applyFont="1" applyFill="1" applyBorder="1" applyAlignment="1">
      <alignment horizontal="center" vertical="center"/>
    </xf>
    <xf numFmtId="167" fontId="55" fillId="0" borderId="0" xfId="1" applyNumberFormat="1" applyFont="1" applyFill="1" applyBorder="1" applyAlignment="1">
      <alignment horizontal="center"/>
    </xf>
    <xf numFmtId="167" fontId="24" fillId="0" borderId="0" xfId="1" applyNumberFormat="1" applyFont="1" applyFill="1" applyBorder="1" applyAlignment="1">
      <alignment horizontal="center"/>
    </xf>
    <xf numFmtId="167" fontId="24" fillId="0" borderId="0" xfId="1" applyNumberFormat="1" applyFont="1" applyFill="1" applyBorder="1" applyAlignment="1">
      <alignment horizontal="center" vertical="center"/>
    </xf>
    <xf numFmtId="167" fontId="24" fillId="0" borderId="0" xfId="1" applyNumberFormat="1" applyFont="1" applyFill="1" applyBorder="1" applyAlignment="1">
      <alignment vertical="center"/>
    </xf>
    <xf numFmtId="167" fontId="43" fillId="0" borderId="0" xfId="1" applyNumberFormat="1" applyFont="1" applyFill="1" applyBorder="1" applyAlignment="1">
      <alignment horizontal="left" vertical="center"/>
    </xf>
    <xf numFmtId="0" fontId="2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8" fillId="0" borderId="9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17" fillId="0" borderId="0" xfId="0" applyFont="1" applyAlignment="1">
      <alignment horizontal="center"/>
    </xf>
    <xf numFmtId="0" fontId="1" fillId="0" borderId="0" xfId="30"/>
    <xf numFmtId="3" fontId="12" fillId="3" borderId="6" xfId="0" applyNumberFormat="1" applyFont="1" applyFill="1" applyBorder="1" applyAlignment="1">
      <alignment horizontal="center" vertical="center"/>
    </xf>
    <xf numFmtId="3" fontId="10" fillId="3" borderId="9" xfId="0" applyNumberFormat="1" applyFont="1" applyFill="1" applyBorder="1" applyAlignment="1">
      <alignment horizontal="center" vertical="center"/>
    </xf>
    <xf numFmtId="3" fontId="10" fillId="3" borderId="9" xfId="0" applyNumberFormat="1" applyFont="1" applyFill="1" applyBorder="1" applyAlignment="1">
      <alignment horizontal="center" vertical="center"/>
    </xf>
    <xf numFmtId="3" fontId="10" fillId="3" borderId="14" xfId="0" applyNumberFormat="1" applyFont="1" applyFill="1" applyBorder="1" applyAlignment="1">
      <alignment horizontal="center" vertical="center"/>
    </xf>
    <xf numFmtId="0" fontId="33" fillId="0" borderId="0" xfId="7"/>
    <xf numFmtId="168" fontId="1" fillId="0" borderId="0" xfId="24" applyNumberFormat="1" applyFont="1"/>
    <xf numFmtId="168" fontId="0" fillId="0" borderId="0" xfId="24" applyNumberFormat="1" applyFont="1"/>
    <xf numFmtId="3" fontId="10" fillId="3" borderId="14" xfId="0" applyNumberFormat="1" applyFont="1" applyFill="1" applyBorder="1" applyAlignment="1">
      <alignment horizontal="center" vertical="center"/>
    </xf>
    <xf numFmtId="168" fontId="1" fillId="3" borderId="0" xfId="24" applyNumberFormat="1" applyFont="1" applyFill="1"/>
    <xf numFmtId="3" fontId="10" fillId="3" borderId="0" xfId="0" applyNumberFormat="1" applyFont="1" applyFill="1" applyBorder="1" applyAlignment="1">
      <alignment vertical="center"/>
    </xf>
    <xf numFmtId="43" fontId="10" fillId="0" borderId="0" xfId="0" applyNumberFormat="1" applyFont="1" applyAlignment="1">
      <alignment vertical="center"/>
    </xf>
    <xf numFmtId="167" fontId="10" fillId="0" borderId="0" xfId="1" applyNumberFormat="1" applyFont="1" applyFill="1" applyAlignment="1">
      <alignment vertical="center"/>
    </xf>
    <xf numFmtId="167" fontId="39" fillId="3" borderId="6" xfId="1" applyNumberFormat="1" applyFont="1" applyFill="1" applyBorder="1" applyAlignment="1">
      <alignment vertical="center"/>
    </xf>
    <xf numFmtId="167" fontId="5" fillId="3" borderId="0" xfId="1" applyNumberFormat="1" applyFont="1" applyFill="1"/>
    <xf numFmtId="168" fontId="1" fillId="3" borderId="0" xfId="31" applyNumberFormat="1" applyFont="1" applyFill="1"/>
    <xf numFmtId="0" fontId="1" fillId="0" borderId="0" xfId="30"/>
    <xf numFmtId="168" fontId="1" fillId="0" borderId="0" xfId="31" applyNumberFormat="1" applyFont="1"/>
  </cellXfs>
  <cellStyles count="32">
    <cellStyle name="Comma" xfId="1" builtinId="3"/>
    <cellStyle name="Comma 10" xfId="24"/>
    <cellStyle name="Comma 11" xfId="26"/>
    <cellStyle name="Comma 12" xfId="29"/>
    <cellStyle name="Comma 13" xfId="31"/>
    <cellStyle name="Comma 2" xfId="2"/>
    <cellStyle name="Comma 2 2" xfId="12"/>
    <cellStyle name="Comma 3" xfId="3"/>
    <cellStyle name="Comma 3 2" xfId="13"/>
    <cellStyle name="Comma 4" xfId="14"/>
    <cellStyle name="Comma 5" xfId="15"/>
    <cellStyle name="Comma 6" xfId="11"/>
    <cellStyle name="Comma 7" xfId="16"/>
    <cellStyle name="Comma 8" xfId="17"/>
    <cellStyle name="Comma 9" xfId="22"/>
    <cellStyle name="Comma_21.Aktivet Afatgjata Materiale  09" xfId="4"/>
    <cellStyle name="Migliaia 2" xfId="5"/>
    <cellStyle name="Migliaia 2 2" xfId="6"/>
    <cellStyle name="Normal" xfId="0" builtinId="0"/>
    <cellStyle name="Normal 2" xfId="7"/>
    <cellStyle name="Normal 2 2" xfId="18"/>
    <cellStyle name="Normal 3" xfId="8"/>
    <cellStyle name="Normal 3 2" xfId="27"/>
    <cellStyle name="Normal 4" xfId="21"/>
    <cellStyle name="Normal 5" xfId="23"/>
    <cellStyle name="Normal 6" xfId="19"/>
    <cellStyle name="Normal 7" xfId="25"/>
    <cellStyle name="Normal 8" xfId="28"/>
    <cellStyle name="Normal 9" xfId="30"/>
    <cellStyle name="Normale 2" xfId="9"/>
    <cellStyle name="Normale 4" xfId="10"/>
    <cellStyle name="Percent 2" xfId="2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PASQYRA%20FINANCIARE%202017%20KJO/MEDICARE%20PASQYRA%20%202017/medicare%20bilanc%202017%20Me%20shenimet%20%20%20shpiegus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-IND"/>
      <sheetName val="PRODUKTE"/>
    </sheetNames>
    <sheetDataSet>
      <sheetData sheetId="0" refreshError="1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p."/>
      <sheetName val="Aktivet"/>
      <sheetName val="Pasivet"/>
      <sheetName val="PASH"/>
      <sheetName val="Fluksi "/>
      <sheetName val="Kapitali"/>
      <sheetName val="Shenimet Spjeguse"/>
      <sheetName val="aam"/>
    </sheetNames>
    <sheetDataSet>
      <sheetData sheetId="0"/>
      <sheetData sheetId="1">
        <row r="5">
          <cell r="G5">
            <v>406113</v>
          </cell>
        </row>
        <row r="44">
          <cell r="F44">
            <v>0</v>
          </cell>
        </row>
        <row r="45">
          <cell r="F45"/>
        </row>
        <row r="46">
          <cell r="F46"/>
        </row>
      </sheetData>
      <sheetData sheetId="2">
        <row r="41">
          <cell r="F41"/>
        </row>
      </sheetData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"/>
  <sheetViews>
    <sheetView topLeftCell="A37" workbookViewId="0">
      <selection activeCell="H55" sqref="H55"/>
    </sheetView>
  </sheetViews>
  <sheetFormatPr defaultColWidth="9.140625" defaultRowHeight="12.75" x14ac:dyDescent="0.2"/>
  <cols>
    <col min="1" max="2" width="9.140625" style="6"/>
    <col min="3" max="3" width="9.28515625" style="6" customWidth="1"/>
    <col min="4" max="4" width="11.42578125" style="6" customWidth="1"/>
    <col min="5" max="5" width="12.85546875" style="6" customWidth="1"/>
    <col min="6" max="6" width="5.42578125" style="6" customWidth="1"/>
    <col min="7" max="7" width="9.85546875" style="6" bestFit="1" customWidth="1"/>
    <col min="8" max="8" width="9.140625" style="6"/>
    <col min="9" max="9" width="3.140625" style="6" customWidth="1"/>
    <col min="10" max="10" width="9.140625" style="6"/>
    <col min="11" max="11" width="1.85546875" style="6" customWidth="1"/>
    <col min="12" max="16384" width="9.140625" style="6"/>
  </cols>
  <sheetData>
    <row r="1" spans="1:10" ht="6.75" customHeight="1" x14ac:dyDescent="0.2"/>
    <row r="2" spans="1:10" x14ac:dyDescent="0.2">
      <c r="A2" s="57"/>
      <c r="B2" s="58"/>
      <c r="C2" s="58"/>
      <c r="D2" s="58"/>
      <c r="E2" s="58"/>
      <c r="F2" s="58"/>
      <c r="G2" s="58"/>
      <c r="H2" s="58"/>
      <c r="I2" s="58"/>
      <c r="J2" s="59"/>
    </row>
    <row r="3" spans="1:10" s="66" customFormat="1" ht="14.1" customHeight="1" x14ac:dyDescent="0.2">
      <c r="A3" s="60"/>
      <c r="B3" s="61" t="s">
        <v>23</v>
      </c>
      <c r="C3" s="61"/>
      <c r="D3" s="61"/>
      <c r="E3" s="62" t="s">
        <v>248</v>
      </c>
      <c r="F3" s="63"/>
      <c r="G3" s="64"/>
      <c r="H3" s="62"/>
      <c r="I3" s="61"/>
      <c r="J3" s="65"/>
    </row>
    <row r="4" spans="1:10" s="66" customFormat="1" ht="14.1" customHeight="1" x14ac:dyDescent="0.2">
      <c r="A4" s="60"/>
      <c r="B4" s="61" t="s">
        <v>13</v>
      </c>
      <c r="C4" s="61"/>
      <c r="D4" s="61"/>
      <c r="E4" s="62" t="s">
        <v>249</v>
      </c>
      <c r="F4" s="62"/>
      <c r="G4" s="120"/>
      <c r="H4" s="67"/>
      <c r="I4" s="67"/>
      <c r="J4" s="65"/>
    </row>
    <row r="5" spans="1:10" s="66" customFormat="1" ht="14.1" customHeight="1" x14ac:dyDescent="0.2">
      <c r="A5" s="60"/>
      <c r="B5" s="61" t="s">
        <v>5</v>
      </c>
      <c r="C5" s="61"/>
      <c r="D5" s="61"/>
      <c r="E5" s="109" t="s">
        <v>250</v>
      </c>
      <c r="F5" s="62"/>
      <c r="G5" s="62"/>
      <c r="H5" s="62"/>
      <c r="I5" s="62"/>
      <c r="J5" s="65"/>
    </row>
    <row r="6" spans="1:10" s="66" customFormat="1" ht="14.1" customHeight="1" x14ac:dyDescent="0.2">
      <c r="A6" s="60"/>
      <c r="B6" s="61"/>
      <c r="C6" s="61"/>
      <c r="D6" s="61"/>
      <c r="E6" s="61"/>
      <c r="F6" s="61"/>
      <c r="G6" s="64" t="s">
        <v>227</v>
      </c>
      <c r="H6" s="64"/>
      <c r="I6" s="61"/>
      <c r="J6" s="65"/>
    </row>
    <row r="7" spans="1:10" s="66" customFormat="1" ht="15.75" customHeight="1" x14ac:dyDescent="0.2">
      <c r="A7" s="60"/>
      <c r="B7" s="61" t="s">
        <v>0</v>
      </c>
      <c r="C7" s="61"/>
      <c r="D7" s="61"/>
      <c r="E7" s="108" t="s">
        <v>251</v>
      </c>
      <c r="F7" s="68"/>
      <c r="G7" s="61"/>
      <c r="H7" s="61"/>
      <c r="I7" s="61"/>
      <c r="J7" s="65"/>
    </row>
    <row r="8" spans="1:10" s="66" customFormat="1" ht="15.75" customHeight="1" x14ac:dyDescent="0.2">
      <c r="A8" s="60"/>
      <c r="B8" s="61" t="s">
        <v>1</v>
      </c>
      <c r="C8" s="61"/>
      <c r="D8" s="61"/>
      <c r="E8" s="67"/>
      <c r="F8" s="69"/>
      <c r="G8" s="61"/>
      <c r="H8" s="61"/>
      <c r="I8" s="61"/>
      <c r="J8" s="65"/>
    </row>
    <row r="9" spans="1:10" s="66" customFormat="1" ht="15.75" customHeight="1" x14ac:dyDescent="0.2">
      <c r="A9" s="60"/>
      <c r="B9" s="61"/>
      <c r="C9" s="61"/>
      <c r="D9" s="61"/>
      <c r="E9" s="61"/>
      <c r="F9" s="61"/>
      <c r="G9" s="61"/>
      <c r="H9" s="61"/>
      <c r="I9" s="61"/>
      <c r="J9" s="65"/>
    </row>
    <row r="10" spans="1:10" s="66" customFormat="1" ht="15.75" customHeight="1" x14ac:dyDescent="0.2">
      <c r="A10" s="60"/>
      <c r="B10" s="61" t="s">
        <v>11</v>
      </c>
      <c r="C10" s="61"/>
      <c r="D10" s="61"/>
      <c r="E10" s="110" t="s">
        <v>252</v>
      </c>
      <c r="F10" s="62"/>
      <c r="G10" s="62"/>
      <c r="H10" s="62"/>
      <c r="I10" s="62"/>
      <c r="J10" s="65"/>
    </row>
    <row r="11" spans="1:10" s="66" customFormat="1" ht="15.75" customHeight="1" x14ac:dyDescent="0.2">
      <c r="A11" s="60"/>
      <c r="B11" s="61"/>
      <c r="C11" s="61"/>
      <c r="D11" s="61"/>
      <c r="E11" s="67" t="s">
        <v>253</v>
      </c>
      <c r="F11" s="67"/>
      <c r="G11" s="67"/>
      <c r="H11" s="67"/>
      <c r="I11" s="67"/>
      <c r="J11" s="65"/>
    </row>
    <row r="12" spans="1:10" ht="18" customHeight="1" x14ac:dyDescent="0.2">
      <c r="A12" s="3"/>
      <c r="B12" s="4"/>
      <c r="C12" s="4"/>
      <c r="D12" s="4"/>
      <c r="E12" s="4"/>
      <c r="F12" s="4"/>
      <c r="G12" s="4"/>
      <c r="H12" s="4"/>
      <c r="I12" s="4"/>
      <c r="J12" s="5"/>
    </row>
    <row r="13" spans="1:10" x14ac:dyDescent="0.2">
      <c r="A13" s="3"/>
      <c r="B13" s="4"/>
      <c r="C13" s="4"/>
      <c r="D13" s="4"/>
      <c r="E13" s="4"/>
      <c r="F13" s="4"/>
      <c r="G13" s="4"/>
      <c r="H13" s="4"/>
      <c r="I13" s="4"/>
      <c r="J13" s="5"/>
    </row>
    <row r="14" spans="1:10" x14ac:dyDescent="0.2">
      <c r="A14" s="3"/>
      <c r="B14" s="4"/>
      <c r="C14" s="4"/>
      <c r="D14" s="4"/>
      <c r="E14" s="4"/>
      <c r="F14" s="4"/>
      <c r="G14" s="4"/>
      <c r="H14" s="4"/>
      <c r="I14" s="4"/>
      <c r="J14" s="5"/>
    </row>
    <row r="15" spans="1:10" x14ac:dyDescent="0.2">
      <c r="A15" s="3"/>
      <c r="B15" s="4"/>
      <c r="C15" s="4"/>
      <c r="D15" s="4"/>
      <c r="E15" s="4"/>
      <c r="F15" s="4"/>
      <c r="G15" s="4"/>
      <c r="H15" s="4"/>
      <c r="I15" s="4"/>
      <c r="J15" s="5"/>
    </row>
    <row r="16" spans="1:10" x14ac:dyDescent="0.2">
      <c r="A16" s="3"/>
      <c r="B16" s="4"/>
      <c r="C16" s="4"/>
      <c r="D16" s="4"/>
      <c r="E16" s="4"/>
      <c r="F16" s="4"/>
      <c r="G16" s="4"/>
      <c r="H16" s="4"/>
      <c r="I16" s="4"/>
      <c r="J16" s="5"/>
    </row>
    <row r="17" spans="1:10" x14ac:dyDescent="0.2">
      <c r="A17" s="3"/>
      <c r="C17" s="4"/>
      <c r="D17" s="4"/>
      <c r="E17" s="4"/>
      <c r="F17" s="4"/>
      <c r="G17" s="4"/>
      <c r="H17" s="4"/>
      <c r="I17" s="4"/>
      <c r="J17" s="5"/>
    </row>
    <row r="18" spans="1:10" x14ac:dyDescent="0.2">
      <c r="A18" s="3"/>
      <c r="B18" s="4"/>
      <c r="C18" s="4"/>
      <c r="D18" s="4"/>
      <c r="E18" s="4"/>
      <c r="F18" s="4"/>
      <c r="G18" s="4"/>
      <c r="H18" s="4"/>
      <c r="I18" s="4"/>
      <c r="J18" s="5"/>
    </row>
    <row r="19" spans="1:10" x14ac:dyDescent="0.2">
      <c r="A19" s="3"/>
      <c r="B19" s="4"/>
      <c r="C19" s="4"/>
      <c r="D19" s="4"/>
      <c r="E19" s="4"/>
      <c r="F19" s="4"/>
      <c r="G19" s="4"/>
      <c r="H19" s="4"/>
      <c r="I19" s="4"/>
      <c r="J19" s="5"/>
    </row>
    <row r="20" spans="1:10" x14ac:dyDescent="0.2">
      <c r="A20" s="3"/>
      <c r="B20" s="4"/>
      <c r="C20" s="4"/>
      <c r="D20" s="4"/>
      <c r="E20" s="4"/>
      <c r="F20" s="4"/>
      <c r="G20" s="4"/>
      <c r="H20" s="4"/>
      <c r="I20" s="4"/>
      <c r="J20" s="5"/>
    </row>
    <row r="21" spans="1:10" ht="409.6" x14ac:dyDescent="12.75">
      <c r="A21" s="347" t="s">
        <v>6</v>
      </c>
      <c r="B21" s="348"/>
      <c r="C21" s="348"/>
      <c r="D21" s="348"/>
      <c r="E21" s="348"/>
      <c r="F21" s="348"/>
      <c r="G21" s="348"/>
      <c r="H21" s="348"/>
      <c r="I21" s="348"/>
      <c r="J21" s="349"/>
    </row>
    <row r="22" spans="1:10" x14ac:dyDescent="0.2">
      <c r="A22" s="3"/>
      <c r="B22" s="350" t="s">
        <v>200</v>
      </c>
      <c r="C22" s="350"/>
      <c r="D22" s="350"/>
      <c r="E22" s="350"/>
      <c r="F22" s="350"/>
      <c r="G22" s="350"/>
      <c r="H22" s="350"/>
      <c r="I22" s="350"/>
      <c r="J22" s="5"/>
    </row>
    <row r="23" spans="1:10" x14ac:dyDescent="0.2">
      <c r="A23" s="3"/>
      <c r="B23" s="350" t="s">
        <v>12</v>
      </c>
      <c r="C23" s="350"/>
      <c r="D23" s="350"/>
      <c r="E23" s="350"/>
      <c r="F23" s="350"/>
      <c r="G23" s="350"/>
      <c r="H23" s="350"/>
      <c r="I23" s="350"/>
      <c r="J23" s="5"/>
    </row>
    <row r="24" spans="1:10" x14ac:dyDescent="0.2">
      <c r="A24" s="3"/>
      <c r="B24" s="4"/>
      <c r="C24" s="4"/>
      <c r="D24" s="4"/>
      <c r="E24" s="4"/>
      <c r="F24" s="4"/>
      <c r="G24" s="4"/>
      <c r="H24" s="4"/>
      <c r="I24" s="4"/>
      <c r="J24" s="5"/>
    </row>
    <row r="25" spans="1:10" x14ac:dyDescent="0.2">
      <c r="A25" s="3"/>
      <c r="B25" s="4"/>
      <c r="C25" s="4"/>
      <c r="D25" s="4"/>
      <c r="E25" s="4"/>
      <c r="F25" s="4"/>
      <c r="G25" s="4"/>
      <c r="H25" s="4"/>
      <c r="I25" s="4"/>
      <c r="J25" s="5"/>
    </row>
    <row r="26" spans="1:10" ht="33.75" x14ac:dyDescent="0.5">
      <c r="A26" s="3"/>
      <c r="B26" s="4"/>
      <c r="C26" s="4"/>
      <c r="D26" s="4"/>
      <c r="E26" s="70" t="s">
        <v>269</v>
      </c>
      <c r="F26" s="4"/>
      <c r="G26" s="4"/>
      <c r="H26" s="4"/>
      <c r="I26" s="4"/>
      <c r="J26" s="5"/>
    </row>
    <row r="27" spans="1:10" x14ac:dyDescent="0.2">
      <c r="A27" s="3"/>
      <c r="B27" s="4"/>
      <c r="C27" s="4"/>
      <c r="D27" s="4"/>
      <c r="E27" s="4"/>
      <c r="F27" s="4"/>
      <c r="G27" s="4"/>
      <c r="H27" s="4"/>
      <c r="I27" s="4"/>
      <c r="J27" s="5"/>
    </row>
    <row r="28" spans="1:10" x14ac:dyDescent="0.2">
      <c r="A28" s="3"/>
      <c r="B28" s="4"/>
      <c r="C28" s="4"/>
      <c r="D28" s="4"/>
      <c r="E28" s="4"/>
      <c r="F28" s="4"/>
      <c r="G28" s="4"/>
      <c r="H28" s="4"/>
      <c r="I28" s="4"/>
      <c r="J28" s="5"/>
    </row>
    <row r="29" spans="1:10" x14ac:dyDescent="0.2">
      <c r="A29" s="3"/>
      <c r="B29" s="4"/>
      <c r="C29" s="4"/>
      <c r="D29" s="4"/>
      <c r="E29" s="4"/>
      <c r="F29" s="4"/>
      <c r="G29" s="4"/>
      <c r="H29" s="4"/>
      <c r="I29" s="4"/>
      <c r="J29" s="5"/>
    </row>
    <row r="30" spans="1:10" x14ac:dyDescent="0.2">
      <c r="A30" s="3"/>
      <c r="B30" s="4"/>
      <c r="C30" s="4"/>
      <c r="D30" s="4"/>
      <c r="E30" s="4"/>
      <c r="F30" s="4"/>
      <c r="G30" s="4"/>
      <c r="H30" s="4"/>
      <c r="I30" s="4"/>
      <c r="J30" s="5"/>
    </row>
    <row r="31" spans="1:10" x14ac:dyDescent="0.2">
      <c r="A31" s="3"/>
      <c r="B31" s="4"/>
      <c r="C31" s="4"/>
      <c r="D31" s="4"/>
      <c r="E31" s="4"/>
      <c r="F31" s="4"/>
      <c r="G31" s="4"/>
      <c r="H31" s="4"/>
      <c r="I31" s="4"/>
      <c r="J31" s="5"/>
    </row>
    <row r="32" spans="1:10" x14ac:dyDescent="0.2">
      <c r="A32" s="3"/>
      <c r="B32" s="4"/>
      <c r="C32" s="4"/>
      <c r="D32" s="4"/>
      <c r="E32" s="4"/>
      <c r="F32" s="4"/>
      <c r="G32" s="4"/>
      <c r="H32" s="4"/>
      <c r="I32" s="4"/>
      <c r="J32" s="5"/>
    </row>
    <row r="33" spans="1:10" x14ac:dyDescent="0.2">
      <c r="A33" s="3"/>
      <c r="B33" s="4"/>
      <c r="C33" s="4"/>
      <c r="D33" s="4"/>
      <c r="E33" s="4"/>
      <c r="F33" s="4"/>
      <c r="G33" s="4"/>
      <c r="H33" s="4"/>
      <c r="I33" s="4"/>
      <c r="J33" s="5"/>
    </row>
    <row r="34" spans="1:10" x14ac:dyDescent="0.2">
      <c r="A34" s="3"/>
      <c r="B34" s="4"/>
      <c r="C34" s="4"/>
      <c r="D34" s="4"/>
      <c r="E34" s="4"/>
      <c r="F34" s="4"/>
      <c r="G34" s="4"/>
      <c r="H34" s="4"/>
      <c r="I34" s="4"/>
      <c r="J34" s="5"/>
    </row>
    <row r="35" spans="1:10" x14ac:dyDescent="0.2">
      <c r="A35" s="3"/>
      <c r="B35" s="4"/>
      <c r="C35" s="4"/>
      <c r="D35" s="4"/>
      <c r="E35" s="4"/>
      <c r="F35" s="4"/>
      <c r="G35" s="4"/>
      <c r="H35" s="4"/>
      <c r="I35" s="4"/>
      <c r="J35" s="5"/>
    </row>
    <row r="36" spans="1:10" x14ac:dyDescent="0.2">
      <c r="A36" s="3"/>
      <c r="B36" s="4"/>
      <c r="C36" s="4"/>
      <c r="D36" s="4"/>
      <c r="E36" s="4"/>
      <c r="F36" s="4"/>
      <c r="G36" s="4"/>
      <c r="H36" s="4"/>
      <c r="I36" s="4"/>
      <c r="J36" s="5"/>
    </row>
    <row r="37" spans="1:10" x14ac:dyDescent="0.2">
      <c r="A37" s="3"/>
      <c r="B37" s="4"/>
      <c r="C37" s="4"/>
      <c r="D37" s="4"/>
      <c r="E37" s="4"/>
      <c r="F37" s="4"/>
      <c r="G37" s="4"/>
      <c r="H37" s="4"/>
      <c r="I37" s="4"/>
      <c r="J37" s="5"/>
    </row>
    <row r="38" spans="1:10" x14ac:dyDescent="0.2">
      <c r="A38" s="3"/>
      <c r="B38" s="4"/>
      <c r="C38" s="4"/>
      <c r="D38" s="4"/>
      <c r="E38" s="4"/>
      <c r="F38" s="4"/>
      <c r="G38" s="4"/>
      <c r="H38" s="4"/>
      <c r="I38" s="4"/>
      <c r="J38" s="5"/>
    </row>
    <row r="39" spans="1:10" x14ac:dyDescent="0.2">
      <c r="A39" s="3"/>
      <c r="B39" s="4"/>
      <c r="C39" s="4"/>
      <c r="D39" s="4"/>
      <c r="E39" s="4"/>
      <c r="F39" s="4"/>
      <c r="G39" s="4"/>
      <c r="H39" s="4"/>
      <c r="I39" s="4"/>
      <c r="J39" s="5"/>
    </row>
    <row r="40" spans="1:10" x14ac:dyDescent="0.2">
      <c r="A40" s="3"/>
      <c r="B40" s="4"/>
      <c r="C40" s="4"/>
      <c r="D40" s="4"/>
      <c r="E40" s="4"/>
      <c r="F40" s="4"/>
      <c r="G40" s="4"/>
      <c r="H40" s="4"/>
      <c r="I40" s="4"/>
      <c r="J40" s="5"/>
    </row>
    <row r="41" spans="1:10" ht="9" customHeight="1" x14ac:dyDescent="0.2">
      <c r="A41" s="3"/>
      <c r="B41" s="4"/>
      <c r="C41" s="4"/>
      <c r="D41" s="4"/>
      <c r="E41" s="4"/>
      <c r="F41" s="4"/>
      <c r="G41" s="4"/>
      <c r="H41" s="4"/>
      <c r="I41" s="4"/>
      <c r="J41" s="5"/>
    </row>
    <row r="42" spans="1:10" x14ac:dyDescent="0.2">
      <c r="A42" s="3"/>
      <c r="B42" s="4"/>
      <c r="C42" s="4"/>
      <c r="D42" s="4"/>
      <c r="E42" s="4"/>
      <c r="F42" s="4"/>
      <c r="G42" s="4"/>
      <c r="H42" s="4"/>
      <c r="I42" s="4"/>
      <c r="J42" s="5"/>
    </row>
    <row r="43" spans="1:10" x14ac:dyDescent="0.2">
      <c r="A43" s="3"/>
      <c r="B43" s="4"/>
      <c r="C43" s="4"/>
      <c r="D43" s="4"/>
      <c r="E43" s="4"/>
      <c r="F43" s="4"/>
      <c r="G43" s="4"/>
      <c r="H43" s="4"/>
      <c r="I43" s="4"/>
      <c r="J43" s="5"/>
    </row>
    <row r="44" spans="1:10" s="66" customFormat="1" ht="12.95" customHeight="1" x14ac:dyDescent="0.2">
      <c r="A44" s="60"/>
      <c r="B44" s="61" t="s">
        <v>19</v>
      </c>
      <c r="C44" s="61"/>
      <c r="D44" s="61"/>
      <c r="E44" s="61"/>
      <c r="F44" s="61"/>
      <c r="G44" s="351" t="s">
        <v>228</v>
      </c>
      <c r="H44" s="351"/>
      <c r="I44" s="61"/>
      <c r="J44" s="65"/>
    </row>
    <row r="45" spans="1:10" s="66" customFormat="1" ht="12.95" customHeight="1" x14ac:dyDescent="0.2">
      <c r="A45" s="60"/>
      <c r="B45" s="61" t="s">
        <v>20</v>
      </c>
      <c r="C45" s="61"/>
      <c r="D45" s="61"/>
      <c r="E45" s="61"/>
      <c r="F45" s="61"/>
      <c r="G45" s="353"/>
      <c r="H45" s="353"/>
      <c r="I45" s="61"/>
      <c r="J45" s="65"/>
    </row>
    <row r="46" spans="1:10" s="66" customFormat="1" ht="12.95" customHeight="1" x14ac:dyDescent="0.2">
      <c r="A46" s="60"/>
      <c r="B46" s="61" t="s">
        <v>14</v>
      </c>
      <c r="C46" s="61"/>
      <c r="D46" s="61"/>
      <c r="E46" s="61"/>
      <c r="F46" s="61"/>
      <c r="G46" s="353" t="s">
        <v>229</v>
      </c>
      <c r="H46" s="353"/>
      <c r="I46" s="61"/>
      <c r="J46" s="65"/>
    </row>
    <row r="47" spans="1:10" s="66" customFormat="1" ht="12.95" customHeight="1" x14ac:dyDescent="0.2">
      <c r="A47" s="60"/>
      <c r="B47" s="61" t="s">
        <v>15</v>
      </c>
      <c r="C47" s="61"/>
      <c r="D47" s="61"/>
      <c r="E47" s="61"/>
      <c r="F47" s="61"/>
      <c r="G47" s="353"/>
      <c r="H47" s="353"/>
      <c r="I47" s="61"/>
      <c r="J47" s="65"/>
    </row>
    <row r="48" spans="1:10" x14ac:dyDescent="0.2">
      <c r="A48" s="3"/>
      <c r="B48" s="4"/>
      <c r="C48" s="4"/>
      <c r="D48" s="4"/>
      <c r="E48" s="4"/>
      <c r="F48" s="4"/>
      <c r="G48" s="4"/>
      <c r="H48" s="4"/>
      <c r="I48" s="4"/>
      <c r="J48" s="5"/>
    </row>
    <row r="49" spans="1:10" s="74" customFormat="1" ht="12.95" customHeight="1" x14ac:dyDescent="0.2">
      <c r="A49" s="71"/>
      <c r="B49" s="61" t="s">
        <v>21</v>
      </c>
      <c r="C49" s="61"/>
      <c r="D49" s="61"/>
      <c r="E49" s="61"/>
      <c r="F49" s="69" t="s">
        <v>16</v>
      </c>
      <c r="G49" s="354" t="s">
        <v>273</v>
      </c>
      <c r="H49" s="350"/>
      <c r="I49" s="72"/>
      <c r="J49" s="73"/>
    </row>
    <row r="50" spans="1:10" s="74" customFormat="1" ht="12.95" customHeight="1" x14ac:dyDescent="0.2">
      <c r="A50" s="71"/>
      <c r="B50" s="61"/>
      <c r="C50" s="61"/>
      <c r="D50" s="61"/>
      <c r="E50" s="61"/>
      <c r="F50" s="69" t="s">
        <v>17</v>
      </c>
      <c r="G50" s="352" t="s">
        <v>274</v>
      </c>
      <c r="H50" s="350"/>
      <c r="I50" s="72"/>
      <c r="J50" s="73"/>
    </row>
    <row r="51" spans="1:10" s="74" customFormat="1" ht="7.5" customHeight="1" x14ac:dyDescent="0.2">
      <c r="A51" s="71"/>
      <c r="B51" s="61"/>
      <c r="C51" s="61"/>
      <c r="D51" s="61"/>
      <c r="E51" s="61"/>
      <c r="F51" s="69"/>
      <c r="G51" s="69"/>
      <c r="H51" s="69"/>
      <c r="I51" s="72"/>
      <c r="J51" s="73"/>
    </row>
    <row r="52" spans="1:10" s="74" customFormat="1" ht="12.95" customHeight="1" x14ac:dyDescent="0.2">
      <c r="A52" s="71"/>
      <c r="B52" s="61" t="s">
        <v>18</v>
      </c>
      <c r="C52" s="61"/>
      <c r="D52" s="61"/>
      <c r="E52" s="69"/>
      <c r="F52" s="61"/>
      <c r="G52" s="108">
        <v>43169</v>
      </c>
      <c r="H52" s="62"/>
      <c r="I52" s="72"/>
      <c r="J52" s="73"/>
    </row>
    <row r="53" spans="1:10" ht="22.5" customHeight="1" x14ac:dyDescent="0.2">
      <c r="A53" s="75"/>
      <c r="B53" s="76"/>
      <c r="C53" s="76"/>
      <c r="D53" s="76"/>
      <c r="E53" s="76"/>
      <c r="F53" s="76"/>
      <c r="G53" s="76"/>
      <c r="H53" s="76"/>
      <c r="I53" s="76"/>
      <c r="J53" s="77"/>
    </row>
    <row r="54" spans="1:10" ht="6.75" customHeight="1" x14ac:dyDescent="0.2"/>
  </sheetData>
  <mergeCells count="9">
    <mergeCell ref="A21:J21"/>
    <mergeCell ref="B22:I22"/>
    <mergeCell ref="B23:I23"/>
    <mergeCell ref="G44:H44"/>
    <mergeCell ref="G50:H50"/>
    <mergeCell ref="G45:H45"/>
    <mergeCell ref="G46:H46"/>
    <mergeCell ref="G47:H47"/>
    <mergeCell ref="G49:H49"/>
  </mergeCells>
  <phoneticPr fontId="0" type="noConversion"/>
  <printOptions horizontalCentered="1" verticalCentered="1"/>
  <pageMargins left="0" right="0" top="0" bottom="0" header="0.511811023622047" footer="0.511811023622047"/>
  <pageSetup orientation="portrait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K16" sqref="K16"/>
    </sheetView>
  </sheetViews>
  <sheetFormatPr defaultColWidth="9.140625" defaultRowHeight="12.75" x14ac:dyDescent="0.2"/>
  <cols>
    <col min="1" max="16384" width="9.140625" style="179"/>
  </cols>
  <sheetData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"/>
  <sheetViews>
    <sheetView workbookViewId="0">
      <selection activeCell="F16" sqref="F16:F17"/>
    </sheetView>
  </sheetViews>
  <sheetFormatPr defaultColWidth="9.140625" defaultRowHeight="12.75" x14ac:dyDescent="0.2"/>
  <cols>
    <col min="1" max="1" width="9.140625" style="115"/>
    <col min="2" max="2" width="9.140625" style="113"/>
    <col min="3" max="3" width="9.140625" style="114"/>
    <col min="4" max="16384" width="9.140625" style="113"/>
  </cols>
  <sheetData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8"/>
  <sheetViews>
    <sheetView topLeftCell="A19" workbookViewId="0">
      <selection activeCell="K27" sqref="K27"/>
    </sheetView>
  </sheetViews>
  <sheetFormatPr defaultColWidth="9.140625" defaultRowHeight="12.75" x14ac:dyDescent="0.2"/>
  <cols>
    <col min="1" max="2" width="3.7109375" style="132" customWidth="1"/>
    <col min="3" max="3" width="4" style="132" customWidth="1"/>
    <col min="4" max="4" width="52.7109375" style="185" customWidth="1"/>
    <col min="5" max="5" width="8.7109375" style="132" customWidth="1"/>
    <col min="6" max="6" width="17.140625" style="226" customWidth="1"/>
    <col min="7" max="7" width="13.5703125" style="217" customWidth="1"/>
    <col min="8" max="8" width="6" style="133" customWidth="1"/>
    <col min="9" max="9" width="22.140625" style="185" customWidth="1"/>
    <col min="10" max="10" width="14.42578125" style="185" customWidth="1"/>
    <col min="11" max="11" width="15.7109375" style="185" customWidth="1"/>
    <col min="12" max="12" width="9.140625" style="185"/>
    <col min="13" max="13" width="9.7109375" style="185" bestFit="1" customWidth="1"/>
    <col min="14" max="16384" width="9.140625" style="185"/>
  </cols>
  <sheetData>
    <row r="1" spans="1:11" s="131" customFormat="1" ht="9" customHeight="1" x14ac:dyDescent="0.2">
      <c r="A1" s="126"/>
      <c r="B1" s="127"/>
      <c r="C1" s="127"/>
      <c r="D1" s="128"/>
      <c r="E1" s="129"/>
      <c r="F1" s="225"/>
      <c r="G1" s="216"/>
      <c r="H1" s="130"/>
    </row>
    <row r="2" spans="1:11" s="131" customFormat="1" ht="18" customHeight="1" x14ac:dyDescent="0.2">
      <c r="A2" s="358" t="s">
        <v>201</v>
      </c>
      <c r="B2" s="358"/>
      <c r="C2" s="358"/>
      <c r="D2" s="358"/>
      <c r="E2" s="358"/>
      <c r="F2" s="358"/>
      <c r="G2" s="358"/>
      <c r="H2" s="339"/>
    </row>
    <row r="3" spans="1:11" ht="6.75" customHeight="1" x14ac:dyDescent="0.2"/>
    <row r="4" spans="1:11" s="137" customFormat="1" ht="21" customHeight="1" x14ac:dyDescent="0.2">
      <c r="A4" s="134" t="s">
        <v>2</v>
      </c>
      <c r="B4" s="362" t="s">
        <v>7</v>
      </c>
      <c r="C4" s="363"/>
      <c r="D4" s="364"/>
      <c r="E4" s="341" t="s">
        <v>203</v>
      </c>
      <c r="F4" s="227">
        <v>2017</v>
      </c>
      <c r="G4" s="218">
        <v>2016</v>
      </c>
      <c r="H4" s="136"/>
    </row>
    <row r="5" spans="1:11" s="131" customFormat="1" ht="12.75" customHeight="1" x14ac:dyDescent="0.25">
      <c r="A5" s="138"/>
      <c r="B5" s="359" t="s">
        <v>61</v>
      </c>
      <c r="C5" s="360"/>
      <c r="D5" s="361"/>
      <c r="E5" s="139"/>
      <c r="F5" s="228"/>
      <c r="G5" s="219"/>
      <c r="H5" s="418" t="s">
        <v>303</v>
      </c>
      <c r="I5" s="418" t="s">
        <v>304</v>
      </c>
      <c r="J5" s="419">
        <v>8749256.7720198501</v>
      </c>
    </row>
    <row r="6" spans="1:11" s="131" customFormat="1" ht="12.75" customHeight="1" x14ac:dyDescent="0.25">
      <c r="A6" s="138"/>
      <c r="B6" s="141" t="s">
        <v>86</v>
      </c>
      <c r="C6" s="340" t="s">
        <v>8</v>
      </c>
      <c r="D6" s="142"/>
      <c r="E6" s="139">
        <v>1</v>
      </c>
      <c r="F6" s="228">
        <f>F7+F8</f>
        <v>4166510.0142008499</v>
      </c>
      <c r="G6" s="219">
        <v>1504929</v>
      </c>
      <c r="H6" s="418">
        <v>101</v>
      </c>
      <c r="I6" s="418" t="s">
        <v>305</v>
      </c>
      <c r="J6" s="419">
        <v>-100000</v>
      </c>
    </row>
    <row r="7" spans="1:11" s="131" customFormat="1" ht="12.75" customHeight="1" x14ac:dyDescent="0.25">
      <c r="A7" s="138"/>
      <c r="B7" s="337"/>
      <c r="C7" s="143">
        <v>1</v>
      </c>
      <c r="D7" s="144" t="s">
        <v>9</v>
      </c>
      <c r="E7" s="145"/>
      <c r="F7" s="228">
        <v>3278267</v>
      </c>
      <c r="G7" s="220">
        <v>1182760.5</v>
      </c>
      <c r="H7" s="418">
        <v>1071</v>
      </c>
      <c r="I7" s="418" t="s">
        <v>306</v>
      </c>
      <c r="J7" s="419">
        <v>-681164</v>
      </c>
      <c r="K7" s="147"/>
    </row>
    <row r="8" spans="1:11" s="131" customFormat="1" ht="12.75" customHeight="1" x14ac:dyDescent="0.25">
      <c r="A8" s="138"/>
      <c r="B8" s="337"/>
      <c r="C8" s="143">
        <v>2</v>
      </c>
      <c r="D8" s="144" t="s">
        <v>10</v>
      </c>
      <c r="E8" s="139"/>
      <c r="F8" s="228">
        <v>888243.01420085004</v>
      </c>
      <c r="G8" s="220">
        <v>322168.5</v>
      </c>
      <c r="H8" s="418">
        <v>108</v>
      </c>
      <c r="I8" s="418" t="s">
        <v>307</v>
      </c>
      <c r="J8" s="419">
        <v>-15215424</v>
      </c>
    </row>
    <row r="9" spans="1:11" s="131" customFormat="1" ht="12.75" customHeight="1" x14ac:dyDescent="0.25">
      <c r="A9" s="138"/>
      <c r="B9" s="141" t="s">
        <v>86</v>
      </c>
      <c r="C9" s="340" t="s">
        <v>25</v>
      </c>
      <c r="D9" s="144"/>
      <c r="E9" s="145">
        <v>2</v>
      </c>
      <c r="F9" s="228">
        <f>F10+F11+F12</f>
        <v>0</v>
      </c>
      <c r="G9" s="219">
        <v>0</v>
      </c>
      <c r="H9" s="418">
        <v>109</v>
      </c>
      <c r="I9" s="418" t="s">
        <v>308</v>
      </c>
      <c r="J9" s="419">
        <v>-4006636</v>
      </c>
    </row>
    <row r="10" spans="1:11" s="131" customFormat="1" ht="12.75" customHeight="1" x14ac:dyDescent="0.25">
      <c r="A10" s="138"/>
      <c r="B10" s="337"/>
      <c r="C10" s="143">
        <v>1</v>
      </c>
      <c r="D10" s="144" t="s">
        <v>27</v>
      </c>
      <c r="E10" s="139">
        <v>2.1</v>
      </c>
      <c r="F10" s="228"/>
      <c r="G10" s="219"/>
      <c r="H10" s="402"/>
      <c r="I10" s="402"/>
      <c r="J10" s="402"/>
    </row>
    <row r="11" spans="1:11" s="131" customFormat="1" ht="12.75" customHeight="1" x14ac:dyDescent="0.25">
      <c r="A11" s="138"/>
      <c r="B11" s="337"/>
      <c r="C11" s="143">
        <v>2</v>
      </c>
      <c r="D11" s="144" t="s">
        <v>28</v>
      </c>
      <c r="E11" s="145">
        <v>2.2000000000000002</v>
      </c>
      <c r="F11" s="228"/>
      <c r="G11" s="219"/>
      <c r="H11" s="418">
        <v>2131</v>
      </c>
      <c r="I11" s="418" t="s">
        <v>309</v>
      </c>
      <c r="J11" s="417">
        <v>8933781</v>
      </c>
    </row>
    <row r="12" spans="1:11" s="131" customFormat="1" ht="12.75" customHeight="1" x14ac:dyDescent="0.25">
      <c r="A12" s="138"/>
      <c r="B12" s="337"/>
      <c r="C12" s="143">
        <v>3</v>
      </c>
      <c r="D12" s="144" t="s">
        <v>26</v>
      </c>
      <c r="E12" s="139">
        <v>2.2999999999999998</v>
      </c>
      <c r="F12" s="228"/>
      <c r="G12" s="219"/>
      <c r="H12" s="418">
        <v>2134</v>
      </c>
      <c r="I12" s="418" t="s">
        <v>310</v>
      </c>
      <c r="J12" s="417">
        <v>4519300</v>
      </c>
    </row>
    <row r="13" spans="1:11" s="131" customFormat="1" ht="12.75" customHeight="1" x14ac:dyDescent="0.25">
      <c r="A13" s="138"/>
      <c r="B13" s="141" t="s">
        <v>86</v>
      </c>
      <c r="C13" s="340" t="s">
        <v>29</v>
      </c>
      <c r="D13" s="144"/>
      <c r="E13" s="139">
        <v>3</v>
      </c>
      <c r="F13" s="228">
        <f>F14+F15+F16+F17+F18+F19+F20</f>
        <v>53153721.319820099</v>
      </c>
      <c r="G13" s="219">
        <v>39285735</v>
      </c>
      <c r="H13" s="418">
        <v>2188</v>
      </c>
      <c r="I13" s="418" t="s">
        <v>290</v>
      </c>
      <c r="J13" s="417">
        <v>21151849</v>
      </c>
    </row>
    <row r="14" spans="1:11" s="131" customFormat="1" ht="12.75" customHeight="1" x14ac:dyDescent="0.25">
      <c r="A14" s="138"/>
      <c r="B14" s="337"/>
      <c r="C14" s="143">
        <v>1</v>
      </c>
      <c r="D14" s="144" t="s">
        <v>257</v>
      </c>
      <c r="E14" s="145">
        <v>3.1</v>
      </c>
      <c r="F14" s="343">
        <v>41853914.420799598</v>
      </c>
      <c r="G14" s="219">
        <v>11806332</v>
      </c>
      <c r="H14" s="418">
        <v>231</v>
      </c>
      <c r="I14" s="418" t="s">
        <v>311</v>
      </c>
      <c r="J14" s="417">
        <v>32578661</v>
      </c>
    </row>
    <row r="15" spans="1:11" s="131" customFormat="1" ht="12.75" customHeight="1" x14ac:dyDescent="0.25">
      <c r="A15" s="138"/>
      <c r="B15" s="337"/>
      <c r="C15" s="143">
        <v>2</v>
      </c>
      <c r="D15" s="144" t="s">
        <v>30</v>
      </c>
      <c r="E15" s="139">
        <v>3.2</v>
      </c>
      <c r="F15" s="228"/>
      <c r="G15" s="219"/>
      <c r="H15" s="418">
        <v>2813</v>
      </c>
      <c r="I15" s="418" t="s">
        <v>312</v>
      </c>
      <c r="J15" s="417">
        <v>-2444823</v>
      </c>
    </row>
    <row r="16" spans="1:11" s="131" customFormat="1" ht="12.75" customHeight="1" x14ac:dyDescent="0.25">
      <c r="A16" s="138"/>
      <c r="B16" s="337"/>
      <c r="C16" s="143">
        <v>3</v>
      </c>
      <c r="D16" s="144" t="s">
        <v>31</v>
      </c>
      <c r="E16" s="145">
        <v>3.3</v>
      </c>
      <c r="F16" s="228"/>
      <c r="G16" s="219"/>
      <c r="H16" s="418">
        <v>2815</v>
      </c>
      <c r="I16" s="418" t="s">
        <v>313</v>
      </c>
      <c r="J16" s="417">
        <v>-912705.90650000004</v>
      </c>
    </row>
    <row r="17" spans="1:13" s="131" customFormat="1" ht="12.75" customHeight="1" x14ac:dyDescent="0.25">
      <c r="A17" s="138"/>
      <c r="B17" s="337"/>
      <c r="C17" s="143">
        <v>4</v>
      </c>
      <c r="D17" s="144" t="s">
        <v>260</v>
      </c>
      <c r="E17" s="139">
        <v>3.4</v>
      </c>
      <c r="F17" s="228">
        <v>138178.5</v>
      </c>
      <c r="G17" s="219">
        <v>343524</v>
      </c>
      <c r="H17" s="418">
        <v>2915</v>
      </c>
      <c r="I17" s="418" t="s">
        <v>314</v>
      </c>
      <c r="J17" s="417">
        <v>8683.0948000000008</v>
      </c>
    </row>
    <row r="18" spans="1:13" s="131" customFormat="1" ht="12.75" customHeight="1" x14ac:dyDescent="0.25">
      <c r="A18" s="138"/>
      <c r="B18" s="337"/>
      <c r="C18" s="143">
        <v>5</v>
      </c>
      <c r="D18" s="144" t="s">
        <v>32</v>
      </c>
      <c r="E18" s="145">
        <v>3.5</v>
      </c>
      <c r="F18" s="228"/>
      <c r="G18" s="219"/>
      <c r="H18" s="418">
        <v>294</v>
      </c>
      <c r="I18" s="418" t="s">
        <v>315</v>
      </c>
      <c r="J18" s="417">
        <v>1228000</v>
      </c>
    </row>
    <row r="19" spans="1:13" s="131" customFormat="1" ht="12.75" customHeight="1" x14ac:dyDescent="0.25">
      <c r="A19" s="138"/>
      <c r="B19" s="338"/>
      <c r="C19" s="143">
        <v>6</v>
      </c>
      <c r="D19" s="144" t="s">
        <v>258</v>
      </c>
      <c r="E19" s="145">
        <v>3.6</v>
      </c>
      <c r="F19" s="415">
        <v>11161628.3990205</v>
      </c>
      <c r="G19" s="219">
        <v>26982879</v>
      </c>
      <c r="H19" s="418">
        <v>3123</v>
      </c>
      <c r="I19" s="418" t="s">
        <v>316</v>
      </c>
      <c r="J19" s="419">
        <v>111316.39</v>
      </c>
      <c r="K19" s="206"/>
    </row>
    <row r="20" spans="1:13" s="131" customFormat="1" ht="12.75" customHeight="1" x14ac:dyDescent="0.25">
      <c r="A20" s="138"/>
      <c r="B20" s="338"/>
      <c r="C20" s="143">
        <v>7</v>
      </c>
      <c r="D20" s="144" t="s">
        <v>259</v>
      </c>
      <c r="E20" s="145">
        <v>3.7</v>
      </c>
      <c r="F20" s="228"/>
      <c r="G20" s="219">
        <v>153000</v>
      </c>
      <c r="H20" s="418">
        <v>341</v>
      </c>
      <c r="I20" s="418" t="s">
        <v>317</v>
      </c>
      <c r="J20" s="419">
        <v>113247240.682587</v>
      </c>
    </row>
    <row r="21" spans="1:13" s="131" customFormat="1" ht="12.75" customHeight="1" x14ac:dyDescent="0.25">
      <c r="A21" s="138"/>
      <c r="B21" s="141" t="s">
        <v>86</v>
      </c>
      <c r="C21" s="340" t="s">
        <v>33</v>
      </c>
      <c r="D21" s="142"/>
      <c r="E21" s="145">
        <v>4</v>
      </c>
      <c r="F21" s="415">
        <f>F22+F23+F24+F25+F26+F27+F28</f>
        <v>257637245</v>
      </c>
      <c r="G21" s="219">
        <v>248484133</v>
      </c>
      <c r="H21" s="418">
        <v>351</v>
      </c>
      <c r="I21" s="418" t="s">
        <v>318</v>
      </c>
      <c r="J21" s="419">
        <v>144278688.24169999</v>
      </c>
      <c r="K21" s="206">
        <f>J21+J20+J19</f>
        <v>257637245.31428698</v>
      </c>
    </row>
    <row r="22" spans="1:13" s="131" customFormat="1" ht="12.75" customHeight="1" x14ac:dyDescent="0.25">
      <c r="A22" s="138"/>
      <c r="B22" s="146"/>
      <c r="C22" s="143">
        <v>1</v>
      </c>
      <c r="D22" s="144" t="s">
        <v>34</v>
      </c>
      <c r="E22" s="139">
        <v>4.0999999999999996</v>
      </c>
      <c r="F22" s="416">
        <v>143041380</v>
      </c>
      <c r="G22" s="219">
        <v>152672488</v>
      </c>
      <c r="H22" s="418">
        <v>401</v>
      </c>
      <c r="I22" s="418" t="s">
        <v>319</v>
      </c>
      <c r="J22" s="419">
        <v>-122230351.41419999</v>
      </c>
      <c r="K22" s="147">
        <f>K21-F21</f>
        <v>0.3142869770526886</v>
      </c>
      <c r="M22" s="147"/>
    </row>
    <row r="23" spans="1:13" s="131" customFormat="1" ht="12.75" customHeight="1" x14ac:dyDescent="0.25">
      <c r="A23" s="138"/>
      <c r="B23" s="146"/>
      <c r="C23" s="143">
        <v>2</v>
      </c>
      <c r="D23" s="144" t="s">
        <v>254</v>
      </c>
      <c r="E23" s="145">
        <v>4.2</v>
      </c>
      <c r="F23" s="415"/>
      <c r="G23" s="219">
        <v>2661613</v>
      </c>
      <c r="H23" s="418">
        <v>411</v>
      </c>
      <c r="I23" s="418" t="s">
        <v>320</v>
      </c>
      <c r="J23" s="419">
        <v>41853914.420799598</v>
      </c>
      <c r="K23" s="147">
        <f>F22+K22</f>
        <v>143041380.31428698</v>
      </c>
    </row>
    <row r="24" spans="1:13" s="131" customFormat="1" ht="12.75" customHeight="1" x14ac:dyDescent="0.25">
      <c r="A24" s="138"/>
      <c r="B24" s="146"/>
      <c r="C24" s="143">
        <v>3</v>
      </c>
      <c r="D24" s="144" t="s">
        <v>35</v>
      </c>
      <c r="E24" s="139">
        <v>4.3</v>
      </c>
      <c r="F24" s="415">
        <f>105751411</f>
        <v>105751411</v>
      </c>
      <c r="G24" s="219">
        <v>86302146</v>
      </c>
      <c r="H24" s="418">
        <v>421</v>
      </c>
      <c r="I24" s="418" t="s">
        <v>321</v>
      </c>
      <c r="J24" s="419">
        <v>-1599778</v>
      </c>
      <c r="K24" s="147"/>
    </row>
    <row r="25" spans="1:13" s="131" customFormat="1" ht="12.75" customHeight="1" x14ac:dyDescent="0.25">
      <c r="A25" s="138"/>
      <c r="B25" s="146"/>
      <c r="C25" s="143">
        <v>4</v>
      </c>
      <c r="D25" s="144" t="s">
        <v>36</v>
      </c>
      <c r="E25" s="145">
        <v>4.4000000000000004</v>
      </c>
      <c r="F25" s="415">
        <v>189952</v>
      </c>
      <c r="G25" s="219">
        <v>47040</v>
      </c>
      <c r="H25" s="418">
        <v>431</v>
      </c>
      <c r="I25" s="418" t="s">
        <v>322</v>
      </c>
      <c r="J25" s="419">
        <v>-497881</v>
      </c>
      <c r="K25" s="147"/>
    </row>
    <row r="26" spans="1:13" s="131" customFormat="1" ht="12.75" customHeight="1" x14ac:dyDescent="0.25">
      <c r="A26" s="138"/>
      <c r="B26" s="146"/>
      <c r="C26" s="143">
        <v>5</v>
      </c>
      <c r="D26" s="144" t="s">
        <v>37</v>
      </c>
      <c r="E26" s="139">
        <v>4.5</v>
      </c>
      <c r="F26" s="415"/>
      <c r="G26" s="219"/>
      <c r="H26" s="418">
        <v>441</v>
      </c>
      <c r="I26" s="418" t="s">
        <v>323</v>
      </c>
      <c r="J26" s="419">
        <v>0</v>
      </c>
      <c r="K26" s="147"/>
    </row>
    <row r="27" spans="1:13" s="131" customFormat="1" ht="12.75" customHeight="1" x14ac:dyDescent="0.25">
      <c r="A27" s="138"/>
      <c r="B27" s="146"/>
      <c r="C27" s="143">
        <v>6</v>
      </c>
      <c r="D27" s="144" t="s">
        <v>255</v>
      </c>
      <c r="E27" s="145">
        <v>4.5999999999999996</v>
      </c>
      <c r="F27" s="415">
        <v>8654502</v>
      </c>
      <c r="G27" s="219">
        <v>6800846</v>
      </c>
      <c r="H27" s="418">
        <v>444</v>
      </c>
      <c r="I27" s="418" t="s">
        <v>324</v>
      </c>
      <c r="J27" s="419">
        <v>-82444</v>
      </c>
      <c r="K27" s="147">
        <f>J27+J33+J25</f>
        <v>-591575</v>
      </c>
    </row>
    <row r="28" spans="1:13" s="131" customFormat="1" ht="12.75" customHeight="1" x14ac:dyDescent="0.25">
      <c r="A28" s="138"/>
      <c r="B28" s="146"/>
      <c r="C28" s="143">
        <v>7</v>
      </c>
      <c r="D28" s="144" t="s">
        <v>38</v>
      </c>
      <c r="E28" s="139">
        <v>4.7</v>
      </c>
      <c r="F28" s="228"/>
      <c r="G28" s="219"/>
      <c r="H28" s="418">
        <v>4451</v>
      </c>
      <c r="I28" s="418" t="s">
        <v>325</v>
      </c>
      <c r="J28" s="419">
        <v>0</v>
      </c>
      <c r="K28" s="147"/>
    </row>
    <row r="29" spans="1:13" s="131" customFormat="1" ht="12.75" customHeight="1" x14ac:dyDescent="0.25">
      <c r="A29" s="138"/>
      <c r="B29" s="141" t="s">
        <v>86</v>
      </c>
      <c r="C29" s="340" t="s">
        <v>39</v>
      </c>
      <c r="D29" s="142"/>
      <c r="E29" s="139">
        <v>5</v>
      </c>
      <c r="F29" s="228"/>
      <c r="G29" s="219"/>
      <c r="H29" s="418">
        <v>4453</v>
      </c>
      <c r="I29" s="418" t="s">
        <v>326</v>
      </c>
      <c r="J29" s="419">
        <v>144441</v>
      </c>
      <c r="K29" s="147"/>
    </row>
    <row r="30" spans="1:13" s="131" customFormat="1" ht="12.75" customHeight="1" x14ac:dyDescent="0.25">
      <c r="A30" s="138"/>
      <c r="B30" s="141" t="s">
        <v>86</v>
      </c>
      <c r="C30" s="340" t="s">
        <v>40</v>
      </c>
      <c r="D30" s="142"/>
      <c r="E30" s="145">
        <v>6</v>
      </c>
      <c r="F30" s="228"/>
      <c r="G30" s="219"/>
      <c r="H30" s="418">
        <v>4455</v>
      </c>
      <c r="I30" s="418" t="s">
        <v>327</v>
      </c>
      <c r="J30" s="419">
        <v>49000174.316520102</v>
      </c>
    </row>
    <row r="31" spans="1:13" s="131" customFormat="1" ht="12.75" customHeight="1" x14ac:dyDescent="0.25">
      <c r="A31" s="148" t="s">
        <v>3</v>
      </c>
      <c r="B31" s="355" t="s">
        <v>60</v>
      </c>
      <c r="C31" s="356"/>
      <c r="D31" s="357"/>
      <c r="E31" s="145"/>
      <c r="F31" s="228">
        <f>F6+F9+F13+F21+F29+F30</f>
        <v>314957476.33402097</v>
      </c>
      <c r="G31" s="219">
        <v>289274797</v>
      </c>
      <c r="H31" s="418">
        <v>4456</v>
      </c>
      <c r="I31" s="418" t="s">
        <v>328</v>
      </c>
      <c r="J31" s="419">
        <v>-37982987.069499597</v>
      </c>
    </row>
    <row r="32" spans="1:13" s="131" customFormat="1" ht="12.75" customHeight="1" x14ac:dyDescent="0.25">
      <c r="A32" s="138"/>
      <c r="B32" s="359" t="s">
        <v>63</v>
      </c>
      <c r="C32" s="360"/>
      <c r="D32" s="361"/>
      <c r="E32" s="139"/>
      <c r="F32" s="228"/>
      <c r="G32" s="219"/>
      <c r="H32" s="418">
        <v>4461</v>
      </c>
      <c r="I32" s="418" t="s">
        <v>329</v>
      </c>
      <c r="J32" s="419">
        <v>138178.559999991</v>
      </c>
    </row>
    <row r="33" spans="1:11" s="131" customFormat="1" ht="12.75" customHeight="1" x14ac:dyDescent="0.25">
      <c r="A33" s="138"/>
      <c r="B33" s="141" t="s">
        <v>86</v>
      </c>
      <c r="C33" s="340" t="s">
        <v>43</v>
      </c>
      <c r="D33" s="142"/>
      <c r="E33" s="145">
        <v>7</v>
      </c>
      <c r="F33" s="228">
        <f>F34+F35+F36+F37+F38+F39</f>
        <v>0</v>
      </c>
      <c r="G33" s="219">
        <v>0</v>
      </c>
      <c r="H33" s="418">
        <v>449</v>
      </c>
      <c r="I33" s="418" t="s">
        <v>330</v>
      </c>
      <c r="J33" s="419">
        <v>-11250</v>
      </c>
    </row>
    <row r="34" spans="1:11" s="131" customFormat="1" ht="12.75" customHeight="1" x14ac:dyDescent="0.25">
      <c r="A34" s="138"/>
      <c r="B34" s="146"/>
      <c r="C34" s="143">
        <v>1</v>
      </c>
      <c r="D34" s="144" t="s">
        <v>44</v>
      </c>
      <c r="E34" s="139">
        <v>7.1</v>
      </c>
      <c r="F34" s="228"/>
      <c r="G34" s="219"/>
      <c r="H34" s="418">
        <v>455</v>
      </c>
      <c r="I34" s="418" t="s">
        <v>331</v>
      </c>
      <c r="J34" s="419">
        <v>-228557908.56999999</v>
      </c>
      <c r="K34" s="206"/>
    </row>
    <row r="35" spans="1:11" s="131" customFormat="1" ht="12.75" customHeight="1" x14ac:dyDescent="0.25">
      <c r="A35" s="138"/>
      <c r="B35" s="146"/>
      <c r="C35" s="143">
        <v>2</v>
      </c>
      <c r="D35" s="144" t="s">
        <v>45</v>
      </c>
      <c r="E35" s="145">
        <v>7.2</v>
      </c>
      <c r="F35" s="228"/>
      <c r="G35" s="219"/>
      <c r="H35" s="418">
        <v>467</v>
      </c>
      <c r="I35" s="418" t="s">
        <v>332</v>
      </c>
      <c r="J35" s="419">
        <v>1601640.4</v>
      </c>
    </row>
    <row r="36" spans="1:11" s="131" customFormat="1" ht="12.75" customHeight="1" x14ac:dyDescent="0.25">
      <c r="A36" s="138"/>
      <c r="B36" s="146"/>
      <c r="C36" s="143">
        <v>3</v>
      </c>
      <c r="D36" s="144" t="s">
        <v>46</v>
      </c>
      <c r="E36" s="139">
        <v>7.3</v>
      </c>
      <c r="F36" s="228"/>
      <c r="G36" s="219"/>
      <c r="H36" s="418">
        <v>4681</v>
      </c>
      <c r="I36" s="418" t="s">
        <v>333</v>
      </c>
      <c r="J36" s="419">
        <v>-282769.59649999999</v>
      </c>
    </row>
    <row r="37" spans="1:11" s="131" customFormat="1" ht="12.75" customHeight="1" x14ac:dyDescent="0.25">
      <c r="A37" s="138"/>
      <c r="B37" s="146"/>
      <c r="C37" s="143">
        <v>4</v>
      </c>
      <c r="D37" s="144" t="s">
        <v>47</v>
      </c>
      <c r="E37" s="145">
        <v>7.4</v>
      </c>
      <c r="F37" s="228"/>
      <c r="G37" s="219"/>
      <c r="H37" s="418">
        <v>5121</v>
      </c>
      <c r="I37" s="418" t="s">
        <v>334</v>
      </c>
      <c r="J37" s="419">
        <v>3203676.84</v>
      </c>
      <c r="K37" s="194"/>
    </row>
    <row r="38" spans="1:11" s="131" customFormat="1" ht="12.75" customHeight="1" x14ac:dyDescent="0.25">
      <c r="A38" s="138"/>
      <c r="B38" s="146"/>
      <c r="C38" s="143">
        <v>5</v>
      </c>
      <c r="D38" s="144" t="s">
        <v>48</v>
      </c>
      <c r="E38" s="139">
        <v>7.5</v>
      </c>
      <c r="F38" s="228"/>
      <c r="G38" s="219"/>
      <c r="H38" s="418">
        <v>51241</v>
      </c>
      <c r="I38" s="418" t="s">
        <v>335</v>
      </c>
      <c r="J38" s="419">
        <v>74590.060399999202</v>
      </c>
    </row>
    <row r="39" spans="1:11" s="131" customFormat="1" ht="12.75" customHeight="1" x14ac:dyDescent="0.25">
      <c r="A39" s="138"/>
      <c r="B39" s="146"/>
      <c r="C39" s="143">
        <v>6</v>
      </c>
      <c r="D39" s="144" t="s">
        <v>49</v>
      </c>
      <c r="E39" s="145">
        <v>7.6</v>
      </c>
      <c r="F39" s="415"/>
      <c r="G39" s="219"/>
      <c r="H39" s="418">
        <v>5311</v>
      </c>
      <c r="I39" s="418" t="s">
        <v>336</v>
      </c>
      <c r="J39" s="419">
        <v>1281243.0142008499</v>
      </c>
    </row>
    <row r="40" spans="1:11" s="131" customFormat="1" ht="12.75" customHeight="1" x14ac:dyDescent="0.25">
      <c r="A40" s="138"/>
      <c r="B40" s="141" t="s">
        <v>86</v>
      </c>
      <c r="C40" s="340" t="s">
        <v>50</v>
      </c>
      <c r="D40" s="149"/>
      <c r="E40" s="145">
        <v>8</v>
      </c>
      <c r="F40" s="415">
        <f>F41+F42+F43+F44+F45</f>
        <v>63834743.989666</v>
      </c>
      <c r="G40" s="219">
        <v>60858630</v>
      </c>
      <c r="H40" s="418">
        <v>53141</v>
      </c>
      <c r="I40" s="418" t="s">
        <v>337</v>
      </c>
      <c r="J40" s="419">
        <v>4.00006771087646E-4</v>
      </c>
    </row>
    <row r="41" spans="1:11" s="131" customFormat="1" ht="12.75" customHeight="1" x14ac:dyDescent="0.25">
      <c r="A41" s="138"/>
      <c r="B41" s="337"/>
      <c r="C41" s="143">
        <v>1</v>
      </c>
      <c r="D41" s="144" t="s">
        <v>51</v>
      </c>
      <c r="E41" s="139">
        <v>8.1</v>
      </c>
      <c r="F41" s="415"/>
      <c r="G41" s="219"/>
      <c r="H41" s="418">
        <v>581</v>
      </c>
      <c r="I41" s="418" t="s">
        <v>338</v>
      </c>
      <c r="J41" s="419">
        <v>-2.2999681532383E-3</v>
      </c>
    </row>
    <row r="42" spans="1:11" s="131" customFormat="1" ht="12.75" customHeight="1" x14ac:dyDescent="0.25">
      <c r="A42" s="138"/>
      <c r="B42" s="337"/>
      <c r="C42" s="143">
        <v>2</v>
      </c>
      <c r="D42" s="144" t="s">
        <v>52</v>
      </c>
      <c r="E42" s="145">
        <v>8.1999999999999993</v>
      </c>
      <c r="F42" s="415">
        <f>aam!G39</f>
        <v>11584863.682329999</v>
      </c>
      <c r="G42" s="219">
        <v>7170119</v>
      </c>
      <c r="H42" s="418">
        <v>81</v>
      </c>
      <c r="I42" s="418" t="s">
        <v>539</v>
      </c>
      <c r="J42" s="419">
        <v>1.00139999738894</v>
      </c>
    </row>
    <row r="43" spans="1:11" s="131" customFormat="1" ht="12.75" customHeight="1" x14ac:dyDescent="0.2">
      <c r="A43" s="138"/>
      <c r="B43" s="337"/>
      <c r="C43" s="143">
        <v>3</v>
      </c>
      <c r="D43" s="144" t="s">
        <v>53</v>
      </c>
      <c r="E43" s="139">
        <v>8.3000000000000007</v>
      </c>
      <c r="F43" s="415"/>
      <c r="G43" s="219"/>
      <c r="H43" s="140"/>
    </row>
    <row r="44" spans="1:11" s="131" customFormat="1" ht="12.75" customHeight="1" x14ac:dyDescent="0.2">
      <c r="A44" s="138"/>
      <c r="B44" s="337"/>
      <c r="C44" s="143">
        <v>4</v>
      </c>
      <c r="D44" s="144" t="s">
        <v>54</v>
      </c>
      <c r="E44" s="145">
        <v>8.4</v>
      </c>
      <c r="F44" s="415">
        <v>32578660.5</v>
      </c>
      <c r="G44" s="219">
        <v>32536662</v>
      </c>
      <c r="H44" s="140"/>
    </row>
    <row r="45" spans="1:11" s="131" customFormat="1" ht="12.75" customHeight="1" x14ac:dyDescent="0.2">
      <c r="A45" s="138"/>
      <c r="B45" s="338"/>
      <c r="C45" s="143">
        <v>5</v>
      </c>
      <c r="D45" s="144" t="s">
        <v>256</v>
      </c>
      <c r="E45" s="145">
        <v>8.5</v>
      </c>
      <c r="F45" s="415">
        <f>aam!G40</f>
        <v>19671219.807335999</v>
      </c>
      <c r="G45" s="219">
        <v>21151849</v>
      </c>
      <c r="H45" s="140"/>
    </row>
    <row r="46" spans="1:11" s="131" customFormat="1" ht="12.75" customHeight="1" x14ac:dyDescent="0.2">
      <c r="A46" s="138"/>
      <c r="B46" s="141" t="s">
        <v>86</v>
      </c>
      <c r="C46" s="340" t="s">
        <v>55</v>
      </c>
      <c r="D46" s="142"/>
      <c r="E46" s="145">
        <v>9</v>
      </c>
      <c r="F46" s="415">
        <v>1228000</v>
      </c>
      <c r="G46" s="219">
        <v>1228000</v>
      </c>
      <c r="H46" s="140"/>
    </row>
    <row r="47" spans="1:11" s="131" customFormat="1" ht="12.75" customHeight="1" x14ac:dyDescent="0.2">
      <c r="A47" s="138"/>
      <c r="B47" s="141" t="s">
        <v>86</v>
      </c>
      <c r="C47" s="340" t="s">
        <v>56</v>
      </c>
      <c r="D47" s="142"/>
      <c r="E47" s="145">
        <v>10</v>
      </c>
      <c r="F47" s="415">
        <f>F48+F49+F50</f>
        <v>0</v>
      </c>
      <c r="G47" s="219">
        <v>0</v>
      </c>
      <c r="H47" s="140"/>
    </row>
    <row r="48" spans="1:11" s="131" customFormat="1" ht="12.75" customHeight="1" x14ac:dyDescent="0.2">
      <c r="A48" s="138"/>
      <c r="B48" s="337"/>
      <c r="C48" s="143">
        <v>1</v>
      </c>
      <c r="D48" s="142" t="s">
        <v>57</v>
      </c>
      <c r="E48" s="139">
        <v>10.1</v>
      </c>
      <c r="F48" s="415"/>
      <c r="G48" s="219"/>
      <c r="H48" s="140"/>
    </row>
    <row r="49" spans="1:8" s="131" customFormat="1" ht="12.75" customHeight="1" x14ac:dyDescent="0.2">
      <c r="A49" s="138"/>
      <c r="B49" s="337"/>
      <c r="C49" s="143">
        <v>2</v>
      </c>
      <c r="D49" s="144" t="s">
        <v>58</v>
      </c>
      <c r="E49" s="145">
        <v>10.199999999999999</v>
      </c>
      <c r="F49" s="415"/>
      <c r="G49" s="219"/>
      <c r="H49" s="140"/>
    </row>
    <row r="50" spans="1:8" s="131" customFormat="1" ht="12.75" customHeight="1" x14ac:dyDescent="0.2">
      <c r="A50" s="138"/>
      <c r="B50" s="337"/>
      <c r="C50" s="143">
        <v>3</v>
      </c>
      <c r="D50" s="144" t="s">
        <v>59</v>
      </c>
      <c r="E50" s="139">
        <v>10.3</v>
      </c>
      <c r="F50" s="415"/>
      <c r="G50" s="219"/>
      <c r="H50" s="140"/>
    </row>
    <row r="51" spans="1:8" s="131" customFormat="1" ht="12.75" customHeight="1" x14ac:dyDescent="0.2">
      <c r="A51" s="138"/>
      <c r="B51" s="141" t="s">
        <v>86</v>
      </c>
      <c r="C51" s="340" t="s">
        <v>41</v>
      </c>
      <c r="D51" s="142"/>
      <c r="E51" s="139">
        <v>11</v>
      </c>
      <c r="F51" s="415"/>
      <c r="G51" s="219"/>
      <c r="H51" s="140"/>
    </row>
    <row r="52" spans="1:8" s="131" customFormat="1" ht="12.75" customHeight="1" x14ac:dyDescent="0.2">
      <c r="A52" s="138"/>
      <c r="B52" s="141" t="s">
        <v>86</v>
      </c>
      <c r="C52" s="340" t="s">
        <v>42</v>
      </c>
      <c r="D52" s="142"/>
      <c r="E52" s="145">
        <v>12</v>
      </c>
      <c r="F52" s="415"/>
      <c r="G52" s="219"/>
      <c r="H52" s="140"/>
    </row>
    <row r="53" spans="1:8" s="131" customFormat="1" ht="12.75" customHeight="1" x14ac:dyDescent="0.2">
      <c r="A53" s="150" t="s">
        <v>4</v>
      </c>
      <c r="B53" s="355" t="s">
        <v>62</v>
      </c>
      <c r="C53" s="356"/>
      <c r="D53" s="357"/>
      <c r="E53" s="145"/>
      <c r="F53" s="415">
        <f>F33+F40+F46+F47+F51+F52</f>
        <v>65062743.989666</v>
      </c>
      <c r="G53" s="219">
        <v>62086630</v>
      </c>
      <c r="H53" s="140"/>
    </row>
    <row r="54" spans="1:8" s="131" customFormat="1" ht="26.25" customHeight="1" x14ac:dyDescent="0.2">
      <c r="A54" s="151"/>
      <c r="B54" s="355" t="s">
        <v>78</v>
      </c>
      <c r="C54" s="356"/>
      <c r="D54" s="357"/>
      <c r="E54" s="139"/>
      <c r="F54" s="415">
        <f>F31+F53</f>
        <v>380020220.32368696</v>
      </c>
      <c r="G54" s="219">
        <v>351361427</v>
      </c>
      <c r="H54" s="140"/>
    </row>
    <row r="55" spans="1:8" s="131" customFormat="1" ht="9.75" customHeight="1" x14ac:dyDescent="0.2">
      <c r="A55" s="138"/>
      <c r="B55" s="146"/>
      <c r="C55" s="143"/>
      <c r="D55" s="139"/>
      <c r="E55" s="138"/>
      <c r="F55" s="228"/>
      <c r="G55" s="219"/>
      <c r="H55" s="140"/>
    </row>
    <row r="56" spans="1:8" s="131" customFormat="1" ht="15.95" customHeight="1" x14ac:dyDescent="0.2">
      <c r="A56" s="151"/>
      <c r="B56" s="355" t="s">
        <v>232</v>
      </c>
      <c r="C56" s="356"/>
      <c r="D56" s="357"/>
      <c r="E56" s="139"/>
      <c r="F56" s="228"/>
      <c r="G56" s="219"/>
      <c r="H56" s="140"/>
    </row>
    <row r="58" spans="1:8" x14ac:dyDescent="0.2">
      <c r="D58" s="133"/>
      <c r="F58" s="226">
        <f>F54-Pasivet!G49</f>
        <v>0.32952094078063965</v>
      </c>
    </row>
  </sheetData>
  <mergeCells count="8">
    <mergeCell ref="B56:D56"/>
    <mergeCell ref="B31:D31"/>
    <mergeCell ref="A2:G2"/>
    <mergeCell ref="B32:D32"/>
    <mergeCell ref="B54:D54"/>
    <mergeCell ref="B5:D5"/>
    <mergeCell ref="B53:D53"/>
    <mergeCell ref="B4:D4"/>
  </mergeCells>
  <phoneticPr fontId="0" type="noConversion"/>
  <printOptions horizontalCentered="1" verticalCentered="1"/>
  <pageMargins left="0" right="0" top="0" bottom="0" header="0.511811023622047" footer="0.511811023622047"/>
  <pageSetup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60"/>
  <sheetViews>
    <sheetView tabSelected="1" topLeftCell="A34" workbookViewId="0">
      <selection activeCell="G14" sqref="G14"/>
    </sheetView>
  </sheetViews>
  <sheetFormatPr defaultColWidth="9.140625" defaultRowHeight="12.75" x14ac:dyDescent="0.2"/>
  <cols>
    <col min="1" max="1" width="1.140625" style="185" customWidth="1"/>
    <col min="2" max="2" width="3.7109375" style="132" customWidth="1"/>
    <col min="3" max="3" width="4" style="132" customWidth="1"/>
    <col min="4" max="4" width="3.42578125" style="132" customWidth="1"/>
    <col min="5" max="5" width="59.5703125" style="185" customWidth="1"/>
    <col min="6" max="6" width="6.5703125" style="132" customWidth="1"/>
    <col min="7" max="7" width="16.5703125" style="226" customWidth="1"/>
    <col min="8" max="8" width="17.42578125" style="217" customWidth="1"/>
    <col min="9" max="9" width="9.140625" style="185"/>
    <col min="10" max="10" width="29.42578125" style="185" customWidth="1"/>
    <col min="11" max="11" width="18.7109375" style="185" customWidth="1"/>
    <col min="12" max="12" width="15" style="185" bestFit="1" customWidth="1"/>
    <col min="13" max="16384" width="9.140625" style="185"/>
  </cols>
  <sheetData>
    <row r="2" spans="2:12" s="131" customFormat="1" ht="6" customHeight="1" x14ac:dyDescent="0.2">
      <c r="B2" s="126"/>
      <c r="C2" s="127"/>
      <c r="D2" s="127"/>
      <c r="E2" s="128"/>
      <c r="F2" s="129"/>
      <c r="G2" s="225"/>
      <c r="H2" s="216"/>
    </row>
    <row r="3" spans="2:12" s="131" customFormat="1" ht="18" customHeight="1" x14ac:dyDescent="0.2">
      <c r="B3" s="358" t="s">
        <v>201</v>
      </c>
      <c r="C3" s="358"/>
      <c r="D3" s="358"/>
      <c r="E3" s="358"/>
      <c r="F3" s="358"/>
      <c r="G3" s="358"/>
      <c r="H3" s="358"/>
    </row>
    <row r="4" spans="2:12" ht="6.75" customHeight="1" x14ac:dyDescent="0.2">
      <c r="I4" s="131"/>
      <c r="J4" s="131"/>
      <c r="K4" s="131"/>
    </row>
    <row r="5" spans="2:12" s="205" customFormat="1" ht="21" customHeight="1" x14ac:dyDescent="0.2">
      <c r="B5" s="134" t="s">
        <v>2</v>
      </c>
      <c r="C5" s="355" t="s">
        <v>64</v>
      </c>
      <c r="D5" s="356"/>
      <c r="E5" s="357"/>
      <c r="F5" s="341" t="s">
        <v>203</v>
      </c>
      <c r="G5" s="227">
        <v>2016</v>
      </c>
      <c r="H5" s="218">
        <v>2016</v>
      </c>
      <c r="I5" s="131"/>
      <c r="J5" s="131"/>
      <c r="K5" s="131"/>
    </row>
    <row r="6" spans="2:12" s="131" customFormat="1" ht="12.75" customHeight="1" x14ac:dyDescent="0.2">
      <c r="B6" s="138"/>
      <c r="C6" s="141" t="s">
        <v>86</v>
      </c>
      <c r="D6" s="340" t="s">
        <v>65</v>
      </c>
      <c r="E6" s="142"/>
      <c r="F6" s="139">
        <v>13</v>
      </c>
      <c r="G6" s="342">
        <f>SUM(G7:G16)</f>
        <v>350984051.5</v>
      </c>
      <c r="H6" s="219">
        <v>328880694</v>
      </c>
      <c r="L6" s="194"/>
    </row>
    <row r="7" spans="2:12" s="131" customFormat="1" ht="12.75" customHeight="1" x14ac:dyDescent="0.2">
      <c r="B7" s="138"/>
      <c r="C7" s="337"/>
      <c r="D7" s="143">
        <v>1</v>
      </c>
      <c r="E7" s="144" t="s">
        <v>66</v>
      </c>
      <c r="F7" s="145" t="s">
        <v>204</v>
      </c>
      <c r="G7" s="342"/>
      <c r="H7" s="219"/>
    </row>
    <row r="8" spans="2:12" s="131" customFormat="1" ht="12.75" customHeight="1" x14ac:dyDescent="0.2">
      <c r="B8" s="138"/>
      <c r="C8" s="337"/>
      <c r="D8" s="143">
        <v>2</v>
      </c>
      <c r="E8" s="144" t="s">
        <v>67</v>
      </c>
      <c r="F8" s="139" t="s">
        <v>205</v>
      </c>
      <c r="G8" s="342"/>
      <c r="H8" s="219"/>
    </row>
    <row r="9" spans="2:12" s="131" customFormat="1" ht="12.75" customHeight="1" x14ac:dyDescent="0.2">
      <c r="B9" s="138"/>
      <c r="C9" s="337"/>
      <c r="D9" s="143">
        <v>3</v>
      </c>
      <c r="E9" s="144" t="s">
        <v>68</v>
      </c>
      <c r="F9" s="145" t="s">
        <v>206</v>
      </c>
      <c r="G9" s="342"/>
      <c r="H9" s="219"/>
    </row>
    <row r="10" spans="2:12" s="131" customFormat="1" ht="12.75" customHeight="1" x14ac:dyDescent="0.2">
      <c r="B10" s="138"/>
      <c r="C10" s="337"/>
      <c r="D10" s="143">
        <v>4</v>
      </c>
      <c r="E10" s="144" t="s">
        <v>261</v>
      </c>
      <c r="F10" s="139" t="s">
        <v>207</v>
      </c>
      <c r="G10" s="344">
        <v>121834573.5</v>
      </c>
      <c r="H10" s="219">
        <v>93021030.5</v>
      </c>
    </row>
    <row r="11" spans="2:12" s="131" customFormat="1" ht="12.75" customHeight="1" x14ac:dyDescent="0.2">
      <c r="B11" s="138"/>
      <c r="C11" s="337"/>
      <c r="D11" s="143">
        <v>5</v>
      </c>
      <c r="E11" s="144" t="s">
        <v>70</v>
      </c>
      <c r="F11" s="145" t="s">
        <v>208</v>
      </c>
      <c r="G11" s="342"/>
      <c r="H11" s="219"/>
    </row>
    <row r="12" spans="2:12" s="131" customFormat="1" ht="12.75" customHeight="1" x14ac:dyDescent="0.2">
      <c r="B12" s="138"/>
      <c r="C12" s="337"/>
      <c r="D12" s="143">
        <v>6</v>
      </c>
      <c r="E12" s="144" t="s">
        <v>71</v>
      </c>
      <c r="F12" s="139" t="s">
        <v>209</v>
      </c>
      <c r="G12" s="342"/>
      <c r="H12" s="219"/>
    </row>
    <row r="13" spans="2:12" s="131" customFormat="1" ht="12.75" customHeight="1" x14ac:dyDescent="0.2">
      <c r="B13" s="138"/>
      <c r="C13" s="337"/>
      <c r="D13" s="143">
        <v>7</v>
      </c>
      <c r="E13" s="144" t="s">
        <v>72</v>
      </c>
      <c r="F13" s="145" t="s">
        <v>210</v>
      </c>
      <c r="G13" s="342"/>
      <c r="H13" s="219"/>
    </row>
    <row r="14" spans="2:12" s="131" customFormat="1" ht="12.75" customHeight="1" x14ac:dyDescent="0.2">
      <c r="B14" s="138"/>
      <c r="C14" s="337"/>
      <c r="D14" s="143">
        <v>8</v>
      </c>
      <c r="E14" s="144" t="s">
        <v>73</v>
      </c>
      <c r="F14" s="139" t="s">
        <v>211</v>
      </c>
      <c r="G14" s="345">
        <v>1599777.5</v>
      </c>
      <c r="H14" s="219">
        <v>1585379.5</v>
      </c>
    </row>
    <row r="15" spans="2:12" s="131" customFormat="1" ht="12.75" customHeight="1" x14ac:dyDescent="0.2">
      <c r="B15" s="138"/>
      <c r="C15" s="337"/>
      <c r="D15" s="143">
        <v>9</v>
      </c>
      <c r="E15" s="144" t="s">
        <v>74</v>
      </c>
      <c r="F15" s="145" t="s">
        <v>212</v>
      </c>
      <c r="G15" s="345">
        <v>593433</v>
      </c>
      <c r="H15" s="219">
        <v>494301.5</v>
      </c>
      <c r="I15" s="346"/>
      <c r="J15" s="346"/>
    </row>
    <row r="16" spans="2:12" s="131" customFormat="1" ht="12.75" customHeight="1" x14ac:dyDescent="0.2">
      <c r="B16" s="138"/>
      <c r="C16" s="338"/>
      <c r="D16" s="143">
        <v>10</v>
      </c>
      <c r="E16" s="144" t="s">
        <v>262</v>
      </c>
      <c r="F16" s="145" t="s">
        <v>213</v>
      </c>
      <c r="G16" s="344">
        <v>226956267.5</v>
      </c>
      <c r="H16" s="219">
        <v>233779982.5</v>
      </c>
    </row>
    <row r="17" spans="2:12" s="131" customFormat="1" ht="12.75" customHeight="1" x14ac:dyDescent="0.2">
      <c r="B17" s="138"/>
      <c r="C17" s="141" t="s">
        <v>86</v>
      </c>
      <c r="D17" s="340" t="s">
        <v>75</v>
      </c>
      <c r="E17" s="142"/>
      <c r="F17" s="145">
        <v>14</v>
      </c>
      <c r="G17" s="342"/>
      <c r="H17" s="219"/>
    </row>
    <row r="18" spans="2:12" s="131" customFormat="1" ht="12.75" customHeight="1" x14ac:dyDescent="0.2">
      <c r="B18" s="138"/>
      <c r="C18" s="141" t="s">
        <v>86</v>
      </c>
      <c r="D18" s="340" t="s">
        <v>76</v>
      </c>
      <c r="E18" s="144"/>
      <c r="F18" s="139">
        <v>15</v>
      </c>
      <c r="G18" s="342"/>
      <c r="H18" s="219"/>
    </row>
    <row r="19" spans="2:12" s="131" customFormat="1" ht="12.75" customHeight="1" x14ac:dyDescent="0.2">
      <c r="B19" s="138"/>
      <c r="C19" s="141" t="s">
        <v>86</v>
      </c>
      <c r="D19" s="340" t="s">
        <v>77</v>
      </c>
      <c r="E19" s="144"/>
      <c r="F19" s="145">
        <v>16</v>
      </c>
      <c r="G19" s="342"/>
      <c r="H19" s="219"/>
    </row>
    <row r="20" spans="2:12" s="131" customFormat="1" ht="15.95" customHeight="1" x14ac:dyDescent="0.2">
      <c r="B20" s="138"/>
      <c r="C20" s="355" t="s">
        <v>90</v>
      </c>
      <c r="D20" s="356"/>
      <c r="E20" s="357"/>
      <c r="F20" s="139"/>
      <c r="G20" s="342">
        <f>G6+G17+G18+G19</f>
        <v>350984051.5</v>
      </c>
      <c r="H20" s="219">
        <v>328880694</v>
      </c>
    </row>
    <row r="21" spans="2:12" s="131" customFormat="1" ht="12.75" customHeight="1" x14ac:dyDescent="0.2">
      <c r="B21" s="138"/>
      <c r="C21" s="141" t="s">
        <v>86</v>
      </c>
      <c r="D21" s="340" t="s">
        <v>80</v>
      </c>
      <c r="E21" s="149"/>
      <c r="F21" s="145">
        <v>17</v>
      </c>
      <c r="G21" s="342">
        <f>G22+G23+G24+G25+G26+G27+G28+G29</f>
        <v>282769.5</v>
      </c>
      <c r="H21" s="219">
        <v>1104731</v>
      </c>
    </row>
    <row r="22" spans="2:12" s="131" customFormat="1" ht="12.75" customHeight="1" x14ac:dyDescent="0.2">
      <c r="B22" s="138"/>
      <c r="C22" s="146"/>
      <c r="D22" s="143">
        <v>1</v>
      </c>
      <c r="E22" s="144" t="s">
        <v>66</v>
      </c>
      <c r="F22" s="139" t="s">
        <v>214</v>
      </c>
      <c r="G22" s="342"/>
      <c r="H22" s="219"/>
    </row>
    <row r="23" spans="2:12" s="131" customFormat="1" ht="12.75" customHeight="1" x14ac:dyDescent="0.2">
      <c r="B23" s="138"/>
      <c r="C23" s="146"/>
      <c r="D23" s="143">
        <v>2</v>
      </c>
      <c r="E23" s="144" t="s">
        <v>67</v>
      </c>
      <c r="F23" s="145" t="s">
        <v>215</v>
      </c>
      <c r="G23" s="342">
        <v>282769.5</v>
      </c>
      <c r="H23" s="219">
        <v>1104731</v>
      </c>
    </row>
    <row r="24" spans="2:12" s="131" customFormat="1" ht="12.75" customHeight="1" x14ac:dyDescent="0.2">
      <c r="B24" s="138"/>
      <c r="C24" s="146"/>
      <c r="D24" s="143">
        <v>3</v>
      </c>
      <c r="E24" s="144" t="s">
        <v>81</v>
      </c>
      <c r="F24" s="139" t="s">
        <v>216</v>
      </c>
      <c r="G24" s="228"/>
      <c r="H24" s="219"/>
    </row>
    <row r="25" spans="2:12" s="131" customFormat="1" ht="12.75" customHeight="1" x14ac:dyDescent="0.2">
      <c r="B25" s="138"/>
      <c r="C25" s="146"/>
      <c r="D25" s="143">
        <v>4</v>
      </c>
      <c r="E25" s="144" t="s">
        <v>69</v>
      </c>
      <c r="F25" s="145" t="s">
        <v>217</v>
      </c>
      <c r="G25" s="228"/>
      <c r="H25" s="219"/>
      <c r="L25" s="206"/>
    </row>
    <row r="26" spans="2:12" s="131" customFormat="1" ht="12.75" customHeight="1" x14ac:dyDescent="0.2">
      <c r="B26" s="138"/>
      <c r="C26" s="146"/>
      <c r="D26" s="143">
        <v>5</v>
      </c>
      <c r="E26" s="144" t="s">
        <v>70</v>
      </c>
      <c r="F26" s="139" t="s">
        <v>218</v>
      </c>
      <c r="G26" s="228"/>
      <c r="H26" s="219"/>
    </row>
    <row r="27" spans="2:12" s="131" customFormat="1" ht="12.75" customHeight="1" x14ac:dyDescent="0.2">
      <c r="B27" s="138"/>
      <c r="C27" s="146"/>
      <c r="D27" s="143">
        <v>6</v>
      </c>
      <c r="E27" s="144" t="s">
        <v>71</v>
      </c>
      <c r="F27" s="145" t="s">
        <v>219</v>
      </c>
      <c r="G27" s="228"/>
      <c r="H27" s="219"/>
    </row>
    <row r="28" spans="2:12" s="131" customFormat="1" ht="12.75" customHeight="1" x14ac:dyDescent="0.2">
      <c r="B28" s="138"/>
      <c r="C28" s="146"/>
      <c r="D28" s="143">
        <v>7</v>
      </c>
      <c r="E28" s="144" t="s">
        <v>72</v>
      </c>
      <c r="F28" s="139" t="s">
        <v>220</v>
      </c>
      <c r="G28" s="228"/>
      <c r="H28" s="219"/>
    </row>
    <row r="29" spans="2:12" s="131" customFormat="1" ht="12.75" customHeight="1" x14ac:dyDescent="0.2">
      <c r="B29" s="138"/>
      <c r="C29" s="146"/>
      <c r="D29" s="143">
        <v>8</v>
      </c>
      <c r="E29" s="144" t="s">
        <v>82</v>
      </c>
      <c r="F29" s="145" t="s">
        <v>221</v>
      </c>
      <c r="G29" s="228"/>
      <c r="H29" s="219"/>
    </row>
    <row r="30" spans="2:12" s="131" customFormat="1" ht="12.75" customHeight="1" x14ac:dyDescent="0.2">
      <c r="B30" s="138"/>
      <c r="C30" s="141" t="s">
        <v>86</v>
      </c>
      <c r="D30" s="340" t="s">
        <v>83</v>
      </c>
      <c r="E30" s="142"/>
      <c r="F30" s="145">
        <v>18</v>
      </c>
      <c r="G30" s="228"/>
      <c r="H30" s="219"/>
    </row>
    <row r="31" spans="2:12" s="131" customFormat="1" ht="12.75" customHeight="1" x14ac:dyDescent="0.2">
      <c r="B31" s="138"/>
      <c r="C31" s="141" t="s">
        <v>86</v>
      </c>
      <c r="D31" s="340" t="s">
        <v>84</v>
      </c>
      <c r="E31" s="142"/>
      <c r="F31" s="139">
        <v>19</v>
      </c>
      <c r="G31" s="228"/>
      <c r="H31" s="219"/>
    </row>
    <row r="32" spans="2:12" s="131" customFormat="1" ht="12.75" customHeight="1" x14ac:dyDescent="0.2">
      <c r="B32" s="138"/>
      <c r="C32" s="141" t="s">
        <v>86</v>
      </c>
      <c r="D32" s="340" t="s">
        <v>85</v>
      </c>
      <c r="E32" s="142"/>
      <c r="F32" s="145">
        <v>20</v>
      </c>
      <c r="G32" s="228">
        <f>G33+G34</f>
        <v>0</v>
      </c>
      <c r="H32" s="219">
        <v>0</v>
      </c>
    </row>
    <row r="33" spans="2:12" s="131" customFormat="1" ht="12.75" customHeight="1" x14ac:dyDescent="0.2">
      <c r="B33" s="138"/>
      <c r="C33" s="337"/>
      <c r="D33" s="143">
        <v>1</v>
      </c>
      <c r="E33" s="144" t="s">
        <v>87</v>
      </c>
      <c r="F33" s="139" t="s">
        <v>222</v>
      </c>
      <c r="G33" s="228"/>
      <c r="H33" s="219"/>
    </row>
    <row r="34" spans="2:12" s="131" customFormat="1" ht="12.75" customHeight="1" x14ac:dyDescent="0.2">
      <c r="B34" s="138"/>
      <c r="C34" s="337"/>
      <c r="D34" s="143">
        <v>2</v>
      </c>
      <c r="E34" s="144" t="s">
        <v>88</v>
      </c>
      <c r="F34" s="145" t="s">
        <v>223</v>
      </c>
      <c r="G34" s="228"/>
      <c r="H34" s="219"/>
      <c r="L34" s="207"/>
    </row>
    <row r="35" spans="2:12" s="131" customFormat="1" ht="12.75" customHeight="1" x14ac:dyDescent="0.2">
      <c r="B35" s="138"/>
      <c r="C35" s="141" t="s">
        <v>86</v>
      </c>
      <c r="D35" s="340" t="s">
        <v>89</v>
      </c>
      <c r="E35" s="142"/>
      <c r="F35" s="139">
        <v>21</v>
      </c>
      <c r="G35" s="228"/>
      <c r="H35" s="219"/>
    </row>
    <row r="36" spans="2:12" s="131" customFormat="1" ht="15.95" customHeight="1" x14ac:dyDescent="0.2">
      <c r="B36" s="138"/>
      <c r="C36" s="355" t="s">
        <v>91</v>
      </c>
      <c r="D36" s="356"/>
      <c r="E36" s="357"/>
      <c r="F36" s="139"/>
      <c r="G36" s="228">
        <f>G21+G30+G31+G32+G35</f>
        <v>282769.5</v>
      </c>
      <c r="H36" s="219">
        <v>1104731</v>
      </c>
    </row>
    <row r="37" spans="2:12" s="131" customFormat="1" ht="24.75" customHeight="1" x14ac:dyDescent="0.2">
      <c r="B37" s="138"/>
      <c r="C37" s="355" t="s">
        <v>79</v>
      </c>
      <c r="D37" s="356"/>
      <c r="E37" s="357"/>
      <c r="F37" s="139"/>
      <c r="G37" s="228">
        <f>G20+G36</f>
        <v>351266821</v>
      </c>
      <c r="H37" s="219">
        <v>329985425</v>
      </c>
    </row>
    <row r="38" spans="2:12" s="131" customFormat="1" ht="12.75" customHeight="1" x14ac:dyDescent="0.2">
      <c r="B38" s="138"/>
      <c r="C38" s="141" t="s">
        <v>86</v>
      </c>
      <c r="D38" s="340" t="s">
        <v>92</v>
      </c>
      <c r="E38" s="142"/>
      <c r="F38" s="145">
        <v>22</v>
      </c>
      <c r="G38" s="228"/>
      <c r="H38" s="219"/>
    </row>
    <row r="39" spans="2:12" s="131" customFormat="1" ht="12.75" customHeight="1" x14ac:dyDescent="0.2">
      <c r="B39" s="138"/>
      <c r="C39" s="141" t="s">
        <v>86</v>
      </c>
      <c r="D39" s="340" t="s">
        <v>93</v>
      </c>
      <c r="E39" s="142"/>
      <c r="F39" s="139">
        <v>23</v>
      </c>
      <c r="G39" s="228">
        <v>100000</v>
      </c>
      <c r="H39" s="219">
        <v>100000</v>
      </c>
      <c r="L39" s="206"/>
    </row>
    <row r="40" spans="2:12" s="131" customFormat="1" ht="12.75" customHeight="1" x14ac:dyDescent="0.2">
      <c r="B40" s="138"/>
      <c r="C40" s="141" t="s">
        <v>86</v>
      </c>
      <c r="D40" s="340" t="s">
        <v>94</v>
      </c>
      <c r="E40" s="142"/>
      <c r="F40" s="145">
        <v>24</v>
      </c>
      <c r="G40" s="228"/>
      <c r="H40" s="219"/>
    </row>
    <row r="41" spans="2:12" s="131" customFormat="1" ht="12.75" customHeight="1" x14ac:dyDescent="0.2">
      <c r="B41" s="138"/>
      <c r="C41" s="141" t="s">
        <v>86</v>
      </c>
      <c r="D41" s="340" t="s">
        <v>95</v>
      </c>
      <c r="E41" s="142"/>
      <c r="F41" s="139">
        <v>25</v>
      </c>
      <c r="G41" s="228"/>
      <c r="H41" s="219"/>
    </row>
    <row r="42" spans="2:12" s="131" customFormat="1" ht="12.75" customHeight="1" x14ac:dyDescent="0.2">
      <c r="B42" s="138"/>
      <c r="C42" s="141" t="s">
        <v>86</v>
      </c>
      <c r="D42" s="340" t="s">
        <v>96</v>
      </c>
      <c r="E42" s="142"/>
      <c r="F42" s="145">
        <v>26</v>
      </c>
      <c r="G42" s="228">
        <f>G43+G44+G45</f>
        <v>681164</v>
      </c>
      <c r="H42" s="219">
        <v>681164</v>
      </c>
    </row>
    <row r="43" spans="2:12" s="131" customFormat="1" ht="12.75" customHeight="1" x14ac:dyDescent="0.2">
      <c r="B43" s="138"/>
      <c r="C43" s="208"/>
      <c r="D43" s="143">
        <v>1</v>
      </c>
      <c r="E43" s="144" t="s">
        <v>97</v>
      </c>
      <c r="F43" s="139" t="s">
        <v>224</v>
      </c>
      <c r="G43" s="228">
        <f>H43</f>
        <v>681164</v>
      </c>
      <c r="H43" s="219">
        <v>681164</v>
      </c>
    </row>
    <row r="44" spans="2:12" s="131" customFormat="1" ht="12.75" customHeight="1" x14ac:dyDescent="0.2">
      <c r="B44" s="138"/>
      <c r="C44" s="208"/>
      <c r="D44" s="143">
        <v>2</v>
      </c>
      <c r="E44" s="144" t="s">
        <v>98</v>
      </c>
      <c r="F44" s="145" t="s">
        <v>225</v>
      </c>
      <c r="G44" s="228"/>
      <c r="H44" s="219"/>
    </row>
    <row r="45" spans="2:12" s="131" customFormat="1" ht="12.75" customHeight="1" x14ac:dyDescent="0.2">
      <c r="B45" s="138"/>
      <c r="C45" s="208"/>
      <c r="D45" s="143">
        <v>3</v>
      </c>
      <c r="E45" s="144" t="s">
        <v>96</v>
      </c>
      <c r="F45" s="139" t="s">
        <v>226</v>
      </c>
      <c r="G45" s="228"/>
      <c r="H45" s="219"/>
    </row>
    <row r="46" spans="2:12" s="131" customFormat="1" ht="12.75" customHeight="1" x14ac:dyDescent="0.2">
      <c r="B46" s="138"/>
      <c r="C46" s="141" t="s">
        <v>86</v>
      </c>
      <c r="D46" s="340" t="s">
        <v>99</v>
      </c>
      <c r="E46" s="142"/>
      <c r="F46" s="145">
        <v>27</v>
      </c>
      <c r="G46" s="228">
        <f>SUM(H46+H47)</f>
        <v>20594838.050000001</v>
      </c>
      <c r="H46" s="219">
        <v>15215423.550000001</v>
      </c>
    </row>
    <row r="47" spans="2:12" s="131" customFormat="1" ht="12.75" customHeight="1" x14ac:dyDescent="0.2">
      <c r="B47" s="138"/>
      <c r="C47" s="141" t="s">
        <v>86</v>
      </c>
      <c r="D47" s="340" t="s">
        <v>100</v>
      </c>
      <c r="E47" s="142"/>
      <c r="F47" s="139">
        <v>28</v>
      </c>
      <c r="G47" s="228">
        <f>PASH!G58</f>
        <v>7377396.9441660019</v>
      </c>
      <c r="H47" s="219">
        <v>5379414.5</v>
      </c>
    </row>
    <row r="48" spans="2:12" s="131" customFormat="1" ht="15.95" customHeight="1" x14ac:dyDescent="0.2">
      <c r="B48" s="138"/>
      <c r="C48" s="355" t="s">
        <v>101</v>
      </c>
      <c r="D48" s="356"/>
      <c r="E48" s="357"/>
      <c r="F48" s="139"/>
      <c r="G48" s="228">
        <f>G38+G39+G40+G41+G42+G46+G47</f>
        <v>28753398.994166002</v>
      </c>
      <c r="H48" s="219">
        <v>21376002.050000001</v>
      </c>
    </row>
    <row r="49" spans="2:8" s="131" customFormat="1" ht="24.75" customHeight="1" x14ac:dyDescent="0.2">
      <c r="B49" s="138"/>
      <c r="C49" s="355" t="s">
        <v>102</v>
      </c>
      <c r="D49" s="356"/>
      <c r="E49" s="357"/>
      <c r="F49" s="139"/>
      <c r="G49" s="228">
        <f>G37+G48</f>
        <v>380020219.99416602</v>
      </c>
      <c r="H49" s="219">
        <v>351361427.05000001</v>
      </c>
    </row>
    <row r="50" spans="2:8" s="131" customFormat="1" ht="15.95" customHeight="1" x14ac:dyDescent="0.2">
      <c r="B50" s="138"/>
      <c r="C50" s="146"/>
      <c r="D50" s="143"/>
      <c r="E50" s="139"/>
      <c r="F50" s="138"/>
      <c r="G50" s="228"/>
      <c r="H50" s="219"/>
    </row>
    <row r="51" spans="2:8" s="131" customFormat="1" ht="15.95" customHeight="1" x14ac:dyDescent="0.2">
      <c r="B51" s="151"/>
      <c r="C51" s="355" t="s">
        <v>232</v>
      </c>
      <c r="D51" s="356"/>
      <c r="E51" s="357"/>
      <c r="F51" s="139"/>
      <c r="G51" s="228"/>
      <c r="H51" s="219"/>
    </row>
    <row r="52" spans="2:8" s="131" customFormat="1" ht="15.95" customHeight="1" x14ac:dyDescent="0.2">
      <c r="B52" s="209"/>
      <c r="C52" s="209"/>
      <c r="D52" s="210"/>
      <c r="E52" s="211"/>
      <c r="F52" s="209"/>
      <c r="G52" s="223"/>
      <c r="H52" s="223">
        <f>H49-Aktivet!G54</f>
        <v>5.0000011920928955E-2</v>
      </c>
    </row>
    <row r="53" spans="2:8" s="131" customFormat="1" ht="15.95" customHeight="1" x14ac:dyDescent="0.2">
      <c r="B53" s="209"/>
      <c r="C53" s="209"/>
      <c r="D53" s="210"/>
      <c r="E53" s="211"/>
      <c r="F53" s="209"/>
      <c r="G53" s="223">
        <f>G49-Aktivet!F54</f>
        <v>-0.32952094078063965</v>
      </c>
      <c r="H53" s="221"/>
    </row>
    <row r="54" spans="2:8" s="131" customFormat="1" ht="15.95" customHeight="1" x14ac:dyDescent="0.2">
      <c r="B54" s="212"/>
      <c r="C54" s="212"/>
      <c r="D54" s="212"/>
      <c r="E54" s="211"/>
      <c r="F54" s="209"/>
      <c r="G54" s="223"/>
      <c r="H54" s="221"/>
    </row>
    <row r="55" spans="2:8" s="131" customFormat="1" ht="15.95" customHeight="1" x14ac:dyDescent="0.2">
      <c r="B55" s="209"/>
      <c r="C55" s="209"/>
      <c r="D55" s="210"/>
      <c r="E55" s="211"/>
      <c r="F55" s="209"/>
      <c r="G55" s="223"/>
      <c r="H55" s="221"/>
    </row>
    <row r="56" spans="2:8" s="131" customFormat="1" ht="15.95" customHeight="1" x14ac:dyDescent="0.2">
      <c r="B56" s="209"/>
      <c r="C56" s="209"/>
      <c r="D56" s="210"/>
      <c r="E56" s="211"/>
      <c r="F56" s="209"/>
      <c r="G56" s="223"/>
      <c r="H56" s="221"/>
    </row>
    <row r="57" spans="2:8" s="131" customFormat="1" ht="15.95" customHeight="1" x14ac:dyDescent="0.2">
      <c r="B57" s="209"/>
      <c r="C57" s="209"/>
      <c r="D57" s="210"/>
      <c r="E57" s="211"/>
      <c r="F57" s="209"/>
      <c r="G57" s="223"/>
      <c r="H57" s="221"/>
    </row>
    <row r="58" spans="2:8" s="131" customFormat="1" ht="15.95" customHeight="1" x14ac:dyDescent="0.2">
      <c r="B58" s="209"/>
      <c r="C58" s="209"/>
      <c r="D58" s="210"/>
      <c r="E58" s="211"/>
      <c r="F58" s="209"/>
      <c r="G58" s="223"/>
      <c r="H58" s="221"/>
    </row>
    <row r="59" spans="2:8" s="131" customFormat="1" ht="15.95" customHeight="1" x14ac:dyDescent="0.2">
      <c r="B59" s="209"/>
      <c r="C59" s="209"/>
      <c r="D59" s="209"/>
      <c r="E59" s="209"/>
      <c r="F59" s="209"/>
      <c r="G59" s="223"/>
      <c r="H59" s="221"/>
    </row>
    <row r="60" spans="2:8" x14ac:dyDescent="0.2">
      <c r="B60" s="213"/>
      <c r="C60" s="213"/>
      <c r="D60" s="214"/>
      <c r="E60" s="215"/>
      <c r="F60" s="213"/>
      <c r="G60" s="229"/>
      <c r="H60" s="222"/>
    </row>
  </sheetData>
  <mergeCells count="8">
    <mergeCell ref="C51:E51"/>
    <mergeCell ref="C49:E49"/>
    <mergeCell ref="B3:H3"/>
    <mergeCell ref="C37:E37"/>
    <mergeCell ref="C20:E20"/>
    <mergeCell ref="C36:E36"/>
    <mergeCell ref="C48:E48"/>
    <mergeCell ref="C5:E5"/>
  </mergeCells>
  <phoneticPr fontId="0" type="noConversion"/>
  <printOptions horizontalCentered="1" verticalCentered="1"/>
  <pageMargins left="0" right="0" top="0" bottom="0" header="0.511811023622047" footer="0.511811023622047"/>
  <pageSetup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61"/>
  <sheetViews>
    <sheetView topLeftCell="B19" workbookViewId="0">
      <selection activeCell="G43" sqref="G43"/>
    </sheetView>
  </sheetViews>
  <sheetFormatPr defaultColWidth="9.140625" defaultRowHeight="15" x14ac:dyDescent="0.2"/>
  <cols>
    <col min="1" max="1" width="13.28515625" style="6" customWidth="1"/>
    <col min="2" max="2" width="3.7109375" style="78" customWidth="1"/>
    <col min="3" max="3" width="3.42578125" style="2" customWidth="1"/>
    <col min="4" max="4" width="2.7109375" style="2" customWidth="1"/>
    <col min="5" max="5" width="62.42578125" style="6" customWidth="1"/>
    <col min="6" max="6" width="9.7109375" style="2" bestFit="1" customWidth="1"/>
    <col min="7" max="7" width="15.5703125" style="133" customWidth="1"/>
    <col min="8" max="8" width="12" style="19" customWidth="1"/>
    <col min="9" max="9" width="5.28515625" style="6" customWidth="1"/>
    <col min="10" max="10" width="19.5703125" style="6" customWidth="1"/>
    <col min="11" max="11" width="18.85546875" style="185" customWidth="1"/>
    <col min="12" max="12" width="12.28515625" style="6" bestFit="1" customWidth="1"/>
    <col min="13" max="13" width="12.85546875" style="6" customWidth="1"/>
    <col min="14" max="16384" width="9.140625" style="6"/>
  </cols>
  <sheetData>
    <row r="1" spans="2:13" s="18" customFormat="1" ht="7.5" customHeight="1" x14ac:dyDescent="0.2">
      <c r="B1" s="20"/>
      <c r="C1" s="1"/>
      <c r="D1" s="15"/>
      <c r="E1" s="16"/>
      <c r="F1" s="86"/>
      <c r="G1" s="130"/>
      <c r="H1" s="17"/>
      <c r="K1" s="131"/>
    </row>
    <row r="2" spans="2:13" s="18" customFormat="1" ht="17.25" customHeight="1" x14ac:dyDescent="0.2">
      <c r="B2" s="378" t="s">
        <v>103</v>
      </c>
      <c r="C2" s="378"/>
      <c r="D2" s="378"/>
      <c r="E2" s="378"/>
      <c r="F2" s="378"/>
      <c r="G2" s="378"/>
      <c r="H2" s="378"/>
      <c r="K2" s="131"/>
    </row>
    <row r="3" spans="2:13" s="18" customFormat="1" ht="17.25" customHeight="1" x14ac:dyDescent="0.2">
      <c r="B3" s="378" t="s">
        <v>104</v>
      </c>
      <c r="C3" s="378"/>
      <c r="D3" s="378"/>
      <c r="E3" s="378"/>
      <c r="F3" s="378"/>
      <c r="G3" s="378"/>
      <c r="H3" s="378"/>
      <c r="K3" s="131"/>
    </row>
    <row r="4" spans="2:13" s="18" customFormat="1" ht="17.25" customHeight="1" x14ac:dyDescent="0.2">
      <c r="B4" s="384" t="s">
        <v>105</v>
      </c>
      <c r="C4" s="384"/>
      <c r="D4" s="384"/>
      <c r="E4" s="384"/>
      <c r="F4" s="384"/>
      <c r="G4" s="384"/>
      <c r="H4" s="384"/>
      <c r="K4" s="194"/>
    </row>
    <row r="5" spans="2:13" ht="7.5" customHeight="1" x14ac:dyDescent="0.2"/>
    <row r="6" spans="2:13" s="18" customFormat="1" ht="15.95" customHeight="1" x14ac:dyDescent="0.2">
      <c r="B6" s="36" t="s">
        <v>2</v>
      </c>
      <c r="C6" s="381" t="s">
        <v>22</v>
      </c>
      <c r="D6" s="382"/>
      <c r="E6" s="383"/>
      <c r="F6" s="84" t="s">
        <v>203</v>
      </c>
      <c r="G6" s="135">
        <v>2017</v>
      </c>
      <c r="H6" s="31">
        <v>2016</v>
      </c>
      <c r="K6" s="131"/>
    </row>
    <row r="7" spans="2:13" s="18" customFormat="1" ht="12.75" customHeight="1" x14ac:dyDescent="0.25">
      <c r="B7" s="79" t="s">
        <v>86</v>
      </c>
      <c r="C7" s="12" t="s">
        <v>106</v>
      </c>
      <c r="D7" s="37"/>
      <c r="E7" s="38"/>
      <c r="F7" s="87">
        <v>29</v>
      </c>
      <c r="G7" s="190">
        <v>363814429</v>
      </c>
      <c r="H7" s="35">
        <v>240540462</v>
      </c>
      <c r="I7" s="407">
        <v>704</v>
      </c>
      <c r="J7" s="407" t="s">
        <v>275</v>
      </c>
      <c r="K7" s="408">
        <v>-352233312.81690001</v>
      </c>
      <c r="L7" s="201">
        <f>K7+K8+K9+G7</f>
        <v>-1.6900002956390381E-2</v>
      </c>
      <c r="M7" s="201">
        <f>K7+-920</f>
        <v>-352234232.81690001</v>
      </c>
    </row>
    <row r="8" spans="2:13" s="18" customFormat="1" ht="12.75" customHeight="1" x14ac:dyDescent="0.25">
      <c r="B8" s="79" t="s">
        <v>86</v>
      </c>
      <c r="C8" s="12" t="s">
        <v>107</v>
      </c>
      <c r="D8" s="37"/>
      <c r="E8" s="38"/>
      <c r="F8" s="87">
        <v>30</v>
      </c>
      <c r="G8" s="412">
        <v>19449566</v>
      </c>
      <c r="H8" s="140">
        <v>63197749</v>
      </c>
      <c r="I8" s="407">
        <v>705</v>
      </c>
      <c r="J8" s="407" t="s">
        <v>276</v>
      </c>
      <c r="K8" s="408">
        <v>-11039449.199999999</v>
      </c>
    </row>
    <row r="9" spans="2:13" s="18" customFormat="1" ht="12.75" customHeight="1" x14ac:dyDescent="0.25">
      <c r="B9" s="79" t="s">
        <v>86</v>
      </c>
      <c r="C9" s="12" t="s">
        <v>108</v>
      </c>
      <c r="D9" s="37"/>
      <c r="E9" s="38"/>
      <c r="F9" s="87">
        <v>31</v>
      </c>
      <c r="G9" s="190"/>
      <c r="H9" s="35"/>
      <c r="I9" s="407">
        <v>707</v>
      </c>
      <c r="J9" s="407" t="s">
        <v>277</v>
      </c>
      <c r="K9" s="408">
        <v>-541667</v>
      </c>
    </row>
    <row r="10" spans="2:13" s="18" customFormat="1" ht="12.75" customHeight="1" x14ac:dyDescent="0.25">
      <c r="B10" s="79" t="s">
        <v>86</v>
      </c>
      <c r="C10" s="12" t="s">
        <v>109</v>
      </c>
      <c r="D10" s="37"/>
      <c r="E10" s="38"/>
      <c r="F10" s="87">
        <v>32</v>
      </c>
      <c r="G10" s="190"/>
      <c r="H10" s="35"/>
      <c r="I10" s="407">
        <v>769</v>
      </c>
      <c r="J10" s="407" t="s">
        <v>278</v>
      </c>
      <c r="K10" s="411">
        <v>-3115242.77</v>
      </c>
    </row>
    <row r="11" spans="2:13" s="18" customFormat="1" ht="12.75" customHeight="1" x14ac:dyDescent="0.2">
      <c r="B11" s="79" t="s">
        <v>86</v>
      </c>
      <c r="C11" s="12" t="s">
        <v>110</v>
      </c>
      <c r="D11" s="37"/>
      <c r="E11" s="38"/>
      <c r="F11" s="87">
        <v>33</v>
      </c>
      <c r="G11" s="190">
        <f>G12+G13</f>
        <v>-328303478</v>
      </c>
      <c r="H11" s="35">
        <v>-253526292</v>
      </c>
      <c r="I11" s="181"/>
      <c r="J11" s="181"/>
      <c r="K11" s="409"/>
      <c r="L11" s="180"/>
      <c r="M11" s="180"/>
    </row>
    <row r="12" spans="2:13" s="18" customFormat="1" ht="12.75" customHeight="1" x14ac:dyDescent="0.2">
      <c r="B12" s="80"/>
      <c r="C12" s="39"/>
      <c r="D12" s="51">
        <v>1</v>
      </c>
      <c r="E12" s="52" t="s">
        <v>110</v>
      </c>
      <c r="F12" s="33">
        <v>33.1</v>
      </c>
      <c r="G12" s="191">
        <v>-328303478</v>
      </c>
      <c r="H12" s="50">
        <v>-253526292</v>
      </c>
      <c r="I12" s="181"/>
      <c r="J12" s="181"/>
      <c r="K12" s="409"/>
      <c r="L12" s="201"/>
    </row>
    <row r="13" spans="2:13" s="18" customFormat="1" ht="12.75" customHeight="1" x14ac:dyDescent="0.25">
      <c r="B13" s="81"/>
      <c r="C13" s="39"/>
      <c r="D13" s="18">
        <v>2</v>
      </c>
      <c r="E13" s="52" t="s">
        <v>111</v>
      </c>
      <c r="F13" s="33">
        <v>33.200000000000003</v>
      </c>
      <c r="G13" s="191"/>
      <c r="H13" s="50"/>
      <c r="I13" s="407">
        <v>601</v>
      </c>
      <c r="J13" s="407" t="s">
        <v>279</v>
      </c>
      <c r="K13" s="411">
        <v>195762557.50606599</v>
      </c>
      <c r="L13" s="224">
        <f>K13+K14+K15+K17+K18+K19+K26+K27</f>
        <v>328303478.11587924</v>
      </c>
    </row>
    <row r="14" spans="2:13" s="18" customFormat="1" ht="12.75" customHeight="1" x14ac:dyDescent="0.25">
      <c r="B14" s="79" t="s">
        <v>86</v>
      </c>
      <c r="C14" s="12" t="s">
        <v>112</v>
      </c>
      <c r="D14" s="37"/>
      <c r="E14" s="38"/>
      <c r="F14" s="87">
        <v>34</v>
      </c>
      <c r="G14" s="403">
        <f>G15+G16</f>
        <v>-24223055</v>
      </c>
      <c r="H14" s="35">
        <v>-24225667</v>
      </c>
      <c r="I14" s="407">
        <v>6032</v>
      </c>
      <c r="J14" s="407" t="s">
        <v>280</v>
      </c>
      <c r="K14" s="411">
        <v>9004369.3047132306</v>
      </c>
      <c r="L14" s="201"/>
    </row>
    <row r="15" spans="2:13" s="18" customFormat="1" ht="12.75" customHeight="1" x14ac:dyDescent="0.25">
      <c r="B15" s="81"/>
      <c r="C15" s="39"/>
      <c r="D15" s="40">
        <v>1</v>
      </c>
      <c r="E15" s="11" t="s">
        <v>113</v>
      </c>
      <c r="F15" s="87">
        <v>34.1</v>
      </c>
      <c r="G15" s="404">
        <v>-20733392</v>
      </c>
      <c r="H15" s="41">
        <v>-20750552.5</v>
      </c>
      <c r="I15" s="407">
        <v>6035</v>
      </c>
      <c r="J15" s="407" t="s">
        <v>281</v>
      </c>
      <c r="K15" s="411">
        <v>1292086.0130000201</v>
      </c>
      <c r="L15" s="224"/>
    </row>
    <row r="16" spans="2:13" s="18" customFormat="1" ht="12.75" customHeight="1" x14ac:dyDescent="0.25">
      <c r="B16" s="81"/>
      <c r="C16" s="39"/>
      <c r="D16" s="40">
        <v>2</v>
      </c>
      <c r="E16" s="11" t="s">
        <v>114</v>
      </c>
      <c r="F16" s="376">
        <v>34.200000000000003</v>
      </c>
      <c r="G16" s="405">
        <v>-3489663</v>
      </c>
      <c r="H16" s="365">
        <v>-3475114.5</v>
      </c>
      <c r="I16" s="407">
        <v>604</v>
      </c>
      <c r="J16" s="407" t="s">
        <v>282</v>
      </c>
      <c r="K16" s="411">
        <v>9034025.0399999991</v>
      </c>
      <c r="L16" s="224">
        <f>K16+K20+K21+K22+K23+K24+K25+K29+K30+K33</f>
        <v>22060276.754299998</v>
      </c>
    </row>
    <row r="17" spans="2:11" s="18" customFormat="1" ht="12.75" customHeight="1" x14ac:dyDescent="0.25">
      <c r="B17" s="81"/>
      <c r="C17" s="39"/>
      <c r="D17" s="40"/>
      <c r="E17" s="11" t="s">
        <v>115</v>
      </c>
      <c r="F17" s="377"/>
      <c r="G17" s="406"/>
      <c r="H17" s="366"/>
      <c r="I17" s="407">
        <v>605</v>
      </c>
      <c r="J17" s="407" t="s">
        <v>283</v>
      </c>
      <c r="K17" s="411">
        <v>83676376.042099997</v>
      </c>
    </row>
    <row r="18" spans="2:11" s="18" customFormat="1" ht="12.75" customHeight="1" x14ac:dyDescent="0.25">
      <c r="B18" s="79" t="s">
        <v>86</v>
      </c>
      <c r="C18" s="12" t="s">
        <v>116</v>
      </c>
      <c r="D18" s="37"/>
      <c r="E18" s="38"/>
      <c r="F18" s="87">
        <v>35</v>
      </c>
      <c r="G18" s="190"/>
      <c r="H18" s="35"/>
      <c r="I18" s="407">
        <v>606</v>
      </c>
      <c r="J18" s="407" t="s">
        <v>284</v>
      </c>
      <c r="K18" s="411">
        <v>12430029.512599999</v>
      </c>
    </row>
    <row r="19" spans="2:11" s="18" customFormat="1" ht="12.75" customHeight="1" x14ac:dyDescent="0.25">
      <c r="B19" s="79" t="s">
        <v>86</v>
      </c>
      <c r="C19" s="12" t="s">
        <v>117</v>
      </c>
      <c r="D19" s="37"/>
      <c r="E19" s="38"/>
      <c r="F19" s="87">
        <v>36</v>
      </c>
      <c r="G19" s="403">
        <v>-2161790.751534</v>
      </c>
      <c r="H19" s="35">
        <v>-1763661.5</v>
      </c>
      <c r="I19" s="407">
        <v>608</v>
      </c>
      <c r="J19" s="407" t="s">
        <v>285</v>
      </c>
      <c r="K19" s="411">
        <v>159482.39000000001</v>
      </c>
    </row>
    <row r="20" spans="2:11" s="18" customFormat="1" ht="12.75" customHeight="1" x14ac:dyDescent="0.25">
      <c r="B20" s="79" t="s">
        <v>86</v>
      </c>
      <c r="C20" s="12" t="s">
        <v>118</v>
      </c>
      <c r="D20" s="37"/>
      <c r="E20" s="38"/>
      <c r="F20" s="87">
        <v>37</v>
      </c>
      <c r="G20" s="403">
        <v>-22060276.754299998</v>
      </c>
      <c r="H20" s="35">
        <v>-18091475</v>
      </c>
      <c r="I20" s="407">
        <v>613</v>
      </c>
      <c r="J20" s="407" t="s">
        <v>286</v>
      </c>
      <c r="K20" s="411">
        <v>3900000</v>
      </c>
    </row>
    <row r="21" spans="2:11" s="18" customFormat="1" ht="12.75" customHeight="1" x14ac:dyDescent="0.25">
      <c r="B21" s="79" t="s">
        <v>86</v>
      </c>
      <c r="C21" s="12" t="s">
        <v>119</v>
      </c>
      <c r="D21" s="37"/>
      <c r="E21" s="38"/>
      <c r="F21" s="87">
        <v>38</v>
      </c>
      <c r="G21" s="190">
        <f>SUM(G22:G29)</f>
        <v>0</v>
      </c>
      <c r="H21" s="35">
        <v>0</v>
      </c>
      <c r="I21" s="407">
        <v>615</v>
      </c>
      <c r="J21" s="407" t="s">
        <v>287</v>
      </c>
      <c r="K21" s="411">
        <v>4035997.4333000001</v>
      </c>
    </row>
    <row r="22" spans="2:11" s="18" customFormat="1" ht="12.75" customHeight="1" x14ac:dyDescent="0.25">
      <c r="B22" s="81"/>
      <c r="C22" s="42"/>
      <c r="D22" s="367">
        <v>1</v>
      </c>
      <c r="E22" s="45" t="s">
        <v>120</v>
      </c>
      <c r="F22" s="376">
        <v>38.1</v>
      </c>
      <c r="G22" s="369"/>
      <c r="H22" s="365"/>
      <c r="I22" s="407">
        <v>616</v>
      </c>
      <c r="J22" s="407" t="s">
        <v>288</v>
      </c>
      <c r="K22" s="411">
        <v>127249.2</v>
      </c>
    </row>
    <row r="23" spans="2:11" s="18" customFormat="1" ht="12.75" customHeight="1" x14ac:dyDescent="0.25">
      <c r="B23" s="82"/>
      <c r="C23" s="43"/>
      <c r="D23" s="368"/>
      <c r="E23" s="46" t="s">
        <v>121</v>
      </c>
      <c r="F23" s="377"/>
      <c r="G23" s="370"/>
      <c r="H23" s="366"/>
      <c r="I23" s="407">
        <v>617</v>
      </c>
      <c r="J23" s="407" t="s">
        <v>289</v>
      </c>
      <c r="K23" s="411">
        <v>6555.8710000000001</v>
      </c>
    </row>
    <row r="24" spans="2:11" s="18" customFormat="1" ht="12.75" customHeight="1" x14ac:dyDescent="0.25">
      <c r="B24" s="81"/>
      <c r="C24" s="42"/>
      <c r="D24" s="367">
        <v>2</v>
      </c>
      <c r="E24" s="45" t="s">
        <v>122</v>
      </c>
      <c r="F24" s="376">
        <v>38.200000000000003</v>
      </c>
      <c r="G24" s="369"/>
      <c r="H24" s="365"/>
      <c r="I24" s="407">
        <v>618</v>
      </c>
      <c r="J24" s="407" t="s">
        <v>290</v>
      </c>
      <c r="K24" s="411">
        <v>3213476.98</v>
      </c>
    </row>
    <row r="25" spans="2:11" s="18" customFormat="1" ht="12.75" customHeight="1" x14ac:dyDescent="0.25">
      <c r="B25" s="82"/>
      <c r="C25" s="43"/>
      <c r="D25" s="368"/>
      <c r="E25" s="46" t="s">
        <v>125</v>
      </c>
      <c r="F25" s="377"/>
      <c r="G25" s="370"/>
      <c r="H25" s="366"/>
      <c r="I25" s="407">
        <v>626</v>
      </c>
      <c r="J25" s="407" t="s">
        <v>291</v>
      </c>
      <c r="K25" s="411">
        <v>375505.23</v>
      </c>
    </row>
    <row r="26" spans="2:11" s="18" customFormat="1" ht="12.75" customHeight="1" x14ac:dyDescent="0.25">
      <c r="B26" s="100"/>
      <c r="C26" s="101"/>
      <c r="D26" s="367">
        <v>3</v>
      </c>
      <c r="E26" s="45" t="s">
        <v>123</v>
      </c>
      <c r="F26" s="376">
        <v>38.299999999999997</v>
      </c>
      <c r="G26" s="369"/>
      <c r="H26" s="365"/>
      <c r="I26" s="407">
        <v>6271</v>
      </c>
      <c r="J26" s="407" t="s">
        <v>292</v>
      </c>
      <c r="K26" s="411">
        <v>25136907.347399998</v>
      </c>
    </row>
    <row r="27" spans="2:11" s="18" customFormat="1" ht="12.75" customHeight="1" x14ac:dyDescent="0.25">
      <c r="B27" s="100"/>
      <c r="C27" s="101"/>
      <c r="D27" s="368"/>
      <c r="E27" s="46" t="s">
        <v>124</v>
      </c>
      <c r="F27" s="377"/>
      <c r="G27" s="370"/>
      <c r="H27" s="366"/>
      <c r="I27" s="407">
        <v>6272</v>
      </c>
      <c r="J27" s="407" t="s">
        <v>293</v>
      </c>
      <c r="K27" s="411">
        <v>841670</v>
      </c>
    </row>
    <row r="28" spans="2:11" s="18" customFormat="1" ht="12.75" customHeight="1" x14ac:dyDescent="0.25">
      <c r="B28" s="81"/>
      <c r="C28" s="42"/>
      <c r="D28" s="102">
        <v>4</v>
      </c>
      <c r="E28" s="103" t="s">
        <v>231</v>
      </c>
      <c r="F28" s="98">
        <v>38.4</v>
      </c>
      <c r="G28" s="192"/>
      <c r="H28" s="106"/>
      <c r="I28" s="407">
        <v>628</v>
      </c>
      <c r="J28" s="407" t="s">
        <v>294</v>
      </c>
      <c r="K28" s="411">
        <v>726865.549300001</v>
      </c>
    </row>
    <row r="29" spans="2:11" s="18" customFormat="1" ht="12.75" customHeight="1" x14ac:dyDescent="0.25">
      <c r="B29" s="82"/>
      <c r="C29" s="43"/>
      <c r="D29" s="104"/>
      <c r="E29" s="105"/>
      <c r="F29" s="99"/>
      <c r="G29" s="193"/>
      <c r="H29" s="107"/>
      <c r="I29" s="407">
        <v>634</v>
      </c>
      <c r="J29" s="407" t="s">
        <v>295</v>
      </c>
      <c r="K29" s="411">
        <v>610760</v>
      </c>
    </row>
    <row r="30" spans="2:11" s="18" customFormat="1" ht="12.75" customHeight="1" x14ac:dyDescent="0.25">
      <c r="B30" s="379" t="s">
        <v>86</v>
      </c>
      <c r="C30" s="14" t="s">
        <v>126</v>
      </c>
      <c r="D30" s="53"/>
      <c r="E30" s="54"/>
      <c r="F30" s="376">
        <v>39</v>
      </c>
      <c r="G30" s="372"/>
      <c r="H30" s="374"/>
      <c r="I30" s="407">
        <v>638</v>
      </c>
      <c r="J30" s="407" t="s">
        <v>296</v>
      </c>
      <c r="K30" s="411">
        <v>360181</v>
      </c>
    </row>
    <row r="31" spans="2:11" s="18" customFormat="1" ht="12.75" customHeight="1" x14ac:dyDescent="0.25">
      <c r="B31" s="380"/>
      <c r="C31" s="44" t="s">
        <v>127</v>
      </c>
      <c r="D31" s="55"/>
      <c r="E31" s="56"/>
      <c r="F31" s="377"/>
      <c r="G31" s="373"/>
      <c r="H31" s="375"/>
      <c r="I31" s="407">
        <v>641</v>
      </c>
      <c r="J31" s="407" t="s">
        <v>297</v>
      </c>
      <c r="K31" s="411">
        <v>20733392</v>
      </c>
    </row>
    <row r="32" spans="2:11" s="18" customFormat="1" ht="12.75" customHeight="1" x14ac:dyDescent="0.25">
      <c r="B32" s="79" t="s">
        <v>86</v>
      </c>
      <c r="C32" s="12" t="s">
        <v>128</v>
      </c>
      <c r="D32" s="37"/>
      <c r="E32" s="38"/>
      <c r="F32" s="87">
        <v>40</v>
      </c>
      <c r="G32" s="190">
        <f>G33+G36+G35</f>
        <v>2234781</v>
      </c>
      <c r="H32" s="35">
        <v>292901.5</v>
      </c>
      <c r="I32" s="407">
        <v>644</v>
      </c>
      <c r="J32" s="407" t="s">
        <v>298</v>
      </c>
      <c r="K32" s="411">
        <v>3489663</v>
      </c>
    </row>
    <row r="33" spans="2:12" s="18" customFormat="1" ht="12.75" customHeight="1" x14ac:dyDescent="0.25">
      <c r="B33" s="81"/>
      <c r="C33" s="42"/>
      <c r="D33" s="367">
        <v>1</v>
      </c>
      <c r="E33" s="45" t="s">
        <v>129</v>
      </c>
      <c r="F33" s="376">
        <v>40.1</v>
      </c>
      <c r="G33" s="405">
        <v>-153596</v>
      </c>
      <c r="H33" s="365">
        <v>-169035</v>
      </c>
      <c r="I33" s="407">
        <v>657</v>
      </c>
      <c r="J33" s="407" t="s">
        <v>299</v>
      </c>
      <c r="K33" s="411">
        <v>396526</v>
      </c>
    </row>
    <row r="34" spans="2:12" s="18" customFormat="1" ht="12.75" customHeight="1" x14ac:dyDescent="0.25">
      <c r="B34" s="82"/>
      <c r="C34" s="43"/>
      <c r="D34" s="368"/>
      <c r="E34" s="46" t="s">
        <v>130</v>
      </c>
      <c r="F34" s="377"/>
      <c r="G34" s="406"/>
      <c r="H34" s="366"/>
      <c r="I34" s="407">
        <v>666</v>
      </c>
      <c r="J34" s="407" t="s">
        <v>300</v>
      </c>
      <c r="K34" s="411">
        <v>0.01</v>
      </c>
    </row>
    <row r="35" spans="2:12" s="18" customFormat="1" ht="12.75" customHeight="1" x14ac:dyDescent="0.25">
      <c r="B35" s="82"/>
      <c r="C35" s="43"/>
      <c r="D35" s="121">
        <v>2</v>
      </c>
      <c r="E35" s="13" t="s">
        <v>244</v>
      </c>
      <c r="F35" s="125"/>
      <c r="G35" s="410">
        <v>3115243</v>
      </c>
      <c r="H35" s="122">
        <v>466832.5</v>
      </c>
      <c r="I35" s="407">
        <v>667</v>
      </c>
      <c r="J35" s="407" t="s">
        <v>301</v>
      </c>
      <c r="K35" s="411">
        <v>153595.67739999999</v>
      </c>
    </row>
    <row r="36" spans="2:12" s="18" customFormat="1" ht="12.75" customHeight="1" x14ac:dyDescent="0.25">
      <c r="B36" s="80"/>
      <c r="C36" s="39"/>
      <c r="D36" s="47">
        <v>3</v>
      </c>
      <c r="E36" s="13" t="s">
        <v>263</v>
      </c>
      <c r="F36" s="87">
        <v>40.200000000000003</v>
      </c>
      <c r="G36" s="410">
        <v>-726866</v>
      </c>
      <c r="H36" s="122">
        <v>-4896</v>
      </c>
      <c r="I36" s="407">
        <v>6811</v>
      </c>
      <c r="J36" s="407" t="s">
        <v>344</v>
      </c>
      <c r="K36" s="411">
        <v>1759189</v>
      </c>
    </row>
    <row r="37" spans="2:12" s="18" customFormat="1" ht="12.75" customHeight="1" x14ac:dyDescent="0.25">
      <c r="B37" s="79" t="s">
        <v>86</v>
      </c>
      <c r="C37" s="12" t="s">
        <v>131</v>
      </c>
      <c r="D37" s="37"/>
      <c r="E37" s="38"/>
      <c r="F37" s="87">
        <v>41</v>
      </c>
      <c r="G37" s="190"/>
      <c r="H37" s="35"/>
      <c r="I37" s="407">
        <v>714</v>
      </c>
      <c r="J37" s="407" t="s">
        <v>302</v>
      </c>
      <c r="K37" s="411">
        <v>-19449566.091999099</v>
      </c>
    </row>
    <row r="38" spans="2:12" s="18" customFormat="1" ht="12.75" customHeight="1" x14ac:dyDescent="0.2">
      <c r="B38" s="79" t="s">
        <v>86</v>
      </c>
      <c r="C38" s="12" t="s">
        <v>132</v>
      </c>
      <c r="D38" s="37"/>
      <c r="E38" s="38"/>
      <c r="F38" s="87">
        <v>42</v>
      </c>
      <c r="G38" s="190">
        <f>G7+G8+G9+G10+G11+G14+G18+G19+G20+G21+G30+G32+G37</f>
        <v>8750175.4941660017</v>
      </c>
      <c r="H38" s="35">
        <v>6424017</v>
      </c>
      <c r="J38" s="17"/>
      <c r="K38" s="131"/>
    </row>
    <row r="39" spans="2:12" s="18" customFormat="1" ht="12.75" customHeight="1" x14ac:dyDescent="0.2">
      <c r="B39" s="79" t="s">
        <v>86</v>
      </c>
      <c r="C39" s="12" t="s">
        <v>133</v>
      </c>
      <c r="D39" s="37"/>
      <c r="E39" s="38"/>
      <c r="F39" s="87">
        <v>43</v>
      </c>
      <c r="G39" s="190">
        <f>G40+G41++++G42</f>
        <v>-1372778.55</v>
      </c>
      <c r="H39" s="35">
        <v>-1044602.5</v>
      </c>
      <c r="J39" s="413">
        <f>G38+K33</f>
        <v>9146701.4941660017</v>
      </c>
      <c r="K39" s="131"/>
    </row>
    <row r="40" spans="2:12" s="18" customFormat="1" ht="12.75" customHeight="1" x14ac:dyDescent="0.2">
      <c r="B40" s="80"/>
      <c r="C40" s="39"/>
      <c r="D40" s="47">
        <v>1</v>
      </c>
      <c r="E40" s="13" t="s">
        <v>134</v>
      </c>
      <c r="F40" s="87">
        <v>43.1</v>
      </c>
      <c r="G40" s="204">
        <f>-(8755331+396526)*15/100</f>
        <v>-1372778.55</v>
      </c>
      <c r="H40" s="34">
        <v>-1044602.5</v>
      </c>
      <c r="J40" s="413">
        <f>J39*15/100</f>
        <v>1372005.2241249001</v>
      </c>
      <c r="K40" s="131"/>
    </row>
    <row r="41" spans="2:12" s="18" customFormat="1" ht="12.75" customHeight="1" x14ac:dyDescent="0.2">
      <c r="B41" s="80"/>
      <c r="C41" s="39"/>
      <c r="D41" s="47">
        <v>2</v>
      </c>
      <c r="E41" s="13" t="s">
        <v>135</v>
      </c>
      <c r="F41" s="87">
        <v>43.2</v>
      </c>
      <c r="G41" s="189"/>
      <c r="H41" s="32"/>
      <c r="J41" s="17"/>
      <c r="K41" s="414">
        <f>J40+G40</f>
        <v>-773.3258750999812</v>
      </c>
      <c r="L41" s="17"/>
    </row>
    <row r="42" spans="2:12" s="18" customFormat="1" ht="12.75" customHeight="1" x14ac:dyDescent="0.2">
      <c r="B42" s="80"/>
      <c r="C42" s="39"/>
      <c r="D42" s="47">
        <v>3</v>
      </c>
      <c r="E42" s="13" t="s">
        <v>136</v>
      </c>
      <c r="F42" s="87">
        <v>43.3</v>
      </c>
      <c r="G42" s="189"/>
      <c r="H42" s="32"/>
      <c r="J42" s="123"/>
      <c r="K42" s="131"/>
    </row>
    <row r="43" spans="2:12" s="18" customFormat="1" ht="12.75" customHeight="1" x14ac:dyDescent="0.2">
      <c r="B43" s="79" t="s">
        <v>86</v>
      </c>
      <c r="C43" s="12" t="s">
        <v>137</v>
      </c>
      <c r="D43" s="37"/>
      <c r="E43" s="38"/>
      <c r="F43" s="87">
        <v>44</v>
      </c>
      <c r="G43" s="190">
        <f>SUM(G38:G39)</f>
        <v>7377396.9441660019</v>
      </c>
      <c r="H43" s="35">
        <v>5379414.5</v>
      </c>
      <c r="K43" s="131"/>
    </row>
    <row r="44" spans="2:12" s="18" customFormat="1" ht="12.75" customHeight="1" x14ac:dyDescent="0.2">
      <c r="B44" s="79" t="s">
        <v>86</v>
      </c>
      <c r="C44" s="12" t="s">
        <v>138</v>
      </c>
      <c r="D44" s="37"/>
      <c r="E44" s="38"/>
      <c r="F44" s="87">
        <v>45</v>
      </c>
      <c r="G44" s="190"/>
      <c r="H44" s="35"/>
      <c r="K44" s="131"/>
    </row>
    <row r="45" spans="2:12" s="18" customFormat="1" ht="12.75" customHeight="1" x14ac:dyDescent="0.2">
      <c r="B45" s="80"/>
      <c r="C45" s="39"/>
      <c r="D45" s="37"/>
      <c r="E45" s="13" t="s">
        <v>139</v>
      </c>
      <c r="F45" s="87">
        <v>45.1</v>
      </c>
      <c r="G45" s="189"/>
      <c r="H45" s="32"/>
      <c r="K45" s="131"/>
    </row>
    <row r="46" spans="2:12" s="18" customFormat="1" ht="12.75" customHeight="1" x14ac:dyDescent="0.2">
      <c r="B46" s="80"/>
      <c r="C46" s="39"/>
      <c r="D46" s="37"/>
      <c r="E46" s="13" t="s">
        <v>140</v>
      </c>
      <c r="F46" s="87">
        <v>45.2</v>
      </c>
      <c r="G46" s="189"/>
      <c r="H46" s="32"/>
      <c r="K46" s="131"/>
    </row>
    <row r="47" spans="2:12" ht="12.75" customHeight="1" x14ac:dyDescent="0.2"/>
    <row r="48" spans="2:12" ht="12.75" customHeight="1" x14ac:dyDescent="0.2">
      <c r="B48" s="378" t="s">
        <v>141</v>
      </c>
      <c r="C48" s="378"/>
      <c r="D48" s="378"/>
      <c r="E48" s="378"/>
      <c r="F48" s="378"/>
      <c r="G48" s="378"/>
      <c r="H48" s="378"/>
    </row>
    <row r="49" spans="2:8" ht="6.75" customHeight="1" x14ac:dyDescent="0.2">
      <c r="E49" s="2"/>
      <c r="G49" s="185"/>
    </row>
    <row r="50" spans="2:8" ht="12.75" customHeight="1" x14ac:dyDescent="0.2">
      <c r="B50" s="79" t="s">
        <v>2</v>
      </c>
      <c r="C50" s="371" t="s">
        <v>22</v>
      </c>
      <c r="D50" s="371"/>
      <c r="E50" s="371"/>
      <c r="F50" s="48"/>
      <c r="G50" s="202">
        <v>2017</v>
      </c>
      <c r="H50" s="49">
        <v>2016</v>
      </c>
    </row>
    <row r="51" spans="2:8" ht="12.75" customHeight="1" x14ac:dyDescent="0.2">
      <c r="B51" s="79" t="s">
        <v>86</v>
      </c>
      <c r="C51" s="9" t="s">
        <v>137</v>
      </c>
      <c r="D51" s="8"/>
      <c r="E51" s="7"/>
      <c r="F51" s="85">
        <v>46</v>
      </c>
      <c r="G51" s="190">
        <f>G43</f>
        <v>7377396.9441660019</v>
      </c>
      <c r="H51" s="35">
        <v>5379414.5</v>
      </c>
    </row>
    <row r="52" spans="2:8" ht="12.75" customHeight="1" x14ac:dyDescent="0.2">
      <c r="B52" s="79"/>
      <c r="C52" s="9" t="s">
        <v>142</v>
      </c>
      <c r="D52" s="8"/>
      <c r="E52" s="7"/>
      <c r="F52" s="85">
        <v>46.1</v>
      </c>
      <c r="G52" s="190"/>
      <c r="H52" s="35"/>
    </row>
    <row r="53" spans="2:8" ht="12.75" customHeight="1" x14ac:dyDescent="0.2">
      <c r="B53" s="83"/>
      <c r="C53" s="9" t="s">
        <v>143</v>
      </c>
      <c r="D53" s="8"/>
      <c r="E53" s="7"/>
      <c r="F53" s="85">
        <v>46.2</v>
      </c>
      <c r="G53" s="190"/>
      <c r="H53" s="35"/>
    </row>
    <row r="54" spans="2:8" ht="12.75" customHeight="1" x14ac:dyDescent="0.2">
      <c r="B54" s="83"/>
      <c r="C54" s="9" t="s">
        <v>144</v>
      </c>
      <c r="D54" s="8"/>
      <c r="E54" s="7"/>
      <c r="F54" s="85">
        <v>46.3</v>
      </c>
      <c r="G54" s="190"/>
      <c r="H54" s="35"/>
    </row>
    <row r="55" spans="2:8" ht="12.75" customHeight="1" x14ac:dyDescent="0.2">
      <c r="B55" s="83"/>
      <c r="C55" s="9" t="s">
        <v>145</v>
      </c>
      <c r="D55" s="8"/>
      <c r="E55" s="7"/>
      <c r="F55" s="85">
        <v>46.4</v>
      </c>
      <c r="G55" s="190"/>
      <c r="H55" s="35"/>
    </row>
    <row r="56" spans="2:8" ht="12.75" customHeight="1" x14ac:dyDescent="0.2">
      <c r="B56" s="83"/>
      <c r="C56" s="9" t="s">
        <v>146</v>
      </c>
      <c r="D56" s="8"/>
      <c r="E56" s="7"/>
      <c r="F56" s="85">
        <v>46.5</v>
      </c>
      <c r="G56" s="190"/>
      <c r="H56" s="35"/>
    </row>
    <row r="57" spans="2:8" ht="12.75" customHeight="1" x14ac:dyDescent="0.2">
      <c r="B57" s="79" t="s">
        <v>86</v>
      </c>
      <c r="C57" s="9" t="s">
        <v>147</v>
      </c>
      <c r="D57" s="8"/>
      <c r="E57" s="7"/>
      <c r="F57" s="85">
        <v>47</v>
      </c>
      <c r="G57" s="190">
        <f>G53+G54+G55+G56</f>
        <v>0</v>
      </c>
      <c r="H57" s="35">
        <v>0</v>
      </c>
    </row>
    <row r="58" spans="2:8" ht="12.75" customHeight="1" x14ac:dyDescent="0.2">
      <c r="B58" s="79" t="s">
        <v>86</v>
      </c>
      <c r="C58" s="9" t="s">
        <v>148</v>
      </c>
      <c r="D58" s="8"/>
      <c r="E58" s="7"/>
      <c r="F58" s="85">
        <v>48</v>
      </c>
      <c r="G58" s="190">
        <f>G51+G57</f>
        <v>7377396.9441660019</v>
      </c>
      <c r="H58" s="35">
        <v>5379414.5</v>
      </c>
    </row>
    <row r="59" spans="2:8" ht="12.75" customHeight="1" x14ac:dyDescent="0.2">
      <c r="B59" s="79" t="s">
        <v>86</v>
      </c>
      <c r="C59" s="9" t="s">
        <v>149</v>
      </c>
      <c r="D59" s="8"/>
      <c r="E59" s="7"/>
      <c r="F59" s="85">
        <v>49</v>
      </c>
      <c r="G59" s="190"/>
      <c r="H59" s="35"/>
    </row>
    <row r="60" spans="2:8" ht="12.75" customHeight="1" x14ac:dyDescent="0.2">
      <c r="B60" s="83"/>
      <c r="C60" s="9"/>
      <c r="D60" s="8"/>
      <c r="E60" s="13" t="s">
        <v>139</v>
      </c>
      <c r="F60" s="88">
        <v>49.1</v>
      </c>
      <c r="G60" s="203"/>
      <c r="H60" s="10"/>
    </row>
    <row r="61" spans="2:8" ht="12.75" customHeight="1" x14ac:dyDescent="0.2">
      <c r="B61" s="83"/>
      <c r="C61" s="9"/>
      <c r="D61" s="8"/>
      <c r="E61" s="13" t="s">
        <v>140</v>
      </c>
      <c r="F61" s="88">
        <v>49.2</v>
      </c>
      <c r="G61" s="203"/>
      <c r="H61" s="10"/>
    </row>
  </sheetData>
  <mergeCells count="29">
    <mergeCell ref="B3:H3"/>
    <mergeCell ref="C6:E6"/>
    <mergeCell ref="F22:F23"/>
    <mergeCell ref="F24:F25"/>
    <mergeCell ref="B2:H2"/>
    <mergeCell ref="B4:H4"/>
    <mergeCell ref="F16:F17"/>
    <mergeCell ref="G16:G17"/>
    <mergeCell ref="H16:H17"/>
    <mergeCell ref="G22:G23"/>
    <mergeCell ref="H22:H23"/>
    <mergeCell ref="D24:D25"/>
    <mergeCell ref="H24:H25"/>
    <mergeCell ref="H26:H27"/>
    <mergeCell ref="D22:D23"/>
    <mergeCell ref="G24:G25"/>
    <mergeCell ref="D26:D27"/>
    <mergeCell ref="C50:E50"/>
    <mergeCell ref="G30:G31"/>
    <mergeCell ref="H30:H31"/>
    <mergeCell ref="G26:G27"/>
    <mergeCell ref="F26:F27"/>
    <mergeCell ref="B48:H48"/>
    <mergeCell ref="B30:B31"/>
    <mergeCell ref="F30:F31"/>
    <mergeCell ref="F33:F34"/>
    <mergeCell ref="H33:H34"/>
    <mergeCell ref="G33:G34"/>
    <mergeCell ref="D33:D34"/>
  </mergeCells>
  <phoneticPr fontId="0" type="noConversion"/>
  <printOptions horizontalCentered="1" verticalCentered="1"/>
  <pageMargins left="0" right="0" top="0" bottom="0" header="0.51181102362204722" footer="0.51181102362204722"/>
  <pageSetup scale="90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48"/>
  <sheetViews>
    <sheetView workbookViewId="0">
      <selection activeCell="G17" sqref="F17:G17"/>
    </sheetView>
  </sheetViews>
  <sheetFormatPr defaultColWidth="9.140625" defaultRowHeight="12.75" x14ac:dyDescent="0.2"/>
  <cols>
    <col min="1" max="2" width="3.7109375" style="2" customWidth="1"/>
    <col min="3" max="3" width="65.85546875" style="6" customWidth="1"/>
    <col min="4" max="4" width="13.42578125" style="19" customWidth="1"/>
    <col min="5" max="5" width="12.85546875" style="19" customWidth="1"/>
    <col min="6" max="6" width="1.85546875" style="6" customWidth="1"/>
    <col min="7" max="7" width="16" style="124" bestFit="1" customWidth="1"/>
    <col min="8" max="8" width="17" style="124" bestFit="1" customWidth="1"/>
    <col min="9" max="9" width="31.140625" style="6" customWidth="1"/>
    <col min="10" max="10" width="18.140625" style="124" bestFit="1" customWidth="1"/>
    <col min="11" max="16384" width="9.140625" style="6"/>
  </cols>
  <sheetData>
    <row r="2" spans="1:10" ht="18" x14ac:dyDescent="0.2">
      <c r="A2" s="385" t="s">
        <v>150</v>
      </c>
      <c r="B2" s="385"/>
      <c r="C2" s="385"/>
      <c r="D2" s="385"/>
    </row>
    <row r="3" spans="1:10" ht="18.75" x14ac:dyDescent="0.2">
      <c r="A3" s="386" t="s">
        <v>176</v>
      </c>
      <c r="B3" s="386"/>
      <c r="C3" s="386"/>
      <c r="D3" s="386"/>
    </row>
    <row r="5" spans="1:10" s="18" customFormat="1" ht="15" x14ac:dyDescent="0.2">
      <c r="A5" s="28"/>
      <c r="B5" s="29"/>
      <c r="C5" s="30"/>
      <c r="D5" s="31">
        <v>2016</v>
      </c>
      <c r="E5" s="31">
        <v>2016</v>
      </c>
      <c r="G5" s="123"/>
      <c r="H5" s="123"/>
      <c r="J5" s="123"/>
    </row>
    <row r="6" spans="1:10" s="18" customFormat="1" ht="15.75" customHeight="1" x14ac:dyDescent="0.2">
      <c r="A6" s="25" t="s">
        <v>86</v>
      </c>
      <c r="B6" s="29" t="s">
        <v>151</v>
      </c>
      <c r="C6" s="11"/>
      <c r="D6" s="32"/>
      <c r="E6" s="32"/>
      <c r="G6" s="123"/>
      <c r="H6" s="123"/>
      <c r="J6" s="123"/>
    </row>
    <row r="7" spans="1:10" s="18" customFormat="1" ht="15.75" customHeight="1" x14ac:dyDescent="0.2">
      <c r="A7" s="33"/>
      <c r="B7" s="29"/>
      <c r="C7" s="11" t="s">
        <v>177</v>
      </c>
      <c r="D7" s="34">
        <f>PASH!G43-1</f>
        <v>7377395.9441660019</v>
      </c>
      <c r="E7" s="34">
        <v>5379414.5</v>
      </c>
      <c r="G7" s="123">
        <f>D7</f>
        <v>7377395.9441660019</v>
      </c>
      <c r="H7" s="123">
        <f>D15</f>
        <v>-13867986.319820099</v>
      </c>
      <c r="J7" s="123"/>
    </row>
    <row r="8" spans="1:10" s="18" customFormat="1" ht="15.75" customHeight="1" x14ac:dyDescent="0.2">
      <c r="A8" s="33"/>
      <c r="B8" s="29"/>
      <c r="C8" s="11" t="s">
        <v>178</v>
      </c>
      <c r="D8" s="34"/>
      <c r="E8" s="34"/>
      <c r="G8" s="123"/>
      <c r="H8" s="123">
        <f>D16</f>
        <v>-9153112</v>
      </c>
      <c r="J8" s="123"/>
    </row>
    <row r="9" spans="1:10" s="18" customFormat="1" ht="15.75" customHeight="1" x14ac:dyDescent="0.2">
      <c r="A9" s="33"/>
      <c r="B9" s="29"/>
      <c r="C9" s="11" t="s">
        <v>179</v>
      </c>
      <c r="D9" s="34"/>
      <c r="E9" s="34"/>
      <c r="G9" s="123"/>
      <c r="H9" s="123">
        <f>D23</f>
        <v>-5137906</v>
      </c>
      <c r="J9" s="123"/>
    </row>
    <row r="10" spans="1:10" s="18" customFormat="1" ht="15.75" customHeight="1" x14ac:dyDescent="0.2">
      <c r="A10" s="33"/>
      <c r="B10" s="29"/>
      <c r="C10" s="11" t="s">
        <v>180</v>
      </c>
      <c r="D10" s="34"/>
      <c r="E10" s="34"/>
      <c r="G10" s="123"/>
      <c r="H10" s="123">
        <f>D36</f>
        <v>-821960.5</v>
      </c>
      <c r="J10" s="123"/>
    </row>
    <row r="11" spans="1:10" s="18" customFormat="1" ht="15.75" customHeight="1" x14ac:dyDescent="0.2">
      <c r="A11" s="33"/>
      <c r="B11" s="29"/>
      <c r="C11" s="11" t="s">
        <v>117</v>
      </c>
      <c r="D11" s="97">
        <f>-PASH!G19+2</f>
        <v>2161792.751534</v>
      </c>
      <c r="E11" s="34">
        <v>1763661.5</v>
      </c>
      <c r="G11" s="123">
        <f>D11</f>
        <v>2161792.751534</v>
      </c>
      <c r="H11" s="123"/>
      <c r="J11" s="123"/>
    </row>
    <row r="12" spans="1:10" s="18" customFormat="1" ht="15.75" customHeight="1" x14ac:dyDescent="0.2">
      <c r="A12" s="33"/>
      <c r="B12" s="29"/>
      <c r="C12" s="11" t="s">
        <v>116</v>
      </c>
      <c r="D12" s="34"/>
      <c r="E12" s="34"/>
      <c r="G12" s="123"/>
      <c r="H12" s="123"/>
      <c r="J12" s="123"/>
    </row>
    <row r="13" spans="1:10" s="18" customFormat="1" ht="15.75" customHeight="1" x14ac:dyDescent="0.2">
      <c r="A13" s="33"/>
      <c r="B13" s="29"/>
      <c r="C13" s="11" t="s">
        <v>181</v>
      </c>
      <c r="D13" s="34">
        <f>Aktivet!G9-Aktivet!F9</f>
        <v>0</v>
      </c>
      <c r="E13" s="34">
        <v>0</v>
      </c>
      <c r="G13" s="123"/>
      <c r="H13" s="123"/>
      <c r="J13" s="123"/>
    </row>
    <row r="14" spans="1:10" s="18" customFormat="1" ht="15.75" customHeight="1" x14ac:dyDescent="0.2">
      <c r="A14" s="33"/>
      <c r="B14" s="29"/>
      <c r="C14" s="11" t="s">
        <v>182</v>
      </c>
      <c r="D14" s="97"/>
      <c r="E14" s="34"/>
      <c r="G14" s="123"/>
      <c r="H14" s="123"/>
      <c r="J14" s="123"/>
    </row>
    <row r="15" spans="1:10" s="18" customFormat="1" ht="15.75" customHeight="1" x14ac:dyDescent="0.2">
      <c r="A15" s="33"/>
      <c r="B15" s="29"/>
      <c r="C15" s="11" t="s">
        <v>183</v>
      </c>
      <c r="D15" s="34">
        <f>Aktivet!G13-Aktivet!F13+Aktivet!G29-Aktivet!F29</f>
        <v>-13867986.319820099</v>
      </c>
      <c r="E15" s="34">
        <v>-27944763</v>
      </c>
      <c r="G15" s="123"/>
      <c r="H15" s="123"/>
      <c r="J15" s="123"/>
    </row>
    <row r="16" spans="1:10" s="18" customFormat="1" ht="15.75" customHeight="1" x14ac:dyDescent="0.2">
      <c r="A16" s="33"/>
      <c r="B16" s="29"/>
      <c r="C16" s="11" t="s">
        <v>184</v>
      </c>
      <c r="D16" s="34">
        <f>Aktivet!G21-Aktivet!F21</f>
        <v>-9153112</v>
      </c>
      <c r="E16" s="34">
        <v>-169717879</v>
      </c>
      <c r="G16" s="123"/>
      <c r="H16" s="123"/>
      <c r="J16" s="123"/>
    </row>
    <row r="17" spans="1:10" s="18" customFormat="1" ht="15.75" customHeight="1" x14ac:dyDescent="0.2">
      <c r="A17" s="33"/>
      <c r="B17" s="29"/>
      <c r="C17" s="11" t="s">
        <v>185</v>
      </c>
      <c r="D17" s="97">
        <f>Pasivet!G6-Pasivet!H6</f>
        <v>22103357.5</v>
      </c>
      <c r="E17" s="34">
        <v>233684986.5</v>
      </c>
      <c r="G17" s="123">
        <f>D17</f>
        <v>22103357.5</v>
      </c>
      <c r="H17" s="123"/>
      <c r="J17" s="123"/>
    </row>
    <row r="18" spans="1:10" s="18" customFormat="1" ht="15.75" customHeight="1" x14ac:dyDescent="0.2">
      <c r="A18" s="33"/>
      <c r="B18" s="29"/>
      <c r="C18" s="11"/>
      <c r="D18" s="34"/>
      <c r="E18" s="34"/>
      <c r="G18" s="123">
        <f>SUM(G7:G17)</f>
        <v>31642546.195700001</v>
      </c>
      <c r="H18" s="123">
        <f>SUM(H7:H17)</f>
        <v>-28980964.819820099</v>
      </c>
      <c r="J18" s="123"/>
    </row>
    <row r="19" spans="1:10" s="18" customFormat="1" ht="15.75" customHeight="1" x14ac:dyDescent="0.2">
      <c r="A19" s="33"/>
      <c r="B19" s="29" t="s">
        <v>153</v>
      </c>
      <c r="C19" s="11"/>
      <c r="D19" s="35">
        <f>SUM(D7:D18)</f>
        <v>8621447.8758799024</v>
      </c>
      <c r="E19" s="35">
        <v>43165420.5</v>
      </c>
      <c r="F19" s="35">
        <f>SUM(F7:F18)</f>
        <v>0</v>
      </c>
      <c r="G19" s="123"/>
      <c r="H19" s="123"/>
      <c r="J19" s="123"/>
    </row>
    <row r="20" spans="1:10" s="18" customFormat="1" ht="15.75" customHeight="1" x14ac:dyDescent="0.2">
      <c r="A20" s="25" t="s">
        <v>86</v>
      </c>
      <c r="B20" s="29" t="s">
        <v>154</v>
      </c>
      <c r="C20" s="11"/>
      <c r="D20" s="32"/>
      <c r="E20" s="32"/>
      <c r="G20" s="123"/>
      <c r="H20" s="123"/>
      <c r="J20" s="123"/>
    </row>
    <row r="21" spans="1:10" s="18" customFormat="1" ht="15.75" customHeight="1" x14ac:dyDescent="0.2">
      <c r="A21" s="33"/>
      <c r="B21" s="29"/>
      <c r="C21" s="11" t="s">
        <v>155</v>
      </c>
      <c r="D21" s="34"/>
      <c r="E21" s="34"/>
      <c r="G21" s="123"/>
      <c r="H21" s="123"/>
      <c r="J21" s="123"/>
    </row>
    <row r="22" spans="1:10" s="18" customFormat="1" ht="15.75" customHeight="1" x14ac:dyDescent="0.2">
      <c r="A22" s="33"/>
      <c r="B22" s="29"/>
      <c r="C22" s="11" t="s">
        <v>156</v>
      </c>
      <c r="D22" s="34"/>
      <c r="E22" s="34"/>
      <c r="G22" s="123"/>
      <c r="H22" s="123"/>
      <c r="J22" s="123"/>
    </row>
    <row r="23" spans="1:10" s="18" customFormat="1" ht="15.75" customHeight="1" x14ac:dyDescent="0.2">
      <c r="A23" s="33"/>
      <c r="B23" s="29"/>
      <c r="C23" s="11" t="s">
        <v>157</v>
      </c>
      <c r="D23" s="34">
        <f>-aam!E17</f>
        <v>-5137906</v>
      </c>
      <c r="E23" s="34">
        <v>-47584104</v>
      </c>
      <c r="G23" s="123"/>
      <c r="H23" s="123"/>
      <c r="J23" s="123"/>
    </row>
    <row r="24" spans="1:10" s="18" customFormat="1" ht="15.75" customHeight="1" x14ac:dyDescent="0.2">
      <c r="A24" s="33"/>
      <c r="B24" s="29"/>
      <c r="C24" s="11" t="s">
        <v>158</v>
      </c>
      <c r="D24" s="119"/>
      <c r="E24" s="34"/>
      <c r="G24" s="123"/>
      <c r="H24" s="123"/>
      <c r="J24" s="123"/>
    </row>
    <row r="25" spans="1:10" s="18" customFormat="1" ht="15.75" customHeight="1" x14ac:dyDescent="0.2">
      <c r="A25" s="33"/>
      <c r="B25" s="29"/>
      <c r="C25" s="11" t="s">
        <v>159</v>
      </c>
      <c r="D25" s="34"/>
      <c r="E25" s="34"/>
      <c r="G25" s="123"/>
      <c r="H25" s="123"/>
      <c r="J25" s="123"/>
    </row>
    <row r="26" spans="1:10" s="18" customFormat="1" ht="15.75" customHeight="1" x14ac:dyDescent="0.2">
      <c r="A26" s="33"/>
      <c r="B26" s="29"/>
      <c r="C26" s="11" t="s">
        <v>160</v>
      </c>
      <c r="D26" s="34"/>
      <c r="E26" s="34"/>
      <c r="G26" s="123"/>
      <c r="H26" s="123"/>
      <c r="J26" s="123"/>
    </row>
    <row r="27" spans="1:10" s="18" customFormat="1" ht="15.75" customHeight="1" x14ac:dyDescent="0.2">
      <c r="A27" s="33"/>
      <c r="B27" s="29"/>
      <c r="C27" s="11" t="s">
        <v>161</v>
      </c>
      <c r="D27" s="34"/>
      <c r="E27" s="34"/>
      <c r="G27" s="123"/>
      <c r="H27" s="123"/>
      <c r="J27" s="123"/>
    </row>
    <row r="28" spans="1:10" s="18" customFormat="1" ht="15.75" customHeight="1" x14ac:dyDescent="0.2">
      <c r="A28" s="33"/>
      <c r="B28" s="29" t="s">
        <v>162</v>
      </c>
      <c r="C28" s="11"/>
      <c r="D28" s="35">
        <f>-D21+D22+D23+D24+D25+D26+D27+0.5</f>
        <v>-5137905.5</v>
      </c>
      <c r="E28" s="35">
        <v>-47584103.5</v>
      </c>
      <c r="G28" s="123"/>
      <c r="H28" s="123"/>
      <c r="J28" s="123"/>
    </row>
    <row r="29" spans="1:10" s="18" customFormat="1" ht="15.75" customHeight="1" x14ac:dyDescent="0.2">
      <c r="A29" s="25" t="s">
        <v>86</v>
      </c>
      <c r="B29" s="29" t="s">
        <v>163</v>
      </c>
      <c r="C29" s="11"/>
      <c r="D29" s="32"/>
      <c r="E29" s="32"/>
      <c r="G29" s="123"/>
      <c r="H29" s="123"/>
      <c r="J29" s="123"/>
    </row>
    <row r="30" spans="1:10" s="18" customFormat="1" ht="15.75" customHeight="1" x14ac:dyDescent="0.2">
      <c r="A30" s="33"/>
      <c r="B30" s="29"/>
      <c r="C30" s="11" t="s">
        <v>164</v>
      </c>
      <c r="D30" s="34"/>
      <c r="E30" s="34"/>
      <c r="G30" s="123"/>
      <c r="H30" s="123"/>
      <c r="J30" s="123"/>
    </row>
    <row r="31" spans="1:10" s="18" customFormat="1" ht="15.75" customHeight="1" x14ac:dyDescent="0.2">
      <c r="A31" s="33"/>
      <c r="B31" s="29"/>
      <c r="C31" s="11" t="s">
        <v>165</v>
      </c>
      <c r="D31" s="34"/>
      <c r="E31" s="34"/>
      <c r="G31" s="123"/>
      <c r="H31" s="123"/>
      <c r="J31" s="123"/>
    </row>
    <row r="32" spans="1:10" s="18" customFormat="1" ht="15.75" customHeight="1" x14ac:dyDescent="0.2">
      <c r="A32" s="33"/>
      <c r="B32" s="29"/>
      <c r="C32" s="11" t="s">
        <v>166</v>
      </c>
      <c r="D32" s="34"/>
      <c r="E32" s="34"/>
      <c r="G32" s="123"/>
      <c r="H32" s="123"/>
      <c r="J32" s="123"/>
    </row>
    <row r="33" spans="1:10" s="18" customFormat="1" ht="15.75" customHeight="1" x14ac:dyDescent="0.2">
      <c r="A33" s="33"/>
      <c r="B33" s="29"/>
      <c r="C33" s="11" t="s">
        <v>167</v>
      </c>
      <c r="D33" s="34"/>
      <c r="E33" s="34"/>
      <c r="G33" s="123"/>
      <c r="H33" s="123"/>
      <c r="J33" s="123"/>
    </row>
    <row r="34" spans="1:10" s="18" customFormat="1" ht="15.75" customHeight="1" x14ac:dyDescent="0.2">
      <c r="A34" s="33"/>
      <c r="B34" s="29"/>
      <c r="C34" s="11" t="s">
        <v>168</v>
      </c>
      <c r="D34" s="34"/>
      <c r="E34" s="34"/>
      <c r="G34" s="123"/>
      <c r="H34" s="123"/>
      <c r="J34" s="123"/>
    </row>
    <row r="35" spans="1:10" s="18" customFormat="1" ht="15.75" customHeight="1" x14ac:dyDescent="0.2">
      <c r="A35" s="33"/>
      <c r="B35" s="29"/>
      <c r="C35" s="11" t="s">
        <v>169</v>
      </c>
      <c r="D35" s="34"/>
      <c r="E35" s="34"/>
      <c r="G35" s="123"/>
      <c r="H35" s="123"/>
      <c r="J35" s="123"/>
    </row>
    <row r="36" spans="1:10" s="18" customFormat="1" ht="15.75" customHeight="1" x14ac:dyDescent="0.2">
      <c r="A36" s="33"/>
      <c r="B36" s="29"/>
      <c r="C36" s="11" t="s">
        <v>170</v>
      </c>
      <c r="D36" s="34">
        <f>Pasivet!G36-Pasivet!H36+1</f>
        <v>-821960.5</v>
      </c>
      <c r="E36" s="34">
        <v>1104732</v>
      </c>
      <c r="G36" s="123"/>
      <c r="H36" s="123"/>
      <c r="J36" s="123"/>
    </row>
    <row r="37" spans="1:10" s="18" customFormat="1" ht="15.75" customHeight="1" x14ac:dyDescent="0.2">
      <c r="A37" s="33"/>
      <c r="B37" s="29"/>
      <c r="C37" s="11" t="s">
        <v>171</v>
      </c>
      <c r="D37" s="34"/>
      <c r="E37" s="34"/>
      <c r="G37" s="123"/>
      <c r="H37" s="123"/>
      <c r="J37" s="123"/>
    </row>
    <row r="38" spans="1:10" s="18" customFormat="1" ht="15.75" customHeight="1" x14ac:dyDescent="0.2">
      <c r="A38" s="33"/>
      <c r="B38" s="29"/>
      <c r="C38" s="11" t="s">
        <v>152</v>
      </c>
      <c r="D38" s="34"/>
      <c r="E38" s="34"/>
      <c r="G38" s="123"/>
      <c r="H38" s="123"/>
      <c r="J38" s="123"/>
    </row>
    <row r="39" spans="1:10" s="18" customFormat="1" ht="15.75" customHeight="1" x14ac:dyDescent="0.2">
      <c r="A39" s="33"/>
      <c r="B39" s="29"/>
      <c r="C39" s="11" t="s">
        <v>172</v>
      </c>
      <c r="D39" s="34"/>
      <c r="E39" s="34"/>
      <c r="G39" s="123"/>
      <c r="H39" s="123"/>
      <c r="J39" s="123"/>
    </row>
    <row r="40" spans="1:10" s="18" customFormat="1" ht="15.75" customHeight="1" x14ac:dyDescent="0.2">
      <c r="A40" s="33"/>
      <c r="B40" s="29" t="s">
        <v>173</v>
      </c>
      <c r="C40" s="11"/>
      <c r="D40" s="35">
        <f>D30+D31+D32+D33+D34+D35+D36+D37+D38+D39</f>
        <v>-821960.5</v>
      </c>
      <c r="E40" s="35">
        <v>1104732</v>
      </c>
      <c r="G40" s="123"/>
      <c r="H40" s="123"/>
      <c r="J40" s="123"/>
    </row>
    <row r="41" spans="1:10" s="18" customFormat="1" ht="15.75" customHeight="1" x14ac:dyDescent="0.2">
      <c r="A41" s="33"/>
      <c r="B41" s="29"/>
      <c r="C41" s="11"/>
      <c r="D41" s="32"/>
      <c r="E41" s="32"/>
      <c r="G41" s="123"/>
      <c r="H41" s="123"/>
      <c r="J41" s="123"/>
    </row>
    <row r="42" spans="1:10" s="18" customFormat="1" ht="15.75" customHeight="1" x14ac:dyDescent="0.2">
      <c r="A42" s="33"/>
      <c r="B42" s="29" t="s">
        <v>174</v>
      </c>
      <c r="C42" s="11"/>
      <c r="D42" s="35">
        <f>D19+D28+D40</f>
        <v>2661581.8758799024</v>
      </c>
      <c r="E42" s="35">
        <v>-3313951</v>
      </c>
      <c r="G42" s="123"/>
      <c r="H42" s="123"/>
      <c r="J42" s="123"/>
    </row>
    <row r="43" spans="1:10" s="18" customFormat="1" ht="15.75" customHeight="1" x14ac:dyDescent="0.2">
      <c r="A43" s="33"/>
      <c r="B43" s="29" t="s">
        <v>245</v>
      </c>
      <c r="C43" s="11"/>
      <c r="D43" s="34">
        <f>E45</f>
        <v>1504929</v>
      </c>
      <c r="E43" s="34">
        <v>4818880</v>
      </c>
      <c r="G43" s="123"/>
      <c r="H43" s="123"/>
      <c r="J43" s="123"/>
    </row>
    <row r="44" spans="1:10" s="18" customFormat="1" ht="15.75" customHeight="1" x14ac:dyDescent="0.2">
      <c r="A44" s="33"/>
      <c r="B44" s="29"/>
      <c r="C44" s="11" t="s">
        <v>175</v>
      </c>
      <c r="D44" s="34"/>
      <c r="E44" s="34"/>
      <c r="G44" s="123"/>
      <c r="H44" s="123"/>
      <c r="J44" s="123"/>
    </row>
    <row r="45" spans="1:10" s="18" customFormat="1" ht="15.75" customHeight="1" x14ac:dyDescent="0.2">
      <c r="A45" s="33"/>
      <c r="B45" s="29" t="s">
        <v>246</v>
      </c>
      <c r="C45" s="11"/>
      <c r="D45" s="35">
        <f>SUM(D42:D44)</f>
        <v>4166510.8758799024</v>
      </c>
      <c r="E45" s="35">
        <v>1504929</v>
      </c>
      <c r="G45" s="123"/>
      <c r="H45" s="123"/>
      <c r="J45" s="123"/>
    </row>
    <row r="46" spans="1:10" x14ac:dyDescent="0.2">
      <c r="C46" s="89" t="s">
        <v>230</v>
      </c>
      <c r="D46" s="19">
        <f>Aktivet!F6</f>
        <v>4166510.0142008499</v>
      </c>
      <c r="E46" s="19">
        <v>1504929</v>
      </c>
    </row>
    <row r="47" spans="1:10" x14ac:dyDescent="0.2">
      <c r="E47" s="6"/>
    </row>
    <row r="48" spans="1:10" x14ac:dyDescent="0.2">
      <c r="D48" s="19">
        <f>D45-D46</f>
        <v>0.86167905246838927</v>
      </c>
    </row>
  </sheetData>
  <mergeCells count="2">
    <mergeCell ref="A2:D2"/>
    <mergeCell ref="A3:D3"/>
  </mergeCells>
  <phoneticPr fontId="0" type="noConversion"/>
  <printOptions horizontalCentered="1" verticalCentered="1"/>
  <pageMargins left="0" right="0" top="0" bottom="0" header="0.51181102362204722" footer="0.51181102362204722"/>
  <pageSetup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"/>
  <sheetViews>
    <sheetView topLeftCell="B4" workbookViewId="0">
      <selection activeCell="J37" sqref="J36:J37"/>
    </sheetView>
  </sheetViews>
  <sheetFormatPr defaultColWidth="9.140625" defaultRowHeight="15.75" x14ac:dyDescent="0.25"/>
  <cols>
    <col min="1" max="1" width="4" style="21" customWidth="1"/>
    <col min="2" max="2" width="41.85546875" style="22" customWidth="1"/>
    <col min="3" max="3" width="12.28515625" style="90" customWidth="1"/>
    <col min="4" max="4" width="5.7109375" style="90" customWidth="1"/>
    <col min="5" max="5" width="11.85546875" style="90" customWidth="1"/>
    <col min="6" max="6" width="10.42578125" style="90" customWidth="1"/>
    <col min="7" max="7" width="8.7109375" style="90" customWidth="1"/>
    <col min="8" max="8" width="12.42578125" style="90" customWidth="1"/>
    <col min="9" max="9" width="6.5703125" style="90" customWidth="1"/>
    <col min="10" max="10" width="11.5703125" style="90" customWidth="1"/>
    <col min="11" max="11" width="13" style="90" customWidth="1"/>
    <col min="12" max="12" width="5.7109375" style="90" customWidth="1"/>
    <col min="13" max="13" width="13.28515625" style="90" customWidth="1"/>
    <col min="14" max="14" width="2.42578125" style="21" customWidth="1"/>
    <col min="15" max="15" width="8.7109375" style="21" customWidth="1"/>
    <col min="16" max="16384" width="9.140625" style="21"/>
  </cols>
  <sheetData>
    <row r="1" spans="1:15" ht="18.75" x14ac:dyDescent="0.3">
      <c r="B1" s="387" t="s">
        <v>199</v>
      </c>
      <c r="C1" s="387"/>
      <c r="D1" s="387"/>
      <c r="E1" s="387"/>
      <c r="F1" s="387"/>
      <c r="G1" s="387"/>
      <c r="H1" s="387"/>
      <c r="I1" s="387"/>
      <c r="J1" s="387"/>
      <c r="K1" s="387"/>
      <c r="L1" s="387"/>
      <c r="M1" s="387"/>
    </row>
    <row r="2" spans="1:15" ht="9.75" customHeight="1" x14ac:dyDescent="0.25"/>
    <row r="3" spans="1:15" ht="90" customHeight="1" x14ac:dyDescent="0.25">
      <c r="A3" s="23"/>
      <c r="B3" s="24"/>
      <c r="C3" s="91" t="s">
        <v>198</v>
      </c>
      <c r="D3" s="92" t="s">
        <v>94</v>
      </c>
      <c r="E3" s="92" t="s">
        <v>197</v>
      </c>
      <c r="F3" s="92" t="s">
        <v>196</v>
      </c>
      <c r="G3" s="92" t="s">
        <v>195</v>
      </c>
      <c r="H3" s="92" t="s">
        <v>96</v>
      </c>
      <c r="I3" s="92" t="s">
        <v>194</v>
      </c>
      <c r="J3" s="92" t="s">
        <v>177</v>
      </c>
      <c r="K3" s="92" t="s">
        <v>24</v>
      </c>
      <c r="L3" s="92" t="s">
        <v>193</v>
      </c>
      <c r="M3" s="92" t="s">
        <v>24</v>
      </c>
    </row>
    <row r="4" spans="1:15" ht="32.25" customHeight="1" x14ac:dyDescent="0.25">
      <c r="A4" s="25" t="s">
        <v>86</v>
      </c>
      <c r="B4" s="26" t="s">
        <v>340</v>
      </c>
      <c r="C4" s="93">
        <v>100000</v>
      </c>
      <c r="D4" s="93">
        <v>0</v>
      </c>
      <c r="E4" s="93">
        <v>0</v>
      </c>
      <c r="F4" s="93">
        <v>0</v>
      </c>
      <c r="G4" s="93">
        <v>681164</v>
      </c>
      <c r="H4" s="93">
        <v>0</v>
      </c>
      <c r="I4" s="93"/>
      <c r="J4" s="93">
        <f>Pasivet!H46</f>
        <v>15215423.550000001</v>
      </c>
      <c r="K4" s="93">
        <f>C4+D4+E4+F4+G4+H4+I4+J4</f>
        <v>15996587.550000001</v>
      </c>
      <c r="L4" s="93"/>
      <c r="M4" s="93">
        <f>K4</f>
        <v>15996587.550000001</v>
      </c>
      <c r="O4" s="116"/>
    </row>
    <row r="5" spans="1:15" x14ac:dyDescent="0.25">
      <c r="A5" s="23"/>
      <c r="B5" s="27" t="s">
        <v>192</v>
      </c>
      <c r="C5" s="94"/>
      <c r="D5" s="94"/>
      <c r="E5" s="94"/>
      <c r="F5" s="94"/>
      <c r="G5" s="94"/>
      <c r="H5" s="94"/>
      <c r="I5" s="94"/>
      <c r="J5" s="94"/>
      <c r="K5" s="93">
        <f t="shared" ref="K5:K27" si="0">SUM(C5:J5)</f>
        <v>0</v>
      </c>
      <c r="L5" s="93"/>
      <c r="M5" s="93">
        <f t="shared" ref="M5:M27" si="1">SUM(K5:L5)</f>
        <v>0</v>
      </c>
    </row>
    <row r="6" spans="1:15" ht="31.5" x14ac:dyDescent="0.25">
      <c r="A6" s="25" t="s">
        <v>86</v>
      </c>
      <c r="B6" s="26" t="s">
        <v>247</v>
      </c>
      <c r="C6" s="93">
        <f>SUM(C4:C5)</f>
        <v>100000</v>
      </c>
      <c r="D6" s="93">
        <f t="shared" ref="D6:M6" si="2">SUM(D4:D5)</f>
        <v>0</v>
      </c>
      <c r="E6" s="93">
        <f t="shared" si="2"/>
        <v>0</v>
      </c>
      <c r="F6" s="93">
        <f t="shared" si="2"/>
        <v>0</v>
      </c>
      <c r="G6" s="93">
        <f t="shared" si="2"/>
        <v>681164</v>
      </c>
      <c r="H6" s="93">
        <f t="shared" si="2"/>
        <v>0</v>
      </c>
      <c r="I6" s="93">
        <f t="shared" si="2"/>
        <v>0</v>
      </c>
      <c r="J6" s="93">
        <f t="shared" si="2"/>
        <v>15215423.550000001</v>
      </c>
      <c r="K6" s="93">
        <f t="shared" si="2"/>
        <v>15996587.550000001</v>
      </c>
      <c r="L6" s="93">
        <f t="shared" si="2"/>
        <v>0</v>
      </c>
      <c r="M6" s="93">
        <f t="shared" si="2"/>
        <v>15996587.550000001</v>
      </c>
    </row>
    <row r="7" spans="1:15" ht="31.5" x14ac:dyDescent="0.25">
      <c r="A7" s="23"/>
      <c r="B7" s="26" t="s">
        <v>189</v>
      </c>
      <c r="C7" s="94"/>
      <c r="D7" s="94"/>
      <c r="E7" s="94"/>
      <c r="F7" s="94"/>
      <c r="G7" s="94"/>
      <c r="H7" s="94"/>
      <c r="I7" s="94"/>
      <c r="J7" s="94"/>
      <c r="K7" s="93">
        <f t="shared" si="0"/>
        <v>0</v>
      </c>
      <c r="L7" s="93"/>
      <c r="M7" s="93">
        <f t="shared" si="1"/>
        <v>0</v>
      </c>
    </row>
    <row r="8" spans="1:15" x14ac:dyDescent="0.25">
      <c r="A8" s="23"/>
      <c r="B8" s="27" t="s">
        <v>341</v>
      </c>
      <c r="C8" s="94"/>
      <c r="D8" s="94"/>
      <c r="E8" s="94"/>
      <c r="F8" s="94"/>
      <c r="G8" s="94"/>
      <c r="H8" s="94"/>
      <c r="I8" s="94"/>
      <c r="J8" s="94">
        <f>Pasivet!H47</f>
        <v>5379414.5</v>
      </c>
      <c r="K8" s="93">
        <f t="shared" si="0"/>
        <v>5379414.5</v>
      </c>
      <c r="L8" s="93"/>
      <c r="M8" s="93">
        <f t="shared" si="1"/>
        <v>5379414.5</v>
      </c>
    </row>
    <row r="9" spans="1:15" x14ac:dyDescent="0.25">
      <c r="A9" s="23"/>
      <c r="B9" s="26" t="s">
        <v>190</v>
      </c>
      <c r="C9" s="94"/>
      <c r="D9" s="94"/>
      <c r="E9" s="94"/>
      <c r="F9" s="94"/>
      <c r="G9" s="94"/>
      <c r="H9" s="94"/>
      <c r="I9" s="94"/>
      <c r="J9" s="94"/>
      <c r="K9" s="93">
        <f t="shared" si="0"/>
        <v>0</v>
      </c>
      <c r="L9" s="93"/>
      <c r="M9" s="93">
        <f t="shared" si="1"/>
        <v>0</v>
      </c>
    </row>
    <row r="10" spans="1:15" ht="31.5" x14ac:dyDescent="0.25">
      <c r="A10" s="23"/>
      <c r="B10" s="26" t="s">
        <v>191</v>
      </c>
      <c r="C10" s="93"/>
      <c r="D10" s="93"/>
      <c r="E10" s="93"/>
      <c r="F10" s="93"/>
      <c r="G10" s="93"/>
      <c r="H10" s="93"/>
      <c r="I10" s="93"/>
      <c r="J10" s="93"/>
      <c r="K10" s="93">
        <f t="shared" si="0"/>
        <v>0</v>
      </c>
      <c r="L10" s="93"/>
      <c r="M10" s="93">
        <f t="shared" si="1"/>
        <v>0</v>
      </c>
    </row>
    <row r="11" spans="1:15" ht="31.5" x14ac:dyDescent="0.25">
      <c r="A11" s="23"/>
      <c r="B11" s="26" t="s">
        <v>188</v>
      </c>
      <c r="C11" s="94"/>
      <c r="D11" s="94"/>
      <c r="E11" s="94"/>
      <c r="F11" s="94"/>
      <c r="G11" s="94"/>
      <c r="H11" s="94"/>
      <c r="I11" s="94"/>
      <c r="J11" s="94"/>
      <c r="K11" s="93">
        <f t="shared" si="0"/>
        <v>0</v>
      </c>
      <c r="L11" s="93"/>
      <c r="M11" s="93">
        <f t="shared" si="1"/>
        <v>0</v>
      </c>
    </row>
    <row r="12" spans="1:15" ht="18.75" customHeight="1" x14ac:dyDescent="0.25">
      <c r="A12" s="23"/>
      <c r="B12" s="27" t="s">
        <v>187</v>
      </c>
      <c r="C12" s="94"/>
      <c r="D12" s="94"/>
      <c r="E12" s="94"/>
      <c r="F12" s="94"/>
      <c r="G12" s="94"/>
      <c r="H12" s="94"/>
      <c r="I12" s="94"/>
      <c r="J12" s="94"/>
      <c r="K12" s="93"/>
      <c r="L12" s="93"/>
      <c r="M12" s="93">
        <f t="shared" si="1"/>
        <v>0</v>
      </c>
    </row>
    <row r="13" spans="1:15" x14ac:dyDescent="0.25">
      <c r="A13" s="23"/>
      <c r="B13" s="27" t="s">
        <v>172</v>
      </c>
      <c r="C13" s="94"/>
      <c r="D13" s="94"/>
      <c r="E13" s="94"/>
      <c r="F13" s="94"/>
      <c r="G13" s="94"/>
      <c r="H13" s="94"/>
      <c r="I13" s="94"/>
      <c r="J13" s="94"/>
      <c r="K13" s="93">
        <f t="shared" si="0"/>
        <v>0</v>
      </c>
      <c r="L13" s="93"/>
      <c r="M13" s="93">
        <f t="shared" si="1"/>
        <v>0</v>
      </c>
    </row>
    <row r="14" spans="1:15" ht="31.5" x14ac:dyDescent="0.25">
      <c r="A14" s="23"/>
      <c r="B14" s="26" t="s">
        <v>186</v>
      </c>
      <c r="C14" s="93"/>
      <c r="D14" s="93"/>
      <c r="E14" s="93"/>
      <c r="F14" s="93"/>
      <c r="G14" s="93"/>
      <c r="H14" s="93"/>
      <c r="I14" s="93"/>
      <c r="J14" s="93"/>
      <c r="K14" s="93">
        <f t="shared" si="0"/>
        <v>0</v>
      </c>
      <c r="L14" s="93"/>
      <c r="M14" s="93">
        <f t="shared" si="1"/>
        <v>0</v>
      </c>
    </row>
    <row r="15" spans="1:15" x14ac:dyDescent="0.25">
      <c r="A15" s="23"/>
      <c r="B15" s="26"/>
      <c r="C15" s="93"/>
      <c r="D15" s="93"/>
      <c r="E15" s="93"/>
      <c r="F15" s="93"/>
      <c r="G15" s="93"/>
      <c r="H15" s="93"/>
      <c r="I15" s="93"/>
      <c r="J15" s="93"/>
      <c r="K15" s="93">
        <f t="shared" si="0"/>
        <v>0</v>
      </c>
      <c r="L15" s="93"/>
      <c r="M15" s="93">
        <f t="shared" si="1"/>
        <v>0</v>
      </c>
    </row>
    <row r="16" spans="1:15" ht="31.5" x14ac:dyDescent="0.25">
      <c r="A16" s="25" t="s">
        <v>86</v>
      </c>
      <c r="B16" s="26" t="s">
        <v>343</v>
      </c>
      <c r="C16" s="93">
        <f>SUM(C6:C15)</f>
        <v>100000</v>
      </c>
      <c r="D16" s="93">
        <f t="shared" ref="D16:J16" si="3">SUM(D6:D15)</f>
        <v>0</v>
      </c>
      <c r="E16" s="93">
        <f t="shared" si="3"/>
        <v>0</v>
      </c>
      <c r="F16" s="93">
        <f t="shared" si="3"/>
        <v>0</v>
      </c>
      <c r="G16" s="93">
        <f t="shared" si="3"/>
        <v>681164</v>
      </c>
      <c r="H16" s="93">
        <f t="shared" si="3"/>
        <v>0</v>
      </c>
      <c r="I16" s="93">
        <f t="shared" si="3"/>
        <v>0</v>
      </c>
      <c r="J16" s="93">
        <f t="shared" si="3"/>
        <v>20594838.050000001</v>
      </c>
      <c r="K16" s="93">
        <f t="shared" si="0"/>
        <v>21376002.050000001</v>
      </c>
      <c r="L16" s="93"/>
      <c r="M16" s="93">
        <f t="shared" si="1"/>
        <v>21376002.050000001</v>
      </c>
    </row>
    <row r="17" spans="1:13" x14ac:dyDescent="0.25">
      <c r="A17" s="23"/>
      <c r="B17" s="27" t="s">
        <v>192</v>
      </c>
      <c r="C17" s="94"/>
      <c r="D17" s="94"/>
      <c r="E17" s="94"/>
      <c r="F17" s="94"/>
      <c r="G17" s="94"/>
      <c r="H17" s="94"/>
      <c r="I17" s="94"/>
      <c r="J17" s="94"/>
      <c r="K17" s="93">
        <f t="shared" si="0"/>
        <v>0</v>
      </c>
      <c r="L17" s="93"/>
      <c r="M17" s="93">
        <f t="shared" si="1"/>
        <v>0</v>
      </c>
    </row>
    <row r="18" spans="1:13" ht="31.5" x14ac:dyDescent="0.25">
      <c r="A18" s="25" t="s">
        <v>86</v>
      </c>
      <c r="B18" s="26" t="s">
        <v>247</v>
      </c>
      <c r="C18" s="93">
        <f>SUM(C16:C17)</f>
        <v>100000</v>
      </c>
      <c r="D18" s="93">
        <f t="shared" ref="D18:J18" si="4">SUM(D16:D17)</f>
        <v>0</v>
      </c>
      <c r="E18" s="93">
        <f t="shared" si="4"/>
        <v>0</v>
      </c>
      <c r="F18" s="93">
        <f t="shared" si="4"/>
        <v>0</v>
      </c>
      <c r="G18" s="93">
        <f t="shared" si="4"/>
        <v>681164</v>
      </c>
      <c r="H18" s="93">
        <f t="shared" si="4"/>
        <v>0</v>
      </c>
      <c r="I18" s="93">
        <f t="shared" si="4"/>
        <v>0</v>
      </c>
      <c r="J18" s="93">
        <f t="shared" si="4"/>
        <v>20594838.050000001</v>
      </c>
      <c r="K18" s="93">
        <f t="shared" si="0"/>
        <v>21376002.050000001</v>
      </c>
      <c r="L18" s="93"/>
      <c r="M18" s="93">
        <f t="shared" si="1"/>
        <v>21376002.050000001</v>
      </c>
    </row>
    <row r="19" spans="1:13" ht="31.5" x14ac:dyDescent="0.25">
      <c r="A19" s="23"/>
      <c r="B19" s="26" t="s">
        <v>191</v>
      </c>
      <c r="C19" s="94"/>
      <c r="D19" s="94"/>
      <c r="E19" s="94"/>
      <c r="F19" s="94"/>
      <c r="G19" s="94"/>
      <c r="H19" s="94"/>
      <c r="I19" s="94"/>
      <c r="J19" s="94"/>
      <c r="K19" s="93">
        <f t="shared" si="0"/>
        <v>0</v>
      </c>
      <c r="L19" s="93"/>
      <c r="M19" s="93">
        <f t="shared" si="1"/>
        <v>0</v>
      </c>
    </row>
    <row r="20" spans="1:13" x14ac:dyDescent="0.25">
      <c r="A20" s="23"/>
      <c r="B20" s="27" t="s">
        <v>264</v>
      </c>
      <c r="C20" s="94"/>
      <c r="D20" s="94"/>
      <c r="E20" s="94"/>
      <c r="F20" s="94"/>
      <c r="G20" s="94"/>
      <c r="H20" s="94"/>
      <c r="I20" s="94"/>
      <c r="J20" s="94">
        <f>Pasivet!G47</f>
        <v>7377396.9441660019</v>
      </c>
      <c r="K20" s="93">
        <f t="shared" si="0"/>
        <v>7377396.9441660019</v>
      </c>
      <c r="L20" s="93"/>
      <c r="M20" s="93">
        <f t="shared" si="1"/>
        <v>7377396.9441660019</v>
      </c>
    </row>
    <row r="21" spans="1:13" x14ac:dyDescent="0.25">
      <c r="A21" s="23"/>
      <c r="B21" s="26" t="s">
        <v>190</v>
      </c>
      <c r="C21" s="94"/>
      <c r="D21" s="94"/>
      <c r="E21" s="94"/>
      <c r="F21" s="94"/>
      <c r="G21" s="94"/>
      <c r="H21" s="94"/>
      <c r="I21" s="94"/>
      <c r="J21" s="94"/>
      <c r="K21" s="93">
        <f t="shared" si="0"/>
        <v>0</v>
      </c>
      <c r="L21" s="93"/>
      <c r="M21" s="93">
        <f t="shared" si="1"/>
        <v>0</v>
      </c>
    </row>
    <row r="22" spans="1:13" ht="31.5" x14ac:dyDescent="0.25">
      <c r="A22" s="23"/>
      <c r="B22" s="26" t="s">
        <v>189</v>
      </c>
      <c r="C22" s="93"/>
      <c r="D22" s="93"/>
      <c r="E22" s="93"/>
      <c r="F22" s="93"/>
      <c r="G22" s="93"/>
      <c r="H22" s="93"/>
      <c r="I22" s="93"/>
      <c r="J22" s="93"/>
      <c r="K22" s="93">
        <f t="shared" si="0"/>
        <v>0</v>
      </c>
      <c r="L22" s="93"/>
      <c r="M22" s="93">
        <f t="shared" si="1"/>
        <v>0</v>
      </c>
    </row>
    <row r="23" spans="1:13" ht="31.5" x14ac:dyDescent="0.25">
      <c r="A23" s="23"/>
      <c r="B23" s="26" t="s">
        <v>188</v>
      </c>
      <c r="C23" s="94"/>
      <c r="D23" s="94"/>
      <c r="E23" s="94"/>
      <c r="F23" s="94"/>
      <c r="G23" s="94"/>
      <c r="H23" s="94"/>
      <c r="I23" s="94"/>
      <c r="J23" s="94"/>
      <c r="K23" s="93">
        <f t="shared" si="0"/>
        <v>0</v>
      </c>
      <c r="L23" s="93"/>
      <c r="M23" s="93">
        <f t="shared" si="1"/>
        <v>0</v>
      </c>
    </row>
    <row r="24" spans="1:13" x14ac:dyDescent="0.25">
      <c r="A24" s="23"/>
      <c r="B24" s="27" t="s">
        <v>187</v>
      </c>
      <c r="C24" s="117"/>
      <c r="D24" s="117"/>
      <c r="E24" s="117"/>
      <c r="F24" s="117"/>
      <c r="G24" s="117"/>
      <c r="H24" s="117"/>
      <c r="I24" s="117"/>
      <c r="J24" s="117"/>
      <c r="K24" s="93">
        <f>SUM(C24:J24)</f>
        <v>0</v>
      </c>
      <c r="L24" s="93"/>
      <c r="M24" s="93">
        <f>SUM(K24:L24)</f>
        <v>0</v>
      </c>
    </row>
    <row r="25" spans="1:13" x14ac:dyDescent="0.25">
      <c r="A25" s="23"/>
      <c r="B25" s="27" t="s">
        <v>172</v>
      </c>
      <c r="C25" s="94"/>
      <c r="D25" s="94"/>
      <c r="E25" s="94"/>
      <c r="F25" s="94"/>
      <c r="G25" s="94"/>
      <c r="H25" s="94"/>
      <c r="I25" s="94"/>
      <c r="J25" s="94"/>
      <c r="K25" s="93"/>
      <c r="L25" s="93"/>
      <c r="M25" s="93">
        <f>SUM(K25:L25)</f>
        <v>0</v>
      </c>
    </row>
    <row r="26" spans="1:13" ht="31.5" x14ac:dyDescent="0.25">
      <c r="A26" s="23"/>
      <c r="B26" s="26" t="s">
        <v>186</v>
      </c>
      <c r="C26" s="93"/>
      <c r="D26" s="93"/>
      <c r="E26" s="93"/>
      <c r="F26" s="93"/>
      <c r="G26" s="93"/>
      <c r="H26" s="93"/>
      <c r="I26" s="93"/>
      <c r="J26" s="93"/>
      <c r="K26" s="93">
        <f t="shared" si="0"/>
        <v>0</v>
      </c>
      <c r="L26" s="93"/>
      <c r="M26" s="93">
        <f t="shared" si="1"/>
        <v>0</v>
      </c>
    </row>
    <row r="27" spans="1:13" ht="18.75" x14ac:dyDescent="0.25">
      <c r="A27" s="25" t="s">
        <v>86</v>
      </c>
      <c r="B27" s="26" t="s">
        <v>342</v>
      </c>
      <c r="C27" s="93">
        <f>SUM(C18:C26)</f>
        <v>100000</v>
      </c>
      <c r="D27" s="93">
        <f t="shared" ref="D27:I27" si="5">SUM(D18:D26)</f>
        <v>0</v>
      </c>
      <c r="E27" s="93">
        <f t="shared" si="5"/>
        <v>0</v>
      </c>
      <c r="F27" s="93">
        <f t="shared" si="5"/>
        <v>0</v>
      </c>
      <c r="G27" s="93">
        <f t="shared" si="5"/>
        <v>681164</v>
      </c>
      <c r="H27" s="93">
        <f t="shared" si="5"/>
        <v>0</v>
      </c>
      <c r="I27" s="93">
        <f t="shared" si="5"/>
        <v>0</v>
      </c>
      <c r="J27" s="93">
        <f>SUM(J18:J26)</f>
        <v>27972234.994166002</v>
      </c>
      <c r="K27" s="93">
        <f t="shared" si="0"/>
        <v>28753398.994166002</v>
      </c>
      <c r="L27" s="93"/>
      <c r="M27" s="93">
        <f t="shared" si="1"/>
        <v>28753398.994166002</v>
      </c>
    </row>
    <row r="28" spans="1:13" x14ac:dyDescent="0.25">
      <c r="C28" s="95"/>
      <c r="D28" s="95"/>
      <c r="E28" s="95"/>
      <c r="F28" s="118"/>
      <c r="G28" s="95"/>
      <c r="H28" s="95"/>
      <c r="I28" s="95"/>
      <c r="J28" s="95"/>
      <c r="K28" s="95"/>
      <c r="L28" s="95"/>
      <c r="M28" s="96"/>
    </row>
  </sheetData>
  <mergeCells count="1">
    <mergeCell ref="B1:M1"/>
  </mergeCells>
  <printOptions horizontalCentered="1"/>
  <pageMargins left="0" right="0" top="0.19685039370078741" bottom="0" header="0.31496062992125984" footer="0.31496062992125984"/>
  <pageSetup scale="85" orientation="landscape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3"/>
  <sheetViews>
    <sheetView topLeftCell="D175" workbookViewId="0">
      <selection activeCell="I276" sqref="I276"/>
    </sheetView>
  </sheetViews>
  <sheetFormatPr defaultColWidth="9.140625" defaultRowHeight="12" x14ac:dyDescent="0.2"/>
  <cols>
    <col min="1" max="1" width="9.140625" style="247"/>
    <col min="2" max="2" width="2.140625" style="247" hidden="1" customWidth="1"/>
    <col min="3" max="3" width="10" style="247" hidden="1" customWidth="1"/>
    <col min="4" max="4" width="9.5703125" style="247" customWidth="1"/>
    <col min="5" max="5" width="15.85546875" style="247" customWidth="1"/>
    <col min="6" max="6" width="14.85546875" style="247" customWidth="1"/>
    <col min="7" max="7" width="14.5703125" style="247" hidden="1" customWidth="1"/>
    <col min="8" max="8" width="14.5703125" style="247" customWidth="1"/>
    <col min="9" max="9" width="14.28515625" style="247" customWidth="1"/>
    <col min="10" max="10" width="20.140625" style="301" customWidth="1"/>
    <col min="11" max="11" width="18" style="247" customWidth="1"/>
    <col min="12" max="12" width="11.85546875" style="251" customWidth="1"/>
    <col min="13" max="13" width="9.28515625" style="251" customWidth="1"/>
    <col min="14" max="16384" width="9.140625" style="251"/>
  </cols>
  <sheetData>
    <row r="1" spans="2:11" x14ac:dyDescent="0.2">
      <c r="B1" s="248"/>
      <c r="C1" s="248"/>
      <c r="D1" s="249" t="s">
        <v>345</v>
      </c>
      <c r="E1" s="248"/>
      <c r="F1" s="248"/>
      <c r="G1" s="248"/>
      <c r="H1" s="248"/>
      <c r="I1" s="248"/>
      <c r="J1" s="250"/>
      <c r="K1" s="248"/>
    </row>
    <row r="2" spans="2:11" x14ac:dyDescent="0.2">
      <c r="B2" s="248"/>
      <c r="C2" s="248"/>
      <c r="D2" s="248"/>
      <c r="E2" s="248"/>
      <c r="F2" s="248"/>
      <c r="G2" s="248"/>
      <c r="H2" s="248"/>
      <c r="I2" s="248"/>
      <c r="J2" s="250"/>
      <c r="K2" s="248"/>
    </row>
    <row r="3" spans="2:11" x14ac:dyDescent="0.2">
      <c r="B3" s="390" t="s">
        <v>346</v>
      </c>
      <c r="C3" s="390"/>
      <c r="D3" s="252" t="s">
        <v>347</v>
      </c>
      <c r="E3" s="235"/>
      <c r="F3" s="235"/>
      <c r="G3" s="235"/>
      <c r="H3" s="235"/>
      <c r="I3" s="253"/>
      <c r="J3" s="245"/>
      <c r="K3" s="235"/>
    </row>
    <row r="4" spans="2:11" x14ac:dyDescent="0.2">
      <c r="B4" s="235"/>
      <c r="C4" s="254"/>
      <c r="D4" s="235"/>
      <c r="E4" s="235"/>
      <c r="F4" s="235"/>
      <c r="G4" s="235"/>
      <c r="H4" s="235"/>
      <c r="I4" s="253"/>
      <c r="J4" s="245"/>
      <c r="K4" s="235"/>
    </row>
    <row r="5" spans="2:11" x14ac:dyDescent="0.2">
      <c r="B5" s="235"/>
      <c r="C5" s="255" t="s">
        <v>3</v>
      </c>
      <c r="D5" s="256" t="s">
        <v>348</v>
      </c>
      <c r="E5" s="256"/>
      <c r="F5" s="256"/>
      <c r="G5" s="235"/>
      <c r="H5" s="235"/>
      <c r="I5" s="235"/>
      <c r="J5" s="245"/>
      <c r="K5" s="235"/>
    </row>
    <row r="6" spans="2:11" x14ac:dyDescent="0.2">
      <c r="B6" s="235"/>
      <c r="C6" s="255"/>
      <c r="D6" s="256"/>
      <c r="E6" s="256"/>
      <c r="F6" s="256"/>
      <c r="G6" s="235"/>
      <c r="H6" s="235"/>
      <c r="I6" s="235"/>
      <c r="J6" s="245"/>
      <c r="K6" s="235"/>
    </row>
    <row r="7" spans="2:11" x14ac:dyDescent="0.2">
      <c r="B7" s="235"/>
      <c r="C7" s="248">
        <v>1</v>
      </c>
      <c r="D7" s="257" t="s">
        <v>8</v>
      </c>
      <c r="E7" s="258"/>
      <c r="F7" s="235"/>
      <c r="G7" s="235"/>
      <c r="H7" s="235"/>
      <c r="I7" s="235"/>
      <c r="J7" s="245"/>
      <c r="K7" s="235"/>
    </row>
    <row r="8" spans="2:11" x14ac:dyDescent="0.2">
      <c r="B8" s="235"/>
      <c r="C8" s="248"/>
      <c r="D8" s="257"/>
      <c r="E8" s="258"/>
      <c r="F8" s="235"/>
      <c r="G8" s="235"/>
      <c r="H8" s="235"/>
      <c r="I8" s="235"/>
      <c r="J8" s="245"/>
      <c r="K8" s="235"/>
    </row>
    <row r="9" spans="2:11" x14ac:dyDescent="0.2">
      <c r="B9" s="235"/>
      <c r="C9" s="254"/>
      <c r="D9" s="259" t="s">
        <v>9</v>
      </c>
      <c r="E9" s="253"/>
      <c r="F9" s="253"/>
      <c r="G9" s="253"/>
      <c r="H9" s="253"/>
      <c r="I9" s="253"/>
      <c r="J9" s="245"/>
      <c r="K9" s="235"/>
    </row>
    <row r="10" spans="2:11" x14ac:dyDescent="0.2">
      <c r="B10" s="235"/>
      <c r="C10" s="391" t="s">
        <v>2</v>
      </c>
      <c r="D10" s="391" t="s">
        <v>349</v>
      </c>
      <c r="E10" s="391"/>
      <c r="F10" s="391" t="s">
        <v>350</v>
      </c>
      <c r="G10" s="391" t="s">
        <v>351</v>
      </c>
      <c r="H10" s="391"/>
      <c r="I10" s="260" t="s">
        <v>352</v>
      </c>
      <c r="J10" s="246" t="s">
        <v>353</v>
      </c>
      <c r="K10" s="260" t="s">
        <v>352</v>
      </c>
    </row>
    <row r="11" spans="2:11" x14ac:dyDescent="0.2">
      <c r="B11" s="235"/>
      <c r="C11" s="391"/>
      <c r="D11" s="391"/>
      <c r="E11" s="391"/>
      <c r="F11" s="391"/>
      <c r="G11" s="391"/>
      <c r="H11" s="391"/>
      <c r="I11" s="260" t="s">
        <v>354</v>
      </c>
      <c r="J11" s="246" t="s">
        <v>355</v>
      </c>
      <c r="K11" s="260" t="s">
        <v>356</v>
      </c>
    </row>
    <row r="12" spans="2:11" x14ac:dyDescent="0.2">
      <c r="B12" s="235"/>
      <c r="C12" s="260">
        <v>1</v>
      </c>
      <c r="D12" s="388" t="s">
        <v>357</v>
      </c>
      <c r="E12" s="388"/>
      <c r="F12" s="261" t="s">
        <v>358</v>
      </c>
      <c r="G12" s="389"/>
      <c r="H12" s="389"/>
      <c r="I12" s="261">
        <v>438398.78</v>
      </c>
      <c r="J12" s="246">
        <v>1</v>
      </c>
      <c r="K12" s="262">
        <f>J12*I12</f>
        <v>438398.78</v>
      </c>
    </row>
    <row r="13" spans="2:11" x14ac:dyDescent="0.2">
      <c r="B13" s="235"/>
      <c r="C13" s="260"/>
      <c r="D13" s="388" t="s">
        <v>357</v>
      </c>
      <c r="E13" s="388"/>
      <c r="F13" s="261" t="s">
        <v>359</v>
      </c>
      <c r="G13" s="260"/>
      <c r="H13" s="260"/>
      <c r="I13" s="261">
        <v>20.55</v>
      </c>
      <c r="J13" s="246">
        <f>2752.68/20.55</f>
        <v>133.95036496350363</v>
      </c>
      <c r="K13" s="262">
        <f>I13*J13</f>
        <v>2752.68</v>
      </c>
    </row>
    <row r="14" spans="2:11" x14ac:dyDescent="0.2">
      <c r="B14" s="235"/>
      <c r="C14" s="260"/>
      <c r="D14" s="388" t="s">
        <v>503</v>
      </c>
      <c r="E14" s="388"/>
      <c r="F14" s="261" t="s">
        <v>358</v>
      </c>
      <c r="G14" s="389"/>
      <c r="H14" s="389"/>
      <c r="I14" s="262">
        <v>7491.53</v>
      </c>
      <c r="J14" s="246">
        <v>1</v>
      </c>
      <c r="K14" s="262">
        <f t="shared" ref="K14:K18" si="0">I14*J14</f>
        <v>7491.53</v>
      </c>
    </row>
    <row r="15" spans="2:11" x14ac:dyDescent="0.2">
      <c r="B15" s="235"/>
      <c r="C15" s="260"/>
      <c r="D15" s="388" t="s">
        <v>504</v>
      </c>
      <c r="E15" s="388"/>
      <c r="F15" s="261" t="s">
        <v>358</v>
      </c>
      <c r="G15" s="389"/>
      <c r="H15" s="389"/>
      <c r="I15" s="262">
        <v>1282826.78</v>
      </c>
      <c r="J15" s="246">
        <v>1</v>
      </c>
      <c r="K15" s="262">
        <f t="shared" si="0"/>
        <v>1282826.78</v>
      </c>
    </row>
    <row r="16" spans="2:11" x14ac:dyDescent="0.2">
      <c r="B16" s="235"/>
      <c r="C16" s="260"/>
      <c r="D16" s="388" t="s">
        <v>360</v>
      </c>
      <c r="E16" s="388"/>
      <c r="F16" s="261" t="s">
        <v>358</v>
      </c>
      <c r="G16" s="260"/>
      <c r="H16" s="260"/>
      <c r="I16" s="262">
        <v>1281726.0900000001</v>
      </c>
      <c r="J16" s="246">
        <v>1</v>
      </c>
      <c r="K16" s="262">
        <f t="shared" si="0"/>
        <v>1281726.0900000001</v>
      </c>
    </row>
    <row r="17" spans="2:11" x14ac:dyDescent="0.2">
      <c r="B17" s="235"/>
      <c r="C17" s="260"/>
      <c r="D17" s="388" t="s">
        <v>505</v>
      </c>
      <c r="E17" s="388"/>
      <c r="F17" s="261" t="s">
        <v>229</v>
      </c>
      <c r="G17" s="389"/>
      <c r="H17" s="389"/>
      <c r="I17" s="262">
        <v>193233.66</v>
      </c>
      <c r="J17" s="246">
        <v>1</v>
      </c>
      <c r="K17" s="262">
        <f t="shared" si="0"/>
        <v>193233.66</v>
      </c>
    </row>
    <row r="18" spans="2:11" x14ac:dyDescent="0.2">
      <c r="B18" s="235"/>
      <c r="C18" s="260"/>
      <c r="D18" s="388" t="s">
        <v>505</v>
      </c>
      <c r="E18" s="388"/>
      <c r="F18" s="261" t="s">
        <v>359</v>
      </c>
      <c r="G18" s="260"/>
      <c r="H18" s="260"/>
      <c r="I18" s="262">
        <v>536.29999999999995</v>
      </c>
      <c r="J18" s="246">
        <v>133.94999999999999</v>
      </c>
      <c r="K18" s="262">
        <f t="shared" si="0"/>
        <v>71837.384999999995</v>
      </c>
    </row>
    <row r="19" spans="2:11" x14ac:dyDescent="0.2">
      <c r="B19" s="258"/>
      <c r="C19" s="263"/>
      <c r="D19" s="391" t="s">
        <v>24</v>
      </c>
      <c r="E19" s="391"/>
      <c r="F19" s="391"/>
      <c r="G19" s="391"/>
      <c r="H19" s="391"/>
      <c r="I19" s="391"/>
      <c r="J19" s="391"/>
      <c r="K19" s="264">
        <f>Aktivet!F7</f>
        <v>3278267</v>
      </c>
    </row>
    <row r="20" spans="2:11" x14ac:dyDescent="0.2">
      <c r="B20" s="258"/>
      <c r="C20" s="265"/>
      <c r="D20" s="265"/>
      <c r="E20" s="265"/>
      <c r="F20" s="265"/>
      <c r="G20" s="265"/>
      <c r="H20" s="265"/>
      <c r="I20" s="265"/>
      <c r="J20" s="266"/>
      <c r="K20" s="258"/>
    </row>
    <row r="21" spans="2:11" x14ac:dyDescent="0.2">
      <c r="B21" s="235"/>
      <c r="C21" s="254"/>
      <c r="D21" s="259" t="s">
        <v>10</v>
      </c>
      <c r="E21" s="235"/>
      <c r="F21" s="235"/>
      <c r="G21" s="235"/>
      <c r="H21" s="235"/>
      <c r="I21" s="235"/>
      <c r="J21" s="245"/>
      <c r="K21" s="235"/>
    </row>
    <row r="22" spans="2:11" x14ac:dyDescent="0.2">
      <c r="B22" s="235"/>
      <c r="C22" s="391" t="s">
        <v>2</v>
      </c>
      <c r="D22" s="391" t="s">
        <v>361</v>
      </c>
      <c r="E22" s="391"/>
      <c r="F22" s="391"/>
      <c r="G22" s="391"/>
      <c r="H22" s="391"/>
      <c r="I22" s="260" t="s">
        <v>352</v>
      </c>
      <c r="J22" s="246" t="s">
        <v>353</v>
      </c>
      <c r="K22" s="260" t="s">
        <v>352</v>
      </c>
    </row>
    <row r="23" spans="2:11" x14ac:dyDescent="0.2">
      <c r="B23" s="235"/>
      <c r="C23" s="391"/>
      <c r="D23" s="391"/>
      <c r="E23" s="391"/>
      <c r="F23" s="391"/>
      <c r="G23" s="391"/>
      <c r="H23" s="391"/>
      <c r="I23" s="260" t="s">
        <v>354</v>
      </c>
      <c r="J23" s="246" t="s">
        <v>355</v>
      </c>
      <c r="K23" s="260" t="s">
        <v>356</v>
      </c>
    </row>
    <row r="24" spans="2:11" x14ac:dyDescent="0.2">
      <c r="B24" s="235"/>
      <c r="C24" s="260"/>
      <c r="D24" s="388" t="s">
        <v>362</v>
      </c>
      <c r="E24" s="388"/>
      <c r="F24" s="388"/>
      <c r="G24" s="388"/>
      <c r="H24" s="388"/>
      <c r="I24" s="261">
        <f>Aktivet!F8</f>
        <v>888243.01420085004</v>
      </c>
      <c r="J24" s="246">
        <v>1</v>
      </c>
      <c r="K24" s="262">
        <f>I24*J24</f>
        <v>888243.01420085004</v>
      </c>
    </row>
    <row r="25" spans="2:11" x14ac:dyDescent="0.2">
      <c r="B25" s="235"/>
      <c r="C25" s="260"/>
      <c r="D25" s="388" t="s">
        <v>363</v>
      </c>
      <c r="E25" s="388"/>
      <c r="F25" s="388"/>
      <c r="G25" s="388"/>
      <c r="H25" s="388"/>
      <c r="I25" s="262"/>
      <c r="J25" s="246"/>
      <c r="K25" s="262"/>
    </row>
    <row r="26" spans="2:11" x14ac:dyDescent="0.2">
      <c r="B26" s="235"/>
      <c r="C26" s="263"/>
      <c r="D26" s="391" t="s">
        <v>24</v>
      </c>
      <c r="E26" s="391"/>
      <c r="F26" s="391"/>
      <c r="G26" s="391"/>
      <c r="H26" s="391"/>
      <c r="I26" s="391"/>
      <c r="J26" s="391"/>
      <c r="K26" s="264">
        <f>SUM(K24:K25)</f>
        <v>888243.01420085004</v>
      </c>
    </row>
    <row r="27" spans="2:11" x14ac:dyDescent="0.2">
      <c r="B27" s="235"/>
      <c r="C27" s="265"/>
      <c r="D27" s="265"/>
      <c r="E27" s="265"/>
      <c r="F27" s="265"/>
      <c r="G27" s="265"/>
      <c r="H27" s="265"/>
      <c r="I27" s="265"/>
      <c r="J27" s="266"/>
      <c r="K27" s="258"/>
    </row>
    <row r="28" spans="2:11" x14ac:dyDescent="0.2">
      <c r="B28" s="235"/>
      <c r="C28" s="248">
        <v>2</v>
      </c>
      <c r="D28" s="257" t="s">
        <v>25</v>
      </c>
      <c r="E28" s="265"/>
      <c r="F28" s="265"/>
      <c r="G28" s="265"/>
      <c r="H28" s="265"/>
      <c r="I28" s="265"/>
      <c r="J28" s="266"/>
      <c r="K28" s="258"/>
    </row>
    <row r="29" spans="2:11" x14ac:dyDescent="0.2">
      <c r="B29" s="235"/>
      <c r="C29" s="248"/>
      <c r="D29" s="257"/>
      <c r="E29" s="265"/>
      <c r="F29" s="265"/>
      <c r="G29" s="265"/>
      <c r="H29" s="265"/>
      <c r="I29" s="265"/>
      <c r="J29" s="266"/>
      <c r="K29" s="258"/>
    </row>
    <row r="30" spans="2:11" x14ac:dyDescent="0.2">
      <c r="B30" s="235"/>
      <c r="C30" s="265"/>
      <c r="D30" s="267" t="s">
        <v>27</v>
      </c>
      <c r="E30" s="265"/>
      <c r="F30" s="265"/>
      <c r="G30" s="265"/>
      <c r="H30" s="265"/>
      <c r="I30" s="265"/>
      <c r="J30" s="266"/>
      <c r="K30" s="258"/>
    </row>
    <row r="31" spans="2:11" x14ac:dyDescent="0.2">
      <c r="B31" s="235"/>
      <c r="C31" s="265"/>
      <c r="D31" s="267"/>
      <c r="E31" s="268" t="s">
        <v>364</v>
      </c>
      <c r="F31" s="265"/>
      <c r="G31" s="265"/>
      <c r="H31" s="265"/>
      <c r="I31" s="265"/>
      <c r="J31" s="266"/>
      <c r="K31" s="258"/>
    </row>
    <row r="32" spans="2:11" x14ac:dyDescent="0.2">
      <c r="B32" s="235"/>
      <c r="C32" s="265"/>
      <c r="D32" s="267" t="s">
        <v>28</v>
      </c>
      <c r="E32" s="265"/>
      <c r="F32" s="265"/>
      <c r="G32" s="265"/>
      <c r="H32" s="265"/>
      <c r="I32" s="265"/>
      <c r="J32" s="266"/>
      <c r="K32" s="258"/>
    </row>
    <row r="33" spans="2:11" x14ac:dyDescent="0.2">
      <c r="B33" s="235"/>
      <c r="C33" s="265"/>
      <c r="D33" s="267"/>
      <c r="E33" s="268" t="s">
        <v>365</v>
      </c>
      <c r="F33" s="265"/>
      <c r="G33" s="265"/>
      <c r="H33" s="265"/>
      <c r="I33" s="265"/>
      <c r="J33" s="266"/>
      <c r="K33" s="258"/>
    </row>
    <row r="34" spans="2:11" x14ac:dyDescent="0.2">
      <c r="B34" s="235"/>
      <c r="C34" s="265"/>
      <c r="D34" s="267" t="s">
        <v>26</v>
      </c>
      <c r="E34" s="265"/>
      <c r="F34" s="265"/>
      <c r="G34" s="265"/>
      <c r="H34" s="265"/>
      <c r="I34" s="265"/>
      <c r="J34" s="266"/>
      <c r="K34" s="258"/>
    </row>
    <row r="35" spans="2:11" x14ac:dyDescent="0.2">
      <c r="B35" s="235"/>
      <c r="C35" s="265"/>
      <c r="D35" s="265"/>
      <c r="E35" s="268" t="s">
        <v>366</v>
      </c>
      <c r="F35" s="265"/>
      <c r="G35" s="265"/>
      <c r="H35" s="265"/>
      <c r="I35" s="265"/>
      <c r="J35" s="319"/>
      <c r="K35" s="258"/>
    </row>
    <row r="36" spans="2:11" x14ac:dyDescent="0.2">
      <c r="B36" s="235"/>
      <c r="C36" s="248">
        <v>3</v>
      </c>
      <c r="D36" s="257" t="s">
        <v>29</v>
      </c>
      <c r="E36" s="265"/>
      <c r="F36" s="265"/>
      <c r="G36" s="265"/>
      <c r="H36" s="265"/>
      <c r="I36" s="265"/>
      <c r="J36" s="319"/>
      <c r="K36" s="258"/>
    </row>
    <row r="37" spans="2:11" x14ac:dyDescent="0.2">
      <c r="B37" s="235"/>
      <c r="C37" s="265"/>
      <c r="D37" s="267" t="s">
        <v>367</v>
      </c>
      <c r="E37" s="265"/>
      <c r="F37" s="265"/>
      <c r="G37" s="265"/>
      <c r="H37" s="265"/>
      <c r="I37" s="265"/>
      <c r="J37" s="319"/>
      <c r="K37" s="258"/>
    </row>
    <row r="38" spans="2:11" x14ac:dyDescent="0.2">
      <c r="B38" s="235"/>
      <c r="C38" s="254"/>
      <c r="D38" s="269" t="s">
        <v>368</v>
      </c>
      <c r="E38" s="270"/>
      <c r="F38" s="270"/>
      <c r="G38" s="270"/>
      <c r="H38" s="270"/>
      <c r="I38" s="271"/>
      <c r="J38" s="231">
        <v>0</v>
      </c>
      <c r="K38" s="258"/>
    </row>
    <row r="39" spans="2:11" x14ac:dyDescent="0.2">
      <c r="B39" s="235"/>
      <c r="C39" s="265" t="s">
        <v>369</v>
      </c>
      <c r="D39" s="272" t="s">
        <v>370</v>
      </c>
      <c r="E39" s="270"/>
      <c r="F39" s="270"/>
      <c r="G39" s="270"/>
      <c r="H39" s="270"/>
      <c r="I39" s="273"/>
      <c r="J39" s="231">
        <v>0</v>
      </c>
      <c r="K39" s="258"/>
    </row>
    <row r="40" spans="2:11" x14ac:dyDescent="0.2">
      <c r="B40" s="235"/>
      <c r="C40" s="265" t="s">
        <v>369</v>
      </c>
      <c r="D40" s="272" t="s">
        <v>371</v>
      </c>
      <c r="E40" s="270"/>
      <c r="F40" s="270"/>
      <c r="G40" s="270"/>
      <c r="H40" s="270"/>
      <c r="I40" s="273"/>
      <c r="J40" s="231">
        <v>0</v>
      </c>
      <c r="K40" s="258"/>
    </row>
    <row r="41" spans="2:11" x14ac:dyDescent="0.2">
      <c r="B41" s="235"/>
      <c r="C41" s="265" t="s">
        <v>369</v>
      </c>
      <c r="D41" s="272" t="s">
        <v>372</v>
      </c>
      <c r="E41" s="270"/>
      <c r="F41" s="270"/>
      <c r="G41" s="270"/>
      <c r="H41" s="270"/>
      <c r="I41" s="273"/>
      <c r="J41" s="231">
        <v>0</v>
      </c>
      <c r="K41" s="258"/>
    </row>
    <row r="42" spans="2:11" x14ac:dyDescent="0.2">
      <c r="B42" s="235"/>
      <c r="C42" s="265"/>
      <c r="D42" s="235"/>
      <c r="E42" s="274"/>
      <c r="F42" s="265"/>
      <c r="G42" s="275"/>
      <c r="H42" s="275"/>
      <c r="I42" s="265"/>
      <c r="J42" s="319"/>
      <c r="K42" s="258"/>
    </row>
    <row r="43" spans="2:11" x14ac:dyDescent="0.2">
      <c r="B43" s="235"/>
      <c r="C43" s="265"/>
      <c r="D43" s="267" t="s">
        <v>30</v>
      </c>
      <c r="E43" s="265"/>
      <c r="F43" s="265"/>
      <c r="G43" s="265"/>
      <c r="H43" s="265"/>
      <c r="I43" s="265"/>
      <c r="J43" s="319"/>
      <c r="K43" s="258"/>
    </row>
    <row r="44" spans="2:11" x14ac:dyDescent="0.2">
      <c r="B44" s="235"/>
      <c r="C44" s="265" t="s">
        <v>369</v>
      </c>
      <c r="D44" s="267" t="s">
        <v>373</v>
      </c>
      <c r="E44" s="265"/>
      <c r="F44" s="265"/>
      <c r="G44" s="265"/>
      <c r="H44" s="265"/>
      <c r="I44" s="265"/>
      <c r="J44" s="319"/>
      <c r="K44" s="258"/>
    </row>
    <row r="45" spans="2:11" x14ac:dyDescent="0.2">
      <c r="B45" s="235"/>
      <c r="C45" s="265"/>
      <c r="D45" s="267"/>
      <c r="E45" s="265"/>
      <c r="F45" s="265"/>
      <c r="G45" s="265"/>
      <c r="H45" s="265"/>
      <c r="I45" s="265"/>
      <c r="J45" s="319"/>
      <c r="K45" s="258"/>
    </row>
    <row r="46" spans="2:11" x14ac:dyDescent="0.2">
      <c r="B46" s="235"/>
      <c r="C46" s="265" t="s">
        <v>369</v>
      </c>
      <c r="D46" s="267" t="s">
        <v>374</v>
      </c>
      <c r="E46" s="265"/>
      <c r="F46" s="265"/>
      <c r="G46" s="265"/>
      <c r="H46" s="265"/>
      <c r="I46" s="265"/>
      <c r="J46" s="320">
        <f>Aktivet!F17+Aktivet!F19</f>
        <v>11299806.8990205</v>
      </c>
      <c r="K46" s="258"/>
    </row>
    <row r="47" spans="2:11" x14ac:dyDescent="0.2">
      <c r="B47" s="235"/>
      <c r="C47" s="265"/>
      <c r="D47" s="265" t="s">
        <v>375</v>
      </c>
      <c r="F47" s="265"/>
      <c r="G47" s="265"/>
      <c r="H47" s="265"/>
      <c r="I47" s="265">
        <f>Aktivet!F19</f>
        <v>11161628.3990205</v>
      </c>
      <c r="J47" s="319"/>
      <c r="K47" s="258"/>
    </row>
    <row r="48" spans="2:11" x14ac:dyDescent="0.2">
      <c r="B48" s="235"/>
      <c r="C48" s="265"/>
      <c r="D48" s="267" t="s">
        <v>506</v>
      </c>
      <c r="E48" s="265"/>
      <c r="F48" s="265"/>
      <c r="G48" s="265"/>
      <c r="H48" s="265"/>
      <c r="I48" s="265">
        <f>Aktivet!F17</f>
        <v>138178.5</v>
      </c>
      <c r="J48" s="319"/>
      <c r="K48" s="258"/>
    </row>
    <row r="49" spans="2:11" x14ac:dyDescent="0.2">
      <c r="B49" s="235"/>
      <c r="C49" s="265"/>
      <c r="D49" s="267" t="s">
        <v>376</v>
      </c>
      <c r="E49" s="265"/>
      <c r="F49" s="265"/>
      <c r="G49" s="265"/>
      <c r="H49" s="265"/>
      <c r="I49" s="265">
        <f>SUM(I47:I48)</f>
        <v>11299806.8990205</v>
      </c>
      <c r="J49" s="319"/>
      <c r="K49" s="258"/>
    </row>
    <row r="50" spans="2:11" x14ac:dyDescent="0.2">
      <c r="B50" s="235"/>
      <c r="C50" s="265"/>
      <c r="D50" s="267"/>
      <c r="E50" s="265"/>
      <c r="F50" s="265"/>
      <c r="G50" s="265"/>
      <c r="H50" s="265"/>
      <c r="I50" s="265"/>
      <c r="J50" s="319"/>
      <c r="K50" s="258"/>
    </row>
    <row r="51" spans="2:11" x14ac:dyDescent="0.2">
      <c r="B51" s="235"/>
      <c r="C51" s="265"/>
      <c r="D51" s="267" t="s">
        <v>31</v>
      </c>
      <c r="E51" s="265"/>
      <c r="F51" s="265"/>
      <c r="G51" s="265"/>
      <c r="H51" s="265"/>
      <c r="I51" s="265"/>
      <c r="J51" s="319"/>
      <c r="K51" s="258"/>
    </row>
    <row r="52" spans="2:11" x14ac:dyDescent="0.2">
      <c r="B52" s="235"/>
      <c r="C52" s="265" t="s">
        <v>369</v>
      </c>
      <c r="D52" s="276" t="s">
        <v>377</v>
      </c>
      <c r="E52" s="265"/>
      <c r="F52" s="265"/>
      <c r="G52" s="265"/>
      <c r="H52" s="265"/>
      <c r="I52" s="265"/>
      <c r="J52" s="319"/>
      <c r="K52" s="258"/>
    </row>
    <row r="53" spans="2:11" x14ac:dyDescent="0.2">
      <c r="B53" s="235"/>
      <c r="C53" s="265"/>
      <c r="D53" s="267" t="s">
        <v>378</v>
      </c>
      <c r="E53" s="251"/>
      <c r="F53" s="251"/>
      <c r="G53" s="251"/>
      <c r="H53" s="251"/>
      <c r="I53" s="251"/>
      <c r="J53" s="320">
        <f>I54</f>
        <v>41853914.420799598</v>
      </c>
      <c r="K53" s="258"/>
    </row>
    <row r="54" spans="2:11" x14ac:dyDescent="0.2">
      <c r="B54" s="235"/>
      <c r="C54" s="265"/>
      <c r="D54" s="267"/>
      <c r="E54" s="255" t="s">
        <v>507</v>
      </c>
      <c r="F54" s="255"/>
      <c r="G54" s="265"/>
      <c r="H54" s="265"/>
      <c r="I54" s="265">
        <f>Aktivet!F14</f>
        <v>41853914.420799598</v>
      </c>
      <c r="J54" s="319"/>
      <c r="K54" s="258"/>
    </row>
    <row r="55" spans="2:11" x14ac:dyDescent="0.2">
      <c r="B55" s="235"/>
      <c r="C55" s="265"/>
      <c r="D55" s="267"/>
      <c r="E55" s="255"/>
      <c r="F55" s="255"/>
      <c r="G55" s="265"/>
      <c r="H55" s="265"/>
      <c r="I55" s="265"/>
      <c r="J55" s="319"/>
      <c r="K55" s="258"/>
    </row>
    <row r="56" spans="2:11" x14ac:dyDescent="0.2">
      <c r="B56" s="235"/>
      <c r="C56" s="248">
        <v>4</v>
      </c>
      <c r="D56" s="257" t="s">
        <v>33</v>
      </c>
      <c r="E56" s="265"/>
      <c r="F56" s="265"/>
      <c r="G56" s="265"/>
      <c r="H56" s="265"/>
      <c r="I56" s="265"/>
      <c r="J56" s="320">
        <f>Aktivet!F21</f>
        <v>257637245</v>
      </c>
      <c r="K56" s="258"/>
    </row>
    <row r="57" spans="2:11" x14ac:dyDescent="0.2">
      <c r="B57" s="235"/>
      <c r="C57" s="265"/>
      <c r="D57" s="267" t="s">
        <v>34</v>
      </c>
      <c r="E57" s="265"/>
      <c r="F57" s="265"/>
      <c r="G57" s="265"/>
      <c r="H57" s="265"/>
      <c r="I57" s="265"/>
      <c r="J57" s="319">
        <f>Aktivet!F22</f>
        <v>143041380</v>
      </c>
      <c r="K57" s="258"/>
    </row>
    <row r="58" spans="2:11" x14ac:dyDescent="0.2">
      <c r="B58" s="235"/>
      <c r="C58" s="265"/>
      <c r="D58" s="267" t="s">
        <v>35</v>
      </c>
      <c r="E58" s="265"/>
      <c r="F58" s="265"/>
      <c r="G58" s="265"/>
      <c r="H58" s="265"/>
      <c r="I58" s="265"/>
      <c r="J58" s="319">
        <f>Aktivet!F24</f>
        <v>105751411</v>
      </c>
      <c r="K58" s="258"/>
    </row>
    <row r="59" spans="2:11" x14ac:dyDescent="0.2">
      <c r="B59" s="235"/>
      <c r="C59" s="265"/>
      <c r="D59" s="267" t="s">
        <v>36</v>
      </c>
      <c r="E59" s="265"/>
      <c r="F59" s="265"/>
      <c r="G59" s="265"/>
      <c r="H59" s="265"/>
      <c r="I59" s="265"/>
      <c r="J59" s="319">
        <f>Aktivet!F25</f>
        <v>189952</v>
      </c>
      <c r="K59" s="258"/>
    </row>
    <row r="60" spans="2:11" x14ac:dyDescent="0.2">
      <c r="B60" s="235"/>
      <c r="C60" s="265"/>
      <c r="D60" s="267" t="s">
        <v>38</v>
      </c>
      <c r="E60" s="265"/>
      <c r="F60" s="265"/>
      <c r="G60" s="265"/>
      <c r="H60" s="265"/>
      <c r="I60" s="265"/>
      <c r="J60" s="319"/>
      <c r="K60" s="258"/>
    </row>
    <row r="61" spans="2:11" x14ac:dyDescent="0.2">
      <c r="B61" s="235"/>
      <c r="C61" s="265"/>
      <c r="D61" s="267"/>
      <c r="E61" s="265"/>
      <c r="F61" s="265"/>
      <c r="G61" s="265"/>
      <c r="H61" s="265"/>
      <c r="I61" s="265"/>
      <c r="J61" s="319"/>
      <c r="K61" s="258"/>
    </row>
    <row r="62" spans="2:11" x14ac:dyDescent="0.2">
      <c r="B62" s="235"/>
      <c r="C62" s="248">
        <v>5</v>
      </c>
      <c r="D62" s="257" t="s">
        <v>39</v>
      </c>
      <c r="E62" s="265"/>
      <c r="F62" s="265"/>
      <c r="G62" s="265"/>
      <c r="H62" s="265"/>
      <c r="I62" s="265"/>
      <c r="J62" s="319"/>
      <c r="K62" s="258"/>
    </row>
    <row r="63" spans="2:11" x14ac:dyDescent="0.2">
      <c r="B63" s="235"/>
      <c r="C63" s="248">
        <v>6</v>
      </c>
      <c r="D63" s="257" t="s">
        <v>40</v>
      </c>
      <c r="E63" s="265"/>
      <c r="F63" s="265"/>
      <c r="G63" s="265"/>
      <c r="H63" s="265"/>
      <c r="I63" s="265"/>
      <c r="J63" s="319"/>
      <c r="K63" s="258"/>
    </row>
    <row r="64" spans="2:11" x14ac:dyDescent="0.2">
      <c r="B64" s="275"/>
      <c r="C64" s="277" t="s">
        <v>4</v>
      </c>
      <c r="D64" s="252" t="s">
        <v>379</v>
      </c>
      <c r="E64" s="275"/>
      <c r="F64" s="275"/>
      <c r="G64" s="278"/>
      <c r="H64" s="275"/>
      <c r="I64" s="278"/>
      <c r="J64" s="236"/>
      <c r="K64" s="235"/>
    </row>
    <row r="65" spans="2:11" x14ac:dyDescent="0.2">
      <c r="B65" s="275"/>
      <c r="C65" s="278"/>
      <c r="D65" s="279"/>
      <c r="E65" s="279"/>
      <c r="F65" s="275"/>
      <c r="G65" s="278"/>
      <c r="H65" s="275"/>
      <c r="I65" s="278"/>
      <c r="J65" s="236"/>
      <c r="K65" s="235"/>
    </row>
    <row r="66" spans="2:11" x14ac:dyDescent="0.2">
      <c r="B66" s="275"/>
      <c r="C66" s="277">
        <v>7</v>
      </c>
      <c r="D66" s="252" t="s">
        <v>380</v>
      </c>
      <c r="E66" s="275"/>
      <c r="F66" s="275"/>
      <c r="G66" s="278"/>
      <c r="H66" s="275"/>
      <c r="I66" s="278"/>
      <c r="J66" s="236">
        <v>0</v>
      </c>
      <c r="K66" s="235"/>
    </row>
    <row r="67" spans="2:11" x14ac:dyDescent="0.2">
      <c r="B67" s="275"/>
      <c r="C67" s="249"/>
      <c r="D67" s="280"/>
      <c r="E67" s="275"/>
      <c r="F67" s="275"/>
      <c r="G67" s="278"/>
      <c r="H67" s="275"/>
      <c r="I67" s="278"/>
      <c r="J67" s="236"/>
      <c r="K67" s="235"/>
    </row>
    <row r="68" spans="2:11" x14ac:dyDescent="0.2">
      <c r="B68" s="275"/>
      <c r="C68" s="249">
        <v>8</v>
      </c>
      <c r="D68" s="281" t="s">
        <v>381</v>
      </c>
      <c r="E68" s="275"/>
      <c r="F68" s="275"/>
      <c r="G68" s="275"/>
      <c r="H68" s="275"/>
      <c r="I68" s="278"/>
      <c r="J68" s="238">
        <f>Aktivet!F53</f>
        <v>65062743.989666</v>
      </c>
      <c r="K68" s="235"/>
    </row>
    <row r="69" spans="2:11" x14ac:dyDescent="0.2">
      <c r="B69" s="275"/>
      <c r="C69" s="249"/>
      <c r="D69" s="267" t="s">
        <v>51</v>
      </c>
      <c r="E69" s="265"/>
      <c r="F69" s="282"/>
      <c r="G69" s="275"/>
      <c r="H69" s="275"/>
      <c r="I69" s="278"/>
      <c r="J69" s="236"/>
      <c r="K69" s="235"/>
    </row>
    <row r="70" spans="2:11" x14ac:dyDescent="0.2">
      <c r="B70" s="275"/>
      <c r="C70" s="249"/>
      <c r="D70" s="267" t="s">
        <v>52</v>
      </c>
      <c r="E70" s="321"/>
      <c r="F70" s="282"/>
      <c r="G70" s="275"/>
      <c r="H70" s="275"/>
      <c r="I70" s="278"/>
      <c r="J70" s="236">
        <f>Aktivet!F42</f>
        <v>11584863.682329999</v>
      </c>
      <c r="K70" s="235"/>
    </row>
    <row r="71" spans="2:11" x14ac:dyDescent="0.2">
      <c r="B71" s="275"/>
      <c r="C71" s="249"/>
      <c r="D71" s="267" t="s">
        <v>53</v>
      </c>
      <c r="E71" s="265"/>
      <c r="F71" s="282"/>
      <c r="G71" s="275"/>
      <c r="H71" s="275"/>
      <c r="I71" s="278"/>
      <c r="J71" s="236"/>
      <c r="K71" s="235"/>
    </row>
    <row r="72" spans="2:11" x14ac:dyDescent="0.2">
      <c r="B72" s="275"/>
      <c r="C72" s="249"/>
      <c r="D72" s="267" t="s">
        <v>54</v>
      </c>
      <c r="E72" s="321"/>
      <c r="F72" s="282"/>
      <c r="G72" s="275"/>
      <c r="H72" s="275"/>
      <c r="I72" s="278"/>
      <c r="J72" s="236">
        <f>Aktivet!F44</f>
        <v>32578660.5</v>
      </c>
      <c r="K72" s="235"/>
    </row>
    <row r="73" spans="2:11" x14ac:dyDescent="0.2">
      <c r="B73" s="275"/>
      <c r="C73" s="278"/>
      <c r="D73" s="267" t="s">
        <v>256</v>
      </c>
      <c r="E73" s="321"/>
      <c r="F73" s="282"/>
      <c r="G73" s="275"/>
      <c r="H73" s="275"/>
      <c r="I73" s="275"/>
      <c r="J73" s="236">
        <f>Aktivet!F45</f>
        <v>19671219.807335999</v>
      </c>
      <c r="K73" s="235"/>
    </row>
    <row r="74" spans="2:11" x14ac:dyDescent="0.2">
      <c r="B74" s="275"/>
      <c r="C74" s="278"/>
      <c r="D74" s="267" t="s">
        <v>508</v>
      </c>
      <c r="E74" s="321"/>
      <c r="F74" s="282"/>
      <c r="G74" s="275"/>
      <c r="H74" s="275"/>
      <c r="I74" s="275"/>
      <c r="J74" s="236">
        <f>Aktivet!F46</f>
        <v>1228000</v>
      </c>
      <c r="K74" s="235"/>
    </row>
    <row r="75" spans="2:11" x14ac:dyDescent="0.2">
      <c r="B75" s="275"/>
      <c r="C75" s="278"/>
      <c r="D75" s="275"/>
      <c r="E75" s="275" t="s">
        <v>382</v>
      </c>
      <c r="F75" s="275"/>
      <c r="G75" s="275"/>
      <c r="H75" s="275"/>
      <c r="I75" s="275"/>
      <c r="J75" s="322"/>
      <c r="K75" s="235"/>
    </row>
    <row r="76" spans="2:11" x14ac:dyDescent="0.2">
      <c r="B76" s="275"/>
      <c r="C76" s="391"/>
      <c r="D76" s="391"/>
      <c r="E76" s="389"/>
      <c r="F76" s="389"/>
      <c r="G76" s="389"/>
      <c r="H76" s="389"/>
      <c r="I76" s="389"/>
      <c r="J76" s="389"/>
      <c r="K76" s="235"/>
    </row>
    <row r="77" spans="2:11" x14ac:dyDescent="0.2">
      <c r="B77" s="275"/>
      <c r="C77" s="391"/>
      <c r="D77" s="391"/>
      <c r="E77" s="260" t="s">
        <v>509</v>
      </c>
      <c r="F77" s="260" t="s">
        <v>510</v>
      </c>
      <c r="G77" s="260" t="s">
        <v>511</v>
      </c>
      <c r="H77" s="260" t="s">
        <v>512</v>
      </c>
      <c r="I77" s="260" t="s">
        <v>513</v>
      </c>
      <c r="J77" s="323" t="s">
        <v>514</v>
      </c>
      <c r="K77" s="235"/>
    </row>
    <row r="78" spans="2:11" x14ac:dyDescent="0.2">
      <c r="B78" s="275"/>
      <c r="C78" s="260"/>
      <c r="D78" s="284" t="s">
        <v>238</v>
      </c>
      <c r="E78" s="262">
        <v>8933780.9859999996</v>
      </c>
      <c r="F78" s="262">
        <f>5137906-42000</f>
        <v>5095906</v>
      </c>
      <c r="G78" s="262">
        <f>aam!D25</f>
        <v>1763662</v>
      </c>
      <c r="H78" s="262">
        <f>E78+F78-G78</f>
        <v>12266024.986</v>
      </c>
      <c r="I78" s="262">
        <v>609460.11381000001</v>
      </c>
      <c r="J78" s="231">
        <f>H78-I78</f>
        <v>11656564.872189999</v>
      </c>
      <c r="K78" s="235"/>
    </row>
    <row r="79" spans="2:11" x14ac:dyDescent="0.2">
      <c r="B79" s="275"/>
      <c r="C79" s="260"/>
      <c r="D79" s="284" t="s">
        <v>239</v>
      </c>
      <c r="E79" s="262">
        <v>21151849.255199999</v>
      </c>
      <c r="F79" s="262"/>
      <c r="G79" s="262"/>
      <c r="H79" s="262">
        <f t="shared" ref="H79:H83" si="1">E79+F79-G79</f>
        <v>21151849.255199999</v>
      </c>
      <c r="I79" s="262">
        <v>1436932.447864</v>
      </c>
      <c r="J79" s="231">
        <f t="shared" ref="J79:J83" si="2">H79-I79</f>
        <v>19714916.807335999</v>
      </c>
      <c r="K79" s="235"/>
    </row>
    <row r="80" spans="2:11" x14ac:dyDescent="0.2">
      <c r="B80" s="275"/>
      <c r="C80" s="260"/>
      <c r="D80" s="284" t="s">
        <v>240</v>
      </c>
      <c r="E80" s="262">
        <v>0</v>
      </c>
      <c r="F80" s="262"/>
      <c r="G80" s="262"/>
      <c r="H80" s="262">
        <f t="shared" si="1"/>
        <v>0</v>
      </c>
      <c r="I80" s="262"/>
      <c r="J80" s="231">
        <f t="shared" si="2"/>
        <v>0</v>
      </c>
      <c r="K80" s="235"/>
    </row>
    <row r="81" spans="2:11" x14ac:dyDescent="0.2">
      <c r="B81" s="275"/>
      <c r="C81" s="260"/>
      <c r="D81" s="284" t="s">
        <v>241</v>
      </c>
      <c r="E81" s="262">
        <v>0</v>
      </c>
      <c r="F81" s="262"/>
      <c r="G81" s="262"/>
      <c r="H81" s="262">
        <f t="shared" si="1"/>
        <v>0</v>
      </c>
      <c r="I81" s="262"/>
      <c r="J81" s="231">
        <f t="shared" si="2"/>
        <v>0</v>
      </c>
      <c r="K81" s="235"/>
    </row>
    <row r="82" spans="2:11" x14ac:dyDescent="0.2">
      <c r="B82" s="276"/>
      <c r="C82" s="285"/>
      <c r="D82" s="284" t="s">
        <v>267</v>
      </c>
      <c r="E82" s="262">
        <v>32536661.754700001</v>
      </c>
      <c r="F82" s="262">
        <v>42000</v>
      </c>
      <c r="G82" s="264"/>
      <c r="H82" s="262">
        <f t="shared" si="1"/>
        <v>32578661.754700001</v>
      </c>
      <c r="I82" s="264"/>
      <c r="J82" s="231">
        <f t="shared" si="2"/>
        <v>32578661.754700001</v>
      </c>
      <c r="K82" s="258"/>
    </row>
    <row r="83" spans="2:11" x14ac:dyDescent="0.2">
      <c r="B83" s="235"/>
      <c r="C83" s="254"/>
      <c r="D83" s="284" t="s">
        <v>339</v>
      </c>
      <c r="E83" s="262">
        <v>1228000</v>
      </c>
      <c r="F83" s="262"/>
      <c r="G83" s="264"/>
      <c r="H83" s="262">
        <f t="shared" si="1"/>
        <v>1228000</v>
      </c>
      <c r="I83" s="260"/>
      <c r="J83" s="284">
        <f t="shared" si="2"/>
        <v>1228000</v>
      </c>
      <c r="K83" s="235"/>
    </row>
    <row r="84" spans="2:11" x14ac:dyDescent="0.2">
      <c r="B84" s="235"/>
      <c r="C84" s="254"/>
      <c r="D84" s="284"/>
      <c r="E84" s="262">
        <f>SUM(E78:E83)</f>
        <v>63850291.995900005</v>
      </c>
      <c r="F84" s="262">
        <f t="shared" ref="F84:J84" si="3">SUM(F78:F83)</f>
        <v>5137906</v>
      </c>
      <c r="G84" s="262">
        <f t="shared" si="3"/>
        <v>1763662</v>
      </c>
      <c r="H84" s="262">
        <f t="shared" si="3"/>
        <v>67224535.995900005</v>
      </c>
      <c r="I84" s="262">
        <f t="shared" si="3"/>
        <v>2046392.561674</v>
      </c>
      <c r="J84" s="262">
        <f t="shared" si="3"/>
        <v>65178143.434225999</v>
      </c>
      <c r="K84" s="235"/>
    </row>
    <row r="85" spans="2:11" x14ac:dyDescent="0.2">
      <c r="B85" s="235"/>
      <c r="C85" s="254"/>
      <c r="D85" s="286"/>
      <c r="E85" s="286"/>
      <c r="F85" s="286"/>
      <c r="G85" s="258"/>
      <c r="H85" s="258"/>
      <c r="I85" s="254"/>
      <c r="J85" s="238"/>
      <c r="K85" s="235"/>
    </row>
    <row r="86" spans="2:11" x14ac:dyDescent="0.2">
      <c r="B86" s="235"/>
      <c r="C86" s="254"/>
      <c r="D86" s="275" t="s">
        <v>383</v>
      </c>
      <c r="E86" s="274"/>
      <c r="F86" s="281"/>
      <c r="G86" s="281"/>
      <c r="H86" s="281"/>
      <c r="I86" s="254"/>
      <c r="J86" s="238">
        <f>F84</f>
        <v>5137906</v>
      </c>
      <c r="K86" s="235"/>
    </row>
    <row r="87" spans="2:11" x14ac:dyDescent="0.2">
      <c r="B87" s="235"/>
      <c r="C87" s="254"/>
      <c r="D87" s="275" t="s">
        <v>384</v>
      </c>
      <c r="E87" s="274"/>
      <c r="F87" s="281"/>
      <c r="G87" s="281"/>
      <c r="H87" s="281"/>
      <c r="I87" s="254"/>
      <c r="J87" s="238">
        <v>0</v>
      </c>
      <c r="K87" s="235"/>
    </row>
    <row r="88" spans="2:11" x14ac:dyDescent="0.2">
      <c r="B88" s="235"/>
      <c r="C88" s="254"/>
      <c r="D88" s="275" t="s">
        <v>385</v>
      </c>
      <c r="E88" s="274"/>
      <c r="F88" s="281"/>
      <c r="G88" s="281"/>
      <c r="H88" s="281"/>
      <c r="I88" s="254"/>
      <c r="J88" s="238">
        <f>I84</f>
        <v>2046392.561674</v>
      </c>
      <c r="K88" s="235"/>
    </row>
    <row r="89" spans="2:11" x14ac:dyDescent="0.2">
      <c r="B89" s="235"/>
      <c r="C89" s="254"/>
      <c r="D89" s="275" t="s">
        <v>386</v>
      </c>
      <c r="E89" s="274"/>
      <c r="F89" s="281"/>
      <c r="G89" s="281"/>
      <c r="H89" s="281"/>
      <c r="I89" s="254"/>
      <c r="J89" s="238"/>
      <c r="K89" s="235"/>
    </row>
    <row r="90" spans="2:11" x14ac:dyDescent="0.2">
      <c r="B90" s="235"/>
      <c r="C90" s="254"/>
      <c r="D90" s="275" t="s">
        <v>387</v>
      </c>
      <c r="E90" s="274"/>
      <c r="F90" s="281"/>
      <c r="G90" s="281"/>
      <c r="H90" s="281"/>
      <c r="I90" s="254"/>
      <c r="J90" s="238"/>
      <c r="K90" s="235"/>
    </row>
    <row r="91" spans="2:11" x14ac:dyDescent="0.2">
      <c r="B91" s="235"/>
      <c r="C91" s="254"/>
      <c r="D91" s="281"/>
      <c r="E91" s="274" t="s">
        <v>388</v>
      </c>
      <c r="F91" s="281"/>
      <c r="G91" s="281"/>
      <c r="H91" s="281"/>
      <c r="I91" s="254"/>
      <c r="J91" s="238"/>
      <c r="K91" s="235"/>
    </row>
    <row r="92" spans="2:11" x14ac:dyDescent="0.2">
      <c r="B92" s="235"/>
      <c r="C92" s="254"/>
      <c r="D92" s="281"/>
      <c r="E92" s="274"/>
      <c r="F92" s="281"/>
      <c r="G92" s="281"/>
      <c r="H92" s="281"/>
      <c r="I92" s="254"/>
      <c r="J92" s="238"/>
      <c r="K92" s="235"/>
    </row>
    <row r="93" spans="2:11" x14ac:dyDescent="0.2">
      <c r="B93" s="275"/>
      <c r="C93" s="277">
        <v>9</v>
      </c>
      <c r="D93" s="252" t="s">
        <v>389</v>
      </c>
      <c r="E93" s="275"/>
      <c r="F93" s="275"/>
      <c r="G93" s="275"/>
      <c r="H93" s="275"/>
      <c r="I93" s="275"/>
      <c r="J93" s="238">
        <v>0</v>
      </c>
      <c r="K93" s="235"/>
    </row>
    <row r="94" spans="2:11" x14ac:dyDescent="0.2">
      <c r="B94" s="235"/>
      <c r="C94" s="277">
        <v>10</v>
      </c>
      <c r="D94" s="252" t="s">
        <v>390</v>
      </c>
      <c r="E94" s="235"/>
      <c r="F94" s="235"/>
      <c r="G94" s="235"/>
      <c r="H94" s="275"/>
      <c r="I94" s="235"/>
      <c r="J94" s="238">
        <f>[2]Aktivet!F44</f>
        <v>0</v>
      </c>
      <c r="K94" s="235"/>
    </row>
    <row r="95" spans="2:11" x14ac:dyDescent="0.2">
      <c r="B95" s="235"/>
      <c r="C95" s="277">
        <v>11</v>
      </c>
      <c r="D95" s="252" t="s">
        <v>391</v>
      </c>
      <c r="E95" s="235"/>
      <c r="F95" s="235"/>
      <c r="G95" s="235"/>
      <c r="H95" s="275"/>
      <c r="I95" s="235"/>
      <c r="J95" s="238">
        <f>[2]Aktivet!F45</f>
        <v>0</v>
      </c>
      <c r="K95" s="235"/>
    </row>
    <row r="96" spans="2:11" x14ac:dyDescent="0.2">
      <c r="B96" s="235"/>
      <c r="C96" s="277">
        <v>12</v>
      </c>
      <c r="D96" s="252" t="s">
        <v>392</v>
      </c>
      <c r="E96" s="235"/>
      <c r="F96" s="235"/>
      <c r="G96" s="235"/>
      <c r="H96" s="275"/>
      <c r="I96" s="235"/>
      <c r="J96" s="238">
        <f>[2]Aktivet!F46</f>
        <v>0</v>
      </c>
      <c r="K96" s="235"/>
    </row>
    <row r="97" spans="2:11" x14ac:dyDescent="0.2">
      <c r="B97" s="235"/>
      <c r="C97" s="249"/>
      <c r="D97" s="281"/>
      <c r="E97" s="235"/>
      <c r="F97" s="235"/>
      <c r="G97" s="235"/>
      <c r="H97" s="235"/>
      <c r="I97" s="254"/>
      <c r="J97" s="236"/>
      <c r="K97" s="235"/>
    </row>
    <row r="98" spans="2:11" x14ac:dyDescent="0.2">
      <c r="B98" s="235"/>
      <c r="C98" s="277" t="s">
        <v>393</v>
      </c>
      <c r="D98" s="287" t="s">
        <v>394</v>
      </c>
      <c r="E98" s="256"/>
      <c r="F98" s="253"/>
      <c r="G98" s="253"/>
      <c r="H98" s="235"/>
      <c r="I98" s="254"/>
      <c r="J98" s="236"/>
      <c r="K98" s="235"/>
    </row>
    <row r="99" spans="2:11" x14ac:dyDescent="0.2">
      <c r="B99" s="235"/>
      <c r="C99" s="277"/>
      <c r="D99" s="287"/>
      <c r="E99" s="256"/>
      <c r="F99" s="253"/>
      <c r="G99" s="253"/>
      <c r="H99" s="235"/>
      <c r="I99" s="254"/>
      <c r="J99" s="236"/>
      <c r="K99" s="235"/>
    </row>
    <row r="100" spans="2:11" x14ac:dyDescent="0.2">
      <c r="B100" s="235"/>
      <c r="C100" s="288">
        <v>13</v>
      </c>
      <c r="D100" s="289" t="s">
        <v>65</v>
      </c>
      <c r="E100" s="256"/>
      <c r="F100" s="253"/>
      <c r="G100" s="253"/>
      <c r="H100" s="235"/>
      <c r="I100" s="254"/>
      <c r="J100" s="236">
        <f>Pasivet!G6</f>
        <v>350984051.5</v>
      </c>
      <c r="K100" s="235"/>
    </row>
    <row r="101" spans="2:11" x14ac:dyDescent="0.2">
      <c r="B101" s="235"/>
      <c r="C101" s="249"/>
      <c r="D101" s="267" t="s">
        <v>66</v>
      </c>
      <c r="E101" s="256"/>
      <c r="F101" s="253"/>
      <c r="G101" s="253"/>
      <c r="H101" s="235"/>
      <c r="I101" s="254"/>
      <c r="J101" s="236">
        <f>Pasivet!G23</f>
        <v>282769.5</v>
      </c>
      <c r="K101" s="235"/>
    </row>
    <row r="102" spans="2:11" x14ac:dyDescent="0.2">
      <c r="B102" s="235"/>
      <c r="C102" s="249"/>
      <c r="D102" s="267" t="s">
        <v>67</v>
      </c>
      <c r="E102" s="256"/>
      <c r="F102" s="253"/>
      <c r="G102" s="253"/>
      <c r="H102" s="235"/>
      <c r="I102" s="254"/>
      <c r="J102" s="236"/>
      <c r="K102" s="235"/>
    </row>
    <row r="103" spans="2:11" x14ac:dyDescent="0.2">
      <c r="B103" s="235"/>
      <c r="C103" s="249"/>
      <c r="D103" s="267" t="s">
        <v>68</v>
      </c>
      <c r="E103" s="256"/>
      <c r="F103" s="253"/>
      <c r="G103" s="253"/>
      <c r="H103" s="235"/>
      <c r="I103" s="254"/>
      <c r="J103" s="236"/>
      <c r="K103" s="235"/>
    </row>
    <row r="104" spans="2:11" x14ac:dyDescent="0.2">
      <c r="B104" s="235"/>
      <c r="C104" s="249"/>
      <c r="D104" s="267" t="s">
        <v>69</v>
      </c>
      <c r="E104" s="256"/>
      <c r="F104" s="253"/>
      <c r="G104" s="253"/>
      <c r="H104" s="235"/>
      <c r="I104" s="254"/>
      <c r="J104" s="236">
        <f>Pasivet!G10</f>
        <v>121834573.5</v>
      </c>
      <c r="K104" s="235"/>
    </row>
    <row r="105" spans="2:11" x14ac:dyDescent="0.2">
      <c r="B105" s="235"/>
      <c r="C105" s="275"/>
      <c r="D105" s="267" t="s">
        <v>70</v>
      </c>
      <c r="E105" s="256"/>
      <c r="F105" s="253"/>
      <c r="G105" s="253"/>
      <c r="H105" s="235"/>
      <c r="I105" s="254"/>
      <c r="J105" s="236"/>
      <c r="K105" s="235"/>
    </row>
    <row r="106" spans="2:11" x14ac:dyDescent="0.2">
      <c r="B106" s="235"/>
      <c r="C106" s="275"/>
      <c r="D106" s="267" t="s">
        <v>71</v>
      </c>
      <c r="E106" s="256"/>
      <c r="F106" s="253"/>
      <c r="G106" s="253"/>
      <c r="H106" s="235"/>
      <c r="I106" s="254"/>
      <c r="J106" s="236"/>
      <c r="K106" s="235"/>
    </row>
    <row r="107" spans="2:11" x14ac:dyDescent="0.2">
      <c r="B107" s="235"/>
      <c r="C107" s="275"/>
      <c r="D107" s="267" t="s">
        <v>72</v>
      </c>
      <c r="E107" s="256"/>
      <c r="F107" s="253"/>
      <c r="G107" s="253"/>
      <c r="H107" s="235"/>
      <c r="I107" s="254"/>
      <c r="J107" s="236"/>
      <c r="K107" s="235"/>
    </row>
    <row r="108" spans="2:11" x14ac:dyDescent="0.2">
      <c r="B108" s="235"/>
      <c r="C108" s="275"/>
      <c r="D108" s="267" t="s">
        <v>73</v>
      </c>
      <c r="E108" s="256"/>
      <c r="F108" s="253"/>
      <c r="G108" s="253"/>
      <c r="H108" s="235"/>
      <c r="I108" s="254"/>
      <c r="J108" s="236">
        <f>SUM(J109:J113)</f>
        <v>2193210.5</v>
      </c>
      <c r="K108" s="235"/>
    </row>
    <row r="109" spans="2:11" x14ac:dyDescent="0.2">
      <c r="B109" s="235"/>
      <c r="C109" s="265" t="s">
        <v>369</v>
      </c>
      <c r="D109" s="275" t="s">
        <v>113</v>
      </c>
      <c r="E109" s="256"/>
      <c r="F109" s="253"/>
      <c r="G109" s="253"/>
      <c r="H109" s="235"/>
      <c r="I109" s="254"/>
      <c r="J109" s="236">
        <f>Pasivet!G14</f>
        <v>1599777.5</v>
      </c>
      <c r="K109" s="235"/>
    </row>
    <row r="110" spans="2:11" x14ac:dyDescent="0.2">
      <c r="B110" s="235"/>
      <c r="C110" s="265" t="s">
        <v>369</v>
      </c>
      <c r="D110" s="275" t="s">
        <v>395</v>
      </c>
      <c r="E110" s="256"/>
      <c r="F110" s="253"/>
      <c r="G110" s="253"/>
      <c r="H110" s="235"/>
      <c r="I110" s="254"/>
      <c r="J110" s="238"/>
      <c r="K110" s="235"/>
    </row>
    <row r="111" spans="2:11" x14ac:dyDescent="0.2">
      <c r="B111" s="235"/>
      <c r="C111" s="265" t="s">
        <v>369</v>
      </c>
      <c r="D111" s="275" t="s">
        <v>396</v>
      </c>
      <c r="E111" s="256"/>
      <c r="F111" s="253"/>
      <c r="G111" s="253"/>
      <c r="H111" s="235"/>
      <c r="I111" s="254"/>
      <c r="J111" s="238">
        <f>Pasivet!G15</f>
        <v>593433</v>
      </c>
      <c r="K111" s="235"/>
    </row>
    <row r="112" spans="2:11" x14ac:dyDescent="0.2">
      <c r="B112" s="235"/>
      <c r="C112" s="265" t="s">
        <v>369</v>
      </c>
      <c r="D112" s="275" t="s">
        <v>397</v>
      </c>
      <c r="E112" s="256"/>
      <c r="F112" s="253"/>
      <c r="G112" s="253"/>
      <c r="H112" s="235"/>
      <c r="I112" s="254"/>
      <c r="J112" s="238"/>
      <c r="K112" s="235"/>
    </row>
    <row r="113" spans="2:11" x14ac:dyDescent="0.2">
      <c r="B113" s="235"/>
      <c r="C113" s="265" t="s">
        <v>369</v>
      </c>
      <c r="D113" s="275" t="s">
        <v>398</v>
      </c>
      <c r="E113" s="256"/>
      <c r="F113" s="253"/>
      <c r="G113" s="253"/>
      <c r="H113" s="235"/>
      <c r="I113" s="254"/>
      <c r="J113" s="238"/>
      <c r="K113" s="235"/>
    </row>
    <row r="114" spans="2:11" x14ac:dyDescent="0.2">
      <c r="B114" s="235"/>
      <c r="C114" s="265"/>
      <c r="D114" s="267"/>
      <c r="E114" s="256"/>
      <c r="F114" s="253"/>
      <c r="G114" s="253"/>
      <c r="H114" s="235"/>
      <c r="I114" s="254"/>
      <c r="J114" s="236"/>
      <c r="K114" s="235"/>
    </row>
    <row r="115" spans="2:11" x14ac:dyDescent="0.2">
      <c r="B115" s="235"/>
      <c r="C115" s="275"/>
      <c r="D115" s="267" t="s">
        <v>74</v>
      </c>
      <c r="E115" s="256"/>
      <c r="F115" s="253"/>
      <c r="G115" s="253"/>
      <c r="H115" s="235"/>
      <c r="I115" s="254"/>
      <c r="J115" s="238"/>
      <c r="K115" s="235"/>
    </row>
    <row r="116" spans="2:11" x14ac:dyDescent="0.2">
      <c r="B116" s="235"/>
      <c r="C116" s="265" t="s">
        <v>369</v>
      </c>
      <c r="D116" s="275" t="s">
        <v>323</v>
      </c>
      <c r="E116" s="256"/>
      <c r="F116" s="253"/>
      <c r="G116" s="253"/>
      <c r="H116" s="235"/>
      <c r="I116" s="254"/>
      <c r="J116" s="238"/>
      <c r="K116" s="235"/>
    </row>
    <row r="117" spans="2:11" x14ac:dyDescent="0.2">
      <c r="B117" s="235"/>
      <c r="C117" s="265" t="s">
        <v>369</v>
      </c>
      <c r="D117" s="275" t="s">
        <v>399</v>
      </c>
      <c r="E117" s="256"/>
      <c r="F117" s="253"/>
      <c r="G117" s="253"/>
      <c r="H117" s="235"/>
      <c r="I117" s="254"/>
      <c r="J117" s="238"/>
      <c r="K117" s="235"/>
    </row>
    <row r="118" spans="2:11" x14ac:dyDescent="0.2">
      <c r="B118" s="235"/>
      <c r="C118" s="265" t="s">
        <v>369</v>
      </c>
      <c r="D118" s="275" t="s">
        <v>400</v>
      </c>
      <c r="E118" s="256"/>
      <c r="F118" s="253"/>
      <c r="G118" s="253"/>
      <c r="H118" s="235"/>
      <c r="I118" s="254"/>
      <c r="J118" s="238"/>
      <c r="K118" s="235"/>
    </row>
    <row r="119" spans="2:11" x14ac:dyDescent="0.2">
      <c r="B119" s="235"/>
      <c r="C119" s="265" t="s">
        <v>369</v>
      </c>
      <c r="D119" s="275" t="s">
        <v>324</v>
      </c>
      <c r="E119" s="256"/>
      <c r="F119" s="253"/>
      <c r="G119" s="253"/>
      <c r="H119" s="235"/>
      <c r="I119" s="254"/>
      <c r="J119" s="238"/>
      <c r="K119" s="235"/>
    </row>
    <row r="120" spans="2:11" x14ac:dyDescent="0.2">
      <c r="B120" s="235"/>
      <c r="C120" s="265" t="s">
        <v>369</v>
      </c>
      <c r="D120" s="275" t="s">
        <v>401</v>
      </c>
      <c r="E120" s="256"/>
      <c r="F120" s="253"/>
      <c r="G120" s="253"/>
      <c r="H120" s="235"/>
      <c r="I120" s="254"/>
      <c r="J120" s="238"/>
      <c r="K120" s="235"/>
    </row>
    <row r="121" spans="2:11" x14ac:dyDescent="0.2">
      <c r="B121" s="235"/>
      <c r="C121" s="265" t="s">
        <v>369</v>
      </c>
      <c r="D121" s="275" t="s">
        <v>402</v>
      </c>
      <c r="E121" s="256"/>
      <c r="F121" s="253"/>
      <c r="G121" s="253"/>
      <c r="H121" s="235"/>
      <c r="I121" s="254"/>
      <c r="J121" s="238"/>
      <c r="K121" s="235"/>
    </row>
    <row r="122" spans="2:11" x14ac:dyDescent="0.2">
      <c r="B122" s="235"/>
      <c r="C122" s="265" t="s">
        <v>369</v>
      </c>
      <c r="D122" s="275" t="s">
        <v>403</v>
      </c>
      <c r="E122" s="256"/>
      <c r="F122" s="253"/>
      <c r="G122" s="253"/>
      <c r="H122" s="235"/>
      <c r="I122" s="254"/>
      <c r="J122" s="238"/>
      <c r="K122" s="235"/>
    </row>
    <row r="123" spans="2:11" x14ac:dyDescent="0.2">
      <c r="B123" s="235"/>
      <c r="C123" s="265" t="s">
        <v>369</v>
      </c>
      <c r="D123" s="275" t="s">
        <v>404</v>
      </c>
      <c r="E123" s="256"/>
      <c r="F123" s="253"/>
      <c r="G123" s="253"/>
      <c r="H123" s="235"/>
      <c r="I123" s="254"/>
      <c r="J123" s="238"/>
      <c r="K123" s="235"/>
    </row>
    <row r="124" spans="2:11" x14ac:dyDescent="0.2">
      <c r="B124" s="235"/>
      <c r="C124" s="265"/>
      <c r="D124" s="267"/>
      <c r="E124" s="256"/>
      <c r="F124" s="253"/>
      <c r="G124" s="253"/>
      <c r="H124" s="235"/>
      <c r="I124" s="254"/>
      <c r="J124" s="236"/>
      <c r="K124" s="235"/>
    </row>
    <row r="125" spans="2:11" x14ac:dyDescent="0.2">
      <c r="B125" s="235"/>
      <c r="C125" s="275"/>
      <c r="D125" s="267" t="s">
        <v>82</v>
      </c>
      <c r="E125" s="256"/>
      <c r="F125" s="253"/>
      <c r="G125" s="253"/>
      <c r="H125" s="235"/>
      <c r="I125" s="254"/>
      <c r="J125" s="236">
        <f>J126</f>
        <v>226956267.5</v>
      </c>
      <c r="K125" s="235"/>
    </row>
    <row r="126" spans="2:11" x14ac:dyDescent="0.2">
      <c r="B126" s="235"/>
      <c r="C126" s="265" t="s">
        <v>369</v>
      </c>
      <c r="D126" s="275" t="s">
        <v>405</v>
      </c>
      <c r="E126" s="256"/>
      <c r="F126" s="253"/>
      <c r="G126" s="253"/>
      <c r="H126" s="235"/>
      <c r="I126" s="254"/>
      <c r="J126" s="236">
        <f>Pasivet!G16</f>
        <v>226956267.5</v>
      </c>
      <c r="K126" s="235"/>
    </row>
    <row r="127" spans="2:11" x14ac:dyDescent="0.2">
      <c r="B127" s="235"/>
      <c r="C127" s="265"/>
      <c r="D127" s="267"/>
      <c r="E127" s="256"/>
      <c r="F127" s="253"/>
      <c r="G127" s="253"/>
      <c r="H127" s="235"/>
      <c r="I127" s="254"/>
      <c r="J127" s="236"/>
      <c r="K127" s="235"/>
    </row>
    <row r="128" spans="2:11" x14ac:dyDescent="0.2">
      <c r="B128" s="235"/>
      <c r="C128" s="288">
        <v>14</v>
      </c>
      <c r="D128" s="289" t="s">
        <v>75</v>
      </c>
      <c r="E128" s="256"/>
      <c r="F128" s="253"/>
      <c r="G128" s="253"/>
      <c r="H128" s="235"/>
      <c r="I128" s="254"/>
      <c r="J128" s="238">
        <v>0</v>
      </c>
      <c r="K128" s="235"/>
    </row>
    <row r="129" spans="2:11" x14ac:dyDescent="0.2">
      <c r="B129" s="235"/>
      <c r="C129" s="288">
        <v>15</v>
      </c>
      <c r="D129" s="289" t="s">
        <v>76</v>
      </c>
      <c r="E129" s="256"/>
      <c r="F129" s="253"/>
      <c r="G129" s="253"/>
      <c r="H129" s="235"/>
      <c r="I129" s="254"/>
      <c r="J129" s="238">
        <v>0</v>
      </c>
      <c r="K129" s="235"/>
    </row>
    <row r="130" spans="2:11" x14ac:dyDescent="0.2">
      <c r="B130" s="235"/>
      <c r="C130" s="288">
        <v>16</v>
      </c>
      <c r="D130" s="289" t="s">
        <v>77</v>
      </c>
      <c r="E130" s="256"/>
      <c r="F130" s="253"/>
      <c r="G130" s="253"/>
      <c r="H130" s="235"/>
      <c r="I130" s="254"/>
      <c r="J130" s="238">
        <v>0</v>
      </c>
      <c r="K130" s="235"/>
    </row>
    <row r="131" spans="2:11" x14ac:dyDescent="0.2">
      <c r="B131" s="235"/>
      <c r="C131" s="288">
        <v>17</v>
      </c>
      <c r="D131" s="289" t="s">
        <v>80</v>
      </c>
      <c r="E131" s="256"/>
      <c r="F131" s="253"/>
      <c r="G131" s="253"/>
      <c r="H131" s="235"/>
      <c r="I131" s="254"/>
      <c r="J131" s="238">
        <v>0</v>
      </c>
      <c r="K131" s="235"/>
    </row>
    <row r="132" spans="2:11" x14ac:dyDescent="0.2">
      <c r="B132" s="235"/>
      <c r="C132" s="288">
        <v>18</v>
      </c>
      <c r="D132" s="289" t="s">
        <v>83</v>
      </c>
      <c r="E132" s="256"/>
      <c r="F132" s="253"/>
      <c r="G132" s="253"/>
      <c r="H132" s="235"/>
      <c r="I132" s="254"/>
      <c r="J132" s="238"/>
      <c r="K132" s="235"/>
    </row>
    <row r="133" spans="2:11" x14ac:dyDescent="0.2">
      <c r="B133" s="235"/>
      <c r="C133" s="288">
        <v>19</v>
      </c>
      <c r="D133" s="289" t="s">
        <v>84</v>
      </c>
      <c r="E133" s="256"/>
      <c r="F133" s="253"/>
      <c r="G133" s="253"/>
      <c r="H133" s="235"/>
      <c r="I133" s="254"/>
      <c r="J133" s="238"/>
      <c r="K133" s="235"/>
    </row>
    <row r="134" spans="2:11" x14ac:dyDescent="0.2">
      <c r="B134" s="235"/>
      <c r="C134" s="288">
        <v>20</v>
      </c>
      <c r="D134" s="289" t="s">
        <v>85</v>
      </c>
      <c r="E134" s="256"/>
      <c r="F134" s="253"/>
      <c r="G134" s="253"/>
      <c r="H134" s="235"/>
      <c r="I134" s="254"/>
      <c r="J134" s="238"/>
      <c r="K134" s="235"/>
    </row>
    <row r="135" spans="2:11" x14ac:dyDescent="0.2">
      <c r="B135" s="235"/>
      <c r="C135" s="288">
        <v>21</v>
      </c>
      <c r="D135" s="289" t="s">
        <v>89</v>
      </c>
      <c r="E135" s="256"/>
      <c r="F135" s="253"/>
      <c r="G135" s="253"/>
      <c r="H135" s="235"/>
      <c r="I135" s="254"/>
      <c r="J135" s="238"/>
      <c r="K135" s="235"/>
    </row>
    <row r="136" spans="2:11" x14ac:dyDescent="0.2">
      <c r="B136" s="235"/>
      <c r="C136" s="288">
        <v>22</v>
      </c>
      <c r="D136" s="289" t="s">
        <v>92</v>
      </c>
      <c r="E136" s="256"/>
      <c r="F136" s="253"/>
      <c r="G136" s="253"/>
      <c r="H136" s="235"/>
      <c r="I136" s="254"/>
      <c r="J136" s="238"/>
      <c r="K136" s="235"/>
    </row>
    <row r="137" spans="2:11" x14ac:dyDescent="0.2">
      <c r="B137" s="235"/>
      <c r="C137" s="288">
        <v>23</v>
      </c>
      <c r="D137" s="289" t="s">
        <v>93</v>
      </c>
      <c r="E137" s="256"/>
      <c r="F137" s="253"/>
      <c r="G137" s="253"/>
      <c r="H137" s="235"/>
      <c r="I137" s="254"/>
      <c r="J137" s="238">
        <f>Pasivet!G48</f>
        <v>28753398.994166002</v>
      </c>
      <c r="K137" s="235"/>
    </row>
    <row r="138" spans="2:11" x14ac:dyDescent="0.2">
      <c r="B138" s="235"/>
      <c r="C138" s="288">
        <v>24</v>
      </c>
      <c r="D138" s="289" t="s">
        <v>94</v>
      </c>
      <c r="E138" s="256"/>
      <c r="F138" s="253"/>
      <c r="G138" s="253"/>
      <c r="H138" s="235"/>
      <c r="I138" s="254"/>
      <c r="J138" s="238"/>
      <c r="K138" s="235"/>
    </row>
    <row r="139" spans="2:11" x14ac:dyDescent="0.2">
      <c r="B139" s="235"/>
      <c r="C139" s="288">
        <v>25</v>
      </c>
      <c r="D139" s="289" t="s">
        <v>95</v>
      </c>
      <c r="E139" s="256"/>
      <c r="F139" s="253"/>
      <c r="G139" s="253"/>
      <c r="H139" s="235"/>
      <c r="I139" s="254"/>
      <c r="J139" s="238">
        <f>[2]Pasivet!F41</f>
        <v>0</v>
      </c>
      <c r="K139" s="235"/>
    </row>
    <row r="140" spans="2:11" x14ac:dyDescent="0.2">
      <c r="B140" s="235"/>
      <c r="C140" s="288">
        <v>26</v>
      </c>
      <c r="D140" s="289" t="s">
        <v>96</v>
      </c>
      <c r="E140" s="256"/>
      <c r="F140" s="253"/>
      <c r="G140" s="253"/>
      <c r="H140" s="235"/>
      <c r="I140" s="254"/>
      <c r="J140" s="238">
        <f>J141+J142</f>
        <v>1362328</v>
      </c>
      <c r="K140" s="235"/>
    </row>
    <row r="141" spans="2:11" x14ac:dyDescent="0.2">
      <c r="B141" s="235"/>
      <c r="C141" s="249"/>
      <c r="D141" s="267" t="s">
        <v>97</v>
      </c>
      <c r="E141" s="256"/>
      <c r="F141" s="253"/>
      <c r="G141" s="253"/>
      <c r="H141" s="235"/>
      <c r="I141" s="254"/>
      <c r="J141" s="236">
        <f>Pasivet!G42</f>
        <v>681164</v>
      </c>
      <c r="K141" s="235"/>
    </row>
    <row r="142" spans="2:11" x14ac:dyDescent="0.2">
      <c r="B142" s="235"/>
      <c r="C142" s="249"/>
      <c r="D142" s="267" t="s">
        <v>98</v>
      </c>
      <c r="E142" s="256"/>
      <c r="F142" s="253"/>
      <c r="G142" s="253"/>
      <c r="H142" s="235"/>
      <c r="I142" s="254"/>
      <c r="J142" s="236">
        <f>Pasivet!G43</f>
        <v>681164</v>
      </c>
      <c r="K142" s="235"/>
    </row>
    <row r="143" spans="2:11" x14ac:dyDescent="0.2">
      <c r="B143" s="235"/>
      <c r="C143" s="249"/>
      <c r="D143" s="267" t="s">
        <v>96</v>
      </c>
      <c r="E143" s="256"/>
      <c r="F143" s="253"/>
      <c r="G143" s="253"/>
      <c r="H143" s="235"/>
      <c r="I143" s="254"/>
      <c r="J143" s="238">
        <v>0</v>
      </c>
      <c r="K143" s="235"/>
    </row>
    <row r="144" spans="2:11" x14ac:dyDescent="0.2">
      <c r="B144" s="235"/>
      <c r="C144" s="288">
        <v>27</v>
      </c>
      <c r="D144" s="289" t="s">
        <v>99</v>
      </c>
      <c r="E144" s="256"/>
      <c r="F144" s="253"/>
      <c r="G144" s="253"/>
      <c r="H144" s="235"/>
      <c r="I144" s="254"/>
      <c r="J144" s="236">
        <f>Pasivet!G46</f>
        <v>20594838.050000001</v>
      </c>
      <c r="K144" s="235"/>
    </row>
    <row r="145" spans="2:11" x14ac:dyDescent="0.2">
      <c r="B145" s="235"/>
      <c r="C145" s="288">
        <v>28</v>
      </c>
      <c r="D145" s="289" t="s">
        <v>100</v>
      </c>
      <c r="E145" s="256"/>
      <c r="F145" s="253"/>
      <c r="G145" s="253"/>
      <c r="H145" s="235"/>
      <c r="I145" s="254"/>
      <c r="J145" s="236">
        <f>Pasivet!G47</f>
        <v>7377396.9441660019</v>
      </c>
      <c r="K145" s="235"/>
    </row>
    <row r="146" spans="2:11" x14ac:dyDescent="0.2">
      <c r="B146" s="235"/>
      <c r="C146" s="249"/>
      <c r="D146" s="256"/>
      <c r="E146" s="256"/>
      <c r="F146" s="253"/>
      <c r="G146" s="253"/>
      <c r="H146" s="235"/>
      <c r="I146" s="254"/>
      <c r="J146" s="238"/>
      <c r="K146" s="235"/>
    </row>
    <row r="147" spans="2:11" x14ac:dyDescent="0.2">
      <c r="B147" s="235"/>
      <c r="C147" s="249"/>
      <c r="D147" s="256"/>
      <c r="E147" s="256"/>
      <c r="F147" s="253"/>
      <c r="G147" s="253"/>
      <c r="H147" s="235"/>
      <c r="I147" s="254"/>
      <c r="J147" s="238"/>
      <c r="K147" s="235"/>
    </row>
    <row r="148" spans="2:11" x14ac:dyDescent="0.2">
      <c r="B148" s="235"/>
      <c r="C148" s="249"/>
      <c r="D148" s="253" t="s">
        <v>406</v>
      </c>
      <c r="E148" s="256"/>
      <c r="F148" s="253"/>
      <c r="G148" s="253"/>
      <c r="H148" s="235"/>
      <c r="I148" s="254"/>
      <c r="J148" s="238">
        <f>SUM(J149:J154)</f>
        <v>386048067.78689998</v>
      </c>
      <c r="K148" s="235"/>
    </row>
    <row r="149" spans="2:11" x14ac:dyDescent="0.2">
      <c r="B149" s="235"/>
      <c r="C149" s="249"/>
      <c r="D149" s="253"/>
      <c r="E149" s="256"/>
      <c r="F149" s="253"/>
      <c r="G149" s="253"/>
      <c r="H149" s="235"/>
      <c r="I149" s="254"/>
      <c r="J149" s="238"/>
      <c r="K149" s="235"/>
    </row>
    <row r="150" spans="2:11" x14ac:dyDescent="0.2">
      <c r="B150" s="235"/>
      <c r="C150" s="249"/>
      <c r="D150" s="324" t="s">
        <v>275</v>
      </c>
      <c r="E150" s="324"/>
      <c r="F150" s="253"/>
      <c r="G150" s="253"/>
      <c r="H150" s="235"/>
      <c r="I150" s="254"/>
      <c r="J150" s="236">
        <v>351902142.81690001</v>
      </c>
      <c r="K150" s="235"/>
    </row>
    <row r="151" spans="2:11" x14ac:dyDescent="0.2">
      <c r="B151" s="235"/>
      <c r="C151" s="290" t="s">
        <v>407</v>
      </c>
      <c r="D151" s="324" t="s">
        <v>276</v>
      </c>
      <c r="E151" s="324"/>
      <c r="F151" s="253"/>
      <c r="G151" s="253"/>
      <c r="H151" s="235"/>
      <c r="I151" s="254"/>
      <c r="J151" s="236">
        <v>11039449.199999999</v>
      </c>
      <c r="K151" s="235"/>
    </row>
    <row r="152" spans="2:11" x14ac:dyDescent="0.2">
      <c r="B152" s="235"/>
      <c r="C152" s="290" t="s">
        <v>407</v>
      </c>
      <c r="D152" s="324" t="s">
        <v>277</v>
      </c>
      <c r="E152" s="324"/>
      <c r="F152" s="253"/>
      <c r="G152" s="253"/>
      <c r="H152" s="235"/>
      <c r="I152" s="254"/>
      <c r="J152" s="236">
        <v>541667</v>
      </c>
      <c r="K152" s="235"/>
    </row>
    <row r="153" spans="2:11" x14ac:dyDescent="0.2">
      <c r="B153" s="235"/>
      <c r="C153" s="290"/>
      <c r="D153" s="324" t="s">
        <v>278</v>
      </c>
      <c r="E153" s="324"/>
      <c r="F153" s="235"/>
      <c r="G153" s="235"/>
      <c r="H153" s="275"/>
      <c r="I153" s="235"/>
      <c r="J153" s="236">
        <v>3115242.77</v>
      </c>
      <c r="K153" s="275"/>
    </row>
    <row r="154" spans="2:11" x14ac:dyDescent="0.2">
      <c r="B154" s="235"/>
      <c r="C154" s="290"/>
      <c r="D154" s="324" t="s">
        <v>515</v>
      </c>
      <c r="E154" s="324"/>
      <c r="F154" s="235"/>
      <c r="G154" s="235"/>
      <c r="H154" s="275"/>
      <c r="I154" s="235"/>
      <c r="J154" s="236">
        <f>PASH!G8</f>
        <v>19449566</v>
      </c>
      <c r="K154" s="275"/>
    </row>
    <row r="155" spans="2:11" x14ac:dyDescent="0.2">
      <c r="B155" s="235"/>
      <c r="C155" s="290" t="s">
        <v>407</v>
      </c>
      <c r="D155" s="324" t="s">
        <v>408</v>
      </c>
      <c r="E155" s="258"/>
      <c r="F155" s="268"/>
      <c r="G155" s="265"/>
      <c r="H155" s="258"/>
      <c r="I155" s="235"/>
      <c r="J155" s="238">
        <f>J156+J168+J173+J175</f>
        <v>402969470.83657932</v>
      </c>
      <c r="K155" s="275"/>
    </row>
    <row r="156" spans="2:11" x14ac:dyDescent="0.2">
      <c r="B156" s="235"/>
      <c r="C156" s="290"/>
      <c r="D156" s="324"/>
      <c r="E156" s="258">
        <v>1</v>
      </c>
      <c r="F156" s="267"/>
      <c r="G156" s="265"/>
      <c r="H156" s="258"/>
      <c r="I156" s="235"/>
      <c r="J156" s="238">
        <f>SUM(J157:J165)</f>
        <v>359662025.40487933</v>
      </c>
      <c r="K156" s="275"/>
    </row>
    <row r="157" spans="2:11" x14ac:dyDescent="0.2">
      <c r="B157" s="235"/>
      <c r="C157" s="290"/>
      <c r="D157" s="268"/>
      <c r="F157" s="267" t="s">
        <v>279</v>
      </c>
      <c r="G157" s="324"/>
      <c r="H157" s="258"/>
      <c r="I157" s="235"/>
      <c r="J157" s="236">
        <v>195762557.50606599</v>
      </c>
      <c r="K157" s="275"/>
    </row>
    <row r="158" spans="2:11" x14ac:dyDescent="0.2">
      <c r="B158" s="235"/>
      <c r="C158" s="290"/>
      <c r="D158" s="268"/>
      <c r="E158" s="258"/>
      <c r="F158" s="267" t="s">
        <v>280</v>
      </c>
      <c r="G158" s="324"/>
      <c r="H158" s="258"/>
      <c r="I158" s="235"/>
      <c r="J158" s="236">
        <v>2997514.83371322</v>
      </c>
      <c r="K158" s="275"/>
    </row>
    <row r="159" spans="2:11" x14ac:dyDescent="0.2">
      <c r="B159" s="235"/>
      <c r="C159" s="290"/>
      <c r="D159" s="268"/>
      <c r="E159" s="258"/>
      <c r="F159" s="267" t="s">
        <v>281</v>
      </c>
      <c r="G159" s="324"/>
      <c r="H159" s="258"/>
      <c r="I159" s="235"/>
      <c r="J159" s="236">
        <v>38987302.013000101</v>
      </c>
      <c r="K159" s="275"/>
    </row>
    <row r="160" spans="2:11" x14ac:dyDescent="0.2">
      <c r="B160" s="235"/>
      <c r="C160" s="290"/>
      <c r="D160" s="268"/>
      <c r="E160" s="258"/>
      <c r="F160" s="267" t="s">
        <v>283</v>
      </c>
      <c r="G160" s="324"/>
      <c r="H160" s="258"/>
      <c r="I160" s="235"/>
      <c r="J160" s="236">
        <v>83676376.042099997</v>
      </c>
      <c r="K160" s="275"/>
    </row>
    <row r="161" spans="2:11" x14ac:dyDescent="0.2">
      <c r="B161" s="235"/>
      <c r="C161" s="290"/>
      <c r="D161" s="268"/>
      <c r="E161" s="258"/>
      <c r="F161" s="267" t="s">
        <v>284</v>
      </c>
      <c r="G161" s="324"/>
      <c r="H161" s="258"/>
      <c r="I161" s="235"/>
      <c r="J161" s="236">
        <v>12430029.512599999</v>
      </c>
      <c r="K161" s="275"/>
    </row>
    <row r="162" spans="2:11" x14ac:dyDescent="0.2">
      <c r="B162" s="235"/>
      <c r="C162" s="290"/>
      <c r="D162" s="268"/>
      <c r="E162" s="258"/>
      <c r="F162" s="267" t="s">
        <v>285</v>
      </c>
      <c r="G162" s="324"/>
      <c r="H162" s="258"/>
      <c r="I162" s="235"/>
      <c r="J162" s="236">
        <v>159482.39000000001</v>
      </c>
      <c r="K162" s="275"/>
    </row>
    <row r="163" spans="2:11" x14ac:dyDescent="0.2">
      <c r="B163" s="235"/>
      <c r="C163" s="290"/>
      <c r="D163" s="268"/>
      <c r="E163" s="258"/>
      <c r="F163" s="267" t="s">
        <v>292</v>
      </c>
      <c r="G163" s="324"/>
      <c r="H163" s="258"/>
      <c r="I163" s="235"/>
      <c r="J163" s="236">
        <v>24807093.1074</v>
      </c>
      <c r="K163" s="275"/>
    </row>
    <row r="164" spans="2:11" x14ac:dyDescent="0.2">
      <c r="B164" s="235"/>
      <c r="C164" s="290"/>
      <c r="D164" s="268"/>
      <c r="E164" s="258"/>
      <c r="F164" s="267" t="s">
        <v>293</v>
      </c>
      <c r="G164" s="324"/>
      <c r="H164" s="258"/>
      <c r="I164" s="235"/>
      <c r="J164" s="236">
        <v>841670</v>
      </c>
      <c r="K164" s="275"/>
    </row>
    <row r="165" spans="2:11" x14ac:dyDescent="0.2">
      <c r="B165" s="235"/>
      <c r="C165" s="290"/>
      <c r="D165" s="268"/>
      <c r="E165" s="258"/>
      <c r="F165" s="251"/>
      <c r="G165" s="265"/>
      <c r="H165" s="258"/>
      <c r="I165" s="235"/>
      <c r="J165" s="236"/>
      <c r="K165" s="275"/>
    </row>
    <row r="166" spans="2:11" x14ac:dyDescent="0.2">
      <c r="B166" s="235"/>
      <c r="C166" s="290"/>
      <c r="D166" s="268"/>
      <c r="E166" s="258"/>
      <c r="F166" s="251"/>
      <c r="G166" s="265"/>
      <c r="H166" s="258"/>
      <c r="I166" s="235"/>
      <c r="J166" s="236"/>
      <c r="K166" s="275"/>
    </row>
    <row r="167" spans="2:11" x14ac:dyDescent="0.2">
      <c r="B167" s="235"/>
      <c r="C167" s="290"/>
      <c r="D167" s="268"/>
      <c r="E167" s="258"/>
      <c r="F167" s="291"/>
      <c r="G167" s="265"/>
      <c r="H167" s="258"/>
      <c r="I167" s="235"/>
      <c r="J167" s="236"/>
      <c r="K167" s="275"/>
    </row>
    <row r="168" spans="2:11" x14ac:dyDescent="0.2">
      <c r="B168" s="235"/>
      <c r="C168" s="290" t="s">
        <v>407</v>
      </c>
      <c r="D168" s="292" t="s">
        <v>112</v>
      </c>
      <c r="E168" s="268"/>
      <c r="F168" s="268"/>
      <c r="G168" s="265"/>
      <c r="H168" s="255"/>
      <c r="I168" s="235"/>
      <c r="J168" s="255">
        <f>J169+J170</f>
        <v>21093573</v>
      </c>
      <c r="K168" s="275"/>
    </row>
    <row r="169" spans="2:11" x14ac:dyDescent="0.2">
      <c r="B169" s="235"/>
      <c r="C169" s="290"/>
      <c r="D169" s="268"/>
      <c r="E169" s="267">
        <v>1</v>
      </c>
      <c r="F169" s="267" t="s">
        <v>113</v>
      </c>
      <c r="G169" s="265"/>
      <c r="H169" s="265"/>
      <c r="I169" s="235"/>
      <c r="J169" s="265">
        <f>PASH!K30</f>
        <v>360181</v>
      </c>
      <c r="K169" s="275"/>
    </row>
    <row r="170" spans="2:11" x14ac:dyDescent="0.2">
      <c r="B170" s="235"/>
      <c r="C170" s="290"/>
      <c r="D170" s="268"/>
      <c r="E170" s="267">
        <v>2</v>
      </c>
      <c r="F170" s="267" t="s">
        <v>114</v>
      </c>
      <c r="G170" s="235"/>
      <c r="H170" s="235"/>
      <c r="I170" s="235"/>
      <c r="J170" s="394">
        <f>PASH!K31</f>
        <v>20733392</v>
      </c>
      <c r="K170" s="275"/>
    </row>
    <row r="171" spans="2:11" x14ac:dyDescent="0.2">
      <c r="B171" s="235"/>
      <c r="C171" s="290"/>
      <c r="D171" s="268"/>
      <c r="E171" s="267"/>
      <c r="F171" s="267" t="s">
        <v>115</v>
      </c>
      <c r="G171" s="235"/>
      <c r="H171" s="235"/>
      <c r="I171" s="235"/>
      <c r="J171" s="394"/>
      <c r="K171" s="275"/>
    </row>
    <row r="172" spans="2:11" x14ac:dyDescent="0.2">
      <c r="B172" s="235"/>
      <c r="C172" s="290"/>
      <c r="D172" s="268"/>
      <c r="E172" s="258"/>
      <c r="F172" s="291"/>
      <c r="G172" s="265"/>
      <c r="H172" s="258"/>
      <c r="I172" s="235"/>
      <c r="J172" s="236"/>
      <c r="K172" s="275"/>
    </row>
    <row r="173" spans="2:11" x14ac:dyDescent="0.2">
      <c r="B173" s="235"/>
      <c r="C173" s="290" t="s">
        <v>407</v>
      </c>
      <c r="D173" s="292" t="s">
        <v>117</v>
      </c>
      <c r="E173" s="268"/>
      <c r="F173" s="268"/>
      <c r="G173" s="265"/>
      <c r="H173" s="255"/>
      <c r="I173" s="235"/>
      <c r="J173" s="255">
        <f>PASH!K35</f>
        <v>153595.67739999999</v>
      </c>
      <c r="K173" s="275"/>
    </row>
    <row r="174" spans="2:11" x14ac:dyDescent="0.2">
      <c r="B174" s="235"/>
      <c r="C174" s="290"/>
      <c r="D174" s="268"/>
      <c r="E174" s="258"/>
      <c r="F174" s="291"/>
      <c r="G174" s="265"/>
      <c r="H174" s="258"/>
      <c r="I174" s="235"/>
      <c r="J174" s="236"/>
      <c r="K174" s="275"/>
    </row>
    <row r="175" spans="2:11" x14ac:dyDescent="0.2">
      <c r="B175" s="235"/>
      <c r="C175" s="290" t="s">
        <v>407</v>
      </c>
      <c r="D175" s="292" t="s">
        <v>118</v>
      </c>
      <c r="E175" s="268"/>
      <c r="F175" s="268"/>
      <c r="G175" s="265"/>
      <c r="H175" s="258"/>
      <c r="I175" s="235"/>
      <c r="J175" s="255">
        <f>SUM(J176:J185)</f>
        <v>22060276.754299998</v>
      </c>
      <c r="K175" s="275"/>
    </row>
    <row r="176" spans="2:11" x14ac:dyDescent="0.2">
      <c r="B176" s="235"/>
      <c r="C176" s="290"/>
      <c r="D176" s="268"/>
      <c r="E176" s="258">
        <v>3</v>
      </c>
      <c r="F176" s="324" t="s">
        <v>282</v>
      </c>
      <c r="G176" s="324"/>
      <c r="H176" s="258"/>
      <c r="I176" s="235"/>
      <c r="J176" s="236">
        <v>9034025.0399999991</v>
      </c>
      <c r="K176" s="275"/>
    </row>
    <row r="177" spans="2:11" x14ac:dyDescent="0.2">
      <c r="B177" s="235"/>
      <c r="C177" s="290"/>
      <c r="D177" s="268"/>
      <c r="E177" s="258">
        <f>E176+1</f>
        <v>4</v>
      </c>
      <c r="F177" s="324" t="s">
        <v>286</v>
      </c>
      <c r="G177" s="324"/>
      <c r="H177" s="258"/>
      <c r="I177" s="235"/>
      <c r="J177" s="236">
        <v>3900000</v>
      </c>
      <c r="K177" s="275"/>
    </row>
    <row r="178" spans="2:11" x14ac:dyDescent="0.2">
      <c r="B178" s="235"/>
      <c r="C178" s="290"/>
      <c r="D178" s="268"/>
      <c r="E178" s="258">
        <f t="shared" ref="E178:E183" si="4">E177+1</f>
        <v>5</v>
      </c>
      <c r="F178" s="324" t="s">
        <v>287</v>
      </c>
      <c r="G178" s="324"/>
      <c r="H178" s="258"/>
      <c r="I178" s="235"/>
      <c r="J178" s="236">
        <v>4035997.4333000001</v>
      </c>
      <c r="K178" s="275"/>
    </row>
    <row r="179" spans="2:11" x14ac:dyDescent="0.2">
      <c r="B179" s="235"/>
      <c r="C179" s="290"/>
      <c r="D179" s="268"/>
      <c r="E179" s="258">
        <f t="shared" si="4"/>
        <v>6</v>
      </c>
      <c r="F179" s="324" t="s">
        <v>288</v>
      </c>
      <c r="G179" s="324"/>
      <c r="H179" s="258"/>
      <c r="I179" s="235"/>
      <c r="J179" s="236">
        <v>127249.2</v>
      </c>
      <c r="K179" s="275"/>
    </row>
    <row r="180" spans="2:11" x14ac:dyDescent="0.2">
      <c r="B180" s="235"/>
      <c r="C180" s="290"/>
      <c r="D180" s="268"/>
      <c r="E180" s="258">
        <f t="shared" si="4"/>
        <v>7</v>
      </c>
      <c r="F180" s="324" t="s">
        <v>289</v>
      </c>
      <c r="G180" s="324"/>
      <c r="H180" s="258"/>
      <c r="I180" s="235"/>
      <c r="J180" s="236">
        <v>6555.8710000000001</v>
      </c>
      <c r="K180" s="275"/>
    </row>
    <row r="181" spans="2:11" x14ac:dyDescent="0.2">
      <c r="B181" s="235"/>
      <c r="C181" s="290"/>
      <c r="D181" s="268"/>
      <c r="E181" s="258">
        <f t="shared" si="4"/>
        <v>8</v>
      </c>
      <c r="F181" s="324" t="s">
        <v>290</v>
      </c>
      <c r="G181" s="324"/>
      <c r="H181" s="258"/>
      <c r="I181" s="235"/>
      <c r="J181" s="236">
        <v>3213476.98</v>
      </c>
      <c r="K181" s="275"/>
    </row>
    <row r="182" spans="2:11" x14ac:dyDescent="0.2">
      <c r="B182" s="235"/>
      <c r="C182" s="290"/>
      <c r="D182" s="268"/>
      <c r="E182" s="258">
        <f t="shared" si="4"/>
        <v>9</v>
      </c>
      <c r="F182" s="324" t="s">
        <v>291</v>
      </c>
      <c r="G182" s="324"/>
      <c r="H182" s="258"/>
      <c r="I182" s="235"/>
      <c r="J182" s="236">
        <v>375505.23</v>
      </c>
      <c r="K182" s="275"/>
    </row>
    <row r="183" spans="2:11" x14ac:dyDescent="0.2">
      <c r="B183" s="235"/>
      <c r="C183" s="290"/>
      <c r="D183" s="268"/>
      <c r="E183" s="258">
        <f t="shared" si="4"/>
        <v>10</v>
      </c>
      <c r="F183" s="324" t="s">
        <v>295</v>
      </c>
      <c r="G183" s="324"/>
      <c r="H183" s="258"/>
      <c r="I183" s="235"/>
      <c r="J183" s="236">
        <v>610760</v>
      </c>
      <c r="K183" s="275"/>
    </row>
    <row r="184" spans="2:11" x14ac:dyDescent="0.2">
      <c r="B184" s="235"/>
      <c r="C184" s="290"/>
      <c r="D184" s="268"/>
      <c r="E184" s="258">
        <v>11</v>
      </c>
      <c r="F184" s="324" t="s">
        <v>296</v>
      </c>
      <c r="G184" s="324"/>
      <c r="H184" s="258"/>
      <c r="I184" s="235"/>
      <c r="J184" s="236">
        <v>360181</v>
      </c>
      <c r="K184" s="275"/>
    </row>
    <row r="185" spans="2:11" x14ac:dyDescent="0.2">
      <c r="B185" s="235"/>
      <c r="C185" s="290"/>
      <c r="D185" s="268"/>
      <c r="E185" s="258">
        <v>12</v>
      </c>
      <c r="F185" s="324" t="s">
        <v>299</v>
      </c>
      <c r="G185" s="324"/>
      <c r="H185" s="258"/>
      <c r="I185" s="235"/>
      <c r="J185" s="236">
        <v>396526</v>
      </c>
      <c r="K185" s="275"/>
    </row>
    <row r="186" spans="2:11" x14ac:dyDescent="0.2">
      <c r="B186" s="235"/>
      <c r="C186" s="290"/>
      <c r="D186" s="268"/>
      <c r="E186" s="258"/>
      <c r="F186" s="291"/>
      <c r="G186" s="265"/>
      <c r="H186" s="258"/>
      <c r="I186" s="235"/>
      <c r="J186" s="236"/>
      <c r="K186" s="275"/>
    </row>
    <row r="187" spans="2:11" x14ac:dyDescent="0.2">
      <c r="B187" s="235"/>
      <c r="C187" s="290"/>
      <c r="D187" s="268"/>
      <c r="E187" s="258"/>
      <c r="F187" s="291"/>
      <c r="G187" s="265"/>
      <c r="H187" s="258"/>
      <c r="I187" s="235"/>
      <c r="J187" s="236"/>
      <c r="K187" s="275"/>
    </row>
    <row r="188" spans="2:11" x14ac:dyDescent="0.2">
      <c r="B188" s="235"/>
      <c r="C188" s="290" t="s">
        <v>407</v>
      </c>
      <c r="D188" s="292" t="s">
        <v>128</v>
      </c>
      <c r="E188" s="268"/>
      <c r="F188" s="268"/>
      <c r="G188" s="265"/>
      <c r="H188" s="255"/>
      <c r="I188" s="235"/>
      <c r="J188" s="256">
        <f>J189+J191</f>
        <v>841670.01</v>
      </c>
      <c r="K188" s="275"/>
    </row>
    <row r="189" spans="2:11" x14ac:dyDescent="0.2">
      <c r="B189" s="235"/>
      <c r="C189" s="290"/>
      <c r="D189" s="268"/>
      <c r="E189" s="394">
        <v>1</v>
      </c>
      <c r="F189" s="291" t="s">
        <v>129</v>
      </c>
      <c r="G189" s="265"/>
      <c r="H189" s="258"/>
      <c r="I189" s="235"/>
      <c r="J189" s="395">
        <f>PASH!K27</f>
        <v>841670</v>
      </c>
      <c r="K189" s="275"/>
    </row>
    <row r="190" spans="2:11" x14ac:dyDescent="0.2">
      <c r="B190" s="235"/>
      <c r="C190" s="290"/>
      <c r="D190" s="268"/>
      <c r="E190" s="394"/>
      <c r="F190" s="291" t="s">
        <v>130</v>
      </c>
      <c r="G190" s="265"/>
      <c r="H190" s="255"/>
      <c r="I190" s="235"/>
      <c r="J190" s="395"/>
      <c r="K190" s="275"/>
    </row>
    <row r="191" spans="2:11" x14ac:dyDescent="0.2">
      <c r="B191" s="235"/>
      <c r="C191" s="290"/>
      <c r="D191" s="268"/>
      <c r="E191" s="265">
        <v>2</v>
      </c>
      <c r="F191" s="291" t="s">
        <v>409</v>
      </c>
      <c r="G191" s="265"/>
      <c r="H191" s="258"/>
      <c r="I191" s="235"/>
      <c r="J191" s="258">
        <f>PASH!K34</f>
        <v>0.01</v>
      </c>
      <c r="K191" s="275"/>
    </row>
    <row r="192" spans="2:11" x14ac:dyDescent="0.2">
      <c r="B192" s="235"/>
      <c r="C192" s="290"/>
      <c r="D192" s="268"/>
      <c r="E192" s="258"/>
      <c r="F192" s="291" t="s">
        <v>410</v>
      </c>
      <c r="G192" s="265"/>
      <c r="H192" s="258"/>
      <c r="I192" s="235"/>
      <c r="J192" s="236"/>
      <c r="K192" s="275"/>
    </row>
    <row r="193" spans="2:11" x14ac:dyDescent="0.2">
      <c r="B193" s="235"/>
      <c r="C193" s="290"/>
      <c r="D193" s="268"/>
      <c r="E193" s="258"/>
      <c r="F193" s="291"/>
      <c r="G193" s="265"/>
      <c r="H193" s="258"/>
      <c r="I193" s="235"/>
      <c r="J193" s="236"/>
      <c r="K193" s="275"/>
    </row>
    <row r="194" spans="2:11" x14ac:dyDescent="0.2">
      <c r="B194" s="235"/>
      <c r="C194" s="290" t="s">
        <v>407</v>
      </c>
      <c r="D194" s="292" t="s">
        <v>411</v>
      </c>
      <c r="E194" s="258"/>
      <c r="F194" s="235"/>
      <c r="G194" s="235"/>
      <c r="H194" s="275"/>
      <c r="I194" s="235"/>
      <c r="J194" s="238">
        <f>J148-J155-J188</f>
        <v>-17763073.059679341</v>
      </c>
      <c r="K194" s="275"/>
    </row>
    <row r="195" spans="2:11" x14ac:dyDescent="0.2">
      <c r="B195" s="275"/>
      <c r="C195" s="278"/>
      <c r="D195" s="275"/>
      <c r="E195" s="275"/>
      <c r="F195" s="275"/>
      <c r="G195" s="275"/>
      <c r="H195" s="275"/>
      <c r="I195" s="275"/>
      <c r="J195" s="238"/>
      <c r="K195" s="275"/>
    </row>
    <row r="196" spans="2:11" x14ac:dyDescent="0.2">
      <c r="B196" s="275"/>
      <c r="C196" s="278"/>
      <c r="D196" s="293" t="s">
        <v>407</v>
      </c>
      <c r="E196" s="279" t="s">
        <v>412</v>
      </c>
      <c r="F196" s="275"/>
      <c r="G196" s="275"/>
      <c r="H196" s="275"/>
      <c r="I196" s="278"/>
      <c r="J196" s="238">
        <f>J194</f>
        <v>-17763073.059679341</v>
      </c>
      <c r="K196" s="275"/>
    </row>
    <row r="197" spans="2:11" x14ac:dyDescent="0.2">
      <c r="B197" s="275"/>
      <c r="C197" s="278"/>
      <c r="D197" s="293" t="s">
        <v>407</v>
      </c>
      <c r="E197" s="275" t="s">
        <v>413</v>
      </c>
      <c r="F197" s="275"/>
      <c r="G197" s="275"/>
      <c r="H197" s="275"/>
      <c r="I197" s="278"/>
      <c r="J197" s="325">
        <f>H198</f>
        <v>3489663</v>
      </c>
      <c r="K197" s="275"/>
    </row>
    <row r="198" spans="2:11" x14ac:dyDescent="0.2">
      <c r="B198" s="275"/>
      <c r="C198" s="278"/>
      <c r="D198" s="293"/>
      <c r="E198" s="275"/>
      <c r="F198" s="275" t="s">
        <v>414</v>
      </c>
      <c r="G198" s="275"/>
      <c r="H198" s="275">
        <f>PASH!K32</f>
        <v>3489663</v>
      </c>
      <c r="I198" s="278"/>
      <c r="J198" s="236"/>
      <c r="K198" s="275"/>
    </row>
    <row r="199" spans="2:11" x14ac:dyDescent="0.2">
      <c r="B199" s="275"/>
      <c r="C199" s="278"/>
      <c r="D199" s="293"/>
      <c r="E199" s="275"/>
      <c r="F199" s="275" t="s">
        <v>415</v>
      </c>
      <c r="G199" s="275"/>
      <c r="H199" s="275"/>
      <c r="I199" s="278"/>
      <c r="J199" s="236"/>
      <c r="K199" s="275"/>
    </row>
    <row r="200" spans="2:11" x14ac:dyDescent="0.2">
      <c r="B200" s="275"/>
      <c r="C200" s="278"/>
      <c r="D200" s="293" t="s">
        <v>407</v>
      </c>
      <c r="E200" s="275" t="s">
        <v>416</v>
      </c>
      <c r="F200" s="275"/>
      <c r="G200" s="275"/>
      <c r="H200" s="275"/>
      <c r="I200" s="278"/>
      <c r="J200" s="238">
        <f>J196+J197</f>
        <v>-14273410.059679341</v>
      </c>
      <c r="K200" s="275"/>
    </row>
    <row r="201" spans="2:11" x14ac:dyDescent="0.2">
      <c r="B201" s="275"/>
      <c r="C201" s="278"/>
      <c r="D201" s="293" t="s">
        <v>407</v>
      </c>
      <c r="E201" s="275" t="s">
        <v>417</v>
      </c>
      <c r="F201" s="275"/>
      <c r="G201" s="275"/>
      <c r="H201" s="275"/>
      <c r="I201" s="278"/>
      <c r="J201" s="238">
        <f>J200*0.15</f>
        <v>-2141011.508951901</v>
      </c>
      <c r="K201" s="275"/>
    </row>
    <row r="202" spans="2:11" x14ac:dyDescent="0.2">
      <c r="B202" s="275"/>
      <c r="C202" s="294"/>
      <c r="D202" s="276"/>
      <c r="E202" s="295"/>
      <c r="F202" s="295"/>
      <c r="G202" s="295"/>
      <c r="H202" s="295"/>
      <c r="I202" s="295"/>
      <c r="J202" s="296"/>
      <c r="K202" s="295"/>
    </row>
    <row r="203" spans="2:11" x14ac:dyDescent="0.2">
      <c r="B203" s="275"/>
      <c r="C203" s="294"/>
      <c r="D203" s="294"/>
      <c r="E203" s="276"/>
      <c r="F203" s="251"/>
      <c r="G203" s="295" t="s">
        <v>418</v>
      </c>
      <c r="H203" s="295"/>
      <c r="I203" s="295"/>
      <c r="J203" s="295"/>
      <c r="K203" s="296"/>
    </row>
    <row r="204" spans="2:11" x14ac:dyDescent="0.2">
      <c r="B204" s="275"/>
      <c r="C204" s="294"/>
      <c r="D204" s="294"/>
      <c r="E204" s="276"/>
      <c r="F204" s="295"/>
      <c r="G204" s="295"/>
      <c r="H204" s="295"/>
      <c r="I204" s="295"/>
      <c r="J204" s="295"/>
      <c r="K204" s="296"/>
    </row>
    <row r="205" spans="2:11" x14ac:dyDescent="0.2">
      <c r="B205" s="275"/>
      <c r="C205" s="294"/>
      <c r="D205" s="294"/>
      <c r="E205" s="297" t="s">
        <v>419</v>
      </c>
      <c r="F205" s="298" t="s">
        <v>420</v>
      </c>
      <c r="G205" s="298" t="s">
        <v>421</v>
      </c>
      <c r="H205" s="295"/>
      <c r="I205" s="295"/>
      <c r="J205" s="295"/>
      <c r="K205" s="296"/>
    </row>
    <row r="206" spans="2:11" x14ac:dyDescent="0.2">
      <c r="B206" s="275"/>
      <c r="C206" s="294"/>
      <c r="D206" s="294"/>
      <c r="E206" s="297" t="s">
        <v>422</v>
      </c>
      <c r="F206" s="243">
        <v>59018825</v>
      </c>
      <c r="G206" s="243">
        <v>11803765</v>
      </c>
      <c r="H206" s="295"/>
      <c r="I206" s="295"/>
      <c r="J206" s="295"/>
      <c r="K206" s="296"/>
    </row>
    <row r="207" spans="2:11" x14ac:dyDescent="0.2">
      <c r="B207" s="275"/>
      <c r="C207" s="294"/>
      <c r="D207" s="294"/>
      <c r="E207" s="297" t="s">
        <v>423</v>
      </c>
      <c r="F207" s="243">
        <v>66517097</v>
      </c>
      <c r="G207" s="243">
        <v>13303419.4</v>
      </c>
      <c r="H207" s="295"/>
      <c r="I207" s="295"/>
      <c r="J207" s="295"/>
      <c r="K207" s="296"/>
    </row>
    <row r="208" spans="2:11" x14ac:dyDescent="0.2">
      <c r="B208" s="275"/>
      <c r="C208" s="294"/>
      <c r="D208" s="294"/>
      <c r="E208" s="297" t="s">
        <v>424</v>
      </c>
      <c r="F208" s="243">
        <v>68290422</v>
      </c>
      <c r="G208" s="243">
        <v>13658084.4</v>
      </c>
      <c r="H208" s="295"/>
      <c r="I208" s="295"/>
      <c r="J208" s="295"/>
      <c r="K208" s="296"/>
    </row>
    <row r="209" spans="2:11" x14ac:dyDescent="0.2">
      <c r="B209" s="275"/>
      <c r="C209" s="294"/>
      <c r="D209" s="294"/>
      <c r="E209" s="297" t="s">
        <v>425</v>
      </c>
      <c r="F209" s="243">
        <v>43525297</v>
      </c>
      <c r="G209" s="243">
        <v>8705059.4000000004</v>
      </c>
      <c r="H209" s="295"/>
      <c r="I209" s="295"/>
      <c r="J209" s="295"/>
      <c r="K209" s="296"/>
    </row>
    <row r="210" spans="2:11" x14ac:dyDescent="0.2">
      <c r="B210" s="275"/>
      <c r="C210" s="294"/>
      <c r="D210" s="294"/>
      <c r="E210" s="297" t="s">
        <v>426</v>
      </c>
      <c r="F210" s="243">
        <v>16248712</v>
      </c>
      <c r="G210" s="243">
        <v>3249742.4</v>
      </c>
      <c r="H210" s="295"/>
      <c r="I210" s="295"/>
      <c r="J210" s="295"/>
      <c r="K210" s="296"/>
    </row>
    <row r="211" spans="2:11" x14ac:dyDescent="0.2">
      <c r="B211" s="275"/>
      <c r="C211" s="294"/>
      <c r="D211" s="294"/>
      <c r="E211" s="297" t="s">
        <v>427</v>
      </c>
      <c r="F211" s="243">
        <v>15352388</v>
      </c>
      <c r="G211" s="243">
        <v>3070477.6</v>
      </c>
      <c r="H211" s="295"/>
      <c r="I211" s="295"/>
      <c r="J211" s="295"/>
      <c r="K211" s="296"/>
    </row>
    <row r="212" spans="2:11" x14ac:dyDescent="0.2">
      <c r="B212" s="275"/>
      <c r="C212" s="294"/>
      <c r="D212" s="294"/>
      <c r="E212" s="297" t="s">
        <v>428</v>
      </c>
      <c r="F212" s="243">
        <v>14928755</v>
      </c>
      <c r="G212" s="243">
        <v>2985751</v>
      </c>
      <c r="H212" s="295"/>
      <c r="I212" s="295"/>
      <c r="J212" s="295"/>
      <c r="K212" s="296"/>
    </row>
    <row r="213" spans="2:11" x14ac:dyDescent="0.2">
      <c r="B213" s="275"/>
      <c r="C213" s="294"/>
      <c r="D213" s="294"/>
      <c r="E213" s="297" t="s">
        <v>429</v>
      </c>
      <c r="F213" s="243">
        <v>14790716</v>
      </c>
      <c r="G213" s="243">
        <v>2958143.2</v>
      </c>
      <c r="H213" s="295"/>
      <c r="I213" s="295"/>
      <c r="J213" s="295"/>
      <c r="K213" s="296"/>
    </row>
    <row r="214" spans="2:11" x14ac:dyDescent="0.2">
      <c r="B214" s="275"/>
      <c r="C214" s="294"/>
      <c r="D214" s="294"/>
      <c r="E214" s="297" t="s">
        <v>430</v>
      </c>
      <c r="F214" s="243">
        <v>15483553</v>
      </c>
      <c r="G214" s="243">
        <v>3096710.6</v>
      </c>
      <c r="H214" s="295"/>
      <c r="I214" s="295"/>
      <c r="J214" s="295"/>
      <c r="K214" s="296"/>
    </row>
    <row r="215" spans="2:11" x14ac:dyDescent="0.2">
      <c r="B215" s="275"/>
      <c r="C215" s="294"/>
      <c r="D215" s="294"/>
      <c r="E215" s="297" t="s">
        <v>431</v>
      </c>
      <c r="F215" s="243">
        <v>12075425</v>
      </c>
      <c r="G215" s="243">
        <v>2415085</v>
      </c>
      <c r="H215" s="295"/>
      <c r="I215" s="295"/>
      <c r="J215" s="295"/>
      <c r="K215" s="296"/>
    </row>
    <row r="216" spans="2:11" x14ac:dyDescent="0.2">
      <c r="B216" s="275"/>
      <c r="C216" s="294"/>
      <c r="D216" s="294"/>
      <c r="E216" s="297" t="s">
        <v>432</v>
      </c>
      <c r="F216" s="243">
        <v>21015291</v>
      </c>
      <c r="G216" s="243">
        <v>4203058.2</v>
      </c>
      <c r="H216" s="295"/>
      <c r="I216" s="295"/>
      <c r="J216" s="295"/>
      <c r="K216" s="296"/>
    </row>
    <row r="217" spans="2:11" x14ac:dyDescent="0.2">
      <c r="B217" s="275"/>
      <c r="C217" s="294"/>
      <c r="D217" s="294"/>
      <c r="E217" s="297" t="s">
        <v>433</v>
      </c>
      <c r="F217" s="243">
        <v>16236778</v>
      </c>
      <c r="G217" s="243">
        <v>3247355.6</v>
      </c>
      <c r="H217" s="295"/>
      <c r="I217" s="295"/>
      <c r="J217" s="295"/>
      <c r="K217" s="296"/>
    </row>
    <row r="218" spans="2:11" x14ac:dyDescent="0.2">
      <c r="B218" s="275"/>
      <c r="C218" s="294"/>
      <c r="D218" s="294"/>
      <c r="E218" s="297" t="s">
        <v>434</v>
      </c>
      <c r="F218" s="243">
        <f>SUM(F206:F217)</f>
        <v>363483259</v>
      </c>
      <c r="G218" s="243">
        <v>72696651.799999997</v>
      </c>
      <c r="H218" s="295"/>
      <c r="I218" s="295"/>
      <c r="J218" s="295"/>
      <c r="K218" s="296"/>
    </row>
    <row r="219" spans="2:11" x14ac:dyDescent="0.2">
      <c r="B219" s="275"/>
      <c r="C219" s="294"/>
      <c r="D219" s="294"/>
      <c r="E219" s="276" t="s">
        <v>435</v>
      </c>
      <c r="F219" s="293">
        <f>F218</f>
        <v>363483259</v>
      </c>
      <c r="G219" s="295"/>
      <c r="H219" s="295"/>
      <c r="I219" s="295"/>
      <c r="J219" s="295"/>
      <c r="K219" s="296"/>
    </row>
    <row r="220" spans="2:11" x14ac:dyDescent="0.2">
      <c r="B220" s="275"/>
      <c r="C220" s="294"/>
      <c r="D220" s="294"/>
      <c r="E220" s="276" t="s">
        <v>436</v>
      </c>
      <c r="F220" s="293">
        <f>F219</f>
        <v>363483259</v>
      </c>
      <c r="G220" s="295"/>
      <c r="H220" s="295"/>
      <c r="I220" s="295"/>
      <c r="J220" s="295"/>
      <c r="K220" s="296"/>
    </row>
    <row r="221" spans="2:11" x14ac:dyDescent="0.2">
      <c r="B221" s="275"/>
      <c r="C221" s="294"/>
      <c r="D221" s="294"/>
      <c r="E221" s="276" t="s">
        <v>437</v>
      </c>
      <c r="F221" s="293">
        <f>F219-F220</f>
        <v>0</v>
      </c>
      <c r="G221" s="295"/>
      <c r="H221" s="295"/>
      <c r="I221" s="295"/>
      <c r="J221" s="295"/>
      <c r="K221" s="296"/>
    </row>
    <row r="222" spans="2:11" x14ac:dyDescent="0.2">
      <c r="B222" s="275"/>
      <c r="C222" s="294"/>
      <c r="D222" s="294"/>
      <c r="E222" s="276"/>
      <c r="F222" s="295"/>
      <c r="G222" s="295"/>
      <c r="H222" s="295"/>
      <c r="I222" s="295"/>
      <c r="J222" s="295"/>
      <c r="K222" s="296"/>
    </row>
    <row r="223" spans="2:11" ht="24" x14ac:dyDescent="0.2">
      <c r="B223" s="275"/>
      <c r="C223" s="294"/>
      <c r="D223" s="251"/>
      <c r="E223" s="297" t="s">
        <v>419</v>
      </c>
      <c r="F223" s="323" t="s">
        <v>516</v>
      </c>
      <c r="G223" s="323" t="s">
        <v>517</v>
      </c>
      <c r="H223" s="323" t="s">
        <v>518</v>
      </c>
      <c r="I223" s="323" t="s">
        <v>519</v>
      </c>
      <c r="J223" s="323" t="s">
        <v>520</v>
      </c>
      <c r="K223" s="323" t="s">
        <v>521</v>
      </c>
    </row>
    <row r="224" spans="2:11" x14ac:dyDescent="0.2">
      <c r="B224" s="275"/>
      <c r="C224" s="294"/>
      <c r="D224" s="251"/>
      <c r="E224" s="297" t="s">
        <v>422</v>
      </c>
      <c r="F224" s="243">
        <v>3024387</v>
      </c>
      <c r="G224" s="243">
        <v>3514668</v>
      </c>
      <c r="H224" s="243">
        <v>23764171</v>
      </c>
      <c r="I224" s="243">
        <v>4752834.2</v>
      </c>
      <c r="J224" s="243">
        <v>4468319</v>
      </c>
      <c r="K224" s="243">
        <v>893663.8</v>
      </c>
    </row>
    <row r="225" spans="2:11" x14ac:dyDescent="0.2">
      <c r="B225" s="275"/>
      <c r="C225" s="294"/>
      <c r="D225" s="251"/>
      <c r="E225" s="297" t="s">
        <v>423</v>
      </c>
      <c r="F225" s="243">
        <v>1207661</v>
      </c>
      <c r="G225" s="243">
        <v>5317224</v>
      </c>
      <c r="H225" s="243">
        <v>10939316</v>
      </c>
      <c r="I225" s="243">
        <v>2187863.2000000002</v>
      </c>
      <c r="J225" s="243">
        <v>4014289</v>
      </c>
      <c r="K225" s="243">
        <v>802857.8</v>
      </c>
    </row>
    <row r="226" spans="2:11" x14ac:dyDescent="0.2">
      <c r="B226" s="275"/>
      <c r="C226" s="294"/>
      <c r="D226" s="251"/>
      <c r="E226" s="297" t="s">
        <v>424</v>
      </c>
      <c r="F226" s="243">
        <v>2509335</v>
      </c>
      <c r="G226" s="243">
        <v>7021540</v>
      </c>
      <c r="H226" s="243">
        <v>20096800</v>
      </c>
      <c r="I226" s="243">
        <v>4019360</v>
      </c>
      <c r="J226" s="243">
        <v>18067627</v>
      </c>
      <c r="K226" s="243">
        <v>3613525.4000000004</v>
      </c>
    </row>
    <row r="227" spans="2:11" x14ac:dyDescent="0.2">
      <c r="B227" s="275"/>
      <c r="C227" s="294"/>
      <c r="D227" s="251"/>
      <c r="E227" s="297" t="s">
        <v>425</v>
      </c>
      <c r="F227" s="243">
        <v>2854218</v>
      </c>
      <c r="G227" s="243">
        <v>5307090</v>
      </c>
      <c r="H227" s="243">
        <v>21771072</v>
      </c>
      <c r="I227" s="243">
        <v>4354214.4000000004</v>
      </c>
      <c r="J227" s="243">
        <v>21570673</v>
      </c>
      <c r="K227" s="243">
        <v>4314134.6000000006</v>
      </c>
    </row>
    <row r="228" spans="2:11" x14ac:dyDescent="0.2">
      <c r="B228" s="275"/>
      <c r="C228" s="294"/>
      <c r="D228" s="251"/>
      <c r="E228" s="297" t="s">
        <v>426</v>
      </c>
      <c r="F228" s="243">
        <v>1837206</v>
      </c>
      <c r="G228" s="243">
        <v>5264212</v>
      </c>
      <c r="H228" s="243">
        <v>15398001</v>
      </c>
      <c r="I228" s="243">
        <v>3079600.2</v>
      </c>
      <c r="J228" s="243">
        <v>5804032</v>
      </c>
      <c r="K228" s="243">
        <v>1160806.4000000001</v>
      </c>
    </row>
    <row r="229" spans="2:11" x14ac:dyDescent="0.2">
      <c r="B229" s="275"/>
      <c r="C229" s="294"/>
      <c r="D229" s="251"/>
      <c r="E229" s="297" t="s">
        <v>427</v>
      </c>
      <c r="F229" s="243">
        <v>1118930</v>
      </c>
      <c r="G229" s="243">
        <v>6132857</v>
      </c>
      <c r="H229" s="243">
        <v>10001542</v>
      </c>
      <c r="I229" s="243">
        <v>2000308.4000000001</v>
      </c>
      <c r="J229" s="243">
        <v>5759516</v>
      </c>
      <c r="K229" s="243">
        <v>1151903.2</v>
      </c>
    </row>
    <row r="230" spans="2:11" x14ac:dyDescent="0.2">
      <c r="B230" s="275"/>
      <c r="C230" s="294"/>
      <c r="D230" s="251"/>
      <c r="E230" s="297" t="s">
        <v>428</v>
      </c>
      <c r="F230" s="243">
        <v>1168176</v>
      </c>
      <c r="G230" s="243">
        <v>4644235</v>
      </c>
      <c r="H230" s="243">
        <v>9956450</v>
      </c>
      <c r="I230" s="243">
        <v>1991290</v>
      </c>
      <c r="J230" s="243">
        <v>6830658</v>
      </c>
      <c r="K230" s="243">
        <v>1366131.6</v>
      </c>
    </row>
    <row r="231" spans="2:11" x14ac:dyDescent="0.2">
      <c r="B231" s="275"/>
      <c r="C231" s="294"/>
      <c r="D231" s="251"/>
      <c r="E231" s="297" t="s">
        <v>429</v>
      </c>
      <c r="F231" s="243">
        <v>2339955</v>
      </c>
      <c r="G231" s="243">
        <v>5591514</v>
      </c>
      <c r="H231" s="243">
        <v>14185113</v>
      </c>
      <c r="I231" s="243">
        <v>2837022.6</v>
      </c>
      <c r="J231" s="243">
        <v>6664899</v>
      </c>
      <c r="K231" s="243">
        <v>1332979.8</v>
      </c>
    </row>
    <row r="232" spans="2:11" x14ac:dyDescent="0.2">
      <c r="B232" s="275"/>
      <c r="C232" s="294"/>
      <c r="D232" s="251"/>
      <c r="E232" s="297" t="s">
        <v>430</v>
      </c>
      <c r="F232" s="243">
        <v>1095987</v>
      </c>
      <c r="G232" s="243">
        <v>6032224</v>
      </c>
      <c r="H232" s="243">
        <v>8037584</v>
      </c>
      <c r="I232" s="243">
        <v>1607516.8</v>
      </c>
      <c r="J232" s="243">
        <v>6387442</v>
      </c>
      <c r="K232" s="243">
        <v>1277488.4000000001</v>
      </c>
    </row>
    <row r="233" spans="2:11" x14ac:dyDescent="0.2">
      <c r="B233" s="275"/>
      <c r="C233" s="294"/>
      <c r="D233" s="251"/>
      <c r="E233" s="297" t="s">
        <v>431</v>
      </c>
      <c r="F233" s="243">
        <v>1222663</v>
      </c>
      <c r="G233" s="243">
        <v>7146788</v>
      </c>
      <c r="H233" s="243">
        <v>10846993</v>
      </c>
      <c r="I233" s="243">
        <v>2169398.6</v>
      </c>
      <c r="J233" s="243">
        <v>6795196</v>
      </c>
      <c r="K233" s="243">
        <v>1359039.2000000002</v>
      </c>
    </row>
    <row r="234" spans="2:11" x14ac:dyDescent="0.2">
      <c r="B234" s="275"/>
      <c r="C234" s="294"/>
      <c r="D234" s="251"/>
      <c r="E234" s="297" t="s">
        <v>432</v>
      </c>
      <c r="F234" s="243">
        <v>1842249</v>
      </c>
      <c r="G234" s="243">
        <v>6065700</v>
      </c>
      <c r="H234" s="243">
        <v>14618567</v>
      </c>
      <c r="I234" s="243">
        <v>2923713.4000000004</v>
      </c>
      <c r="J234" s="243">
        <v>6578696</v>
      </c>
      <c r="K234" s="243">
        <v>1315739.2000000002</v>
      </c>
    </row>
    <row r="235" spans="2:11" x14ac:dyDescent="0.2">
      <c r="B235" s="275"/>
      <c r="C235" s="294"/>
      <c r="D235" s="251"/>
      <c r="E235" s="297" t="s">
        <v>433</v>
      </c>
      <c r="F235" s="243">
        <v>6960030</v>
      </c>
      <c r="G235" s="243">
        <v>4114809</v>
      </c>
      <c r="H235" s="243">
        <v>14282963</v>
      </c>
      <c r="I235" s="243">
        <v>2856592.6</v>
      </c>
      <c r="J235" s="243">
        <v>8075695</v>
      </c>
      <c r="K235" s="243">
        <v>1615139</v>
      </c>
    </row>
    <row r="236" spans="2:11" x14ac:dyDescent="0.2">
      <c r="B236" s="275"/>
      <c r="C236" s="294"/>
      <c r="D236" s="251"/>
      <c r="E236" s="299" t="s">
        <v>434</v>
      </c>
      <c r="F236" s="300">
        <f>SUM(F224:F235)</f>
        <v>27180797</v>
      </c>
      <c r="G236" s="300">
        <f t="shared" ref="G236:K236" si="5">SUM(G224:G235)</f>
        <v>66152861</v>
      </c>
      <c r="H236" s="300">
        <f t="shared" si="5"/>
        <v>173898572</v>
      </c>
      <c r="I236" s="300">
        <f t="shared" si="5"/>
        <v>34779714.400000006</v>
      </c>
      <c r="J236" s="300">
        <f t="shared" si="5"/>
        <v>101017042</v>
      </c>
      <c r="K236" s="300">
        <f t="shared" si="5"/>
        <v>20203408.400000002</v>
      </c>
    </row>
    <row r="237" spans="2:11" x14ac:dyDescent="0.2">
      <c r="B237" s="275"/>
      <c r="C237" s="294"/>
      <c r="D237" s="294"/>
      <c r="E237" s="276" t="s">
        <v>522</v>
      </c>
      <c r="F237" s="296"/>
      <c r="G237" s="295" t="s">
        <v>438</v>
      </c>
      <c r="H237" s="296">
        <f>F236+G236+H236+J236</f>
        <v>368249272</v>
      </c>
      <c r="I237" s="296"/>
      <c r="J237" s="295"/>
      <c r="K237" s="275"/>
    </row>
    <row r="238" spans="2:11" x14ac:dyDescent="0.2">
      <c r="B238" s="275"/>
      <c r="C238" s="294"/>
      <c r="D238" s="294"/>
      <c r="E238" s="295"/>
      <c r="F238" s="295"/>
      <c r="G238" s="276" t="s">
        <v>523</v>
      </c>
      <c r="H238" s="235">
        <v>338370018.31246603</v>
      </c>
      <c r="I238" s="296"/>
      <c r="J238" s="326"/>
    </row>
    <row r="239" spans="2:11" x14ac:dyDescent="0.2">
      <c r="B239" s="275"/>
      <c r="C239" s="294"/>
      <c r="D239" s="294"/>
      <c r="E239" s="295"/>
      <c r="F239" s="295"/>
      <c r="G239" s="276" t="s">
        <v>524</v>
      </c>
      <c r="H239" s="235">
        <v>93596</v>
      </c>
      <c r="I239" s="296"/>
      <c r="J239" s="326"/>
    </row>
    <row r="240" spans="2:11" x14ac:dyDescent="0.2">
      <c r="B240" s="275"/>
      <c r="C240" s="294"/>
      <c r="D240" s="294"/>
      <c r="E240" s="295"/>
      <c r="F240" s="295"/>
      <c r="G240" s="276" t="s">
        <v>525</v>
      </c>
      <c r="H240" s="235">
        <v>5137906</v>
      </c>
      <c r="I240" s="296"/>
      <c r="J240" s="326"/>
    </row>
    <row r="241" spans="2:13" x14ac:dyDescent="0.2">
      <c r="B241" s="275"/>
      <c r="C241" s="294"/>
      <c r="D241" s="294"/>
      <c r="E241" s="295"/>
      <c r="F241" s="295"/>
      <c r="G241" s="276" t="s">
        <v>526</v>
      </c>
      <c r="H241" s="235">
        <v>24647752</v>
      </c>
      <c r="I241" s="296"/>
      <c r="J241" s="326"/>
    </row>
    <row r="242" spans="2:13" x14ac:dyDescent="0.2">
      <c r="B242" s="275"/>
      <c r="C242" s="294"/>
      <c r="D242" s="294"/>
      <c r="E242" s="295"/>
      <c r="F242" s="295"/>
      <c r="G242" s="295" t="s">
        <v>527</v>
      </c>
      <c r="H242" s="302">
        <f>H237-H238-H239-H240-H241</f>
        <v>-0.31246602535247803</v>
      </c>
      <c r="I242" s="296"/>
      <c r="J242" s="326"/>
    </row>
    <row r="243" spans="2:13" x14ac:dyDescent="0.2">
      <c r="B243" s="275"/>
      <c r="C243" s="294"/>
      <c r="D243" s="294"/>
      <c r="E243" s="295" t="s">
        <v>439</v>
      </c>
      <c r="F243" s="295"/>
      <c r="H243" s="303"/>
      <c r="I243" s="296"/>
      <c r="J243" s="326"/>
    </row>
    <row r="244" spans="2:13" x14ac:dyDescent="0.2">
      <c r="B244" s="275"/>
      <c r="C244" s="294"/>
      <c r="D244" s="294"/>
      <c r="E244" s="295" t="s">
        <v>440</v>
      </c>
      <c r="F244" s="295"/>
      <c r="G244" s="251"/>
      <c r="H244" s="303"/>
      <c r="I244" s="296"/>
      <c r="J244" s="326"/>
    </row>
    <row r="245" spans="2:13" x14ac:dyDescent="0.2">
      <c r="B245" s="275"/>
      <c r="C245" s="294"/>
      <c r="D245" s="294"/>
      <c r="E245" s="295" t="s">
        <v>441</v>
      </c>
      <c r="F245" s="295"/>
      <c r="G245" s="251"/>
      <c r="H245" s="303"/>
      <c r="I245" s="296"/>
      <c r="J245" s="326"/>
    </row>
    <row r="246" spans="2:13" x14ac:dyDescent="0.2">
      <c r="B246" s="275"/>
      <c r="C246" s="294"/>
      <c r="D246" s="294"/>
      <c r="E246" s="295" t="s">
        <v>442</v>
      </c>
      <c r="F246" s="295"/>
      <c r="G246" s="251"/>
      <c r="H246" s="303"/>
      <c r="I246" s="296"/>
      <c r="J246" s="326"/>
    </row>
    <row r="247" spans="2:13" x14ac:dyDescent="0.2">
      <c r="B247" s="275"/>
      <c r="C247" s="294"/>
      <c r="D247" s="294"/>
      <c r="E247" s="295"/>
      <c r="F247" s="295"/>
      <c r="G247" s="295"/>
      <c r="H247" s="303"/>
      <c r="I247" s="296"/>
      <c r="J247" s="326"/>
    </row>
    <row r="248" spans="2:13" x14ac:dyDescent="0.2">
      <c r="B248" s="275"/>
      <c r="C248" s="294"/>
      <c r="D248" s="294"/>
      <c r="E248" s="295" t="s">
        <v>443</v>
      </c>
      <c r="F248" s="304">
        <f>H238+H239+H240</f>
        <v>343601520.31246603</v>
      </c>
      <c r="G248" s="295"/>
      <c r="H248" s="303"/>
      <c r="I248" s="296"/>
      <c r="J248" s="326"/>
    </row>
    <row r="249" spans="2:13" x14ac:dyDescent="0.2">
      <c r="B249" s="275"/>
      <c r="C249" s="294"/>
      <c r="D249" s="294"/>
      <c r="E249" s="295" t="s">
        <v>444</v>
      </c>
      <c r="F249" s="304">
        <f>H241</f>
        <v>24647752</v>
      </c>
      <c r="G249" s="295"/>
      <c r="H249" s="303"/>
      <c r="I249" s="296"/>
      <c r="J249" s="326"/>
    </row>
    <row r="250" spans="2:13" x14ac:dyDescent="0.2">
      <c r="B250" s="275"/>
      <c r="C250" s="294"/>
      <c r="D250" s="294"/>
      <c r="E250" s="295" t="s">
        <v>445</v>
      </c>
      <c r="F250" s="304">
        <f>F248+F249</f>
        <v>368249272.31246603</v>
      </c>
      <c r="G250" s="295"/>
      <c r="H250" s="303"/>
      <c r="I250" s="296"/>
      <c r="J250" s="326"/>
    </row>
    <row r="251" spans="2:13" x14ac:dyDescent="0.2">
      <c r="B251" s="275"/>
      <c r="C251" s="294"/>
      <c r="D251" s="294"/>
      <c r="E251" s="295"/>
      <c r="F251" s="295"/>
      <c r="G251" s="295"/>
      <c r="H251" s="303"/>
      <c r="I251" s="296"/>
      <c r="J251" s="326"/>
    </row>
    <row r="252" spans="2:13" x14ac:dyDescent="0.2">
      <c r="B252" s="275"/>
      <c r="C252" s="294"/>
      <c r="D252" s="294"/>
      <c r="E252" s="295"/>
      <c r="F252" s="295" t="s">
        <v>24</v>
      </c>
      <c r="G252" s="295"/>
      <c r="H252" s="303">
        <f>SUM(H238:H251)</f>
        <v>368249272</v>
      </c>
      <c r="I252" s="296"/>
      <c r="J252" s="326"/>
    </row>
    <row r="253" spans="2:13" x14ac:dyDescent="0.2">
      <c r="B253" s="275"/>
      <c r="C253" s="294"/>
      <c r="D253" s="294"/>
      <c r="E253" s="295"/>
      <c r="F253" s="295"/>
      <c r="G253" s="295"/>
      <c r="H253" s="295"/>
      <c r="I253" s="296"/>
      <c r="J253" s="326"/>
    </row>
    <row r="254" spans="2:13" x14ac:dyDescent="0.2">
      <c r="B254" s="275"/>
      <c r="C254" s="294"/>
      <c r="D254" s="294"/>
      <c r="E254" s="295"/>
      <c r="F254" s="295" t="s">
        <v>528</v>
      </c>
      <c r="G254" s="295"/>
      <c r="H254" s="295"/>
      <c r="I254" s="305"/>
      <c r="J254" s="326"/>
    </row>
    <row r="255" spans="2:13" ht="12.75" thickBot="1" x14ac:dyDescent="0.25">
      <c r="B255" s="275"/>
      <c r="C255" s="294"/>
      <c r="D255" s="276"/>
      <c r="E255" s="295"/>
      <c r="F255" s="295"/>
      <c r="G255" s="295"/>
      <c r="H255" s="296"/>
      <c r="I255" s="295"/>
      <c r="J255" s="326"/>
    </row>
    <row r="256" spans="2:13" x14ac:dyDescent="0.2">
      <c r="B256" s="275"/>
      <c r="C256" s="294"/>
      <c r="D256" s="327"/>
      <c r="E256" s="328" t="s">
        <v>446</v>
      </c>
      <c r="F256" s="329" t="s">
        <v>447</v>
      </c>
      <c r="G256" s="328" t="s">
        <v>448</v>
      </c>
      <c r="H256" s="330" t="s">
        <v>449</v>
      </c>
      <c r="I256" s="330" t="s">
        <v>449</v>
      </c>
      <c r="J256" s="328" t="s">
        <v>529</v>
      </c>
      <c r="K256" s="328" t="s">
        <v>529</v>
      </c>
      <c r="L256" s="239" t="s">
        <v>530</v>
      </c>
      <c r="M256" s="240" t="s">
        <v>531</v>
      </c>
    </row>
    <row r="257" spans="2:13" ht="12.75" thickBot="1" x14ac:dyDescent="0.25">
      <c r="B257" s="275"/>
      <c r="C257" s="294"/>
      <c r="D257" s="331"/>
      <c r="E257" s="332" t="s">
        <v>450</v>
      </c>
      <c r="F257" s="333" t="s">
        <v>451</v>
      </c>
      <c r="G257" s="332" t="s">
        <v>452</v>
      </c>
      <c r="H257" s="334" t="s">
        <v>453</v>
      </c>
      <c r="I257" s="334" t="s">
        <v>454</v>
      </c>
      <c r="J257" s="332" t="s">
        <v>532</v>
      </c>
      <c r="K257" s="332" t="s">
        <v>533</v>
      </c>
      <c r="L257" s="241" t="s">
        <v>534</v>
      </c>
      <c r="M257" s="242" t="s">
        <v>535</v>
      </c>
    </row>
    <row r="258" spans="2:13" x14ac:dyDescent="0.2">
      <c r="B258" s="275"/>
      <c r="C258" s="294"/>
      <c r="D258" s="243" t="s">
        <v>455</v>
      </c>
      <c r="E258" s="243">
        <v>71</v>
      </c>
      <c r="F258" s="243">
        <v>1726200</v>
      </c>
      <c r="G258" s="243">
        <v>1738200</v>
      </c>
      <c r="H258" s="243">
        <f>G258*15/100</f>
        <v>260730</v>
      </c>
      <c r="I258" s="243">
        <f t="shared" ref="I258:I269" si="6">G258*9.5/100</f>
        <v>165129</v>
      </c>
      <c r="J258" s="243">
        <f>F258*1.7/100</f>
        <v>29345.4</v>
      </c>
      <c r="K258" s="243">
        <f>F258*1.7/100</f>
        <v>29345.4</v>
      </c>
      <c r="L258" s="243">
        <f>H258+I258+J258+K258</f>
        <v>484549.80000000005</v>
      </c>
      <c r="M258" s="243">
        <v>2600</v>
      </c>
    </row>
    <row r="259" spans="2:13" x14ac:dyDescent="0.2">
      <c r="B259" s="275"/>
      <c r="C259" s="294"/>
      <c r="D259" s="243" t="s">
        <v>456</v>
      </c>
      <c r="E259" s="243">
        <v>70</v>
      </c>
      <c r="F259" s="243">
        <v>1702400</v>
      </c>
      <c r="G259" s="243">
        <v>1714400</v>
      </c>
      <c r="H259" s="243">
        <f>G259*15/100</f>
        <v>257160</v>
      </c>
      <c r="I259" s="243">
        <f t="shared" si="6"/>
        <v>162868</v>
      </c>
      <c r="J259" s="243">
        <f t="shared" ref="J259:J269" si="7">F259*1.7/100</f>
        <v>28940.799999999999</v>
      </c>
      <c r="K259" s="243">
        <f t="shared" ref="K259:K269" si="8">F259*1.7/100</f>
        <v>28940.799999999999</v>
      </c>
      <c r="L259" s="243">
        <f t="shared" ref="L259:L269" si="9">H259+I259+J259+K259</f>
        <v>477909.6</v>
      </c>
      <c r="M259" s="243">
        <v>2600</v>
      </c>
    </row>
    <row r="260" spans="2:13" x14ac:dyDescent="0.2">
      <c r="B260" s="275"/>
      <c r="C260" s="294"/>
      <c r="D260" s="243" t="s">
        <v>457</v>
      </c>
      <c r="E260" s="243">
        <v>71</v>
      </c>
      <c r="F260" s="243">
        <v>1738885</v>
      </c>
      <c r="G260" s="243">
        <v>1750885</v>
      </c>
      <c r="H260" s="243">
        <f t="shared" ref="H260:H267" si="10">G260*15/100</f>
        <v>262632.75</v>
      </c>
      <c r="I260" s="243">
        <f t="shared" si="6"/>
        <v>166334.07500000001</v>
      </c>
      <c r="J260" s="243">
        <f t="shared" si="7"/>
        <v>29561.044999999998</v>
      </c>
      <c r="K260" s="243">
        <f t="shared" si="8"/>
        <v>29561.044999999998</v>
      </c>
      <c r="L260" s="243">
        <f t="shared" si="9"/>
        <v>488088.91499999998</v>
      </c>
      <c r="M260" s="243">
        <v>2600</v>
      </c>
    </row>
    <row r="261" spans="2:13" x14ac:dyDescent="0.2">
      <c r="B261" s="275"/>
      <c r="C261" s="294"/>
      <c r="D261" s="243" t="s">
        <v>458</v>
      </c>
      <c r="E261" s="243">
        <v>73</v>
      </c>
      <c r="F261" s="243">
        <v>1728370</v>
      </c>
      <c r="G261" s="243">
        <v>1740370</v>
      </c>
      <c r="H261" s="243">
        <f t="shared" si="10"/>
        <v>261055.5</v>
      </c>
      <c r="I261" s="243">
        <f t="shared" si="6"/>
        <v>165335.15</v>
      </c>
      <c r="J261" s="243">
        <f t="shared" si="7"/>
        <v>29382.29</v>
      </c>
      <c r="K261" s="243">
        <f t="shared" si="8"/>
        <v>29382.29</v>
      </c>
      <c r="L261" s="243">
        <f t="shared" si="9"/>
        <v>485155.23</v>
      </c>
      <c r="M261" s="243">
        <v>2600</v>
      </c>
    </row>
    <row r="262" spans="2:13" x14ac:dyDescent="0.2">
      <c r="B262" s="275"/>
      <c r="C262" s="294"/>
      <c r="D262" s="243" t="s">
        <v>459</v>
      </c>
      <c r="E262" s="243">
        <v>71</v>
      </c>
      <c r="F262" s="243">
        <v>1737050</v>
      </c>
      <c r="G262" s="243">
        <v>1751050</v>
      </c>
      <c r="H262" s="243">
        <f t="shared" si="10"/>
        <v>262657.5</v>
      </c>
      <c r="I262" s="243">
        <f t="shared" si="6"/>
        <v>166349.75</v>
      </c>
      <c r="J262" s="243">
        <f t="shared" si="7"/>
        <v>29529.85</v>
      </c>
      <c r="K262" s="243">
        <f t="shared" si="8"/>
        <v>29529.85</v>
      </c>
      <c r="L262" s="243">
        <f t="shared" si="9"/>
        <v>488066.94999999995</v>
      </c>
      <c r="M262" s="243">
        <v>2600</v>
      </c>
    </row>
    <row r="263" spans="2:13" x14ac:dyDescent="0.2">
      <c r="B263" s="275"/>
      <c r="C263" s="294"/>
      <c r="D263" s="243" t="s">
        <v>460</v>
      </c>
      <c r="E263" s="243">
        <v>71</v>
      </c>
      <c r="F263" s="243">
        <v>1762300</v>
      </c>
      <c r="G263" s="243">
        <v>1776300</v>
      </c>
      <c r="H263" s="243">
        <f t="shared" si="10"/>
        <v>266445</v>
      </c>
      <c r="I263" s="243">
        <f t="shared" si="6"/>
        <v>168748.5</v>
      </c>
      <c r="J263" s="243">
        <f t="shared" si="7"/>
        <v>29959.1</v>
      </c>
      <c r="K263" s="243">
        <f t="shared" si="8"/>
        <v>29959.1</v>
      </c>
      <c r="L263" s="243">
        <f t="shared" si="9"/>
        <v>495111.69999999995</v>
      </c>
      <c r="M263" s="243">
        <v>2600</v>
      </c>
    </row>
    <row r="264" spans="2:13" x14ac:dyDescent="0.2">
      <c r="B264" s="275"/>
      <c r="C264" s="294"/>
      <c r="D264" s="243" t="s">
        <v>461</v>
      </c>
      <c r="E264" s="243">
        <v>71</v>
      </c>
      <c r="F264" s="243">
        <v>1763754</v>
      </c>
      <c r="G264" s="243">
        <v>1777754</v>
      </c>
      <c r="H264" s="243">
        <f t="shared" si="10"/>
        <v>266663.09999999998</v>
      </c>
      <c r="I264" s="243">
        <f t="shared" si="6"/>
        <v>168886.63</v>
      </c>
      <c r="J264" s="243">
        <f t="shared" si="7"/>
        <v>29983.817999999999</v>
      </c>
      <c r="K264" s="243">
        <f t="shared" si="8"/>
        <v>29983.817999999999</v>
      </c>
      <c r="L264" s="243">
        <f t="shared" si="9"/>
        <v>495517.36599999992</v>
      </c>
      <c r="M264" s="243">
        <v>2600</v>
      </c>
    </row>
    <row r="265" spans="2:13" x14ac:dyDescent="0.2">
      <c r="B265" s="275"/>
      <c r="C265" s="294"/>
      <c r="D265" s="243" t="s">
        <v>462</v>
      </c>
      <c r="E265" s="243">
        <v>74</v>
      </c>
      <c r="F265" s="243">
        <v>1732122</v>
      </c>
      <c r="G265" s="243">
        <v>1746122</v>
      </c>
      <c r="H265" s="243">
        <f t="shared" si="10"/>
        <v>261918.3</v>
      </c>
      <c r="I265" s="243">
        <f t="shared" si="6"/>
        <v>165881.59</v>
      </c>
      <c r="J265" s="243">
        <f t="shared" si="7"/>
        <v>29446.074000000001</v>
      </c>
      <c r="K265" s="243">
        <f t="shared" si="8"/>
        <v>29446.074000000001</v>
      </c>
      <c r="L265" s="243">
        <f t="shared" si="9"/>
        <v>486692.03800000006</v>
      </c>
      <c r="M265" s="243">
        <v>2600</v>
      </c>
    </row>
    <row r="266" spans="2:13" x14ac:dyDescent="0.2">
      <c r="B266" s="275"/>
      <c r="C266" s="294"/>
      <c r="D266" s="243" t="s">
        <v>463</v>
      </c>
      <c r="E266" s="243">
        <v>69</v>
      </c>
      <c r="F266" s="243">
        <v>1696905</v>
      </c>
      <c r="G266" s="243">
        <v>1713700</v>
      </c>
      <c r="H266" s="243">
        <f t="shared" si="10"/>
        <v>257055</v>
      </c>
      <c r="I266" s="243">
        <f t="shared" si="6"/>
        <v>162801.5</v>
      </c>
      <c r="J266" s="243">
        <f t="shared" si="7"/>
        <v>28847.384999999998</v>
      </c>
      <c r="K266" s="243">
        <f t="shared" si="8"/>
        <v>28847.384999999998</v>
      </c>
      <c r="L266" s="243">
        <f t="shared" si="9"/>
        <v>477551.27</v>
      </c>
      <c r="M266" s="243">
        <v>2600</v>
      </c>
    </row>
    <row r="267" spans="2:13" x14ac:dyDescent="0.2">
      <c r="B267" s="275"/>
      <c r="C267" s="294"/>
      <c r="D267" s="243" t="s">
        <v>464</v>
      </c>
      <c r="E267" s="243">
        <v>70</v>
      </c>
      <c r="F267" s="243">
        <v>1691106</v>
      </c>
      <c r="G267" s="243">
        <v>1705106</v>
      </c>
      <c r="H267" s="243">
        <f t="shared" si="10"/>
        <v>255765.9</v>
      </c>
      <c r="I267" s="243">
        <f t="shared" si="6"/>
        <v>161985.07</v>
      </c>
      <c r="J267" s="243">
        <f t="shared" si="7"/>
        <v>28748.801999999996</v>
      </c>
      <c r="K267" s="243">
        <f t="shared" si="8"/>
        <v>28748.801999999996</v>
      </c>
      <c r="L267" s="243">
        <f t="shared" si="9"/>
        <v>475248.57400000002</v>
      </c>
      <c r="M267" s="243">
        <v>2600</v>
      </c>
    </row>
    <row r="268" spans="2:13" x14ac:dyDescent="0.2">
      <c r="B268" s="275"/>
      <c r="C268" s="294"/>
      <c r="D268" s="243" t="s">
        <v>465</v>
      </c>
      <c r="E268" s="243">
        <v>69</v>
      </c>
      <c r="F268" s="243">
        <v>1693100</v>
      </c>
      <c r="G268" s="243">
        <v>1707100</v>
      </c>
      <c r="H268" s="243">
        <f>G268*15/100</f>
        <v>256065</v>
      </c>
      <c r="I268" s="243">
        <f t="shared" si="6"/>
        <v>162174.5</v>
      </c>
      <c r="J268" s="243">
        <f t="shared" si="7"/>
        <v>28782.7</v>
      </c>
      <c r="K268" s="243">
        <f t="shared" si="8"/>
        <v>28782.7</v>
      </c>
      <c r="L268" s="243">
        <f t="shared" si="9"/>
        <v>475804.9</v>
      </c>
      <c r="M268" s="243">
        <v>2600</v>
      </c>
    </row>
    <row r="269" spans="2:13" ht="12.75" thickBot="1" x14ac:dyDescent="0.25">
      <c r="B269" s="275"/>
      <c r="C269" s="294"/>
      <c r="D269" s="243" t="s">
        <v>466</v>
      </c>
      <c r="E269" s="243">
        <v>71</v>
      </c>
      <c r="F269" s="243">
        <v>1761200</v>
      </c>
      <c r="G269" s="243">
        <v>1775200</v>
      </c>
      <c r="H269" s="243">
        <f>G269*15/100</f>
        <v>266280</v>
      </c>
      <c r="I269" s="243">
        <f t="shared" si="6"/>
        <v>168644</v>
      </c>
      <c r="J269" s="243">
        <f t="shared" si="7"/>
        <v>29940.400000000001</v>
      </c>
      <c r="K269" s="243">
        <f t="shared" si="8"/>
        <v>29940.400000000001</v>
      </c>
      <c r="L269" s="243">
        <f t="shared" si="9"/>
        <v>494804.80000000005</v>
      </c>
      <c r="M269" s="243">
        <v>2600</v>
      </c>
    </row>
    <row r="270" spans="2:13" ht="12.75" thickBot="1" x14ac:dyDescent="0.25">
      <c r="B270" s="275"/>
      <c r="C270" s="294"/>
      <c r="D270" s="244"/>
      <c r="E270" s="243"/>
      <c r="F270" s="243">
        <f t="shared" ref="F270:M270" si="11">SUM(F258:F269)</f>
        <v>20733392</v>
      </c>
      <c r="G270" s="243">
        <f t="shared" si="11"/>
        <v>20896187</v>
      </c>
      <c r="H270" s="243">
        <f t="shared" si="11"/>
        <v>3134428.05</v>
      </c>
      <c r="I270" s="243">
        <f t="shared" si="11"/>
        <v>1985137.7650000001</v>
      </c>
      <c r="J270" s="243">
        <f t="shared" si="11"/>
        <v>352467.66400000005</v>
      </c>
      <c r="K270" s="243">
        <f t="shared" si="11"/>
        <v>352467.66400000005</v>
      </c>
      <c r="L270" s="243">
        <f t="shared" si="11"/>
        <v>5824501.1430000011</v>
      </c>
      <c r="M270" s="243">
        <f t="shared" si="11"/>
        <v>31200</v>
      </c>
    </row>
    <row r="271" spans="2:13" x14ac:dyDescent="0.2">
      <c r="B271" s="275"/>
      <c r="C271" s="294"/>
      <c r="D271" s="276"/>
      <c r="E271" s="295"/>
      <c r="F271" s="295"/>
      <c r="G271" s="295"/>
      <c r="H271" s="295"/>
      <c r="I271" s="295"/>
      <c r="J271" s="296"/>
      <c r="K271" s="295"/>
    </row>
    <row r="272" spans="2:13" x14ac:dyDescent="0.2">
      <c r="B272" s="275"/>
      <c r="C272" s="294"/>
      <c r="D272" s="276"/>
      <c r="E272" s="295" t="s">
        <v>435</v>
      </c>
      <c r="F272" s="295"/>
      <c r="G272" s="295"/>
      <c r="H272" s="295"/>
      <c r="I272" s="295"/>
      <c r="J272" s="296"/>
      <c r="K272" s="295"/>
    </row>
    <row r="273" spans="2:11" x14ac:dyDescent="0.2">
      <c r="B273" s="275"/>
      <c r="C273" s="294"/>
      <c r="D273" s="276"/>
      <c r="E273" s="295" t="s">
        <v>467</v>
      </c>
      <c r="F273" s="304">
        <f>F270</f>
        <v>20733392</v>
      </c>
      <c r="G273" s="295"/>
      <c r="H273" s="295"/>
      <c r="I273" s="295"/>
      <c r="J273" s="296"/>
      <c r="K273" s="295"/>
    </row>
    <row r="274" spans="2:11" x14ac:dyDescent="0.2">
      <c r="B274" s="275"/>
      <c r="C274" s="294"/>
      <c r="D274" s="276"/>
      <c r="E274" s="295" t="s">
        <v>468</v>
      </c>
      <c r="F274" s="304">
        <v>3489663</v>
      </c>
      <c r="G274" s="295"/>
      <c r="H274" s="295"/>
      <c r="I274" s="295"/>
      <c r="J274" s="296"/>
      <c r="K274" s="295"/>
    </row>
    <row r="275" spans="2:11" x14ac:dyDescent="0.2">
      <c r="B275" s="275"/>
      <c r="C275" s="294"/>
      <c r="D275" s="276"/>
      <c r="E275" s="295" t="s">
        <v>469</v>
      </c>
      <c r="F275" s="295">
        <f>SUM(F273:F274)</f>
        <v>24223055</v>
      </c>
      <c r="G275" s="295"/>
      <c r="H275" s="295"/>
      <c r="I275" s="295"/>
      <c r="J275" s="296"/>
      <c r="K275" s="295"/>
    </row>
    <row r="276" spans="2:11" x14ac:dyDescent="0.2">
      <c r="B276" s="275"/>
      <c r="C276" s="294"/>
      <c r="D276" s="276"/>
      <c r="E276" s="295"/>
      <c r="F276" s="295"/>
      <c r="G276" s="295"/>
      <c r="H276" s="295"/>
      <c r="I276" s="295"/>
      <c r="J276" s="296"/>
      <c r="K276" s="295"/>
    </row>
    <row r="277" spans="2:11" x14ac:dyDescent="0.2">
      <c r="B277" s="275"/>
      <c r="C277" s="294"/>
      <c r="D277" s="276"/>
      <c r="E277" s="295" t="s">
        <v>436</v>
      </c>
      <c r="F277" s="295">
        <f>F275</f>
        <v>24223055</v>
      </c>
      <c r="G277" s="295"/>
      <c r="H277" s="295"/>
      <c r="I277" s="295"/>
      <c r="J277" s="296"/>
      <c r="K277" s="295"/>
    </row>
    <row r="278" spans="2:11" x14ac:dyDescent="0.2">
      <c r="B278" s="275"/>
      <c r="C278" s="294"/>
      <c r="D278" s="276"/>
      <c r="E278" s="295"/>
      <c r="F278" s="295"/>
      <c r="G278" s="295"/>
      <c r="H278" s="295"/>
      <c r="I278" s="295"/>
      <c r="J278" s="296"/>
      <c r="K278" s="295"/>
    </row>
    <row r="279" spans="2:11" x14ac:dyDescent="0.2">
      <c r="B279" s="275"/>
      <c r="C279" s="294"/>
      <c r="D279" s="276"/>
      <c r="E279" s="295" t="s">
        <v>437</v>
      </c>
      <c r="F279" s="295">
        <f>F275-F277</f>
        <v>0</v>
      </c>
      <c r="G279" s="295"/>
      <c r="H279" s="295"/>
      <c r="I279" s="295"/>
      <c r="J279" s="296"/>
      <c r="K279" s="295"/>
    </row>
    <row r="280" spans="2:11" x14ac:dyDescent="0.2">
      <c r="B280" s="275"/>
      <c r="C280" s="294"/>
      <c r="D280" s="276"/>
      <c r="E280" s="295"/>
      <c r="F280" s="295"/>
      <c r="G280" s="295"/>
      <c r="H280" s="295"/>
      <c r="I280" s="295"/>
      <c r="J280" s="296"/>
      <c r="K280" s="295"/>
    </row>
    <row r="281" spans="2:11" x14ac:dyDescent="0.2">
      <c r="B281" s="275"/>
      <c r="C281" s="278"/>
      <c r="D281" s="306" t="s">
        <v>470</v>
      </c>
      <c r="E281" s="295"/>
      <c r="F281" s="295"/>
      <c r="G281" s="295"/>
      <c r="H281" s="295"/>
      <c r="I281" s="295"/>
      <c r="J281" s="304"/>
      <c r="K281" s="295"/>
    </row>
    <row r="282" spans="2:11" x14ac:dyDescent="0.2">
      <c r="B282" s="275"/>
      <c r="C282" s="290"/>
      <c r="D282" s="295"/>
      <c r="E282" s="295"/>
      <c r="F282" s="295"/>
      <c r="G282" s="295"/>
      <c r="H282" s="295"/>
      <c r="I282" s="295"/>
      <c r="J282" s="304"/>
      <c r="K282" s="295"/>
    </row>
    <row r="283" spans="2:11" x14ac:dyDescent="0.2">
      <c r="B283" s="275"/>
      <c r="C283" s="290"/>
      <c r="D283" s="235" t="s">
        <v>471</v>
      </c>
      <c r="E283" s="295"/>
      <c r="F283" s="295"/>
      <c r="G283" s="295"/>
      <c r="H283" s="295"/>
      <c r="I283" s="295"/>
      <c r="J283" s="304">
        <f>[2]Aktivet!G5</f>
        <v>406113</v>
      </c>
      <c r="K283" s="295"/>
    </row>
    <row r="284" spans="2:11" x14ac:dyDescent="0.2">
      <c r="B284" s="275"/>
      <c r="C284" s="290"/>
      <c r="D284" s="295"/>
      <c r="E284" s="295"/>
      <c r="F284" s="295"/>
      <c r="G284" s="295"/>
      <c r="H284" s="295"/>
      <c r="I284" s="295"/>
      <c r="J284" s="304"/>
      <c r="K284" s="295"/>
    </row>
    <row r="285" spans="2:11" x14ac:dyDescent="0.2">
      <c r="B285" s="275"/>
      <c r="C285" s="290"/>
      <c r="D285" s="235" t="s">
        <v>472</v>
      </c>
      <c r="E285" s="295"/>
      <c r="F285" s="295"/>
      <c r="G285" s="295"/>
      <c r="H285" s="295"/>
      <c r="I285" s="295"/>
      <c r="J285" s="304"/>
      <c r="K285" s="295"/>
    </row>
    <row r="286" spans="2:11" x14ac:dyDescent="0.2">
      <c r="B286" s="275"/>
      <c r="C286" s="290"/>
      <c r="D286" s="295"/>
      <c r="E286" s="295"/>
      <c r="F286" s="295"/>
      <c r="G286" s="295"/>
      <c r="H286" s="295"/>
      <c r="I286" s="295"/>
      <c r="J286" s="304"/>
      <c r="K286" s="295"/>
    </row>
    <row r="287" spans="2:11" x14ac:dyDescent="0.2">
      <c r="B287" s="275"/>
      <c r="C287" s="290"/>
      <c r="D287" s="295"/>
      <c r="E287" s="235" t="s">
        <v>473</v>
      </c>
      <c r="F287" s="295"/>
      <c r="G287" s="295"/>
      <c r="H287" s="295"/>
      <c r="I287" s="295"/>
      <c r="J287" s="304"/>
      <c r="K287" s="295"/>
    </row>
    <row r="288" spans="2:11" x14ac:dyDescent="0.2">
      <c r="B288" s="275"/>
      <c r="C288" s="290"/>
      <c r="D288" s="295"/>
      <c r="E288" s="295"/>
      <c r="F288" s="295"/>
      <c r="G288" s="295"/>
      <c r="H288" s="295"/>
      <c r="I288" s="295"/>
      <c r="J288" s="304"/>
      <c r="K288" s="295"/>
    </row>
    <row r="289" spans="2:11" x14ac:dyDescent="0.2">
      <c r="B289" s="275"/>
      <c r="C289" s="290"/>
      <c r="D289" s="308" t="s">
        <v>474</v>
      </c>
      <c r="E289" s="309"/>
      <c r="F289" s="309"/>
      <c r="G289" s="309"/>
      <c r="H289" s="309"/>
      <c r="I289" s="230"/>
      <c r="J289" s="231">
        <f>'Fluksi '!D7</f>
        <v>7377395.9441660019</v>
      </c>
      <c r="K289" s="295"/>
    </row>
    <row r="290" spans="2:11" x14ac:dyDescent="0.2">
      <c r="B290" s="275"/>
      <c r="C290" s="290"/>
      <c r="D290" s="308" t="s">
        <v>475</v>
      </c>
      <c r="E290" s="309"/>
      <c r="F290" s="309"/>
      <c r="G290" s="309"/>
      <c r="H290" s="309"/>
      <c r="I290" s="230"/>
      <c r="J290" s="231">
        <f>'Fluksi '!D11</f>
        <v>2161792.751534</v>
      </c>
      <c r="K290" s="295"/>
    </row>
    <row r="291" spans="2:11" x14ac:dyDescent="0.2">
      <c r="B291" s="275"/>
      <c r="C291" s="290"/>
      <c r="D291" s="310" t="s">
        <v>183</v>
      </c>
      <c r="E291" s="309"/>
      <c r="F291" s="309"/>
      <c r="G291" s="309"/>
      <c r="H291" s="309"/>
      <c r="I291" s="230"/>
      <c r="J291" s="231"/>
      <c r="K291" s="295"/>
    </row>
    <row r="292" spans="2:11" x14ac:dyDescent="0.2">
      <c r="B292" s="275"/>
      <c r="C292" s="290"/>
      <c r="D292" s="308" t="s">
        <v>476</v>
      </c>
      <c r="E292" s="309"/>
      <c r="F292" s="309"/>
      <c r="G292" s="309"/>
      <c r="H292" s="309"/>
      <c r="I292" s="230"/>
      <c r="J292" s="231">
        <f>'Fluksi '!D17</f>
        <v>22103357.5</v>
      </c>
      <c r="K292" s="295"/>
    </row>
    <row r="293" spans="2:11" x14ac:dyDescent="0.2">
      <c r="B293" s="275"/>
      <c r="C293" s="290"/>
      <c r="D293" s="308" t="s">
        <v>477</v>
      </c>
      <c r="E293" s="309"/>
      <c r="F293" s="309"/>
      <c r="G293" s="309"/>
      <c r="H293" s="309"/>
      <c r="I293" s="230"/>
      <c r="J293" s="232"/>
      <c r="K293" s="295"/>
    </row>
    <row r="294" spans="2:11" x14ac:dyDescent="0.2">
      <c r="B294" s="275"/>
      <c r="C294" s="290"/>
      <c r="D294" s="310" t="s">
        <v>536</v>
      </c>
      <c r="E294" s="309"/>
      <c r="F294" s="309"/>
      <c r="G294" s="309"/>
      <c r="H294" s="309"/>
      <c r="I294" s="230"/>
      <c r="J294" s="232"/>
      <c r="K294" s="295"/>
    </row>
    <row r="295" spans="2:11" x14ac:dyDescent="0.2">
      <c r="B295" s="275"/>
      <c r="C295" s="290"/>
      <c r="D295" s="335" t="s">
        <v>170</v>
      </c>
      <c r="E295" s="309"/>
      <c r="F295" s="309"/>
      <c r="G295" s="309"/>
      <c r="H295" s="309"/>
      <c r="I295" s="230"/>
      <c r="J295" s="232"/>
      <c r="K295" s="295"/>
    </row>
    <row r="296" spans="2:11" x14ac:dyDescent="0.2">
      <c r="B296" s="276"/>
      <c r="C296" s="311"/>
      <c r="D296" s="312" t="s">
        <v>478</v>
      </c>
      <c r="E296" s="313"/>
      <c r="F296" s="313"/>
      <c r="G296" s="313"/>
      <c r="H296" s="313"/>
      <c r="I296" s="233"/>
      <c r="J296" s="234">
        <f>SUM(J289:J295)</f>
        <v>31642546.195700001</v>
      </c>
      <c r="K296" s="314"/>
    </row>
    <row r="297" spans="2:11" x14ac:dyDescent="0.2">
      <c r="B297" s="275"/>
      <c r="C297" s="290"/>
      <c r="D297" s="235"/>
      <c r="E297" s="235"/>
      <c r="F297" s="235"/>
      <c r="G297" s="235"/>
      <c r="H297" s="235"/>
      <c r="I297" s="235"/>
      <c r="J297" s="236"/>
      <c r="K297" s="295"/>
    </row>
    <row r="298" spans="2:11" x14ac:dyDescent="0.2">
      <c r="B298" s="275"/>
      <c r="C298" s="290"/>
      <c r="D298" s="235"/>
      <c r="E298" s="235"/>
      <c r="F298" s="235"/>
      <c r="G298" s="235"/>
      <c r="H298" s="235"/>
      <c r="I298" s="235"/>
      <c r="J298" s="236"/>
      <c r="K298" s="295"/>
    </row>
    <row r="299" spans="2:11" x14ac:dyDescent="0.2">
      <c r="B299" s="275"/>
      <c r="C299" s="290"/>
      <c r="D299" s="235"/>
      <c r="E299" s="235"/>
      <c r="F299" s="235"/>
      <c r="G299" s="235"/>
      <c r="H299" s="235"/>
      <c r="I299" s="235"/>
      <c r="J299" s="236"/>
      <c r="K299" s="295"/>
    </row>
    <row r="300" spans="2:11" x14ac:dyDescent="0.2">
      <c r="B300" s="275"/>
      <c r="C300" s="290"/>
      <c r="D300" s="235"/>
      <c r="E300" s="235" t="s">
        <v>479</v>
      </c>
      <c r="F300" s="235"/>
      <c r="G300" s="235"/>
      <c r="H300" s="235"/>
      <c r="I300" s="235"/>
      <c r="J300" s="236"/>
      <c r="K300" s="295"/>
    </row>
    <row r="301" spans="2:11" x14ac:dyDescent="0.2">
      <c r="B301" s="275"/>
      <c r="C301" s="290"/>
      <c r="D301" s="308" t="s">
        <v>480</v>
      </c>
      <c r="E301" s="309"/>
      <c r="F301" s="309"/>
      <c r="G301" s="309"/>
      <c r="H301" s="309"/>
      <c r="I301" s="230"/>
      <c r="J301" s="231"/>
      <c r="K301" s="295"/>
    </row>
    <row r="302" spans="2:11" x14ac:dyDescent="0.2">
      <c r="B302" s="275"/>
      <c r="C302" s="290"/>
      <c r="D302" s="310" t="s">
        <v>183</v>
      </c>
      <c r="E302" s="309"/>
      <c r="F302" s="309"/>
      <c r="G302" s="309"/>
      <c r="H302" s="309"/>
      <c r="I302" s="230"/>
      <c r="J302" s="232">
        <f>'Fluksi '!D15</f>
        <v>-13867986.319820099</v>
      </c>
      <c r="K302" s="295"/>
    </row>
    <row r="303" spans="2:11" x14ac:dyDescent="0.2">
      <c r="B303" s="275"/>
      <c r="C303" s="290"/>
      <c r="D303" s="308" t="s">
        <v>476</v>
      </c>
      <c r="E303" s="309"/>
      <c r="F303" s="309"/>
      <c r="G303" s="309"/>
      <c r="H303" s="309"/>
      <c r="I303" s="230"/>
      <c r="J303" s="232"/>
      <c r="K303" s="295"/>
    </row>
    <row r="304" spans="2:11" x14ac:dyDescent="0.2">
      <c r="B304" s="275"/>
      <c r="C304" s="290"/>
      <c r="D304" s="308" t="s">
        <v>481</v>
      </c>
      <c r="E304" s="309"/>
      <c r="F304" s="309"/>
      <c r="G304" s="309"/>
      <c r="H304" s="309"/>
      <c r="I304" s="230"/>
      <c r="J304" s="232"/>
      <c r="K304" s="295"/>
    </row>
    <row r="305" spans="2:11" x14ac:dyDescent="0.2">
      <c r="B305" s="275"/>
      <c r="C305" s="290"/>
      <c r="D305" s="308" t="s">
        <v>482</v>
      </c>
      <c r="E305" s="309"/>
      <c r="F305" s="309"/>
      <c r="G305" s="309"/>
      <c r="H305" s="309"/>
      <c r="I305" s="230"/>
      <c r="J305" s="232">
        <f>'Fluksi '!D16</f>
        <v>-9153112</v>
      </c>
      <c r="K305" s="295"/>
    </row>
    <row r="306" spans="2:11" x14ac:dyDescent="0.2">
      <c r="B306" s="275"/>
      <c r="C306" s="290"/>
      <c r="D306" s="308" t="str">
        <f>D294</f>
        <v>pagesa  nga blerja e aktiveve afatgjata materiale</v>
      </c>
      <c r="E306" s="309"/>
      <c r="F306" s="309"/>
      <c r="G306" s="309"/>
      <c r="H306" s="309"/>
      <c r="I306" s="230"/>
      <c r="J306" s="232">
        <f>'Fluksi '!D23</f>
        <v>-5137906</v>
      </c>
      <c r="K306" s="295"/>
    </row>
    <row r="307" spans="2:11" x14ac:dyDescent="0.2">
      <c r="B307" s="275"/>
      <c r="C307" s="290"/>
      <c r="D307" s="308"/>
      <c r="E307" s="309"/>
      <c r="F307" s="309"/>
      <c r="G307" s="309"/>
      <c r="H307" s="309"/>
      <c r="I307" s="230"/>
      <c r="J307" s="232">
        <f>'Fluksi '!D36</f>
        <v>-821960.5</v>
      </c>
      <c r="K307" s="295"/>
    </row>
    <row r="308" spans="2:11" x14ac:dyDescent="0.2">
      <c r="B308" s="276"/>
      <c r="C308" s="311"/>
      <c r="D308" s="312" t="s">
        <v>483</v>
      </c>
      <c r="E308" s="313"/>
      <c r="F308" s="313"/>
      <c r="G308" s="313"/>
      <c r="H308" s="313"/>
      <c r="I308" s="233"/>
      <c r="J308" s="237">
        <f>SUM(J302:J307)</f>
        <v>-28980964.819820099</v>
      </c>
      <c r="K308" s="314"/>
    </row>
    <row r="309" spans="2:11" x14ac:dyDescent="0.2">
      <c r="B309" s="275"/>
      <c r="C309" s="290"/>
      <c r="D309" s="235"/>
      <c r="E309" s="235"/>
      <c r="F309" s="235" t="s">
        <v>538</v>
      </c>
      <c r="G309" s="235"/>
      <c r="H309" s="235"/>
      <c r="I309" s="235"/>
      <c r="J309" s="236">
        <v>1504929</v>
      </c>
      <c r="K309" s="295"/>
    </row>
    <row r="310" spans="2:11" x14ac:dyDescent="0.2">
      <c r="B310" s="275"/>
      <c r="C310" s="290"/>
      <c r="D310" s="393" t="s">
        <v>484</v>
      </c>
      <c r="E310" s="393"/>
      <c r="F310" s="393"/>
      <c r="G310" s="393"/>
      <c r="H310" s="393"/>
      <c r="I310" s="393"/>
      <c r="J310" s="236">
        <f>J296+J308</f>
        <v>2661581.3758799024</v>
      </c>
      <c r="K310" s="295">
        <v>4189047</v>
      </c>
    </row>
    <row r="311" spans="2:11" x14ac:dyDescent="0.2">
      <c r="B311" s="275"/>
      <c r="C311" s="290"/>
      <c r="D311" s="295"/>
      <c r="E311" s="295"/>
      <c r="F311" s="295"/>
      <c r="G311" s="295"/>
      <c r="H311" s="295"/>
      <c r="I311" s="295" t="s">
        <v>485</v>
      </c>
      <c r="J311" s="304"/>
      <c r="K311" s="295"/>
    </row>
    <row r="312" spans="2:11" x14ac:dyDescent="0.2">
      <c r="B312" s="275"/>
      <c r="C312" s="278"/>
      <c r="D312" s="295"/>
      <c r="E312" s="295"/>
      <c r="F312" s="295"/>
      <c r="G312" s="295"/>
      <c r="H312" s="295"/>
      <c r="I312" s="295"/>
      <c r="J312" s="304">
        <f>J309+J310</f>
        <v>4166510.3758799024</v>
      </c>
      <c r="K312" s="295"/>
    </row>
    <row r="313" spans="2:11" x14ac:dyDescent="0.2">
      <c r="B313" s="275"/>
      <c r="C313" s="278"/>
      <c r="D313" s="315" t="s">
        <v>486</v>
      </c>
      <c r="E313" s="295"/>
      <c r="F313" s="295"/>
      <c r="G313" s="295"/>
      <c r="H313" s="295"/>
      <c r="I313" s="295"/>
      <c r="J313" s="304"/>
      <c r="K313" s="295"/>
    </row>
    <row r="314" spans="2:11" x14ac:dyDescent="0.2">
      <c r="B314" s="275"/>
      <c r="C314" s="290"/>
      <c r="D314" s="295"/>
      <c r="E314" s="295"/>
      <c r="F314" s="295"/>
      <c r="G314" s="295"/>
      <c r="H314" s="295"/>
      <c r="I314" s="295"/>
      <c r="J314" s="304"/>
      <c r="K314" s="295"/>
    </row>
    <row r="315" spans="2:11" x14ac:dyDescent="0.2">
      <c r="B315" s="275"/>
      <c r="C315" s="290" t="s">
        <v>407</v>
      </c>
      <c r="D315" s="235" t="s">
        <v>487</v>
      </c>
      <c r="E315" s="235"/>
      <c r="F315" s="235"/>
      <c r="G315" s="235"/>
      <c r="H315" s="235"/>
      <c r="I315" s="235"/>
      <c r="J315" s="236">
        <f>Kapitali!M8</f>
        <v>5379414.5</v>
      </c>
      <c r="K315" s="295"/>
    </row>
    <row r="316" spans="2:11" x14ac:dyDescent="0.2">
      <c r="B316" s="275"/>
      <c r="C316" s="290" t="s">
        <v>407</v>
      </c>
      <c r="D316" s="235" t="s">
        <v>488</v>
      </c>
      <c r="E316" s="235"/>
      <c r="F316" s="235"/>
      <c r="G316" s="235"/>
      <c r="H316" s="235"/>
      <c r="I316" s="235"/>
      <c r="J316" s="236" t="s">
        <v>537</v>
      </c>
      <c r="K316" s="295"/>
    </row>
    <row r="317" spans="2:11" x14ac:dyDescent="0.2">
      <c r="B317" s="275"/>
      <c r="C317" s="290" t="s">
        <v>407</v>
      </c>
      <c r="D317" s="235" t="s">
        <v>489</v>
      </c>
      <c r="E317" s="235"/>
      <c r="F317" s="235"/>
      <c r="G317" s="235"/>
      <c r="H317" s="235"/>
      <c r="I317" s="235"/>
      <c r="J317" s="236">
        <f>Kapitali!M6</f>
        <v>15996587.550000001</v>
      </c>
      <c r="K317" s="295"/>
    </row>
    <row r="318" spans="2:11" x14ac:dyDescent="0.2">
      <c r="B318" s="275"/>
      <c r="C318" s="290" t="s">
        <v>407</v>
      </c>
      <c r="D318" s="275" t="s">
        <v>490</v>
      </c>
      <c r="E318" s="295"/>
      <c r="F318" s="295"/>
      <c r="G318" s="295"/>
      <c r="H318" s="295"/>
      <c r="I318" s="295"/>
      <c r="J318" s="336"/>
      <c r="K318" s="295"/>
    </row>
    <row r="319" spans="2:11" x14ac:dyDescent="0.2">
      <c r="B319" s="275"/>
      <c r="C319" s="290" t="s">
        <v>407</v>
      </c>
      <c r="D319" s="316" t="s">
        <v>491</v>
      </c>
      <c r="E319" s="317"/>
      <c r="F319" s="295"/>
      <c r="G319" s="295"/>
      <c r="H319" s="295"/>
      <c r="I319" s="295"/>
      <c r="J319" s="336">
        <f>Kapitali!M20</f>
        <v>7377396.9441660019</v>
      </c>
      <c r="K319" s="295"/>
    </row>
    <row r="320" spans="2:11" x14ac:dyDescent="0.2">
      <c r="B320" s="275"/>
      <c r="C320" s="290" t="s">
        <v>407</v>
      </c>
      <c r="D320" s="275" t="s">
        <v>492</v>
      </c>
      <c r="E320" s="235"/>
      <c r="F320" s="235"/>
      <c r="G320" s="235"/>
      <c r="H320" s="235"/>
      <c r="I320" s="235"/>
      <c r="J320" s="236">
        <f>SUM(J315:J319)</f>
        <v>28753398.994166002</v>
      </c>
      <c r="K320" s="295"/>
    </row>
    <row r="321" spans="2:11" x14ac:dyDescent="0.2">
      <c r="B321" s="275"/>
      <c r="C321" s="277"/>
      <c r="D321" s="287" t="s">
        <v>493</v>
      </c>
      <c r="E321" s="295"/>
      <c r="F321" s="295"/>
      <c r="G321" s="295"/>
      <c r="H321" s="295"/>
      <c r="I321" s="295"/>
      <c r="J321" s="304" t="s">
        <v>494</v>
      </c>
      <c r="K321" s="295"/>
    </row>
    <row r="322" spans="2:11" x14ac:dyDescent="0.2">
      <c r="B322" s="275"/>
      <c r="C322" s="278"/>
      <c r="D322" s="295"/>
      <c r="E322" s="295"/>
      <c r="F322" s="295"/>
      <c r="G322" s="295"/>
      <c r="H322" s="295"/>
      <c r="I322" s="295"/>
      <c r="J322" s="304"/>
      <c r="K322" s="295"/>
    </row>
    <row r="323" spans="2:11" x14ac:dyDescent="0.2">
      <c r="B323" s="275"/>
      <c r="C323" s="278"/>
      <c r="D323" s="295"/>
      <c r="E323" s="295"/>
      <c r="F323" s="295"/>
      <c r="G323" s="295"/>
      <c r="H323" s="295"/>
      <c r="I323" s="295"/>
      <c r="J323" s="307"/>
      <c r="K323" s="295"/>
    </row>
    <row r="324" spans="2:11" x14ac:dyDescent="0.2">
      <c r="B324" s="275"/>
      <c r="C324" s="278"/>
      <c r="D324" s="275"/>
      <c r="E324" s="275"/>
      <c r="F324" s="275"/>
      <c r="G324" s="275"/>
      <c r="H324" s="275"/>
      <c r="I324" s="275"/>
      <c r="J324" s="283"/>
      <c r="K324" s="275"/>
    </row>
    <row r="325" spans="2:11" x14ac:dyDescent="0.2">
      <c r="B325" s="396" t="s">
        <v>495</v>
      </c>
      <c r="C325" s="396"/>
      <c r="D325" s="287" t="s">
        <v>496</v>
      </c>
      <c r="E325" s="235"/>
      <c r="F325" s="235"/>
      <c r="G325" s="235"/>
      <c r="H325" s="235"/>
      <c r="I325" s="235"/>
      <c r="J325" s="245"/>
      <c r="K325" s="235"/>
    </row>
    <row r="326" spans="2:11" x14ac:dyDescent="0.2">
      <c r="B326" s="235"/>
      <c r="C326" s="254"/>
      <c r="D326" s="235"/>
      <c r="E326" s="235"/>
      <c r="F326" s="235"/>
      <c r="G326" s="235"/>
      <c r="H326" s="235"/>
      <c r="I326" s="235"/>
      <c r="J326" s="245"/>
      <c r="K326" s="235"/>
    </row>
    <row r="327" spans="2:11" x14ac:dyDescent="0.2">
      <c r="B327" s="235"/>
      <c r="C327" s="254"/>
      <c r="D327" s="235" t="s">
        <v>497</v>
      </c>
      <c r="E327" s="235"/>
      <c r="F327" s="235"/>
      <c r="G327" s="235"/>
      <c r="H327" s="235"/>
      <c r="I327" s="235"/>
      <c r="J327" s="245"/>
      <c r="K327" s="235"/>
    </row>
    <row r="328" spans="2:11" x14ac:dyDescent="0.2">
      <c r="B328" s="235"/>
      <c r="C328" s="318" t="s">
        <v>498</v>
      </c>
      <c r="D328" s="235"/>
      <c r="E328" s="235"/>
      <c r="F328" s="235"/>
      <c r="G328" s="235"/>
      <c r="H328" s="235"/>
      <c r="I328" s="235"/>
      <c r="J328" s="245"/>
      <c r="K328" s="235"/>
    </row>
    <row r="329" spans="2:11" x14ac:dyDescent="0.2">
      <c r="B329" s="235"/>
      <c r="C329" s="254"/>
      <c r="D329" s="235" t="s">
        <v>499</v>
      </c>
      <c r="E329" s="235"/>
      <c r="F329" s="235"/>
      <c r="G329" s="235"/>
      <c r="H329" s="235"/>
      <c r="I329" s="235"/>
      <c r="J329" s="245"/>
      <c r="K329" s="235"/>
    </row>
    <row r="330" spans="2:11" x14ac:dyDescent="0.2">
      <c r="B330" s="235"/>
      <c r="C330" s="318" t="s">
        <v>500</v>
      </c>
      <c r="D330" s="235"/>
      <c r="E330" s="235"/>
      <c r="F330" s="235"/>
      <c r="G330" s="235"/>
      <c r="H330" s="235"/>
      <c r="I330" s="235"/>
      <c r="J330" s="245"/>
      <c r="K330" s="235"/>
    </row>
    <row r="331" spans="2:11" x14ac:dyDescent="0.2">
      <c r="B331" s="235"/>
      <c r="C331" s="254"/>
      <c r="D331" s="235"/>
      <c r="E331" s="235"/>
      <c r="F331" s="235"/>
      <c r="G331" s="235"/>
      <c r="H331" s="235"/>
      <c r="I331" s="235"/>
      <c r="J331" s="245"/>
      <c r="K331" s="235"/>
    </row>
    <row r="332" spans="2:11" x14ac:dyDescent="0.2">
      <c r="B332" s="392"/>
      <c r="C332" s="392"/>
      <c r="D332" s="392"/>
      <c r="E332" s="392"/>
      <c r="F332" s="235"/>
      <c r="G332" s="235"/>
      <c r="H332" s="392" t="s">
        <v>501</v>
      </c>
      <c r="I332" s="392"/>
      <c r="J332" s="392"/>
      <c r="K332" s="392"/>
    </row>
    <row r="333" spans="2:11" x14ac:dyDescent="0.2">
      <c r="B333" s="393"/>
      <c r="C333" s="393"/>
      <c r="D333" s="393"/>
      <c r="E333" s="393"/>
      <c r="F333" s="235"/>
      <c r="G333" s="235"/>
      <c r="H333" s="393" t="s">
        <v>502</v>
      </c>
      <c r="I333" s="393"/>
      <c r="J333" s="393"/>
      <c r="K333" s="393"/>
    </row>
  </sheetData>
  <mergeCells count="35">
    <mergeCell ref="B332:E332"/>
    <mergeCell ref="H332:K332"/>
    <mergeCell ref="B333:E333"/>
    <mergeCell ref="H333:K333"/>
    <mergeCell ref="D13:E13"/>
    <mergeCell ref="D18:E18"/>
    <mergeCell ref="J170:J171"/>
    <mergeCell ref="E189:E190"/>
    <mergeCell ref="J189:J190"/>
    <mergeCell ref="D310:I310"/>
    <mergeCell ref="B325:C325"/>
    <mergeCell ref="D26:J26"/>
    <mergeCell ref="C76:C77"/>
    <mergeCell ref="D76:D77"/>
    <mergeCell ref="E76:G76"/>
    <mergeCell ref="H76:J76"/>
    <mergeCell ref="D19:J19"/>
    <mergeCell ref="C22:C23"/>
    <mergeCell ref="D22:H23"/>
    <mergeCell ref="D24:H24"/>
    <mergeCell ref="D25:H25"/>
    <mergeCell ref="D17:E17"/>
    <mergeCell ref="G17:H17"/>
    <mergeCell ref="B3:C3"/>
    <mergeCell ref="C10:C11"/>
    <mergeCell ref="D10:E11"/>
    <mergeCell ref="F10:F11"/>
    <mergeCell ref="G10:H11"/>
    <mergeCell ref="D12:E12"/>
    <mergeCell ref="G12:H12"/>
    <mergeCell ref="D14:E14"/>
    <mergeCell ref="G14:H14"/>
    <mergeCell ref="D15:E15"/>
    <mergeCell ref="G15:H15"/>
    <mergeCell ref="D16:E16"/>
  </mergeCells>
  <printOptions horizontalCentered="1" verticalCentered="1"/>
  <pageMargins left="0.25" right="0" top="0" bottom="0" header="0.3" footer="0.3"/>
  <pageSetup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8"/>
  <sheetViews>
    <sheetView topLeftCell="A13" workbookViewId="0">
      <selection activeCell="F40" sqref="F40"/>
    </sheetView>
  </sheetViews>
  <sheetFormatPr defaultRowHeight="12.75" x14ac:dyDescent="0.2"/>
  <cols>
    <col min="1" max="1" width="5.140625" customWidth="1"/>
    <col min="2" max="2" width="19.7109375" customWidth="1"/>
    <col min="3" max="3" width="9.42578125" customWidth="1"/>
    <col min="4" max="4" width="12.7109375" customWidth="1"/>
    <col min="5" max="5" width="13.42578125" customWidth="1"/>
    <col min="6" max="6" width="12" customWidth="1"/>
    <col min="7" max="7" width="13.42578125" customWidth="1"/>
    <col min="8" max="8" width="10.5703125" bestFit="1" customWidth="1"/>
    <col min="9" max="9" width="16.85546875" bestFit="1" customWidth="1"/>
    <col min="10" max="10" width="10.140625" bestFit="1" customWidth="1"/>
    <col min="13" max="13" width="12.28515625" customWidth="1"/>
  </cols>
  <sheetData>
    <row r="1" spans="1:10" ht="15" x14ac:dyDescent="0.2">
      <c r="B1" s="152" t="s">
        <v>265</v>
      </c>
    </row>
    <row r="2" spans="1:10" x14ac:dyDescent="0.2">
      <c r="B2" s="153" t="s">
        <v>249</v>
      </c>
    </row>
    <row r="3" spans="1:10" x14ac:dyDescent="0.2">
      <c r="B3" s="153"/>
    </row>
    <row r="4" spans="1:10" x14ac:dyDescent="0.2">
      <c r="B4" s="153"/>
    </row>
    <row r="5" spans="1:10" ht="15.75" x14ac:dyDescent="0.25">
      <c r="B5" s="397" t="s">
        <v>270</v>
      </c>
      <c r="C5" s="397"/>
      <c r="D5" s="397"/>
      <c r="E5" s="397"/>
      <c r="F5" s="397"/>
      <c r="G5" s="397"/>
    </row>
    <row r="7" spans="1:10" x14ac:dyDescent="0.2">
      <c r="A7" s="376" t="s">
        <v>2</v>
      </c>
      <c r="B7" s="399" t="s">
        <v>202</v>
      </c>
      <c r="C7" s="376" t="s">
        <v>266</v>
      </c>
      <c r="D7" s="154" t="s">
        <v>233</v>
      </c>
      <c r="E7" s="376" t="s">
        <v>234</v>
      </c>
      <c r="F7" s="376" t="s">
        <v>235</v>
      </c>
      <c r="G7" s="154" t="s">
        <v>233</v>
      </c>
    </row>
    <row r="8" spans="1:10" x14ac:dyDescent="0.2">
      <c r="A8" s="377"/>
      <c r="B8" s="400"/>
      <c r="C8" s="377"/>
      <c r="D8" s="155">
        <v>42736</v>
      </c>
      <c r="E8" s="377"/>
      <c r="F8" s="377"/>
      <c r="G8" s="155">
        <v>43100</v>
      </c>
      <c r="H8" s="156"/>
      <c r="I8" s="156"/>
    </row>
    <row r="9" spans="1:10" x14ac:dyDescent="0.2">
      <c r="A9" s="157">
        <v>1</v>
      </c>
      <c r="B9" s="158" t="s">
        <v>236</v>
      </c>
      <c r="C9" s="157"/>
      <c r="D9" s="159">
        <v>0</v>
      </c>
      <c r="E9" s="159"/>
      <c r="F9" s="159"/>
      <c r="G9" s="159">
        <f t="shared" ref="G9:G16" si="0">D9+E9-F9</f>
        <v>0</v>
      </c>
      <c r="H9" s="161"/>
      <c r="I9" s="156"/>
    </row>
    <row r="10" spans="1:10" x14ac:dyDescent="0.2">
      <c r="A10" s="157">
        <f>A9+1</f>
        <v>2</v>
      </c>
      <c r="B10" s="158" t="s">
        <v>237</v>
      </c>
      <c r="C10" s="157"/>
      <c r="D10" s="159">
        <v>0</v>
      </c>
      <c r="E10" s="160"/>
      <c r="F10" s="159"/>
      <c r="G10" s="159">
        <f t="shared" si="0"/>
        <v>0</v>
      </c>
      <c r="H10" s="161"/>
      <c r="I10" s="161"/>
    </row>
    <row r="11" spans="1:10" x14ac:dyDescent="0.2">
      <c r="A11" s="187">
        <f t="shared" ref="A11:A16" si="1">A10+1</f>
        <v>3</v>
      </c>
      <c r="B11" s="162" t="s">
        <v>238</v>
      </c>
      <c r="C11" s="157"/>
      <c r="D11" s="159">
        <v>8933780.9859999996</v>
      </c>
      <c r="E11" s="163">
        <f>5137906-42000</f>
        <v>5095906</v>
      </c>
      <c r="F11" s="159"/>
      <c r="G11" s="159">
        <f t="shared" si="0"/>
        <v>14029686.986</v>
      </c>
      <c r="H11" s="161"/>
      <c r="I11" s="161"/>
    </row>
    <row r="12" spans="1:10" ht="15" x14ac:dyDescent="0.25">
      <c r="A12" s="187">
        <f t="shared" si="1"/>
        <v>4</v>
      </c>
      <c r="B12" s="162" t="s">
        <v>239</v>
      </c>
      <c r="C12" s="157"/>
      <c r="D12" s="159">
        <v>21151849.255199999</v>
      </c>
      <c r="E12" s="175"/>
      <c r="F12" s="159"/>
      <c r="G12" s="159">
        <f t="shared" si="0"/>
        <v>21151849.255199999</v>
      </c>
      <c r="H12" s="161"/>
      <c r="I12" s="161"/>
      <c r="J12" s="112"/>
    </row>
    <row r="13" spans="1:10" x14ac:dyDescent="0.2">
      <c r="A13" s="187">
        <f t="shared" si="1"/>
        <v>5</v>
      </c>
      <c r="B13" s="162" t="s">
        <v>240</v>
      </c>
      <c r="C13" s="157"/>
      <c r="D13" s="159">
        <v>0</v>
      </c>
      <c r="E13" s="164"/>
      <c r="F13" s="159"/>
      <c r="G13" s="159">
        <f t="shared" si="0"/>
        <v>0</v>
      </c>
      <c r="H13" s="161"/>
      <c r="I13" s="161"/>
    </row>
    <row r="14" spans="1:10" x14ac:dyDescent="0.2">
      <c r="A14" s="187">
        <f t="shared" si="1"/>
        <v>6</v>
      </c>
      <c r="B14" s="162" t="s">
        <v>241</v>
      </c>
      <c r="C14" s="157"/>
      <c r="D14" s="159">
        <v>0</v>
      </c>
      <c r="E14" s="160"/>
      <c r="F14" s="159"/>
      <c r="G14" s="159">
        <f t="shared" si="0"/>
        <v>0</v>
      </c>
      <c r="H14" s="161"/>
      <c r="I14" s="161"/>
    </row>
    <row r="15" spans="1:10" ht="15" x14ac:dyDescent="0.25">
      <c r="A15" s="187">
        <f t="shared" si="1"/>
        <v>7</v>
      </c>
      <c r="B15" s="165" t="s">
        <v>267</v>
      </c>
      <c r="C15" s="157"/>
      <c r="D15" s="159">
        <v>32536661.754700001</v>
      </c>
      <c r="E15" s="175">
        <v>42000</v>
      </c>
      <c r="F15" s="159"/>
      <c r="G15" s="159">
        <f t="shared" si="0"/>
        <v>32578661.754700001</v>
      </c>
      <c r="H15" s="161"/>
      <c r="I15" s="156"/>
    </row>
    <row r="16" spans="1:10" s="181" customFormat="1" ht="15.75" thickBot="1" x14ac:dyDescent="0.3">
      <c r="A16" s="187">
        <f t="shared" si="1"/>
        <v>8</v>
      </c>
      <c r="B16" s="195" t="s">
        <v>339</v>
      </c>
      <c r="C16" s="196"/>
      <c r="D16" s="197">
        <v>1228000</v>
      </c>
      <c r="E16" s="198"/>
      <c r="F16" s="197"/>
      <c r="G16" s="159">
        <f t="shared" si="0"/>
        <v>1228000</v>
      </c>
      <c r="H16" s="184"/>
      <c r="I16" s="183"/>
    </row>
    <row r="17" spans="1:10" ht="13.5" thickBot="1" x14ac:dyDescent="0.25">
      <c r="A17" s="166"/>
      <c r="B17" s="167" t="s">
        <v>242</v>
      </c>
      <c r="C17" s="168"/>
      <c r="D17" s="174">
        <f>SUM(D9:D16)</f>
        <v>63850291.995900005</v>
      </c>
      <c r="E17" s="174">
        <f t="shared" ref="E17:G17" si="2">SUM(E9:E16)</f>
        <v>5137906</v>
      </c>
      <c r="F17" s="174">
        <f t="shared" si="2"/>
        <v>0</v>
      </c>
      <c r="G17" s="174">
        <f t="shared" si="2"/>
        <v>68988197.995900005</v>
      </c>
      <c r="H17" s="161"/>
      <c r="I17" s="112"/>
    </row>
    <row r="18" spans="1:10" x14ac:dyDescent="0.2">
      <c r="H18" s="161"/>
    </row>
    <row r="19" spans="1:10" ht="15.75" x14ac:dyDescent="0.25">
      <c r="B19" s="397" t="s">
        <v>271</v>
      </c>
      <c r="C19" s="397"/>
      <c r="D19" s="397"/>
      <c r="E19" s="397"/>
      <c r="F19" s="397"/>
      <c r="G19" s="397"/>
      <c r="H19" s="161"/>
      <c r="I19" s="112"/>
    </row>
    <row r="20" spans="1:10" x14ac:dyDescent="0.2">
      <c r="H20" s="161"/>
    </row>
    <row r="21" spans="1:10" x14ac:dyDescent="0.2">
      <c r="A21" s="376" t="s">
        <v>2</v>
      </c>
      <c r="B21" s="399" t="s">
        <v>202</v>
      </c>
      <c r="C21" s="376" t="s">
        <v>266</v>
      </c>
      <c r="D21" s="154" t="s">
        <v>233</v>
      </c>
      <c r="E21" s="376" t="s">
        <v>234</v>
      </c>
      <c r="F21" s="376" t="s">
        <v>235</v>
      </c>
      <c r="G21" s="154" t="s">
        <v>233</v>
      </c>
      <c r="H21" s="161"/>
    </row>
    <row r="22" spans="1:10" x14ac:dyDescent="0.2">
      <c r="A22" s="377"/>
      <c r="B22" s="400"/>
      <c r="C22" s="377"/>
      <c r="D22" s="155">
        <v>42736</v>
      </c>
      <c r="E22" s="377"/>
      <c r="F22" s="377"/>
      <c r="G22" s="155">
        <v>43100</v>
      </c>
      <c r="H22" s="161"/>
    </row>
    <row r="23" spans="1:10" x14ac:dyDescent="0.2">
      <c r="A23" s="187">
        <v>1</v>
      </c>
      <c r="B23" s="182" t="s">
        <v>236</v>
      </c>
      <c r="C23" s="157"/>
      <c r="D23" s="159">
        <v>0</v>
      </c>
      <c r="E23" s="159"/>
      <c r="F23" s="159"/>
      <c r="G23" s="159">
        <f t="shared" ref="G23:G30" si="3">D23+E23</f>
        <v>0</v>
      </c>
      <c r="H23" s="161"/>
    </row>
    <row r="24" spans="1:10" x14ac:dyDescent="0.2">
      <c r="A24" s="187">
        <f>A23+1</f>
        <v>2</v>
      </c>
      <c r="B24" s="182" t="s">
        <v>237</v>
      </c>
      <c r="C24" s="157"/>
      <c r="D24" s="159">
        <v>0</v>
      </c>
      <c r="E24" s="176"/>
      <c r="F24" s="159"/>
      <c r="G24" s="159">
        <f t="shared" si="3"/>
        <v>0</v>
      </c>
      <c r="H24" s="161"/>
    </row>
    <row r="25" spans="1:10" x14ac:dyDescent="0.2">
      <c r="A25" s="187">
        <f t="shared" ref="A25:A30" si="4">A24+1</f>
        <v>3</v>
      </c>
      <c r="B25" s="188" t="s">
        <v>238</v>
      </c>
      <c r="C25" s="157"/>
      <c r="D25" s="159">
        <v>1763662</v>
      </c>
      <c r="E25" s="177">
        <f>D39*9.5/100</f>
        <v>681161.30366999994</v>
      </c>
      <c r="F25" s="159"/>
      <c r="G25" s="159">
        <f>D25+E25</f>
        <v>2444823.3036699998</v>
      </c>
      <c r="H25" s="161"/>
      <c r="I25" s="179"/>
    </row>
    <row r="26" spans="1:10" x14ac:dyDescent="0.2">
      <c r="A26" s="187">
        <f t="shared" si="4"/>
        <v>4</v>
      </c>
      <c r="B26" s="188" t="s">
        <v>239</v>
      </c>
      <c r="C26" s="157"/>
      <c r="D26" s="159">
        <v>0</v>
      </c>
      <c r="E26" s="177">
        <f>D40*7/100</f>
        <v>1480629.447864</v>
      </c>
      <c r="F26" s="159"/>
      <c r="G26" s="159">
        <f t="shared" si="3"/>
        <v>1480629.447864</v>
      </c>
      <c r="H26" s="161"/>
    </row>
    <row r="27" spans="1:10" x14ac:dyDescent="0.2">
      <c r="A27" s="187">
        <f t="shared" si="4"/>
        <v>5</v>
      </c>
      <c r="B27" s="188" t="s">
        <v>240</v>
      </c>
      <c r="C27" s="157"/>
      <c r="D27" s="159">
        <v>0</v>
      </c>
      <c r="E27" s="177"/>
      <c r="F27" s="159"/>
      <c r="G27" s="159">
        <f t="shared" si="3"/>
        <v>0</v>
      </c>
      <c r="H27" s="161"/>
    </row>
    <row r="28" spans="1:10" x14ac:dyDescent="0.2">
      <c r="A28" s="187">
        <f t="shared" si="4"/>
        <v>6</v>
      </c>
      <c r="B28" s="188" t="s">
        <v>241</v>
      </c>
      <c r="C28" s="157"/>
      <c r="D28" s="159">
        <v>0</v>
      </c>
      <c r="E28" s="177"/>
      <c r="F28" s="159"/>
      <c r="G28" s="159">
        <f t="shared" si="3"/>
        <v>0</v>
      </c>
      <c r="H28" s="161"/>
    </row>
    <row r="29" spans="1:10" x14ac:dyDescent="0.2">
      <c r="A29" s="187">
        <f t="shared" si="4"/>
        <v>7</v>
      </c>
      <c r="B29" s="186" t="s">
        <v>267</v>
      </c>
      <c r="C29" s="157"/>
      <c r="D29" s="159">
        <v>0</v>
      </c>
      <c r="E29" s="176"/>
      <c r="F29" s="159"/>
      <c r="G29" s="159">
        <f t="shared" si="3"/>
        <v>0</v>
      </c>
      <c r="H29" s="161"/>
    </row>
    <row r="30" spans="1:10" s="181" customFormat="1" ht="13.5" thickBot="1" x14ac:dyDescent="0.25">
      <c r="A30" s="187">
        <f t="shared" si="4"/>
        <v>8</v>
      </c>
      <c r="B30" s="195" t="s">
        <v>339</v>
      </c>
      <c r="C30" s="196"/>
      <c r="D30" s="197"/>
      <c r="E30" s="199"/>
      <c r="F30" s="197"/>
      <c r="G30" s="159">
        <f t="shared" si="3"/>
        <v>0</v>
      </c>
      <c r="H30" s="184"/>
    </row>
    <row r="31" spans="1:10" ht="13.5" thickBot="1" x14ac:dyDescent="0.25">
      <c r="A31" s="166"/>
      <c r="B31" s="167" t="s">
        <v>242</v>
      </c>
      <c r="C31" s="168"/>
      <c r="D31" s="111">
        <v>1763662</v>
      </c>
      <c r="E31" s="111">
        <f>SUM(E23:E29)</f>
        <v>2161790.751534</v>
      </c>
      <c r="F31" s="111">
        <f>SUM(F23:F29)</f>
        <v>0</v>
      </c>
      <c r="G31" s="169">
        <f>SUM(G23:G30)</f>
        <v>3925452.751534</v>
      </c>
      <c r="H31" s="161"/>
      <c r="I31" s="112"/>
      <c r="J31" s="112"/>
    </row>
    <row r="32" spans="1:10" x14ac:dyDescent="0.2">
      <c r="G32" s="170"/>
      <c r="H32" s="161"/>
    </row>
    <row r="33" spans="1:14" ht="15.75" x14ac:dyDescent="0.25">
      <c r="B33" s="397" t="s">
        <v>272</v>
      </c>
      <c r="C33" s="397"/>
      <c r="D33" s="397"/>
      <c r="E33" s="397"/>
      <c r="F33" s="397"/>
      <c r="G33" s="397"/>
      <c r="H33" s="161"/>
    </row>
    <row r="34" spans="1:14" x14ac:dyDescent="0.2">
      <c r="H34" s="161"/>
    </row>
    <row r="35" spans="1:14" x14ac:dyDescent="0.2">
      <c r="A35" s="376" t="s">
        <v>2</v>
      </c>
      <c r="B35" s="399" t="s">
        <v>202</v>
      </c>
      <c r="C35" s="376" t="s">
        <v>266</v>
      </c>
      <c r="D35" s="154" t="s">
        <v>233</v>
      </c>
      <c r="E35" s="376" t="s">
        <v>234</v>
      </c>
      <c r="F35" s="376" t="s">
        <v>235</v>
      </c>
      <c r="G35" s="154" t="s">
        <v>233</v>
      </c>
      <c r="H35" s="161"/>
    </row>
    <row r="36" spans="1:14" x14ac:dyDescent="0.2">
      <c r="A36" s="377"/>
      <c r="B36" s="400"/>
      <c r="C36" s="377"/>
      <c r="D36" s="155">
        <v>42736</v>
      </c>
      <c r="E36" s="377"/>
      <c r="F36" s="377"/>
      <c r="G36" s="155">
        <v>43100</v>
      </c>
      <c r="H36" s="161"/>
    </row>
    <row r="37" spans="1:14" x14ac:dyDescent="0.2">
      <c r="A37" s="187">
        <v>1</v>
      </c>
      <c r="B37" s="182" t="s">
        <v>236</v>
      </c>
      <c r="C37" s="157"/>
      <c r="D37" s="159">
        <f t="shared" ref="D37:G38" si="5">D9-D23</f>
        <v>0</v>
      </c>
      <c r="E37" s="159">
        <f t="shared" si="5"/>
        <v>0</v>
      </c>
      <c r="F37" s="159">
        <f t="shared" si="5"/>
        <v>0</v>
      </c>
      <c r="G37" s="159">
        <f t="shared" si="5"/>
        <v>0</v>
      </c>
      <c r="H37" s="161"/>
      <c r="I37" s="171"/>
    </row>
    <row r="38" spans="1:14" x14ac:dyDescent="0.2">
      <c r="A38" s="187">
        <f>A37+1</f>
        <v>2</v>
      </c>
      <c r="B38" s="182" t="s">
        <v>237</v>
      </c>
      <c r="C38" s="157"/>
      <c r="D38" s="159">
        <f t="shared" si="5"/>
        <v>0</v>
      </c>
      <c r="E38" s="159">
        <f t="shared" si="5"/>
        <v>0</v>
      </c>
      <c r="F38" s="159">
        <f t="shared" si="5"/>
        <v>0</v>
      </c>
      <c r="G38" s="159">
        <f t="shared" si="5"/>
        <v>0</v>
      </c>
      <c r="H38" s="161"/>
      <c r="I38" s="171"/>
      <c r="M38" s="156"/>
      <c r="N38" s="156"/>
    </row>
    <row r="39" spans="1:14" x14ac:dyDescent="0.2">
      <c r="A39" s="187">
        <f t="shared" ref="A39:A44" si="6">A38+1</f>
        <v>3</v>
      </c>
      <c r="B39" s="188" t="s">
        <v>238</v>
      </c>
      <c r="C39" s="157"/>
      <c r="D39" s="159">
        <f>D11-D25</f>
        <v>7170118.9859999996</v>
      </c>
      <c r="E39" s="159">
        <f>E11-E25</f>
        <v>4414744.6963299997</v>
      </c>
      <c r="F39" s="159">
        <f>F11-F25</f>
        <v>0</v>
      </c>
      <c r="G39" s="159">
        <f t="shared" ref="G39:G44" si="7">G11-G25</f>
        <v>11584863.682329999</v>
      </c>
      <c r="H39" s="161"/>
      <c r="I39" s="171"/>
      <c r="M39" s="156"/>
      <c r="N39" s="156"/>
    </row>
    <row r="40" spans="1:14" x14ac:dyDescent="0.2">
      <c r="A40" s="187">
        <f t="shared" si="6"/>
        <v>4</v>
      </c>
      <c r="B40" s="188" t="s">
        <v>239</v>
      </c>
      <c r="C40" s="157"/>
      <c r="D40" s="159">
        <f t="shared" ref="D40:D44" si="8">D12-D26</f>
        <v>21151849.255199999</v>
      </c>
      <c r="E40" s="159">
        <f t="shared" ref="E40:F43" si="9">E12-E26</f>
        <v>-1480629.447864</v>
      </c>
      <c r="F40" s="159">
        <f t="shared" si="9"/>
        <v>0</v>
      </c>
      <c r="G40" s="159">
        <f t="shared" si="7"/>
        <v>19671219.807335999</v>
      </c>
      <c r="H40" s="161"/>
      <c r="I40" s="171"/>
      <c r="M40" s="156"/>
      <c r="N40" s="156"/>
    </row>
    <row r="41" spans="1:14" x14ac:dyDescent="0.2">
      <c r="A41" s="187">
        <f t="shared" si="6"/>
        <v>5</v>
      </c>
      <c r="B41" s="188" t="s">
        <v>240</v>
      </c>
      <c r="C41" s="157"/>
      <c r="D41" s="159">
        <f t="shared" si="8"/>
        <v>0</v>
      </c>
      <c r="E41" s="159">
        <f t="shared" si="9"/>
        <v>0</v>
      </c>
      <c r="F41" s="159">
        <f t="shared" si="9"/>
        <v>0</v>
      </c>
      <c r="G41" s="159">
        <f t="shared" si="7"/>
        <v>0</v>
      </c>
      <c r="H41" s="161"/>
      <c r="I41" s="171"/>
      <c r="M41" s="156"/>
      <c r="N41" s="156"/>
    </row>
    <row r="42" spans="1:14" x14ac:dyDescent="0.2">
      <c r="A42" s="187">
        <f t="shared" si="6"/>
        <v>6</v>
      </c>
      <c r="B42" s="188" t="s">
        <v>241</v>
      </c>
      <c r="C42" s="157"/>
      <c r="D42" s="159">
        <f t="shared" si="8"/>
        <v>0</v>
      </c>
      <c r="E42" s="159">
        <f t="shared" si="9"/>
        <v>0</v>
      </c>
      <c r="F42" s="159">
        <f t="shared" si="9"/>
        <v>0</v>
      </c>
      <c r="G42" s="159">
        <f t="shared" si="7"/>
        <v>0</v>
      </c>
      <c r="H42" s="161"/>
      <c r="I42" s="171"/>
      <c r="M42" s="156"/>
      <c r="N42" s="156"/>
    </row>
    <row r="43" spans="1:14" x14ac:dyDescent="0.2">
      <c r="A43" s="187">
        <f t="shared" si="6"/>
        <v>7</v>
      </c>
      <c r="B43" s="186" t="s">
        <v>267</v>
      </c>
      <c r="C43" s="157"/>
      <c r="D43" s="159">
        <f t="shared" si="8"/>
        <v>32536661.754700001</v>
      </c>
      <c r="E43" s="159">
        <f t="shared" si="9"/>
        <v>42000</v>
      </c>
      <c r="F43" s="159">
        <f t="shared" si="9"/>
        <v>0</v>
      </c>
      <c r="G43" s="159">
        <f t="shared" si="7"/>
        <v>32578661.754700001</v>
      </c>
      <c r="H43" s="161"/>
      <c r="M43" s="156"/>
      <c r="N43" s="156"/>
    </row>
    <row r="44" spans="1:14" s="181" customFormat="1" ht="13.5" thickBot="1" x14ac:dyDescent="0.25">
      <c r="A44" s="187">
        <f t="shared" si="6"/>
        <v>8</v>
      </c>
      <c r="B44" s="195" t="s">
        <v>339</v>
      </c>
      <c r="C44" s="196"/>
      <c r="D44" s="159">
        <f t="shared" si="8"/>
        <v>1228000</v>
      </c>
      <c r="E44" s="197"/>
      <c r="F44" s="197"/>
      <c r="G44" s="159">
        <f t="shared" si="7"/>
        <v>1228000</v>
      </c>
      <c r="H44" s="184"/>
      <c r="M44" s="183"/>
      <c r="N44" s="183"/>
    </row>
    <row r="45" spans="1:14" ht="13.5" thickBot="1" x14ac:dyDescent="0.25">
      <c r="A45" s="166"/>
      <c r="B45" s="167" t="s">
        <v>242</v>
      </c>
      <c r="C45" s="168"/>
      <c r="D45" s="111">
        <f>SUM(D37:D44)</f>
        <v>62086629.995900005</v>
      </c>
      <c r="E45" s="111">
        <f t="shared" ref="E45:G45" si="10">SUM(E37:E44)</f>
        <v>2976115.248466</v>
      </c>
      <c r="F45" s="111">
        <f t="shared" si="10"/>
        <v>0</v>
      </c>
      <c r="G45" s="111">
        <f t="shared" si="10"/>
        <v>65062745.244366005</v>
      </c>
      <c r="H45" s="161"/>
      <c r="I45" s="171"/>
      <c r="J45" s="112"/>
      <c r="M45" s="172"/>
      <c r="N45" s="156"/>
    </row>
    <row r="46" spans="1:14" s="156" customFormat="1" x14ac:dyDescent="0.2">
      <c r="D46" s="178"/>
      <c r="F46" s="161"/>
      <c r="G46" s="173"/>
      <c r="H46" s="184"/>
      <c r="J46" s="161"/>
    </row>
    <row r="47" spans="1:14" ht="15.75" x14ac:dyDescent="0.25">
      <c r="E47" s="401" t="s">
        <v>243</v>
      </c>
      <c r="F47" s="401"/>
      <c r="G47" s="401"/>
      <c r="I47" s="200"/>
      <c r="M47" s="156"/>
      <c r="N47" s="156"/>
    </row>
    <row r="48" spans="1:14" x14ac:dyDescent="0.2">
      <c r="E48" s="398" t="s">
        <v>268</v>
      </c>
      <c r="F48" s="398"/>
      <c r="G48" s="398"/>
    </row>
  </sheetData>
  <mergeCells count="20">
    <mergeCell ref="B5:G5"/>
    <mergeCell ref="A7:A8"/>
    <mergeCell ref="B7:B8"/>
    <mergeCell ref="C7:C8"/>
    <mergeCell ref="E7:E8"/>
    <mergeCell ref="F7:F8"/>
    <mergeCell ref="B19:G19"/>
    <mergeCell ref="A21:A22"/>
    <mergeCell ref="B21:B22"/>
    <mergeCell ref="C21:C22"/>
    <mergeCell ref="E21:E22"/>
    <mergeCell ref="F21:F22"/>
    <mergeCell ref="B33:G33"/>
    <mergeCell ref="E48:G48"/>
    <mergeCell ref="A35:A36"/>
    <mergeCell ref="B35:B36"/>
    <mergeCell ref="C35:C36"/>
    <mergeCell ref="E35:E36"/>
    <mergeCell ref="F35:F36"/>
    <mergeCell ref="E47:G47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J27" sqref="J27"/>
    </sheetView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7</vt:i4>
      </vt:variant>
    </vt:vector>
  </HeadingPairs>
  <TitlesOfParts>
    <vt:vector size="18" baseType="lpstr">
      <vt:lpstr>Kop.</vt:lpstr>
      <vt:lpstr>Aktivet</vt:lpstr>
      <vt:lpstr>Pasivet</vt:lpstr>
      <vt:lpstr>PASH</vt:lpstr>
      <vt:lpstr>Fluksi </vt:lpstr>
      <vt:lpstr>Kapitali</vt:lpstr>
      <vt:lpstr>Shenimet Spjeguse</vt:lpstr>
      <vt:lpstr>aam</vt:lpstr>
      <vt:lpstr>Sheet2</vt:lpstr>
      <vt:lpstr>Sheet1</vt:lpstr>
      <vt:lpstr>INV AAM</vt:lpstr>
      <vt:lpstr>aam!Print_Area</vt:lpstr>
      <vt:lpstr>Aktivet!Print_Area</vt:lpstr>
      <vt:lpstr>'Fluksi '!Print_Area</vt:lpstr>
      <vt:lpstr>Kapitali!Print_Area</vt:lpstr>
      <vt:lpstr>Kop.!Print_Area</vt:lpstr>
      <vt:lpstr>PASH!Print_Area</vt:lpstr>
      <vt:lpstr>Pasivet!Print_Area</vt:lpstr>
    </vt:vector>
  </TitlesOfParts>
  <Company>..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Windows User</cp:lastModifiedBy>
  <cp:lastPrinted>2018-03-17T18:40:12Z</cp:lastPrinted>
  <dcterms:created xsi:type="dcterms:W3CDTF">2002-02-16T18:16:52Z</dcterms:created>
  <dcterms:modified xsi:type="dcterms:W3CDTF">2018-05-21T18:41:44Z</dcterms:modified>
</cp:coreProperties>
</file>