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4470" tabRatio="841" activeTab="1"/>
  </bookViews>
  <sheets>
    <sheet name="Kop." sheetId="1" r:id="rId1"/>
    <sheet name="Aktivet" sheetId="4" r:id="rId2"/>
    <sheet name="Pasivet" sheetId="14" r:id="rId3"/>
    <sheet name="Rez.1" sheetId="15" r:id="rId4"/>
    <sheet name="Fluksi 2" sheetId="18" r:id="rId5"/>
    <sheet name="Kapitali 2" sheetId="20" r:id="rId6"/>
    <sheet name="Sheet1" sheetId="21" r:id="rId7"/>
  </sheets>
  <calcPr calcId="125725"/>
</workbook>
</file>

<file path=xl/calcChain.xml><?xml version="1.0" encoding="utf-8"?>
<calcChain xmlns="http://schemas.openxmlformats.org/spreadsheetml/2006/main">
  <c r="D21" i="15"/>
  <c r="G16" i="20"/>
  <c r="D23" i="18"/>
  <c r="G18" i="14"/>
  <c r="D33" i="15"/>
  <c r="D18"/>
  <c r="G15" i="4"/>
  <c r="G20"/>
  <c r="G14" i="14"/>
  <c r="H10" i="20"/>
  <c r="E19" i="18"/>
  <c r="D13"/>
  <c r="E42" l="1"/>
  <c r="E16"/>
  <c r="D42"/>
  <c r="E27"/>
  <c r="G10" i="4"/>
  <c r="G18"/>
  <c r="G41" l="1"/>
  <c r="G40"/>
  <c r="D37" i="15"/>
  <c r="E46"/>
  <c r="E45"/>
  <c r="D19"/>
  <c r="D22" s="1"/>
  <c r="D31" s="1"/>
  <c r="D20"/>
  <c r="D13"/>
  <c r="D25"/>
  <c r="D17"/>
  <c r="D28"/>
  <c r="D10"/>
  <c r="E44"/>
  <c r="E23" i="18"/>
  <c r="E13"/>
  <c r="E12"/>
  <c r="E10"/>
  <c r="H36" i="4"/>
  <c r="H9"/>
  <c r="H13"/>
  <c r="H14"/>
  <c r="H14" i="14"/>
  <c r="H41" i="4"/>
  <c r="H40"/>
  <c r="G36"/>
  <c r="H43" i="14"/>
  <c r="G11" i="20" s="1"/>
  <c r="G15" s="1"/>
  <c r="H15" s="1"/>
  <c r="E32" i="15"/>
  <c r="E43"/>
  <c r="E42"/>
  <c r="E38"/>
  <c r="E37"/>
  <c r="E25"/>
  <c r="E29"/>
  <c r="E17"/>
  <c r="E20"/>
  <c r="E19"/>
  <c r="E28"/>
  <c r="G10" i="14"/>
  <c r="D36" i="15" l="1"/>
  <c r="D41" s="1"/>
  <c r="D42" s="1"/>
  <c r="D10" i="18"/>
  <c r="D44" i="15"/>
  <c r="G44" i="14"/>
  <c r="H34"/>
  <c r="E11" i="18"/>
  <c r="E24" s="1"/>
  <c r="H17" i="20"/>
  <c r="H18"/>
  <c r="H19"/>
  <c r="D20"/>
  <c r="E20"/>
  <c r="F20"/>
  <c r="D12" i="18"/>
  <c r="D11" s="1"/>
  <c r="D47" i="15" l="1"/>
  <c r="D30"/>
  <c r="E31" i="18" l="1"/>
  <c r="E38" s="1"/>
  <c r="E40" s="1"/>
  <c r="D39" s="1"/>
  <c r="E37"/>
  <c r="E13" i="15"/>
  <c r="E30"/>
  <c r="H10" i="14"/>
  <c r="H13"/>
  <c r="H27"/>
  <c r="H26" s="1"/>
  <c r="H21" i="4"/>
  <c r="H31"/>
  <c r="H34"/>
  <c r="E21" i="15" l="1"/>
  <c r="E22" s="1"/>
  <c r="E31" s="1"/>
  <c r="H8" i="14"/>
  <c r="H33" s="1"/>
  <c r="H8" i="4"/>
  <c r="H46" s="1"/>
  <c r="G13"/>
  <c r="J13" s="1"/>
  <c r="D16" i="18" s="1"/>
  <c r="E43" l="1"/>
  <c r="H45" i="14"/>
  <c r="H47" s="1"/>
  <c r="E33" i="15"/>
  <c r="E36"/>
  <c r="E41" s="1"/>
  <c r="D37" i="18"/>
  <c r="D31"/>
  <c r="G9" i="4"/>
  <c r="H14" i="20" l="1"/>
  <c r="H13"/>
  <c r="H12"/>
  <c r="D15"/>
  <c r="E15"/>
  <c r="F15"/>
  <c r="G34" i="4"/>
  <c r="G31"/>
  <c r="G8" s="1"/>
  <c r="G13" i="14"/>
  <c r="J13" s="1"/>
  <c r="D19" i="18" s="1"/>
  <c r="D24" s="1"/>
  <c r="G27" i="14"/>
  <c r="G26" s="1"/>
  <c r="G21" i="4"/>
  <c r="D38" i="18" l="1"/>
  <c r="G8" i="14"/>
  <c r="D40" i="18" l="1"/>
  <c r="D43" s="1"/>
  <c r="G34" i="14"/>
  <c r="G33"/>
  <c r="G46" i="4"/>
  <c r="G20" i="20" l="1"/>
  <c r="H16"/>
  <c r="H20" s="1"/>
  <c r="G45" i="14"/>
  <c r="G47" s="1"/>
  <c r="H11" i="20"/>
</calcChain>
</file>

<file path=xl/sharedStrings.xml><?xml version="1.0" encoding="utf-8"?>
<sst xmlns="http://schemas.openxmlformats.org/spreadsheetml/2006/main" count="279" uniqueCount="208">
  <si>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</si>
  <si>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</si>
  <si>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</si>
  <si>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</si>
  <si>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</si>
  <si>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</si>
  <si>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</si>
  <si>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</si>
  <si>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</si>
  <si>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</si>
  <si>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</si>
  <si>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</si>
  <si>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</si>
  <si>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</si>
  <si>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</si>
  <si>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</si>
  <si>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</si>
  <si>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</si>
  <si>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</si>
  <si>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</si>
  <si>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</si>
  <si>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</si>
  <si>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</si>
  <si>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</si>
  <si>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</si>
  <si>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</si>
  <si>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</si>
  <si>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</si>
  <si>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</si>
  <si>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</si>
  <si>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</si>
  <si>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</si>
  <si>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</si>
  <si>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</si>
  <si>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</si>
  <si>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</si>
  <si>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</si>
  <si>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</si>
  <si>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</si>
  <si>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</si>
  <si>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Primi aksionit</t>
  </si>
  <si>
    <t>Rezervat statutore</t>
  </si>
  <si>
    <t>Rezervat ligjore</t>
  </si>
  <si>
    <t>Rezervat e tjera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</si>
  <si>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</si>
  <si>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</si>
  <si>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</si>
  <si>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</si>
  <si>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</si>
  <si>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</si>
  <si>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</si>
  <si>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</si>
  <si>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</si>
  <si>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</si>
  <si>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</si>
  <si>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</si>
  <si>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</si>
  <si>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</si>
  <si>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TOTALI</t>
  </si>
  <si>
    <t>Dividentet e paguar</t>
  </si>
  <si>
    <t>Fitimi neto per periudhen kontabel</t>
  </si>
  <si>
    <t>Emetimi kapitali aksionar</t>
  </si>
  <si>
    <t>Fluksi i parave nga veprimtaria e shfrytezimit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</si>
  <si>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</si>
  <si>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</si>
  <si>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</si>
  <si>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</si>
  <si>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</si>
  <si>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</si>
  <si>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</si>
  <si>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</si>
  <si>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</si>
  <si>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</si>
  <si>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</si>
  <si>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</si>
  <si>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</si>
  <si>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</si>
  <si>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</si>
  <si>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</si>
  <si>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</si>
  <si>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</si>
  <si>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</si>
  <si>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</si>
  <si>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</si>
  <si>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</si>
  <si>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</si>
  <si>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</si>
  <si>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</si>
  <si>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</si>
  <si>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</si>
  <si>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</si>
  <si>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</si>
  <si>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</si>
  <si>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</si>
  <si>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</si>
  <si>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</si>
  <si>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</si>
  <si>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</si>
  <si>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</si>
  <si>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</si>
  <si>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</si>
  <si>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</si>
  <si>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</si>
  <si>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</si>
  <si>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</si>
  <si>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</si>
  <si>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</si>
  <si>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</si>
  <si>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</si>
  <si>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</si>
  <si>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</si>
  <si>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</si>
  <si>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</si>
  <si>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</si>
  <si>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</si>
  <si>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</si>
  <si>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</si>
  <si>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</si>
  <si>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</si>
  <si>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</si>
  <si>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</si>
  <si>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</si>
  <si>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</si>
  <si>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</si>
  <si>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</si>
  <si>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</si>
  <si>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</si>
  <si>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</si>
  <si>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</si>
  <si>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</si>
  <si>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</si>
  <si>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</si>
  <si>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</si>
  <si>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</si>
  <si>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</si>
  <si>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</si>
  <si>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</si>
  <si>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</si>
  <si>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</si>
  <si>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</si>
  <si>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</si>
  <si>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</si>
  <si>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</si>
  <si>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</si>
  <si>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</si>
  <si>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</si>
  <si>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</si>
  <si>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</si>
  <si>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Aksione te thesari te riblera</t>
  </si>
  <si>
    <t>A K T I V E T    A F A T S H K U R T R A</t>
  </si>
  <si>
    <t>Emertimi dhe Forma ligjore</t>
  </si>
  <si>
    <t>LEK</t>
  </si>
  <si>
    <t>PO</t>
  </si>
  <si>
    <t>-</t>
  </si>
  <si>
    <t>Shpenzime te tjera (Tatime+Shperblime+rrjedhese te tjera+ Nentrajtime)</t>
  </si>
  <si>
    <t>IV</t>
  </si>
  <si>
    <t>V</t>
  </si>
  <si>
    <t>VI</t>
  </si>
  <si>
    <t xml:space="preserve">Kapitali </t>
  </si>
  <si>
    <t>aksionar</t>
  </si>
  <si>
    <t xml:space="preserve">Primi </t>
  </si>
  <si>
    <t>aksionit</t>
  </si>
  <si>
    <t xml:space="preserve">Aksione </t>
  </si>
  <si>
    <t>thesari</t>
  </si>
  <si>
    <t xml:space="preserve">Rezerva </t>
  </si>
  <si>
    <t>stat.ligjore</t>
  </si>
  <si>
    <t xml:space="preserve">Fitimi  </t>
  </si>
  <si>
    <t>pashperndare</t>
  </si>
  <si>
    <t xml:space="preserve">            TIRANA-ALBANIA</t>
  </si>
  <si>
    <t xml:space="preserve">Te ardhura te tjera </t>
  </si>
  <si>
    <t>Pozicioni me 31 dhjetor 2009</t>
  </si>
  <si>
    <t>Blerja/Shitja e aktiveve afatgjata materiale</t>
  </si>
  <si>
    <t>Te ardhura nga shitja e paisjeve/aseteve materiale</t>
  </si>
  <si>
    <t>13.12.2010</t>
  </si>
  <si>
    <t>Pozicioni me 31.12.2010</t>
  </si>
  <si>
    <t xml:space="preserve"> </t>
  </si>
  <si>
    <t>Viti   2011</t>
  </si>
  <si>
    <t>Pasqyrat    Financiare    te    Vitit   2011</t>
  </si>
  <si>
    <t>Pasqyra   e   te   Ardhurave   dhe   Shpenzimeve 2011</t>
  </si>
  <si>
    <t>Pasqyra   e   Fluksit   Monetar  -  Metoda  Indirekte  2011</t>
  </si>
  <si>
    <t>Pasqyra  e  Ndryshimeve  ne  Kapital  2011</t>
  </si>
  <si>
    <t>Te drejta e detyrime ndaj furnitoreve</t>
  </si>
  <si>
    <t>Sherbime Nenkontraktime dhe te tjera</t>
  </si>
  <si>
    <t>Te pa njohura</t>
  </si>
  <si>
    <t>1. Shp te pa njohura</t>
  </si>
  <si>
    <t>3. Penalitete dhe demshperblime</t>
  </si>
  <si>
    <t>Vlera ne fund</t>
  </si>
  <si>
    <t>Pozicioni me 31.12.2011</t>
  </si>
  <si>
    <t>Optima Communication sh.p.k</t>
  </si>
  <si>
    <t>K71917002K</t>
  </si>
  <si>
    <t xml:space="preserve">Rr. Nikolla Tupe, </t>
  </si>
  <si>
    <t>Sherbime Grafike Design etj…</t>
  </si>
  <si>
    <t>01.01.2011</t>
  </si>
  <si>
    <t>31.12.2011</t>
  </si>
  <si>
    <t>20.03.2012</t>
  </si>
  <si>
    <t>Paraardhese
(Rishikuar)</t>
  </si>
  <si>
    <t>Parapagime</t>
  </si>
  <si>
    <t>Fitimet (Humbjet) e pa shperndara</t>
  </si>
  <si>
    <t>Kapitali i nenshkruar</t>
  </si>
  <si>
    <t>Mjete transporti</t>
  </si>
  <si>
    <t>Detyrime tatimore per Tatime lokale</t>
  </si>
  <si>
    <t>Tatim fitimi</t>
  </si>
  <si>
    <t>Sherbime te tjera</t>
  </si>
  <si>
    <t>Blerje materialesh per zyre</t>
  </si>
  <si>
    <t xml:space="preserve">2. Shpenzime </t>
  </si>
  <si>
    <t>TOTAL</t>
  </si>
  <si>
    <t xml:space="preserve">Detyrime furnitore me kontrate 
per fatura te pamberritura
</t>
  </si>
  <si>
    <t>Kapitali aksionereve te shoq.meme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</si>
</sst>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-* #,##0_L_e_k_-;\-* #,##0_L_e_k_-;_-* &quot;-&quot;??_L_e_k_-;_-@_-"/>
    <numFmt numFmtId="166" formatCode="0.0;[Red]0.0"/>
  </numFmts>
  <fonts count="27">
    <font>
      <sz val="10"/>
      <name val="Arial"/>
    </font>
    <font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3" fontId="17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/>
    <xf numFmtId="3" fontId="17" fillId="0" borderId="0" xfId="0" applyNumberFormat="1" applyFont="1" applyBorder="1"/>
    <xf numFmtId="3" fontId="1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vertical="center"/>
    </xf>
    <xf numFmtId="165" fontId="17" fillId="0" borderId="0" xfId="1" applyNumberFormat="1" applyFont="1" applyBorder="1" applyAlignment="1">
      <alignment horizontal="right" vertical="center"/>
    </xf>
    <xf numFmtId="165" fontId="17" fillId="0" borderId="0" xfId="1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/>
    <xf numFmtId="165" fontId="8" fillId="0" borderId="0" xfId="1" applyNumberFormat="1" applyFont="1"/>
    <xf numFmtId="3" fontId="3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3" fontId="22" fillId="0" borderId="0" xfId="0" applyNumberFormat="1" applyFont="1" applyAlignment="1">
      <alignment horizontal="right" wrapText="1"/>
    </xf>
    <xf numFmtId="165" fontId="18" fillId="0" borderId="0" xfId="0" applyNumberFormat="1" applyFont="1" applyAlignment="1">
      <alignment vertical="center"/>
    </xf>
    <xf numFmtId="0" fontId="22" fillId="0" borderId="0" xfId="0" applyFont="1" applyAlignment="1">
      <alignment horizontal="right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1" fillId="0" borderId="0" xfId="1" applyNumberFormat="1" applyFont="1"/>
    <xf numFmtId="165" fontId="20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0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6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32" xfId="0" applyFont="1" applyBorder="1"/>
    <xf numFmtId="0" fontId="1" fillId="0" borderId="5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165" fontId="16" fillId="0" borderId="6" xfId="1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165" fontId="16" fillId="0" borderId="6" xfId="1" applyNumberFormat="1" applyFont="1" applyBorder="1" applyAlignment="1">
      <alignment vertical="center"/>
    </xf>
    <xf numFmtId="165" fontId="1" fillId="0" borderId="6" xfId="1" applyNumberFormat="1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38" fontId="1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8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5" fontId="1" fillId="0" borderId="22" xfId="1" applyNumberFormat="1" applyFont="1" applyBorder="1" applyAlignment="1">
      <alignment vertical="center"/>
    </xf>
    <xf numFmtId="165" fontId="1" fillId="0" borderId="10" xfId="1" applyNumberFormat="1" applyFont="1" applyBorder="1" applyAlignment="1">
      <alignment vertical="center"/>
    </xf>
    <xf numFmtId="0" fontId="16" fillId="0" borderId="6" xfId="0" applyFont="1" applyBorder="1" applyAlignment="1">
      <alignment horizontal="center"/>
    </xf>
    <xf numFmtId="165" fontId="16" fillId="0" borderId="6" xfId="1" applyNumberFormat="1" applyFont="1" applyBorder="1"/>
    <xf numFmtId="0" fontId="13" fillId="0" borderId="0" xfId="0" applyFont="1"/>
    <xf numFmtId="0" fontId="1" fillId="0" borderId="15" xfId="0" applyFont="1" applyBorder="1"/>
    <xf numFmtId="0" fontId="16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vertical="center"/>
    </xf>
    <xf numFmtId="3" fontId="16" fillId="0" borderId="40" xfId="0" applyNumberFormat="1" applyFont="1" applyFill="1" applyBorder="1" applyAlignment="1">
      <alignment vertical="center"/>
    </xf>
    <xf numFmtId="3" fontId="16" fillId="0" borderId="41" xfId="0" applyNumberFormat="1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3" fontId="1" fillId="2" borderId="22" xfId="0" applyNumberFormat="1" applyFont="1" applyFill="1" applyBorder="1" applyAlignment="1">
      <alignment vertical="center"/>
    </xf>
    <xf numFmtId="3" fontId="24" fillId="2" borderId="37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24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/>
    </xf>
    <xf numFmtId="3" fontId="16" fillId="2" borderId="19" xfId="0" applyNumberFormat="1" applyFont="1" applyFill="1" applyBorder="1" applyAlignment="1">
      <alignment vertical="center"/>
    </xf>
    <xf numFmtId="3" fontId="24" fillId="2" borderId="20" xfId="0" applyNumberFormat="1" applyFont="1" applyFill="1" applyBorder="1" applyAlignment="1">
      <alignment vertical="center"/>
    </xf>
    <xf numFmtId="165" fontId="16" fillId="3" borderId="3" xfId="1" applyNumberFormat="1" applyFont="1" applyFill="1" applyBorder="1"/>
    <xf numFmtId="165" fontId="16" fillId="0" borderId="6" xfId="1" applyNumberFormat="1" applyFont="1" applyBorder="1" applyAlignment="1">
      <alignment horizontal="left" vertical="center"/>
    </xf>
    <xf numFmtId="165" fontId="1" fillId="0" borderId="6" xfId="1" applyNumberFormat="1" applyFont="1" applyBorder="1" applyAlignment="1">
      <alignment horizontal="left" vertical="center"/>
    </xf>
    <xf numFmtId="165" fontId="16" fillId="0" borderId="6" xfId="1" applyNumberFormat="1" applyFont="1" applyFill="1" applyBorder="1" applyAlignment="1">
      <alignment horizontal="left" vertical="center"/>
    </xf>
    <xf numFmtId="165" fontId="25" fillId="0" borderId="6" xfId="1" applyNumberFormat="1" applyFont="1" applyBorder="1" applyAlignment="1">
      <alignment horizontal="left" vertical="center"/>
    </xf>
    <xf numFmtId="0" fontId="23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6" fontId="1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1" fontId="1" fillId="0" borderId="0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5" fontId="1" fillId="0" borderId="10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opLeftCell="A19" workbookViewId="0">
      <selection activeCell="H27" sqref="H27"/>
    </sheetView>
  </sheetViews>
  <sheetFormatPr defaultRowHeight="12.75"/>
  <cols>
    <col min="1" max="1" width="10.5703125" style="8" customWidth="1"/>
    <col min="2" max="2" width="0.5703125" style="8" customWidth="1"/>
    <col min="3" max="3" width="9.140625" style="8"/>
    <col min="4" max="4" width="9.28515625" style="8" customWidth="1"/>
    <col min="5" max="5" width="10.28515625" style="8" customWidth="1"/>
    <col min="6" max="6" width="12.85546875" style="8" customWidth="1"/>
    <col min="7" max="7" width="5.42578125" style="8" customWidth="1"/>
    <col min="8" max="9" width="9.140625" style="8"/>
    <col min="10" max="10" width="8.7109375" style="8" customWidth="1"/>
    <col min="11" max="11" width="5.42578125" style="8" customWidth="1"/>
    <col min="12" max="12" width="1.85546875" style="8" customWidth="1"/>
    <col min="13" max="16384" width="9.140625" style="8"/>
  </cols>
  <sheetData>
    <row r="1" spans="2:11" s="4" customFormat="1" ht="6.75" customHeight="1" thickBot="1"/>
    <row r="2" spans="2:11" s="4" customFormat="1">
      <c r="B2" s="70"/>
      <c r="C2" s="71"/>
      <c r="D2" s="71"/>
      <c r="E2" s="71"/>
      <c r="F2" s="71"/>
      <c r="G2" s="71"/>
      <c r="H2" s="71"/>
      <c r="I2" s="71"/>
      <c r="J2" s="71"/>
      <c r="K2" s="72"/>
    </row>
    <row r="3" spans="2:11" s="5" customFormat="1" ht="14.1" customHeight="1">
      <c r="B3" s="73"/>
      <c r="C3" s="79" t="s">
        <v>150</v>
      </c>
      <c r="D3" s="74"/>
      <c r="E3" s="74"/>
      <c r="F3" s="80" t="s">
        <v>188</v>
      </c>
      <c r="G3" s="81"/>
      <c r="H3" s="82"/>
      <c r="I3" s="80"/>
      <c r="J3" s="74"/>
      <c r="K3" s="75"/>
    </row>
    <row r="4" spans="2:11" s="5" customFormat="1" ht="14.1" customHeight="1">
      <c r="B4" s="73"/>
      <c r="C4" s="79" t="s">
        <v>95</v>
      </c>
      <c r="D4" s="74"/>
      <c r="E4" s="74"/>
      <c r="F4" s="80" t="s">
        <v>189</v>
      </c>
      <c r="G4" s="83"/>
      <c r="H4" s="84"/>
      <c r="I4" s="85"/>
      <c r="J4" s="85"/>
      <c r="K4" s="75"/>
    </row>
    <row r="5" spans="2:11" s="5" customFormat="1" ht="14.1" customHeight="1">
      <c r="B5" s="73"/>
      <c r="C5" s="79" t="s">
        <v>6</v>
      </c>
      <c r="D5" s="74"/>
      <c r="E5" s="74"/>
      <c r="F5" s="86" t="s">
        <v>190</v>
      </c>
      <c r="G5" s="80"/>
      <c r="H5" s="80"/>
      <c r="I5" s="80"/>
      <c r="J5" s="80"/>
      <c r="K5" s="87"/>
    </row>
    <row r="6" spans="2:11" s="5" customFormat="1" ht="14.1" customHeight="1">
      <c r="B6" s="73"/>
      <c r="C6" s="79"/>
      <c r="D6" s="74"/>
      <c r="E6" s="74"/>
      <c r="F6" s="74"/>
      <c r="G6" s="74"/>
      <c r="H6" s="88" t="s">
        <v>168</v>
      </c>
      <c r="I6" s="88"/>
      <c r="J6" s="85"/>
      <c r="K6" s="75"/>
    </row>
    <row r="7" spans="2:11" s="5" customFormat="1" ht="14.1" customHeight="1">
      <c r="B7" s="73"/>
      <c r="C7" s="79" t="s">
        <v>0</v>
      </c>
      <c r="D7" s="74"/>
      <c r="E7" s="74"/>
      <c r="F7" s="80" t="s">
        <v>173</v>
      </c>
      <c r="G7" s="89"/>
      <c r="H7" s="74"/>
      <c r="I7" s="74"/>
      <c r="J7" s="74"/>
      <c r="K7" s="75"/>
    </row>
    <row r="8" spans="2:11" s="5" customFormat="1" ht="14.1" customHeight="1">
      <c r="B8" s="73"/>
      <c r="C8" s="79" t="s">
        <v>1</v>
      </c>
      <c r="D8" s="74"/>
      <c r="E8" s="74"/>
      <c r="F8" s="90"/>
      <c r="G8" s="91"/>
      <c r="H8" s="74"/>
      <c r="I8" s="74"/>
      <c r="J8" s="74"/>
      <c r="K8" s="75"/>
    </row>
    <row r="9" spans="2:11" s="5" customFormat="1" ht="14.1" customHeight="1">
      <c r="B9" s="73"/>
      <c r="C9" s="79"/>
      <c r="D9" s="74"/>
      <c r="E9" s="74"/>
      <c r="F9" s="74"/>
      <c r="G9" s="74"/>
      <c r="H9" s="74"/>
      <c r="I9" s="74"/>
      <c r="J9" s="74"/>
      <c r="K9" s="75"/>
    </row>
    <row r="10" spans="2:11" s="5" customFormat="1" ht="14.1" customHeight="1">
      <c r="B10" s="73"/>
      <c r="C10" s="79" t="s">
        <v>32</v>
      </c>
      <c r="D10" s="74"/>
      <c r="E10" s="74"/>
      <c r="F10" s="74" t="s">
        <v>191</v>
      </c>
      <c r="G10" s="74"/>
      <c r="H10" s="74"/>
      <c r="I10" s="74"/>
      <c r="J10" s="74"/>
      <c r="K10" s="75"/>
    </row>
    <row r="11" spans="2:11" s="5" customFormat="1" ht="14.1" customHeight="1">
      <c r="B11" s="73"/>
      <c r="C11" s="74"/>
      <c r="D11" s="74"/>
      <c r="E11" s="74"/>
      <c r="F11" s="74"/>
      <c r="G11" s="74"/>
      <c r="H11" s="74"/>
      <c r="I11" s="74"/>
      <c r="J11" s="74"/>
      <c r="K11" s="75"/>
    </row>
    <row r="12" spans="2:11" s="5" customFormat="1" ht="14.1" customHeight="1">
      <c r="B12" s="73"/>
      <c r="C12" s="74"/>
      <c r="D12" s="74"/>
      <c r="E12" s="74"/>
      <c r="F12" s="74"/>
      <c r="G12" s="74"/>
      <c r="H12" s="74"/>
      <c r="I12" s="74"/>
      <c r="J12" s="74"/>
      <c r="K12" s="75"/>
    </row>
    <row r="13" spans="2:11" s="6" customFormat="1">
      <c r="B13" s="73"/>
      <c r="C13" s="74"/>
      <c r="D13" s="74"/>
      <c r="E13" s="74"/>
      <c r="F13" s="74"/>
      <c r="G13" s="74"/>
      <c r="H13" s="74"/>
      <c r="I13" s="74"/>
      <c r="J13" s="74"/>
      <c r="K13" s="75"/>
    </row>
    <row r="14" spans="2:11" s="6" customFormat="1">
      <c r="B14" s="73"/>
      <c r="C14" s="74"/>
      <c r="D14" s="74"/>
      <c r="E14" s="74"/>
      <c r="F14" s="74"/>
      <c r="G14" s="74" t="s">
        <v>175</v>
      </c>
      <c r="H14" s="74"/>
      <c r="I14" s="74"/>
      <c r="J14" s="74"/>
      <c r="K14" s="75"/>
    </row>
    <row r="15" spans="2:11" s="6" customFormat="1">
      <c r="B15" s="73"/>
      <c r="C15" s="74"/>
      <c r="D15" s="74"/>
      <c r="E15" s="74"/>
      <c r="F15" s="74"/>
      <c r="G15" s="74"/>
      <c r="H15" s="74"/>
      <c r="I15" s="74"/>
      <c r="J15" s="74"/>
      <c r="K15" s="75"/>
    </row>
    <row r="16" spans="2:11" s="6" customFormat="1">
      <c r="B16" s="73"/>
      <c r="C16" s="74"/>
      <c r="D16" s="74"/>
      <c r="E16" s="74"/>
      <c r="F16" s="74"/>
      <c r="G16" s="74"/>
      <c r="H16" s="74"/>
      <c r="I16" s="74"/>
      <c r="J16" s="74"/>
      <c r="K16" s="75"/>
    </row>
    <row r="17" spans="1:11" s="6" customFormat="1">
      <c r="B17" s="73"/>
      <c r="C17" s="74"/>
      <c r="D17" s="74"/>
      <c r="E17" s="74"/>
      <c r="F17" s="74"/>
      <c r="G17" s="74"/>
      <c r="H17" s="74"/>
      <c r="I17" s="74"/>
      <c r="J17" s="74"/>
      <c r="K17" s="75"/>
    </row>
    <row r="18" spans="1:11" s="6" customFormat="1">
      <c r="B18" s="73"/>
      <c r="C18" s="74"/>
      <c r="D18" s="74"/>
      <c r="E18" s="74"/>
      <c r="F18" s="74"/>
      <c r="G18" s="74"/>
      <c r="H18" s="74"/>
      <c r="I18" s="74"/>
      <c r="J18" s="74"/>
      <c r="K18" s="75"/>
    </row>
    <row r="19" spans="1:11" s="6" customFormat="1">
      <c r="B19" s="73"/>
      <c r="C19" s="74"/>
      <c r="D19" s="74"/>
      <c r="E19" s="74"/>
      <c r="F19" s="74"/>
      <c r="G19" s="74"/>
      <c r="H19" s="74"/>
      <c r="I19" s="74"/>
      <c r="J19" s="74"/>
      <c r="K19" s="75"/>
    </row>
    <row r="20" spans="1:11" s="6" customFormat="1">
      <c r="B20" s="73"/>
      <c r="C20" s="74"/>
      <c r="D20" s="74"/>
      <c r="E20" s="74"/>
      <c r="F20" s="74"/>
      <c r="G20" s="74"/>
      <c r="H20" s="74"/>
      <c r="I20" s="74"/>
      <c r="J20" s="74"/>
      <c r="K20" s="75"/>
    </row>
    <row r="21" spans="1:11" s="9" customFormat="1">
      <c r="A21" s="6"/>
      <c r="B21" s="169" t="s">
        <v>7</v>
      </c>
      <c r="C21" s="170"/>
      <c r="D21" s="170"/>
      <c r="E21" s="170"/>
      <c r="F21" s="170"/>
      <c r="G21" s="170"/>
      <c r="H21" s="170"/>
      <c r="I21" s="170"/>
      <c r="J21" s="170"/>
      <c r="K21" s="171"/>
    </row>
    <row r="22" spans="1:11" s="6" customFormat="1">
      <c r="A22" s="9"/>
      <c r="B22" s="73"/>
      <c r="C22" s="172" t="s">
        <v>63</v>
      </c>
      <c r="D22" s="172"/>
      <c r="E22" s="172"/>
      <c r="F22" s="172"/>
      <c r="G22" s="172"/>
      <c r="H22" s="172"/>
      <c r="I22" s="172"/>
      <c r="J22" s="172"/>
      <c r="K22" s="75"/>
    </row>
    <row r="23" spans="1:11" s="6" customFormat="1">
      <c r="B23" s="73"/>
      <c r="C23" s="172" t="s">
        <v>64</v>
      </c>
      <c r="D23" s="172"/>
      <c r="E23" s="172"/>
      <c r="F23" s="172"/>
      <c r="G23" s="172"/>
      <c r="H23" s="172"/>
      <c r="I23" s="172"/>
      <c r="J23" s="172"/>
      <c r="K23" s="75"/>
    </row>
    <row r="24" spans="1:11" s="6" customFormat="1">
      <c r="B24" s="73"/>
      <c r="C24" s="74"/>
      <c r="D24" s="74"/>
      <c r="E24" s="74"/>
      <c r="F24" s="74"/>
      <c r="G24" s="74"/>
      <c r="H24" s="74"/>
      <c r="I24" s="74"/>
      <c r="J24" s="74"/>
      <c r="K24" s="75"/>
    </row>
    <row r="25" spans="1:11" s="6" customFormat="1" ht="6.75" customHeight="1">
      <c r="B25" s="73"/>
      <c r="C25" s="74"/>
      <c r="D25" s="74"/>
      <c r="E25" s="74"/>
      <c r="F25" s="74"/>
      <c r="G25" s="74"/>
      <c r="H25" s="74"/>
      <c r="I25" s="74"/>
      <c r="J25" s="74"/>
      <c r="K25" s="75"/>
    </row>
    <row r="26" spans="1:11" s="10" customFormat="1" ht="30.75" customHeight="1">
      <c r="A26" s="6"/>
      <c r="B26" s="73"/>
      <c r="C26" s="74"/>
      <c r="D26" s="74"/>
      <c r="E26" s="170" t="s">
        <v>176</v>
      </c>
      <c r="F26" s="170"/>
      <c r="G26" s="170"/>
      <c r="H26" s="170"/>
      <c r="I26" s="170"/>
      <c r="J26" s="74"/>
      <c r="K26" s="75"/>
    </row>
    <row r="27" spans="1:11" s="10" customFormat="1">
      <c r="B27" s="73"/>
      <c r="C27" s="74"/>
      <c r="D27" s="74"/>
      <c r="E27" s="74"/>
      <c r="F27" s="74"/>
      <c r="G27" s="74"/>
      <c r="H27" s="74"/>
      <c r="I27" s="74"/>
      <c r="J27" s="74"/>
      <c r="K27" s="75"/>
    </row>
    <row r="28" spans="1:11" s="10" customFormat="1">
      <c r="B28" s="73"/>
      <c r="C28" s="74"/>
      <c r="D28" s="74"/>
      <c r="E28" s="74"/>
      <c r="F28" s="74"/>
      <c r="G28" s="74"/>
      <c r="H28" s="74"/>
      <c r="I28" s="74"/>
      <c r="J28" s="74"/>
      <c r="K28" s="75"/>
    </row>
    <row r="29" spans="1:11" s="10" customFormat="1">
      <c r="B29" s="73"/>
      <c r="C29" s="74"/>
      <c r="D29" s="74"/>
      <c r="E29" s="74"/>
      <c r="F29" s="74"/>
      <c r="G29" s="74"/>
      <c r="H29" s="74"/>
      <c r="I29" s="74"/>
      <c r="J29" s="74"/>
      <c r="K29" s="75"/>
    </row>
    <row r="30" spans="1:11" s="10" customFormat="1">
      <c r="B30" s="73"/>
      <c r="C30" s="74"/>
      <c r="D30" s="74"/>
      <c r="E30" s="74"/>
      <c r="F30" s="74"/>
      <c r="G30" s="74"/>
      <c r="H30" s="74"/>
      <c r="I30" s="74"/>
      <c r="J30" s="74"/>
      <c r="K30" s="75"/>
    </row>
    <row r="31" spans="1:11" s="10" customFormat="1">
      <c r="B31" s="73"/>
      <c r="C31" s="74"/>
      <c r="D31" s="74"/>
      <c r="E31" s="74"/>
      <c r="F31" s="74"/>
      <c r="G31" s="74"/>
      <c r="H31" s="74"/>
      <c r="I31" s="74"/>
      <c r="J31" s="74"/>
      <c r="K31" s="75"/>
    </row>
    <row r="32" spans="1:11" s="10" customFormat="1">
      <c r="B32" s="73"/>
      <c r="C32" s="74"/>
      <c r="D32" s="74"/>
      <c r="E32" s="74"/>
      <c r="F32" s="74"/>
      <c r="G32" s="74"/>
      <c r="H32" s="74"/>
      <c r="I32" s="74"/>
      <c r="J32" s="74"/>
      <c r="K32" s="75"/>
    </row>
    <row r="33" spans="2:11" s="10" customFormat="1" ht="9" customHeight="1">
      <c r="B33" s="73"/>
      <c r="C33" s="74"/>
      <c r="D33" s="74"/>
      <c r="E33" s="74"/>
      <c r="F33" s="74"/>
      <c r="G33" s="74"/>
      <c r="H33" s="74"/>
      <c r="I33" s="74"/>
      <c r="J33" s="74"/>
      <c r="K33" s="75"/>
    </row>
    <row r="34" spans="2:11" s="10" customFormat="1">
      <c r="B34" s="73"/>
      <c r="C34" s="74"/>
      <c r="D34" s="74"/>
      <c r="E34" s="74"/>
      <c r="F34" s="74"/>
      <c r="G34" s="74"/>
      <c r="H34" s="74"/>
      <c r="I34" s="74"/>
      <c r="J34" s="74"/>
      <c r="K34" s="75"/>
    </row>
    <row r="35" spans="2:11" s="10" customFormat="1">
      <c r="B35" s="73"/>
      <c r="C35" s="74"/>
      <c r="D35" s="74"/>
      <c r="E35" s="74"/>
      <c r="F35" s="74"/>
      <c r="G35" s="74"/>
      <c r="H35" s="74"/>
      <c r="I35" s="74"/>
      <c r="J35" s="74"/>
      <c r="K35" s="75"/>
    </row>
    <row r="36" spans="2:11" s="5" customFormat="1" ht="12.95" customHeight="1">
      <c r="B36" s="73"/>
      <c r="C36" s="74" t="s">
        <v>101</v>
      </c>
      <c r="D36" s="74"/>
      <c r="E36" s="74"/>
      <c r="F36" s="74"/>
      <c r="G36" s="74"/>
      <c r="H36" s="173" t="s">
        <v>152</v>
      </c>
      <c r="I36" s="173"/>
      <c r="J36" s="74"/>
      <c r="K36" s="75"/>
    </row>
    <row r="37" spans="2:11" s="5" customFormat="1" ht="12.95" customHeight="1">
      <c r="B37" s="73"/>
      <c r="C37" s="74" t="s">
        <v>102</v>
      </c>
      <c r="D37" s="74"/>
      <c r="E37" s="74"/>
      <c r="F37" s="74"/>
      <c r="G37" s="74"/>
      <c r="H37" s="175" t="s">
        <v>153</v>
      </c>
      <c r="I37" s="175"/>
      <c r="J37" s="74"/>
      <c r="K37" s="75"/>
    </row>
    <row r="38" spans="2:11" s="5" customFormat="1" ht="12.95" customHeight="1">
      <c r="B38" s="73"/>
      <c r="C38" s="74" t="s">
        <v>96</v>
      </c>
      <c r="D38" s="74"/>
      <c r="E38" s="74"/>
      <c r="F38" s="74"/>
      <c r="G38" s="74"/>
      <c r="H38" s="175" t="s">
        <v>151</v>
      </c>
      <c r="I38" s="175"/>
      <c r="J38" s="74"/>
      <c r="K38" s="75"/>
    </row>
    <row r="39" spans="2:11" s="5" customFormat="1" ht="12.95" customHeight="1">
      <c r="B39" s="73"/>
      <c r="C39" s="74" t="s">
        <v>97</v>
      </c>
      <c r="D39" s="74"/>
      <c r="E39" s="74"/>
      <c r="F39" s="74"/>
      <c r="G39" s="74"/>
      <c r="H39" s="175" t="s">
        <v>151</v>
      </c>
      <c r="I39" s="175"/>
      <c r="J39" s="74"/>
      <c r="K39" s="75"/>
    </row>
    <row r="40" spans="2:11" s="6" customFormat="1">
      <c r="B40" s="73"/>
      <c r="C40" s="74"/>
      <c r="D40" s="74"/>
      <c r="E40" s="74"/>
      <c r="F40" s="74"/>
      <c r="G40" s="74"/>
      <c r="H40" s="74"/>
      <c r="I40" s="74"/>
      <c r="J40" s="74"/>
      <c r="K40" s="75"/>
    </row>
    <row r="41" spans="2:11" s="7" customFormat="1" ht="12.95" customHeight="1">
      <c r="B41" s="73"/>
      <c r="C41" s="74" t="s">
        <v>103</v>
      </c>
      <c r="D41" s="74"/>
      <c r="E41" s="74"/>
      <c r="F41" s="74"/>
      <c r="G41" s="91" t="s">
        <v>98</v>
      </c>
      <c r="H41" s="176" t="s">
        <v>192</v>
      </c>
      <c r="I41" s="172"/>
      <c r="J41" s="74"/>
      <c r="K41" s="75"/>
    </row>
    <row r="42" spans="2:11" s="7" customFormat="1" ht="12.95" customHeight="1">
      <c r="B42" s="73"/>
      <c r="C42" s="74"/>
      <c r="D42" s="74"/>
      <c r="E42" s="74"/>
      <c r="F42" s="74"/>
      <c r="G42" s="91" t="s">
        <v>99</v>
      </c>
      <c r="H42" s="174" t="s">
        <v>193</v>
      </c>
      <c r="I42" s="172"/>
      <c r="J42" s="74"/>
      <c r="K42" s="75"/>
    </row>
    <row r="43" spans="2:11" s="7" customFormat="1" ht="7.5" customHeight="1">
      <c r="B43" s="73"/>
      <c r="C43" s="74"/>
      <c r="D43" s="74"/>
      <c r="E43" s="74"/>
      <c r="F43" s="74"/>
      <c r="G43" s="91"/>
      <c r="H43" s="91"/>
      <c r="I43" s="91"/>
      <c r="J43" s="74"/>
      <c r="K43" s="75"/>
    </row>
    <row r="44" spans="2:11" s="7" customFormat="1" ht="12.95" customHeight="1">
      <c r="B44" s="73"/>
      <c r="C44" s="74" t="s">
        <v>100</v>
      </c>
      <c r="D44" s="74"/>
      <c r="E44" s="74"/>
      <c r="F44" s="91"/>
      <c r="G44" s="74"/>
      <c r="H44" s="174" t="s">
        <v>194</v>
      </c>
      <c r="I44" s="172"/>
      <c r="J44" s="74"/>
      <c r="K44" s="75"/>
    </row>
    <row r="45" spans="2:11" ht="22.5" customHeight="1" thickBot="1">
      <c r="B45" s="76"/>
      <c r="C45" s="77"/>
      <c r="D45" s="77"/>
      <c r="E45" s="77"/>
      <c r="F45" s="77"/>
      <c r="G45" s="77"/>
      <c r="H45" s="77"/>
      <c r="I45" s="77"/>
      <c r="J45" s="77"/>
      <c r="K45" s="78"/>
    </row>
    <row r="46" spans="2:11" ht="6.75" customHeight="1"/>
  </sheetData>
  <mergeCells count="11">
    <mergeCell ref="B21:K21"/>
    <mergeCell ref="C22:J22"/>
    <mergeCell ref="C23:J23"/>
    <mergeCell ref="H36:I36"/>
    <mergeCell ref="H44:I44"/>
    <mergeCell ref="H42:I42"/>
    <mergeCell ref="H37:I37"/>
    <mergeCell ref="H38:I38"/>
    <mergeCell ref="H39:I39"/>
    <mergeCell ref="H41:I41"/>
    <mergeCell ref="E26:I2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K36" sqref="K36"/>
    </sheetView>
  </sheetViews>
  <sheetFormatPr defaultRowHeight="12.75"/>
  <cols>
    <col min="1" max="1" width="2" style="24" customWidth="1"/>
    <col min="2" max="2" width="3.7109375" style="25" customWidth="1"/>
    <col min="3" max="3" width="2.7109375" style="25" customWidth="1"/>
    <col min="4" max="4" width="2.42578125" style="25" customWidth="1"/>
    <col min="5" max="5" width="39.28515625" style="24" customWidth="1"/>
    <col min="6" max="6" width="8.5703125" style="25" customWidth="1"/>
    <col min="7" max="7" width="14.42578125" style="26" customWidth="1"/>
    <col min="8" max="8" width="14" style="26" customWidth="1"/>
    <col min="9" max="9" width="1.42578125" style="24" customWidth="1"/>
    <col min="10" max="10" width="17.28515625" style="24" customWidth="1"/>
    <col min="11" max="11" width="11.7109375" style="24" customWidth="1"/>
    <col min="12" max="16384" width="9.140625" style="24"/>
  </cols>
  <sheetData>
    <row r="1" spans="1:11" s="4" customFormat="1" ht="17.25" customHeight="1">
      <c r="B1" s="11"/>
      <c r="C1" s="11"/>
      <c r="D1" s="11"/>
      <c r="F1" s="11"/>
      <c r="G1" s="12"/>
      <c r="H1" s="12"/>
    </row>
    <row r="2" spans="1:11" s="16" customFormat="1" ht="18">
      <c r="B2" s="13"/>
      <c r="C2" s="14"/>
      <c r="D2" s="14"/>
      <c r="E2" s="15"/>
      <c r="F2" s="39"/>
      <c r="G2" s="177"/>
      <c r="H2" s="177"/>
    </row>
    <row r="3" spans="1:11" s="16" customFormat="1" ht="9" customHeight="1">
      <c r="B3" s="13"/>
      <c r="C3" s="14"/>
      <c r="D3" s="14"/>
      <c r="E3" s="15"/>
      <c r="F3" s="39"/>
      <c r="G3" s="17"/>
      <c r="H3" s="17"/>
    </row>
    <row r="4" spans="1:11" s="18" customFormat="1" ht="15" customHeight="1">
      <c r="B4" s="178" t="s">
        <v>177</v>
      </c>
      <c r="C4" s="178"/>
      <c r="D4" s="178"/>
      <c r="E4" s="178"/>
      <c r="F4" s="178"/>
      <c r="G4" s="178"/>
      <c r="H4" s="178"/>
    </row>
    <row r="5" spans="1:11" s="8" customFormat="1" ht="15" customHeight="1">
      <c r="B5" s="11"/>
      <c r="C5" s="11"/>
      <c r="D5" s="11"/>
      <c r="E5" s="4"/>
      <c r="F5" s="11"/>
      <c r="G5" s="12"/>
      <c r="H5" s="12"/>
    </row>
    <row r="6" spans="1:11" s="8" customFormat="1" ht="15" customHeight="1">
      <c r="A6" s="45"/>
      <c r="B6" s="182" t="s">
        <v>2</v>
      </c>
      <c r="C6" s="184" t="s">
        <v>8</v>
      </c>
      <c r="D6" s="185"/>
      <c r="E6" s="186"/>
      <c r="F6" s="182" t="s">
        <v>9</v>
      </c>
      <c r="G6" s="93" t="s">
        <v>133</v>
      </c>
      <c r="H6" s="93" t="s">
        <v>133</v>
      </c>
    </row>
    <row r="7" spans="1:11" s="8" customFormat="1" ht="30" customHeight="1">
      <c r="A7" s="45"/>
      <c r="B7" s="183"/>
      <c r="C7" s="187"/>
      <c r="D7" s="188"/>
      <c r="E7" s="189"/>
      <c r="F7" s="183"/>
      <c r="G7" s="94" t="s">
        <v>134</v>
      </c>
      <c r="H7" s="95" t="s">
        <v>195</v>
      </c>
    </row>
    <row r="8" spans="1:11" s="19" customFormat="1" ht="15" customHeight="1">
      <c r="A8" s="44"/>
      <c r="B8" s="96" t="s">
        <v>3</v>
      </c>
      <c r="C8" s="179" t="s">
        <v>149</v>
      </c>
      <c r="D8" s="180"/>
      <c r="E8" s="181"/>
      <c r="F8" s="96"/>
      <c r="G8" s="163">
        <f>G9+G12+G13+G21+G29+G30+G31</f>
        <v>30334420.219999999</v>
      </c>
      <c r="H8" s="163">
        <f>H9+H12+H13+H21+H29+H30+H31</f>
        <v>7680290.4700000007</v>
      </c>
      <c r="J8" s="50"/>
    </row>
    <row r="9" spans="1:11" s="19" customFormat="1" ht="15" customHeight="1">
      <c r="A9" s="44"/>
      <c r="B9" s="98"/>
      <c r="C9" s="99">
        <v>1</v>
      </c>
      <c r="D9" s="100" t="s">
        <v>10</v>
      </c>
      <c r="E9" s="101"/>
      <c r="F9" s="98">
        <v>4</v>
      </c>
      <c r="G9" s="163">
        <f>G10+G11</f>
        <v>11120763.369999999</v>
      </c>
      <c r="H9" s="163">
        <f>H10+H11</f>
        <v>3332167.2699999996</v>
      </c>
    </row>
    <row r="10" spans="1:11" s="20" customFormat="1" ht="15" customHeight="1">
      <c r="B10" s="102"/>
      <c r="C10" s="99"/>
      <c r="D10" s="103" t="s">
        <v>104</v>
      </c>
      <c r="E10" s="104" t="s">
        <v>29</v>
      </c>
      <c r="F10" s="105"/>
      <c r="G10" s="164">
        <f>181519.9+11761.05+3399179.38+5378028.64+10758.74+24308.64+2334.02+1376263</f>
        <v>10384153.369999999</v>
      </c>
      <c r="H10" s="164">
        <v>2579693.5499999998</v>
      </c>
    </row>
    <row r="11" spans="1:11" s="20" customFormat="1" ht="15" customHeight="1">
      <c r="B11" s="102"/>
      <c r="C11" s="99"/>
      <c r="D11" s="103" t="s">
        <v>104</v>
      </c>
      <c r="E11" s="104" t="s">
        <v>30</v>
      </c>
      <c r="F11" s="102"/>
      <c r="G11" s="164">
        <v>736610</v>
      </c>
      <c r="H11" s="164">
        <v>752473.72</v>
      </c>
    </row>
    <row r="12" spans="1:11" s="19" customFormat="1" ht="15" customHeight="1">
      <c r="A12" s="44"/>
      <c r="B12" s="98"/>
      <c r="C12" s="99">
        <v>2</v>
      </c>
      <c r="D12" s="100" t="s">
        <v>137</v>
      </c>
      <c r="E12" s="101"/>
      <c r="F12" s="96"/>
      <c r="G12" s="163">
        <v>0</v>
      </c>
      <c r="H12" s="163">
        <v>0</v>
      </c>
      <c r="J12" s="51"/>
    </row>
    <row r="13" spans="1:11" s="19" customFormat="1" ht="15" customHeight="1">
      <c r="A13" s="44"/>
      <c r="B13" s="98"/>
      <c r="C13" s="99">
        <v>3</v>
      </c>
      <c r="D13" s="100" t="s">
        <v>138</v>
      </c>
      <c r="E13" s="101"/>
      <c r="F13" s="98"/>
      <c r="G13" s="163">
        <f>G14+G15+G16+G17+G18+G19+G20</f>
        <v>19213656.850000001</v>
      </c>
      <c r="H13" s="163">
        <f>H14+H15+H16+H17+H18+H19+H20</f>
        <v>4348123.2000000011</v>
      </c>
      <c r="J13" s="52">
        <f>G13-H13</f>
        <v>14865533.65</v>
      </c>
    </row>
    <row r="14" spans="1:11" s="20" customFormat="1" ht="15" customHeight="1">
      <c r="B14" s="102"/>
      <c r="C14" s="107"/>
      <c r="D14" s="103" t="s">
        <v>104</v>
      </c>
      <c r="E14" s="104" t="s">
        <v>139</v>
      </c>
      <c r="F14" s="105"/>
      <c r="G14" s="164">
        <v>8822199.1699999999</v>
      </c>
      <c r="H14" s="164">
        <f>1484893+695243.99+451800+8019.74+600000-864.53</f>
        <v>3239092.2000000007</v>
      </c>
      <c r="J14" s="51"/>
    </row>
    <row r="15" spans="1:11" s="20" customFormat="1" ht="15" customHeight="1">
      <c r="B15" s="102"/>
      <c r="C15" s="107"/>
      <c r="D15" s="103" t="s">
        <v>104</v>
      </c>
      <c r="E15" s="104" t="s">
        <v>105</v>
      </c>
      <c r="F15" s="102"/>
      <c r="G15" s="164">
        <f>4684303-553500</f>
        <v>4130803</v>
      </c>
      <c r="H15" s="164"/>
      <c r="J15" s="51"/>
    </row>
    <row r="16" spans="1:11" s="20" customFormat="1" ht="15" customHeight="1">
      <c r="B16" s="102"/>
      <c r="C16" s="107"/>
      <c r="D16" s="103" t="s">
        <v>104</v>
      </c>
      <c r="E16" s="104" t="s">
        <v>106</v>
      </c>
      <c r="F16" s="105">
        <v>5</v>
      </c>
      <c r="G16" s="164"/>
      <c r="H16" s="164"/>
      <c r="J16" s="52"/>
      <c r="K16" s="55"/>
    </row>
    <row r="17" spans="1:11" s="20" customFormat="1" ht="15" customHeight="1">
      <c r="B17" s="102"/>
      <c r="C17" s="107"/>
      <c r="D17" s="103" t="s">
        <v>104</v>
      </c>
      <c r="E17" s="104" t="s">
        <v>107</v>
      </c>
      <c r="F17" s="102">
        <v>5</v>
      </c>
      <c r="G17" s="164"/>
      <c r="H17" s="164"/>
      <c r="J17" s="51"/>
      <c r="K17" s="55"/>
    </row>
    <row r="18" spans="1:11" s="20" customFormat="1" ht="15" customHeight="1">
      <c r="B18" s="102"/>
      <c r="C18" s="107"/>
      <c r="D18" s="103" t="s">
        <v>104</v>
      </c>
      <c r="E18" s="104" t="s">
        <v>110</v>
      </c>
      <c r="F18" s="105">
        <v>5</v>
      </c>
      <c r="G18" s="164">
        <f>1726220+151316</f>
        <v>1877536</v>
      </c>
      <c r="H18" s="164"/>
      <c r="J18" s="51"/>
      <c r="K18" s="55"/>
    </row>
    <row r="19" spans="1:11" s="20" customFormat="1" ht="15" customHeight="1">
      <c r="B19" s="102"/>
      <c r="C19" s="107"/>
      <c r="D19" s="103" t="s">
        <v>104</v>
      </c>
      <c r="E19" s="104" t="s">
        <v>181</v>
      </c>
      <c r="F19" s="102"/>
      <c r="G19" s="164"/>
      <c r="H19" s="164"/>
      <c r="J19" s="51"/>
      <c r="K19" s="55"/>
    </row>
    <row r="20" spans="1:11" s="20" customFormat="1" ht="15" customHeight="1">
      <c r="B20" s="102"/>
      <c r="C20" s="107"/>
      <c r="D20" s="103" t="s">
        <v>104</v>
      </c>
      <c r="E20" s="104" t="s">
        <v>117</v>
      </c>
      <c r="F20" s="105"/>
      <c r="G20" s="164">
        <f>1598837+2071287+691243.25+21751.43</f>
        <v>4383118.68</v>
      </c>
      <c r="H20" s="164">
        <v>1109031</v>
      </c>
      <c r="J20" s="51"/>
    </row>
    <row r="21" spans="1:11" s="19" customFormat="1" ht="15" customHeight="1">
      <c r="A21" s="44"/>
      <c r="B21" s="98"/>
      <c r="C21" s="99">
        <v>4</v>
      </c>
      <c r="D21" s="100" t="s">
        <v>11</v>
      </c>
      <c r="E21" s="101"/>
      <c r="F21" s="98">
        <v>6</v>
      </c>
      <c r="G21" s="163">
        <f>G22+G23+G24+G25+G26+G27+G28</f>
        <v>0</v>
      </c>
      <c r="H21" s="163">
        <f>H22+H23+H24+H25+H26+H27+H28</f>
        <v>0</v>
      </c>
      <c r="J21" s="51"/>
    </row>
    <row r="22" spans="1:11" s="20" customFormat="1" ht="15" customHeight="1">
      <c r="B22" s="102"/>
      <c r="C22" s="107"/>
      <c r="D22" s="103" t="s">
        <v>104</v>
      </c>
      <c r="E22" s="104" t="s">
        <v>12</v>
      </c>
      <c r="F22" s="105"/>
      <c r="G22" s="164">
        <v>0</v>
      </c>
      <c r="H22" s="164">
        <v>0</v>
      </c>
      <c r="J22" s="51"/>
    </row>
    <row r="23" spans="1:11" s="20" customFormat="1" ht="15" customHeight="1">
      <c r="B23" s="102"/>
      <c r="C23" s="107"/>
      <c r="D23" s="103" t="s">
        <v>104</v>
      </c>
      <c r="E23" s="104" t="s">
        <v>109</v>
      </c>
      <c r="F23" s="102"/>
      <c r="G23" s="164">
        <v>0</v>
      </c>
      <c r="H23" s="164">
        <v>0</v>
      </c>
      <c r="J23" s="51"/>
    </row>
    <row r="24" spans="1:11" s="20" customFormat="1" ht="15" customHeight="1">
      <c r="B24" s="102"/>
      <c r="C24" s="107"/>
      <c r="D24" s="103" t="s">
        <v>104</v>
      </c>
      <c r="E24" s="104" t="s">
        <v>13</v>
      </c>
      <c r="F24" s="105"/>
      <c r="G24" s="164">
        <v>0</v>
      </c>
      <c r="H24" s="164">
        <v>0</v>
      </c>
      <c r="J24" s="51"/>
    </row>
    <row r="25" spans="1:11" s="20" customFormat="1" ht="15" customHeight="1">
      <c r="B25" s="102"/>
      <c r="C25" s="107"/>
      <c r="D25" s="103" t="s">
        <v>104</v>
      </c>
      <c r="E25" s="104" t="s">
        <v>140</v>
      </c>
      <c r="F25" s="102"/>
      <c r="G25" s="164">
        <v>0</v>
      </c>
      <c r="H25" s="164">
        <v>0</v>
      </c>
      <c r="J25" s="51"/>
    </row>
    <row r="26" spans="1:11" s="20" customFormat="1" ht="15" customHeight="1">
      <c r="B26" s="102"/>
      <c r="C26" s="107"/>
      <c r="D26" s="103" t="s">
        <v>104</v>
      </c>
      <c r="E26" s="104" t="s">
        <v>14</v>
      </c>
      <c r="F26" s="105"/>
      <c r="G26" s="164">
        <v>0</v>
      </c>
      <c r="H26" s="164">
        <v>0</v>
      </c>
      <c r="J26" s="51"/>
    </row>
    <row r="27" spans="1:11" s="20" customFormat="1" ht="15" customHeight="1">
      <c r="B27" s="102"/>
      <c r="C27" s="107"/>
      <c r="D27" s="103" t="s">
        <v>104</v>
      </c>
      <c r="E27" s="104" t="s">
        <v>15</v>
      </c>
      <c r="F27" s="102"/>
      <c r="G27" s="164">
        <v>0</v>
      </c>
      <c r="H27" s="164">
        <v>0</v>
      </c>
      <c r="J27" s="51"/>
    </row>
    <row r="28" spans="1:11" s="20" customFormat="1" ht="15" customHeight="1">
      <c r="B28" s="102"/>
      <c r="C28" s="107"/>
      <c r="D28" s="103" t="s">
        <v>104</v>
      </c>
      <c r="E28" s="104"/>
      <c r="F28" s="105"/>
      <c r="G28" s="164">
        <v>0</v>
      </c>
      <c r="H28" s="164">
        <v>0</v>
      </c>
      <c r="J28" s="51"/>
    </row>
    <row r="29" spans="1:11" s="19" customFormat="1" ht="15" customHeight="1">
      <c r="A29" s="44"/>
      <c r="B29" s="98"/>
      <c r="C29" s="99">
        <v>5</v>
      </c>
      <c r="D29" s="100" t="s">
        <v>141</v>
      </c>
      <c r="E29" s="101"/>
      <c r="F29" s="98"/>
      <c r="G29" s="163">
        <v>0</v>
      </c>
      <c r="H29" s="163">
        <v>0</v>
      </c>
      <c r="J29" s="51"/>
    </row>
    <row r="30" spans="1:11" s="19" customFormat="1" ht="15" customHeight="1">
      <c r="A30" s="44"/>
      <c r="B30" s="98"/>
      <c r="C30" s="99">
        <v>6</v>
      </c>
      <c r="D30" s="100" t="s">
        <v>142</v>
      </c>
      <c r="E30" s="101"/>
      <c r="F30" s="96"/>
      <c r="G30" s="163">
        <v>0</v>
      </c>
      <c r="H30" s="163">
        <v>0</v>
      </c>
      <c r="J30" s="51"/>
    </row>
    <row r="31" spans="1:11" s="19" customFormat="1" ht="15" customHeight="1">
      <c r="A31" s="44"/>
      <c r="B31" s="98"/>
      <c r="C31" s="99">
        <v>7</v>
      </c>
      <c r="D31" s="100" t="s">
        <v>16</v>
      </c>
      <c r="E31" s="101"/>
      <c r="F31" s="98">
        <v>7</v>
      </c>
      <c r="G31" s="163">
        <f>G32+G33</f>
        <v>0</v>
      </c>
      <c r="H31" s="163">
        <f>H32+H33</f>
        <v>0</v>
      </c>
      <c r="J31" s="52"/>
    </row>
    <row r="32" spans="1:11" s="19" customFormat="1" ht="15" customHeight="1">
      <c r="B32" s="102"/>
      <c r="C32" s="99"/>
      <c r="D32" s="103" t="s">
        <v>104</v>
      </c>
      <c r="E32" s="108" t="s">
        <v>143</v>
      </c>
      <c r="F32" s="105"/>
      <c r="G32" s="164"/>
      <c r="H32" s="164"/>
      <c r="J32" s="51"/>
    </row>
    <row r="33" spans="1:10" s="19" customFormat="1" ht="15" customHeight="1">
      <c r="B33" s="102"/>
      <c r="C33" s="99"/>
      <c r="D33" s="103" t="s">
        <v>104</v>
      </c>
      <c r="E33" s="108"/>
      <c r="F33" s="102"/>
      <c r="G33" s="164">
        <v>0</v>
      </c>
      <c r="H33" s="164">
        <v>0</v>
      </c>
    </row>
    <row r="34" spans="1:10" s="19" customFormat="1" ht="15" customHeight="1">
      <c r="A34" s="44"/>
      <c r="B34" s="98" t="s">
        <v>4</v>
      </c>
      <c r="C34" s="179" t="s">
        <v>17</v>
      </c>
      <c r="D34" s="180"/>
      <c r="E34" s="181"/>
      <c r="F34" s="96"/>
      <c r="G34" s="163">
        <f>G35+G36+G42+G43+G44+G45</f>
        <v>2998178.44</v>
      </c>
      <c r="H34" s="163">
        <f>H35+H36+H42+H43+H44+H45</f>
        <v>3573541.04</v>
      </c>
    </row>
    <row r="35" spans="1:10" s="19" customFormat="1" ht="15" customHeight="1">
      <c r="A35" s="44"/>
      <c r="B35" s="98"/>
      <c r="C35" s="99">
        <v>1</v>
      </c>
      <c r="D35" s="100" t="s">
        <v>18</v>
      </c>
      <c r="E35" s="101"/>
      <c r="F35" s="98"/>
      <c r="G35" s="163">
        <v>0</v>
      </c>
      <c r="H35" s="163">
        <v>0</v>
      </c>
    </row>
    <row r="36" spans="1:10" s="19" customFormat="1" ht="15" customHeight="1">
      <c r="A36" s="44"/>
      <c r="B36" s="98"/>
      <c r="C36" s="99">
        <v>2</v>
      </c>
      <c r="D36" s="100" t="s">
        <v>19</v>
      </c>
      <c r="E36" s="101"/>
      <c r="F36" s="96">
        <v>8</v>
      </c>
      <c r="G36" s="163">
        <f>G37+G38+G40+G41+G39</f>
        <v>2998178.44</v>
      </c>
      <c r="H36" s="163">
        <f>H37+H38+H40+H41+H39</f>
        <v>3573541.04</v>
      </c>
    </row>
    <row r="37" spans="1:10" s="20" customFormat="1" ht="15" customHeight="1">
      <c r="B37" s="102"/>
      <c r="C37" s="107"/>
      <c r="D37" s="103" t="s">
        <v>104</v>
      </c>
      <c r="E37" s="104" t="s">
        <v>24</v>
      </c>
      <c r="F37" s="102"/>
      <c r="G37" s="164">
        <v>0</v>
      </c>
      <c r="H37" s="164">
        <v>0</v>
      </c>
    </row>
    <row r="38" spans="1:10" s="20" customFormat="1" ht="15" customHeight="1">
      <c r="B38" s="102"/>
      <c r="C38" s="107"/>
      <c r="D38" s="103" t="s">
        <v>104</v>
      </c>
      <c r="E38" s="104" t="s">
        <v>5</v>
      </c>
      <c r="F38" s="105"/>
      <c r="G38" s="164">
        <v>0</v>
      </c>
      <c r="H38" s="164">
        <v>0</v>
      </c>
    </row>
    <row r="39" spans="1:10" s="20" customFormat="1" ht="15" customHeight="1">
      <c r="B39" s="102"/>
      <c r="C39" s="107"/>
      <c r="D39" s="103" t="s">
        <v>104</v>
      </c>
      <c r="E39" s="104" t="s">
        <v>199</v>
      </c>
      <c r="F39" s="105"/>
      <c r="G39" s="164">
        <v>927293</v>
      </c>
      <c r="H39" s="164">
        <v>1159116</v>
      </c>
    </row>
    <row r="40" spans="1:10" s="20" customFormat="1" ht="15" customHeight="1">
      <c r="B40" s="102"/>
      <c r="C40" s="107"/>
      <c r="D40" s="103" t="s">
        <v>104</v>
      </c>
      <c r="E40" s="104" t="s">
        <v>108</v>
      </c>
      <c r="F40" s="102"/>
      <c r="G40" s="164">
        <f>1587115.04</f>
        <v>1587115.04</v>
      </c>
      <c r="H40" s="164">
        <f>2116154.04</f>
        <v>2116154.04</v>
      </c>
    </row>
    <row r="41" spans="1:10" s="20" customFormat="1" ht="15" customHeight="1">
      <c r="B41" s="102"/>
      <c r="C41" s="107"/>
      <c r="D41" s="103" t="s">
        <v>104</v>
      </c>
      <c r="E41" s="104" t="s">
        <v>116</v>
      </c>
      <c r="F41" s="105"/>
      <c r="G41" s="164">
        <f>348535.4+135235</f>
        <v>483770.4</v>
      </c>
      <c r="H41" s="164">
        <f>212957+85314</f>
        <v>298271</v>
      </c>
    </row>
    <row r="42" spans="1:10" s="19" customFormat="1" ht="15" customHeight="1">
      <c r="A42" s="44"/>
      <c r="B42" s="98"/>
      <c r="C42" s="99">
        <v>3</v>
      </c>
      <c r="D42" s="100" t="s">
        <v>20</v>
      </c>
      <c r="E42" s="101"/>
      <c r="F42" s="98"/>
      <c r="G42" s="163"/>
      <c r="H42" s="163">
        <v>0</v>
      </c>
    </row>
    <row r="43" spans="1:10" s="19" customFormat="1" ht="15" customHeight="1">
      <c r="A43" s="44"/>
      <c r="B43" s="98"/>
      <c r="C43" s="99">
        <v>4</v>
      </c>
      <c r="D43" s="100" t="s">
        <v>21</v>
      </c>
      <c r="E43" s="101"/>
      <c r="F43" s="96"/>
      <c r="G43" s="163">
        <v>0</v>
      </c>
      <c r="H43" s="163">
        <v>0</v>
      </c>
    </row>
    <row r="44" spans="1:10" s="19" customFormat="1" ht="15" customHeight="1">
      <c r="A44" s="44"/>
      <c r="B44" s="98"/>
      <c r="C44" s="99">
        <v>5</v>
      </c>
      <c r="D44" s="100" t="s">
        <v>22</v>
      </c>
      <c r="E44" s="101"/>
      <c r="F44" s="98">
        <v>9</v>
      </c>
      <c r="G44" s="165"/>
      <c r="H44" s="165"/>
      <c r="J44" s="50"/>
    </row>
    <row r="45" spans="1:10" s="19" customFormat="1" ht="15" customHeight="1">
      <c r="A45" s="44"/>
      <c r="B45" s="98"/>
      <c r="C45" s="99">
        <v>6</v>
      </c>
      <c r="D45" s="100" t="s">
        <v>23</v>
      </c>
      <c r="E45" s="101"/>
      <c r="F45" s="96"/>
      <c r="G45" s="163">
        <v>0</v>
      </c>
      <c r="H45" s="163">
        <v>0</v>
      </c>
    </row>
    <row r="46" spans="1:10" s="19" customFormat="1" ht="15" customHeight="1">
      <c r="A46" s="44"/>
      <c r="B46" s="109"/>
      <c r="C46" s="179" t="s">
        <v>49</v>
      </c>
      <c r="D46" s="180"/>
      <c r="E46" s="181"/>
      <c r="F46" s="98"/>
      <c r="G46" s="166">
        <f>G34+G8</f>
        <v>33332598.66</v>
      </c>
      <c r="H46" s="166">
        <f>H34+H8</f>
        <v>11253831.510000002</v>
      </c>
      <c r="J46" s="50"/>
    </row>
    <row r="47" spans="1:10" s="19" customFormat="1" ht="15" customHeight="1">
      <c r="B47" s="21"/>
      <c r="C47" s="21"/>
      <c r="D47" s="21"/>
      <c r="E47" s="21"/>
      <c r="F47" s="21"/>
      <c r="G47" s="41"/>
      <c r="H47" s="41"/>
    </row>
    <row r="48" spans="1:10" s="19" customFormat="1" ht="15.95" customHeight="1">
      <c r="B48" s="21"/>
      <c r="C48" s="21"/>
      <c r="D48" s="21"/>
      <c r="E48" s="21"/>
      <c r="F48" s="21"/>
      <c r="G48" s="41"/>
      <c r="H48" s="41"/>
    </row>
    <row r="49" spans="7:8">
      <c r="G49" s="42"/>
      <c r="H49" s="42"/>
    </row>
    <row r="50" spans="7:8">
      <c r="G50" s="42"/>
      <c r="H50" s="42"/>
    </row>
    <row r="51" spans="7:8">
      <c r="G51" s="42"/>
      <c r="H51" s="42"/>
    </row>
    <row r="52" spans="7:8">
      <c r="G52" s="43"/>
      <c r="H52" s="43"/>
    </row>
    <row r="53" spans="7:8">
      <c r="G53" s="43"/>
      <c r="H53" s="43"/>
    </row>
    <row r="54" spans="7:8">
      <c r="G54" s="43"/>
      <c r="H54" s="43"/>
    </row>
  </sheetData>
  <mergeCells count="8">
    <mergeCell ref="G2:H2"/>
    <mergeCell ref="B4:H4"/>
    <mergeCell ref="C34:E34"/>
    <mergeCell ref="C46:E46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56"/>
  <sheetViews>
    <sheetView topLeftCell="A19" workbookViewId="0">
      <selection activeCell="L35" sqref="L35"/>
    </sheetView>
  </sheetViews>
  <sheetFormatPr defaultRowHeight="12.75"/>
  <cols>
    <col min="1" max="1" width="2.5703125" style="24" customWidth="1"/>
    <col min="2" max="2" width="3.7109375" style="25" customWidth="1"/>
    <col min="3" max="3" width="2.7109375" style="25" customWidth="1"/>
    <col min="4" max="4" width="4" style="25" customWidth="1"/>
    <col min="5" max="5" width="39" style="24" customWidth="1"/>
    <col min="6" max="6" width="8.7109375" style="25" customWidth="1"/>
    <col min="7" max="8" width="14.28515625" style="26" customWidth="1"/>
    <col min="9" max="9" width="1.42578125" style="24" customWidth="1"/>
    <col min="10" max="10" width="14.7109375" style="24" bestFit="1" customWidth="1"/>
    <col min="11" max="16384" width="9.140625" style="24"/>
  </cols>
  <sheetData>
    <row r="2" spans="1:10" s="16" customFormat="1" ht="18">
      <c r="B2" s="13"/>
      <c r="C2" s="14"/>
      <c r="D2" s="14"/>
      <c r="E2" s="15"/>
      <c r="F2" s="39"/>
      <c r="G2" s="177"/>
      <c r="H2" s="177"/>
    </row>
    <row r="3" spans="1:10" s="16" customFormat="1" ht="6" customHeight="1">
      <c r="B3" s="13"/>
      <c r="C3" s="14"/>
      <c r="D3" s="14"/>
      <c r="E3" s="15"/>
      <c r="F3" s="39"/>
      <c r="G3" s="17"/>
      <c r="H3" s="17"/>
    </row>
    <row r="4" spans="1:10" s="27" customFormat="1" ht="14.1" customHeight="1">
      <c r="A4" s="44"/>
      <c r="B4" s="178" t="s">
        <v>177</v>
      </c>
      <c r="C4" s="178"/>
      <c r="D4" s="178"/>
      <c r="E4" s="178"/>
      <c r="F4" s="178"/>
      <c r="G4" s="178"/>
      <c r="H4" s="178"/>
    </row>
    <row r="5" spans="1:10" s="6" customFormat="1" ht="14.1" customHeight="1">
      <c r="A5" s="45"/>
      <c r="B5" s="112"/>
      <c r="C5" s="112"/>
      <c r="D5" s="112"/>
      <c r="E5" s="54"/>
      <c r="F5" s="112"/>
      <c r="G5" s="113"/>
      <c r="H5" s="113"/>
    </row>
    <row r="6" spans="1:10" s="27" customFormat="1" ht="14.1" customHeight="1">
      <c r="A6" s="44"/>
      <c r="B6" s="182" t="s">
        <v>2</v>
      </c>
      <c r="C6" s="184" t="s">
        <v>45</v>
      </c>
      <c r="D6" s="185"/>
      <c r="E6" s="186"/>
      <c r="F6" s="182" t="s">
        <v>9</v>
      </c>
      <c r="G6" s="93" t="s">
        <v>133</v>
      </c>
      <c r="H6" s="93" t="s">
        <v>133</v>
      </c>
    </row>
    <row r="7" spans="1:10" s="27" customFormat="1" ht="29.25" customHeight="1">
      <c r="A7" s="44"/>
      <c r="B7" s="183"/>
      <c r="C7" s="187"/>
      <c r="D7" s="188"/>
      <c r="E7" s="189"/>
      <c r="F7" s="183"/>
      <c r="G7" s="94" t="s">
        <v>134</v>
      </c>
      <c r="H7" s="95" t="s">
        <v>195</v>
      </c>
    </row>
    <row r="8" spans="1:10" s="19" customFormat="1" ht="14.1" customHeight="1">
      <c r="A8" s="44"/>
      <c r="B8" s="98" t="s">
        <v>3</v>
      </c>
      <c r="C8" s="179" t="s">
        <v>135</v>
      </c>
      <c r="D8" s="180"/>
      <c r="E8" s="181"/>
      <c r="F8" s="98"/>
      <c r="G8" s="114">
        <f>G9+G10+G13+G24+G25</f>
        <v>11417054.231000001</v>
      </c>
      <c r="H8" s="114">
        <f>H9+H10+H13+H24+H25</f>
        <v>4372035.63</v>
      </c>
      <c r="J8" s="50"/>
    </row>
    <row r="9" spans="1:10" s="19" customFormat="1" ht="14.1" customHeight="1">
      <c r="A9" s="44"/>
      <c r="B9" s="98"/>
      <c r="C9" s="99">
        <v>1</v>
      </c>
      <c r="D9" s="100" t="s">
        <v>25</v>
      </c>
      <c r="E9" s="101"/>
      <c r="F9" s="98"/>
      <c r="G9" s="114">
        <v>0</v>
      </c>
      <c r="H9" s="114">
        <v>0</v>
      </c>
    </row>
    <row r="10" spans="1:10" s="19" customFormat="1" ht="14.1" customHeight="1">
      <c r="A10" s="44"/>
      <c r="B10" s="98"/>
      <c r="C10" s="99">
        <v>2</v>
      </c>
      <c r="D10" s="100" t="s">
        <v>26</v>
      </c>
      <c r="E10" s="101"/>
      <c r="F10" s="98">
        <v>10</v>
      </c>
      <c r="G10" s="114">
        <f>G11+G12</f>
        <v>0</v>
      </c>
      <c r="H10" s="114">
        <f>H11+H12</f>
        <v>0</v>
      </c>
      <c r="J10" s="52"/>
    </row>
    <row r="11" spans="1:10" s="20" customFormat="1" ht="14.1" customHeight="1">
      <c r="B11" s="102"/>
      <c r="C11" s="107"/>
      <c r="D11" s="103" t="s">
        <v>104</v>
      </c>
      <c r="E11" s="104" t="s">
        <v>111</v>
      </c>
      <c r="F11" s="102"/>
      <c r="G11" s="115">
        <v>0</v>
      </c>
      <c r="H11" s="115">
        <v>0</v>
      </c>
    </row>
    <row r="12" spans="1:10" s="20" customFormat="1" ht="14.1" customHeight="1">
      <c r="B12" s="102"/>
      <c r="C12" s="107"/>
      <c r="D12" s="103" t="s">
        <v>104</v>
      </c>
      <c r="E12" s="104" t="s">
        <v>136</v>
      </c>
      <c r="F12" s="102"/>
      <c r="G12" s="115"/>
      <c r="H12" s="115"/>
    </row>
    <row r="13" spans="1:10" s="19" customFormat="1" ht="14.1" customHeight="1">
      <c r="A13" s="44"/>
      <c r="B13" s="98"/>
      <c r="C13" s="99">
        <v>3</v>
      </c>
      <c r="D13" s="100" t="s">
        <v>27</v>
      </c>
      <c r="E13" s="101"/>
      <c r="F13" s="98"/>
      <c r="G13" s="114">
        <f>SUM(G14:G23)</f>
        <v>11417054.231000001</v>
      </c>
      <c r="H13" s="114">
        <f>SUM(H14:H23)</f>
        <v>4372035.63</v>
      </c>
      <c r="J13" s="50">
        <f>G13-H13</f>
        <v>7045018.6010000007</v>
      </c>
    </row>
    <row r="14" spans="1:10" s="20" customFormat="1" ht="14.1" customHeight="1">
      <c r="B14" s="102"/>
      <c r="C14" s="107"/>
      <c r="D14" s="103" t="s">
        <v>104</v>
      </c>
      <c r="E14" s="104" t="s">
        <v>144</v>
      </c>
      <c r="F14" s="102">
        <v>11</v>
      </c>
      <c r="G14" s="115">
        <f>5232700</f>
        <v>5232700</v>
      </c>
      <c r="H14" s="115">
        <f>1457085+15000+504726.64-0.01</f>
        <v>1976811.6300000001</v>
      </c>
    </row>
    <row r="15" spans="1:10" s="20" customFormat="1" ht="14.1" customHeight="1">
      <c r="B15" s="102"/>
      <c r="C15" s="107"/>
      <c r="D15" s="103" t="s">
        <v>104</v>
      </c>
      <c r="E15" s="104" t="s">
        <v>145</v>
      </c>
      <c r="F15" s="102"/>
      <c r="G15" s="115">
        <v>0</v>
      </c>
      <c r="H15" s="115">
        <v>832684</v>
      </c>
    </row>
    <row r="16" spans="1:10" s="20" customFormat="1" ht="14.1" customHeight="1">
      <c r="B16" s="102"/>
      <c r="C16" s="107"/>
      <c r="D16" s="103" t="s">
        <v>104</v>
      </c>
      <c r="E16" s="104" t="s">
        <v>112</v>
      </c>
      <c r="F16" s="102">
        <v>12</v>
      </c>
      <c r="G16" s="115">
        <v>50230</v>
      </c>
      <c r="H16" s="115"/>
      <c r="J16" s="56"/>
    </row>
    <row r="17" spans="1:11" s="20" customFormat="1" ht="14.1" customHeight="1">
      <c r="B17" s="102"/>
      <c r="C17" s="107"/>
      <c r="D17" s="103" t="s">
        <v>104</v>
      </c>
      <c r="E17" s="104" t="s">
        <v>113</v>
      </c>
      <c r="F17" s="102">
        <v>12</v>
      </c>
      <c r="G17" s="115">
        <v>129226</v>
      </c>
      <c r="H17" s="115">
        <v>25230</v>
      </c>
    </row>
    <row r="18" spans="1:11" s="20" customFormat="1" ht="14.1" customHeight="1">
      <c r="B18" s="102"/>
      <c r="C18" s="107"/>
      <c r="D18" s="103" t="s">
        <v>104</v>
      </c>
      <c r="E18" s="104" t="s">
        <v>114</v>
      </c>
      <c r="F18" s="102"/>
      <c r="G18" s="115">
        <f>Rez.1!D44+96111</f>
        <v>1709212.2609999997</v>
      </c>
      <c r="H18" s="115">
        <v>259109</v>
      </c>
    </row>
    <row r="19" spans="1:11" s="20" customFormat="1" ht="14.1" customHeight="1">
      <c r="B19" s="102"/>
      <c r="C19" s="107"/>
      <c r="D19" s="103" t="s">
        <v>104</v>
      </c>
      <c r="E19" s="104" t="s">
        <v>115</v>
      </c>
      <c r="F19" s="102"/>
      <c r="G19" s="115">
        <v>2103536</v>
      </c>
      <c r="H19" s="115">
        <v>973671</v>
      </c>
    </row>
    <row r="20" spans="1:11" s="20" customFormat="1" ht="14.1" customHeight="1">
      <c r="B20" s="102"/>
      <c r="C20" s="107"/>
      <c r="D20" s="103" t="s">
        <v>104</v>
      </c>
      <c r="E20" s="104" t="s">
        <v>200</v>
      </c>
      <c r="F20" s="102"/>
      <c r="G20" s="115"/>
      <c r="H20" s="115">
        <v>30750</v>
      </c>
    </row>
    <row r="21" spans="1:11" s="20" customFormat="1" ht="14.1" customHeight="1">
      <c r="B21" s="102"/>
      <c r="C21" s="107"/>
      <c r="D21" s="103" t="s">
        <v>104</v>
      </c>
      <c r="E21" s="104" t="s">
        <v>110</v>
      </c>
      <c r="F21" s="102">
        <v>13</v>
      </c>
      <c r="G21" s="115"/>
      <c r="H21" s="115">
        <v>273780</v>
      </c>
    </row>
    <row r="22" spans="1:11" s="20" customFormat="1" ht="27.75" customHeight="1">
      <c r="B22" s="102"/>
      <c r="C22" s="107"/>
      <c r="D22" s="103" t="s">
        <v>104</v>
      </c>
      <c r="E22" s="167" t="s">
        <v>206</v>
      </c>
      <c r="F22" s="102"/>
      <c r="G22" s="115">
        <v>2192149.9700000002</v>
      </c>
      <c r="H22" s="115">
        <v>0</v>
      </c>
      <c r="K22" s="47"/>
    </row>
    <row r="23" spans="1:11" s="20" customFormat="1" ht="14.1" customHeight="1">
      <c r="B23" s="102"/>
      <c r="C23" s="107"/>
      <c r="D23" s="103" t="s">
        <v>104</v>
      </c>
      <c r="E23" s="104" t="s">
        <v>117</v>
      </c>
      <c r="F23" s="102">
        <v>14</v>
      </c>
      <c r="G23" s="115"/>
      <c r="H23" s="115"/>
      <c r="K23" s="47"/>
    </row>
    <row r="24" spans="1:11" s="19" customFormat="1" ht="14.1" customHeight="1">
      <c r="A24" s="44"/>
      <c r="B24" s="98"/>
      <c r="C24" s="99">
        <v>4</v>
      </c>
      <c r="D24" s="100" t="s">
        <v>28</v>
      </c>
      <c r="E24" s="101"/>
      <c r="F24" s="98"/>
      <c r="G24" s="114">
        <v>0</v>
      </c>
      <c r="H24" s="114">
        <v>0</v>
      </c>
      <c r="K24" s="47"/>
    </row>
    <row r="25" spans="1:11" s="19" customFormat="1" ht="14.1" customHeight="1">
      <c r="A25" s="44"/>
      <c r="B25" s="98"/>
      <c r="C25" s="99">
        <v>5</v>
      </c>
      <c r="D25" s="100" t="s">
        <v>146</v>
      </c>
      <c r="E25" s="101"/>
      <c r="F25" s="98"/>
      <c r="G25" s="114">
        <v>0</v>
      </c>
      <c r="H25" s="114">
        <v>0</v>
      </c>
      <c r="K25" s="47"/>
    </row>
    <row r="26" spans="1:11" s="19" customFormat="1" ht="14.1" customHeight="1">
      <c r="A26" s="44"/>
      <c r="B26" s="98" t="s">
        <v>4</v>
      </c>
      <c r="C26" s="179" t="s">
        <v>46</v>
      </c>
      <c r="D26" s="180"/>
      <c r="E26" s="181"/>
      <c r="F26" s="98"/>
      <c r="G26" s="114">
        <f>G27+G30+G31+G32</f>
        <v>535829.39</v>
      </c>
      <c r="H26" s="114">
        <f>H27+H30+H31+H32</f>
        <v>751254.62</v>
      </c>
      <c r="K26" s="48"/>
    </row>
    <row r="27" spans="1:11" s="19" customFormat="1" ht="14.1" customHeight="1">
      <c r="A27" s="44"/>
      <c r="B27" s="98"/>
      <c r="C27" s="99">
        <v>1</v>
      </c>
      <c r="D27" s="100" t="s">
        <v>33</v>
      </c>
      <c r="E27" s="101"/>
      <c r="F27" s="98"/>
      <c r="G27" s="114">
        <f>SUM(G28:G29)</f>
        <v>535829.39</v>
      </c>
      <c r="H27" s="114">
        <f>SUM(H28:H29)</f>
        <v>751254.62</v>
      </c>
    </row>
    <row r="28" spans="1:11" s="20" customFormat="1" ht="14.1" customHeight="1">
      <c r="B28" s="102"/>
      <c r="C28" s="107"/>
      <c r="D28" s="103" t="s">
        <v>104</v>
      </c>
      <c r="E28" s="104" t="s">
        <v>34</v>
      </c>
      <c r="F28" s="102"/>
      <c r="G28" s="115">
        <v>535829.39</v>
      </c>
      <c r="H28" s="115">
        <v>751254.62</v>
      </c>
    </row>
    <row r="29" spans="1:11" s="20" customFormat="1" ht="14.1" customHeight="1">
      <c r="B29" s="102"/>
      <c r="C29" s="107"/>
      <c r="D29" s="103" t="s">
        <v>104</v>
      </c>
      <c r="E29" s="104" t="s">
        <v>31</v>
      </c>
      <c r="F29" s="102"/>
      <c r="G29" s="115">
        <v>0</v>
      </c>
      <c r="H29" s="115">
        <v>0</v>
      </c>
    </row>
    <row r="30" spans="1:11" s="19" customFormat="1" ht="14.1" customHeight="1">
      <c r="A30" s="44"/>
      <c r="B30" s="98"/>
      <c r="C30" s="99">
        <v>2</v>
      </c>
      <c r="D30" s="100" t="s">
        <v>35</v>
      </c>
      <c r="E30" s="101"/>
      <c r="F30" s="98"/>
      <c r="G30" s="114">
        <v>0</v>
      </c>
      <c r="H30" s="114">
        <v>0</v>
      </c>
      <c r="I30" s="44"/>
      <c r="J30" s="44"/>
    </row>
    <row r="31" spans="1:11" s="19" customFormat="1" ht="14.1" customHeight="1">
      <c r="A31" s="44"/>
      <c r="B31" s="98"/>
      <c r="C31" s="99">
        <v>3</v>
      </c>
      <c r="D31" s="100" t="s">
        <v>28</v>
      </c>
      <c r="E31" s="101"/>
      <c r="F31" s="98"/>
      <c r="G31" s="114">
        <v>0</v>
      </c>
      <c r="H31" s="114">
        <v>0</v>
      </c>
      <c r="I31" s="44"/>
      <c r="J31" s="44"/>
    </row>
    <row r="32" spans="1:11" s="19" customFormat="1" ht="14.1" customHeight="1">
      <c r="A32" s="44"/>
      <c r="B32" s="98"/>
      <c r="C32" s="99">
        <v>4</v>
      </c>
      <c r="D32" s="100" t="s">
        <v>36</v>
      </c>
      <c r="E32" s="101"/>
      <c r="F32" s="98"/>
      <c r="G32" s="114">
        <v>0</v>
      </c>
      <c r="H32" s="114">
        <v>0</v>
      </c>
      <c r="I32" s="44"/>
      <c r="J32" s="44"/>
    </row>
    <row r="33" spans="1:10" s="19" customFormat="1" ht="14.1" customHeight="1">
      <c r="A33" s="44"/>
      <c r="B33" s="98"/>
      <c r="C33" s="179" t="s">
        <v>48</v>
      </c>
      <c r="D33" s="180"/>
      <c r="E33" s="181"/>
      <c r="F33" s="98"/>
      <c r="G33" s="114">
        <f>G26+G8</f>
        <v>11952883.621000001</v>
      </c>
      <c r="H33" s="114">
        <f>H26+H8</f>
        <v>5123290.25</v>
      </c>
      <c r="I33" s="44"/>
      <c r="J33" s="68"/>
    </row>
    <row r="34" spans="1:10" s="19" customFormat="1" ht="14.1" customHeight="1">
      <c r="A34" s="44"/>
      <c r="B34" s="98" t="s">
        <v>37</v>
      </c>
      <c r="C34" s="179" t="s">
        <v>38</v>
      </c>
      <c r="D34" s="180"/>
      <c r="E34" s="181"/>
      <c r="F34" s="98"/>
      <c r="G34" s="114">
        <f>SUM(G35:G44)</f>
        <v>21379714.609999996</v>
      </c>
      <c r="H34" s="114">
        <f>SUM(H35:H44)</f>
        <v>6130541.4400000004</v>
      </c>
      <c r="I34" s="44"/>
      <c r="J34" s="68"/>
    </row>
    <row r="35" spans="1:10" s="19" customFormat="1" ht="14.1" customHeight="1">
      <c r="A35" s="44"/>
      <c r="B35" s="98"/>
      <c r="C35" s="99">
        <v>1</v>
      </c>
      <c r="D35" s="100" t="s">
        <v>39</v>
      </c>
      <c r="E35" s="101"/>
      <c r="F35" s="98"/>
      <c r="G35" s="114">
        <v>0</v>
      </c>
      <c r="H35" s="114">
        <v>0</v>
      </c>
      <c r="I35" s="44"/>
      <c r="J35" s="44"/>
    </row>
    <row r="36" spans="1:10" s="19" customFormat="1" ht="14.1" customHeight="1">
      <c r="A36" s="44"/>
      <c r="B36" s="98"/>
      <c r="C36" s="116">
        <v>2</v>
      </c>
      <c r="D36" s="100" t="s">
        <v>207</v>
      </c>
      <c r="E36" s="101"/>
      <c r="F36" s="98"/>
      <c r="G36" s="114">
        <v>0</v>
      </c>
      <c r="H36" s="114">
        <v>0</v>
      </c>
      <c r="I36" s="44"/>
      <c r="J36" s="44"/>
    </row>
    <row r="37" spans="1:10" s="19" customFormat="1" ht="14.1" customHeight="1">
      <c r="A37" s="44"/>
      <c r="B37" s="98"/>
      <c r="C37" s="99">
        <v>3</v>
      </c>
      <c r="D37" s="100" t="s">
        <v>198</v>
      </c>
      <c r="E37" s="101"/>
      <c r="F37" s="98">
        <v>15</v>
      </c>
      <c r="G37" s="114">
        <v>100000</v>
      </c>
      <c r="H37" s="114">
        <v>100000</v>
      </c>
      <c r="I37" s="44"/>
      <c r="J37" s="44"/>
    </row>
    <row r="38" spans="1:10" s="19" customFormat="1" ht="14.1" customHeight="1">
      <c r="A38" s="44"/>
      <c r="B38" s="98"/>
      <c r="C38" s="116">
        <v>4</v>
      </c>
      <c r="D38" s="100" t="s">
        <v>40</v>
      </c>
      <c r="E38" s="101"/>
      <c r="F38" s="98"/>
      <c r="G38" s="114">
        <v>0</v>
      </c>
      <c r="H38" s="114">
        <v>0</v>
      </c>
      <c r="I38" s="44"/>
      <c r="J38" s="44"/>
    </row>
    <row r="39" spans="1:10" s="19" customFormat="1" ht="14.1" customHeight="1">
      <c r="A39" s="44"/>
      <c r="B39" s="98"/>
      <c r="C39" s="99">
        <v>5</v>
      </c>
      <c r="D39" s="100" t="s">
        <v>118</v>
      </c>
      <c r="E39" s="101"/>
      <c r="F39" s="98"/>
      <c r="G39" s="114">
        <v>0</v>
      </c>
      <c r="H39" s="114">
        <v>0</v>
      </c>
      <c r="I39" s="44"/>
      <c r="J39" s="44"/>
    </row>
    <row r="40" spans="1:10" s="19" customFormat="1" ht="14.1" customHeight="1">
      <c r="A40" s="44"/>
      <c r="B40" s="98"/>
      <c r="C40" s="116">
        <v>6</v>
      </c>
      <c r="D40" s="100" t="s">
        <v>41</v>
      </c>
      <c r="E40" s="101"/>
      <c r="F40" s="98"/>
      <c r="G40" s="114">
        <v>0</v>
      </c>
      <c r="H40" s="114">
        <v>0</v>
      </c>
      <c r="I40" s="44"/>
      <c r="J40" s="44"/>
    </row>
    <row r="41" spans="1:10" s="19" customFormat="1" ht="14.1" customHeight="1">
      <c r="A41" s="44"/>
      <c r="B41" s="98"/>
      <c r="C41" s="99">
        <v>7</v>
      </c>
      <c r="D41" s="100" t="s">
        <v>42</v>
      </c>
      <c r="E41" s="101"/>
      <c r="F41" s="98"/>
      <c r="G41" s="114">
        <v>0</v>
      </c>
      <c r="H41" s="114">
        <v>0</v>
      </c>
      <c r="I41" s="44"/>
      <c r="J41" s="44"/>
    </row>
    <row r="42" spans="1:10" s="19" customFormat="1" ht="14.1" customHeight="1">
      <c r="A42" s="44"/>
      <c r="B42" s="98"/>
      <c r="C42" s="116">
        <v>8</v>
      </c>
      <c r="D42" s="100" t="s">
        <v>43</v>
      </c>
      <c r="E42" s="101"/>
      <c r="F42" s="98"/>
      <c r="G42" s="114">
        <v>0</v>
      </c>
      <c r="H42" s="114">
        <v>0</v>
      </c>
      <c r="I42" s="44"/>
      <c r="J42" s="44"/>
    </row>
    <row r="43" spans="1:10" s="19" customFormat="1" ht="14.1" customHeight="1">
      <c r="A43" s="44"/>
      <c r="B43" s="98"/>
      <c r="C43" s="99">
        <v>9</v>
      </c>
      <c r="D43" s="100" t="s">
        <v>197</v>
      </c>
      <c r="E43" s="101"/>
      <c r="F43" s="98"/>
      <c r="G43" s="114">
        <v>6030541</v>
      </c>
      <c r="H43" s="114">
        <f>Rez.1!E33</f>
        <v>3774499.4400000004</v>
      </c>
      <c r="I43" s="44"/>
      <c r="J43" s="44"/>
    </row>
    <row r="44" spans="1:10" s="19" customFormat="1" ht="14.1" customHeight="1">
      <c r="A44" s="44"/>
      <c r="B44" s="98"/>
      <c r="C44" s="116">
        <v>10</v>
      </c>
      <c r="D44" s="100" t="s">
        <v>44</v>
      </c>
      <c r="E44" s="101"/>
      <c r="F44" s="98">
        <v>20</v>
      </c>
      <c r="G44" s="114">
        <f>Rez.1!D33</f>
        <v>15249173.609999996</v>
      </c>
      <c r="H44" s="114">
        <v>2256042</v>
      </c>
      <c r="I44" s="44"/>
      <c r="J44" s="44"/>
    </row>
    <row r="45" spans="1:10" s="19" customFormat="1" ht="14.1" customHeight="1">
      <c r="A45" s="44"/>
      <c r="B45" s="98"/>
      <c r="C45" s="179" t="s">
        <v>47</v>
      </c>
      <c r="D45" s="180"/>
      <c r="E45" s="181"/>
      <c r="F45" s="98"/>
      <c r="G45" s="114">
        <f>G34+G26+G8</f>
        <v>33332598.230999999</v>
      </c>
      <c r="H45" s="114">
        <f>H34+H26+H8</f>
        <v>11253831.690000001</v>
      </c>
      <c r="I45" s="44"/>
      <c r="J45" s="44"/>
    </row>
    <row r="46" spans="1:10" s="19" customFormat="1" ht="15" customHeight="1">
      <c r="B46" s="110"/>
      <c r="C46" s="110"/>
      <c r="D46" s="111"/>
      <c r="E46" s="63"/>
      <c r="F46" s="110"/>
      <c r="G46" s="65"/>
      <c r="H46" s="65"/>
    </row>
    <row r="47" spans="1:10" s="19" customFormat="1" ht="15.95" customHeight="1">
      <c r="B47" s="110"/>
      <c r="C47" s="110"/>
      <c r="D47" s="111"/>
      <c r="E47" s="63"/>
      <c r="F47" s="110"/>
      <c r="G47" s="65">
        <f>+G45-Aktivet!G46</f>
        <v>-0.42900000140070915</v>
      </c>
      <c r="H47" s="65">
        <f>+H45-Aktivet!H46</f>
        <v>0.17999999970197678</v>
      </c>
    </row>
    <row r="48" spans="1:10" s="19" customFormat="1" ht="15.95" customHeight="1">
      <c r="B48" s="21"/>
      <c r="C48" s="21"/>
      <c r="D48" s="30"/>
      <c r="E48" s="22"/>
      <c r="F48" s="21"/>
      <c r="G48" s="40"/>
      <c r="H48" s="40"/>
    </row>
    <row r="49" spans="2:8" s="19" customFormat="1" ht="15.95" customHeight="1">
      <c r="B49" s="21"/>
      <c r="C49" s="21"/>
      <c r="D49" s="30"/>
      <c r="E49" s="22"/>
      <c r="F49" s="21"/>
      <c r="G49" s="40"/>
      <c r="H49" s="40"/>
    </row>
    <row r="50" spans="2:8" s="19" customFormat="1" ht="15.95" customHeight="1">
      <c r="B50" s="21"/>
      <c r="C50" s="21"/>
      <c r="D50" s="30"/>
      <c r="E50" s="22"/>
      <c r="F50" s="21"/>
      <c r="G50" s="23"/>
      <c r="H50" s="23"/>
    </row>
    <row r="51" spans="2:8" s="19" customFormat="1" ht="15.95" customHeight="1">
      <c r="B51" s="21"/>
      <c r="C51" s="21"/>
      <c r="D51" s="30"/>
      <c r="E51" s="22"/>
      <c r="F51" s="21"/>
      <c r="G51" s="23"/>
      <c r="H51" s="23"/>
    </row>
    <row r="52" spans="2:8" s="19" customFormat="1" ht="15.95" customHeight="1">
      <c r="B52" s="21"/>
      <c r="C52" s="21"/>
      <c r="D52" s="30"/>
      <c r="E52" s="22"/>
      <c r="F52" s="21"/>
      <c r="G52" s="23"/>
      <c r="H52" s="23"/>
    </row>
    <row r="53" spans="2:8" s="19" customFormat="1" ht="15.95" customHeight="1">
      <c r="B53" s="21"/>
      <c r="C53" s="21"/>
      <c r="D53" s="30"/>
      <c r="E53" s="22"/>
      <c r="F53" s="21"/>
      <c r="G53" s="23"/>
      <c r="H53" s="23"/>
    </row>
    <row r="54" spans="2:8" s="19" customFormat="1" ht="15.95" customHeight="1">
      <c r="B54" s="21"/>
      <c r="C54" s="21"/>
      <c r="D54" s="30"/>
      <c r="E54" s="22"/>
      <c r="F54" s="21"/>
      <c r="G54" s="23"/>
      <c r="H54" s="23"/>
    </row>
    <row r="55" spans="2:8" s="19" customFormat="1" ht="15.95" customHeight="1">
      <c r="B55" s="21"/>
      <c r="C55" s="21"/>
      <c r="D55" s="21"/>
      <c r="E55" s="21"/>
      <c r="F55" s="21"/>
      <c r="G55" s="23"/>
      <c r="H55" s="23"/>
    </row>
    <row r="56" spans="2:8">
      <c r="B56" s="31"/>
      <c r="C56" s="31"/>
      <c r="D56" s="32"/>
      <c r="E56" s="33"/>
      <c r="F56" s="31"/>
      <c r="G56" s="34"/>
      <c r="H56" s="34"/>
    </row>
  </sheetData>
  <mergeCells count="10">
    <mergeCell ref="C45:E45"/>
    <mergeCell ref="B6:B7"/>
    <mergeCell ref="C6:E7"/>
    <mergeCell ref="C26:E26"/>
    <mergeCell ref="G2:H2"/>
    <mergeCell ref="B4:H4"/>
    <mergeCell ref="C33:E33"/>
    <mergeCell ref="C8:E8"/>
    <mergeCell ref="F6:F7"/>
    <mergeCell ref="C34:E3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  <ignoredErrors>
    <ignoredError sqref="G27:H27 G13:H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M58"/>
  <sheetViews>
    <sheetView topLeftCell="A23" workbookViewId="0">
      <selection activeCell="K17" sqref="K17:K18"/>
    </sheetView>
  </sheetViews>
  <sheetFormatPr defaultRowHeight="12.75"/>
  <cols>
    <col min="1" max="1" width="0.7109375" style="6" customWidth="1"/>
    <col min="2" max="2" width="5.42578125" style="28" customWidth="1"/>
    <col min="3" max="3" width="60.28515625" style="28" customWidth="1"/>
    <col min="4" max="4" width="14.28515625" style="29" customWidth="1"/>
    <col min="5" max="5" width="14.140625" style="29" customWidth="1"/>
    <col min="6" max="6" width="1.42578125" style="6" customWidth="1"/>
    <col min="7" max="7" width="9.140625" style="6"/>
    <col min="8" max="8" width="18" style="38" customWidth="1"/>
    <col min="9" max="12" width="9.140625" style="6"/>
    <col min="13" max="13" width="19.28515625" style="6" customWidth="1"/>
    <col min="14" max="16384" width="9.140625" style="6"/>
  </cols>
  <sheetData>
    <row r="2" spans="2:13" s="27" customFormat="1" ht="15">
      <c r="B2" s="13"/>
      <c r="C2" s="13"/>
      <c r="D2" s="16"/>
      <c r="E2" s="35"/>
      <c r="F2" s="16"/>
      <c r="G2" s="16"/>
      <c r="H2" s="36"/>
    </row>
    <row r="3" spans="2:13" s="27" customFormat="1" ht="7.5" customHeight="1">
      <c r="B3" s="13"/>
      <c r="C3" s="13"/>
      <c r="D3" s="17"/>
      <c r="E3" s="35"/>
      <c r="F3" s="16"/>
      <c r="G3" s="16"/>
      <c r="H3" s="36"/>
    </row>
    <row r="4" spans="2:13" s="27" customFormat="1" ht="15" customHeight="1">
      <c r="B4" s="191" t="s">
        <v>178</v>
      </c>
      <c r="C4" s="191"/>
      <c r="D4" s="191"/>
      <c r="E4" s="191"/>
      <c r="F4" s="37"/>
      <c r="G4" s="37"/>
      <c r="H4" s="36"/>
    </row>
    <row r="5" spans="2:13" s="27" customFormat="1" ht="15" customHeight="1">
      <c r="B5" s="190" t="s">
        <v>131</v>
      </c>
      <c r="C5" s="190"/>
      <c r="D5" s="190"/>
      <c r="E5" s="190"/>
      <c r="F5" s="18"/>
      <c r="G5" s="18"/>
      <c r="H5" s="36"/>
    </row>
    <row r="6" spans="2:13" ht="15" customHeight="1">
      <c r="B6" s="11"/>
      <c r="C6" s="11"/>
      <c r="D6" s="12"/>
      <c r="E6" s="12"/>
    </row>
    <row r="7" spans="2:13" s="27" customFormat="1" ht="15" customHeight="1">
      <c r="B7" s="182" t="s">
        <v>2</v>
      </c>
      <c r="C7" s="184" t="s">
        <v>132</v>
      </c>
      <c r="D7" s="122" t="s">
        <v>133</v>
      </c>
      <c r="E7" s="93" t="s">
        <v>133</v>
      </c>
      <c r="F7" s="19"/>
      <c r="G7" s="19"/>
      <c r="H7" s="36"/>
    </row>
    <row r="8" spans="2:13" s="27" customFormat="1" ht="35.25" customHeight="1">
      <c r="B8" s="183"/>
      <c r="C8" s="187"/>
      <c r="D8" s="123" t="s">
        <v>134</v>
      </c>
      <c r="E8" s="95" t="s">
        <v>195</v>
      </c>
      <c r="F8" s="19"/>
      <c r="G8" s="19"/>
      <c r="H8" s="36"/>
    </row>
    <row r="9" spans="2:13" s="27" customFormat="1" ht="15" customHeight="1">
      <c r="B9" s="102">
        <v>1</v>
      </c>
      <c r="C9" s="124" t="s">
        <v>50</v>
      </c>
      <c r="D9" s="106">
        <v>39335394</v>
      </c>
      <c r="E9" s="106">
        <v>12110138.130000001</v>
      </c>
      <c r="H9" s="36"/>
    </row>
    <row r="10" spans="2:13" s="27" customFormat="1" ht="15" customHeight="1">
      <c r="B10" s="102">
        <v>2</v>
      </c>
      <c r="C10" s="124" t="s">
        <v>169</v>
      </c>
      <c r="D10" s="106">
        <f>68200+346.25</f>
        <v>68546.25</v>
      </c>
      <c r="E10" s="106">
        <v>0</v>
      </c>
      <c r="H10" s="36"/>
    </row>
    <row r="11" spans="2:13" s="27" customFormat="1" ht="15" customHeight="1">
      <c r="B11" s="125">
        <v>3</v>
      </c>
      <c r="C11" s="124" t="s">
        <v>147</v>
      </c>
      <c r="D11" s="126">
        <v>0</v>
      </c>
      <c r="E11" s="126">
        <v>0</v>
      </c>
      <c r="M11" s="168"/>
    </row>
    <row r="12" spans="2:13" s="27" customFormat="1" ht="15" customHeight="1">
      <c r="B12" s="125">
        <v>4</v>
      </c>
      <c r="C12" s="124" t="s">
        <v>119</v>
      </c>
      <c r="D12" s="126"/>
      <c r="E12" s="126"/>
      <c r="H12" s="47"/>
      <c r="I12" s="58"/>
    </row>
    <row r="13" spans="2:13" s="27" customFormat="1" ht="15" customHeight="1">
      <c r="B13" s="125">
        <v>5</v>
      </c>
      <c r="C13" s="124" t="s">
        <v>120</v>
      </c>
      <c r="D13" s="126">
        <f>D14+D15</f>
        <v>3159705.5</v>
      </c>
      <c r="E13" s="126">
        <f>E14+E15</f>
        <v>825200</v>
      </c>
      <c r="H13" s="47"/>
    </row>
    <row r="14" spans="2:13" s="27" customFormat="1" ht="15" customHeight="1">
      <c r="B14" s="125"/>
      <c r="C14" s="127" t="s">
        <v>121</v>
      </c>
      <c r="D14" s="126">
        <v>2892204</v>
      </c>
      <c r="E14" s="126">
        <v>825200</v>
      </c>
      <c r="F14" s="20"/>
      <c r="G14" s="20"/>
      <c r="H14" s="47"/>
    </row>
    <row r="15" spans="2:13" s="27" customFormat="1" ht="15" customHeight="1">
      <c r="B15" s="125"/>
      <c r="C15" s="127" t="s">
        <v>122</v>
      </c>
      <c r="D15" s="126">
        <v>267501.5</v>
      </c>
      <c r="E15" s="126"/>
      <c r="F15" s="20"/>
      <c r="G15" s="20"/>
      <c r="H15" s="47"/>
    </row>
    <row r="16" spans="2:13" s="27" customFormat="1" ht="15" customHeight="1">
      <c r="B16" s="102">
        <v>6</v>
      </c>
      <c r="C16" s="124" t="s">
        <v>123</v>
      </c>
      <c r="D16" s="106">
        <v>846008</v>
      </c>
      <c r="E16" s="106">
        <v>633019</v>
      </c>
      <c r="H16" s="47"/>
    </row>
    <row r="17" spans="1:8" s="27" customFormat="1" ht="15" customHeight="1">
      <c r="B17" s="102">
        <v>7</v>
      </c>
      <c r="C17" s="124" t="s">
        <v>154</v>
      </c>
      <c r="D17" s="106">
        <f>204469.33+62843.67+148939.61+461831.85+12420+59.79</f>
        <v>890564.25</v>
      </c>
      <c r="E17" s="106">
        <f>38920+24920+69480</f>
        <v>133320</v>
      </c>
      <c r="H17" s="47"/>
    </row>
    <row r="18" spans="1:8" s="27" customFormat="1" ht="15" customHeight="1">
      <c r="B18" s="128">
        <v>7.1</v>
      </c>
      <c r="C18" s="124" t="s">
        <v>202</v>
      </c>
      <c r="D18" s="106">
        <f>800000+433340+1420133.5+313319.9+324370+31000+61500+553500</f>
        <v>3937163.4</v>
      </c>
      <c r="E18" s="106">
        <v>1445535</v>
      </c>
      <c r="H18" s="47"/>
    </row>
    <row r="19" spans="1:8" s="27" customFormat="1" ht="15" customHeight="1">
      <c r="B19" s="128">
        <v>7.2</v>
      </c>
      <c r="C19" s="124" t="s">
        <v>203</v>
      </c>
      <c r="D19" s="106">
        <f>559723+37000+79000+36466.47+124300+28976.32+1571500</f>
        <v>2436965.79</v>
      </c>
      <c r="E19" s="106">
        <f>69115+1648811.93+392316.77+35973+42130</f>
        <v>2188346.7000000002</v>
      </c>
      <c r="H19" s="47"/>
    </row>
    <row r="20" spans="1:8" s="27" customFormat="1" ht="15" customHeight="1">
      <c r="B20" s="128">
        <v>7.3</v>
      </c>
      <c r="C20" s="124" t="s">
        <v>182</v>
      </c>
      <c r="D20" s="106">
        <f>2192149.97+3704346.47+2223480+250000+1540000+931839.48+186175</f>
        <v>11027990.920000002</v>
      </c>
      <c r="E20" s="106">
        <f>1506373.4+235406.05+29700+23900+960450</f>
        <v>2755829.45</v>
      </c>
      <c r="H20" s="47"/>
    </row>
    <row r="21" spans="1:8" s="27" customFormat="1" ht="15" customHeight="1">
      <c r="A21" s="44"/>
      <c r="B21" s="98">
        <v>8</v>
      </c>
      <c r="C21" s="99" t="s">
        <v>124</v>
      </c>
      <c r="D21" s="97">
        <f>D12+D13+D16+D17+D18+D19+D20</f>
        <v>22298397.860000003</v>
      </c>
      <c r="E21" s="97">
        <f>E12+E13+E16+E17+E18+E19+E20</f>
        <v>7981250.1500000004</v>
      </c>
      <c r="F21" s="19"/>
      <c r="G21" s="19"/>
      <c r="H21" s="47"/>
    </row>
    <row r="22" spans="1:8" s="27" customFormat="1" ht="15" customHeight="1">
      <c r="A22" s="44"/>
      <c r="B22" s="98">
        <v>9</v>
      </c>
      <c r="C22" s="129" t="s">
        <v>125</v>
      </c>
      <c r="D22" s="97">
        <f>(D9+D10)-D21</f>
        <v>17105542.389999997</v>
      </c>
      <c r="E22" s="97">
        <f>E9+E10-E21</f>
        <v>4128887.9800000004</v>
      </c>
      <c r="F22" s="19"/>
      <c r="G22" s="19"/>
      <c r="H22" s="47"/>
    </row>
    <row r="23" spans="1:8" s="27" customFormat="1" ht="15" customHeight="1">
      <c r="B23" s="102">
        <v>10</v>
      </c>
      <c r="C23" s="124" t="s">
        <v>51</v>
      </c>
      <c r="D23" s="106">
        <v>0</v>
      </c>
      <c r="E23" s="106">
        <v>0</v>
      </c>
      <c r="H23" s="49"/>
    </row>
    <row r="24" spans="1:8" s="27" customFormat="1" ht="15" customHeight="1">
      <c r="B24" s="102">
        <v>11</v>
      </c>
      <c r="C24" s="124" t="s">
        <v>126</v>
      </c>
      <c r="D24" s="106">
        <v>0</v>
      </c>
      <c r="E24" s="106">
        <v>0</v>
      </c>
      <c r="H24" s="55"/>
    </row>
    <row r="25" spans="1:8" s="27" customFormat="1" ht="15" customHeight="1">
      <c r="B25" s="102">
        <v>12</v>
      </c>
      <c r="C25" s="124" t="s">
        <v>52</v>
      </c>
      <c r="D25" s="106">
        <f>D29+D27+D28</f>
        <v>-146122.78</v>
      </c>
      <c r="E25" s="97">
        <f>E29+E27+E28</f>
        <v>72720.459999999992</v>
      </c>
      <c r="H25" s="55"/>
    </row>
    <row r="26" spans="1:8" s="27" customFormat="1" ht="15" customHeight="1">
      <c r="B26" s="102"/>
      <c r="C26" s="127" t="s">
        <v>53</v>
      </c>
      <c r="D26" s="106"/>
      <c r="E26" s="106"/>
      <c r="F26" s="20"/>
      <c r="G26" s="20"/>
      <c r="H26" s="57"/>
    </row>
    <row r="27" spans="1:8" s="27" customFormat="1" ht="15" customHeight="1">
      <c r="B27" s="102"/>
      <c r="C27" s="127" t="s">
        <v>127</v>
      </c>
      <c r="D27" s="106">
        <v>-55392.22</v>
      </c>
      <c r="E27" s="106">
        <v>-72891.87</v>
      </c>
      <c r="F27" s="20"/>
      <c r="G27" s="20"/>
      <c r="H27" s="55"/>
    </row>
    <row r="28" spans="1:8" s="27" customFormat="1" ht="15" customHeight="1">
      <c r="B28" s="102"/>
      <c r="C28" s="127" t="s">
        <v>54</v>
      </c>
      <c r="D28" s="106">
        <f>106237.05-123786.7</f>
        <v>-17549.649999999994</v>
      </c>
      <c r="E28" s="106">
        <f>316208.37-124543.32</f>
        <v>191665.05</v>
      </c>
      <c r="F28" s="20"/>
      <c r="G28" s="20"/>
      <c r="H28" s="55"/>
    </row>
    <row r="29" spans="1:8" s="27" customFormat="1" ht="15" customHeight="1">
      <c r="B29" s="102"/>
      <c r="C29" s="127" t="s">
        <v>55</v>
      </c>
      <c r="D29" s="106">
        <v>-73180.91</v>
      </c>
      <c r="E29" s="106">
        <f>-46052.72</f>
        <v>-46052.72</v>
      </c>
      <c r="F29" s="20"/>
      <c r="G29" s="20"/>
      <c r="H29" s="55"/>
    </row>
    <row r="30" spans="1:8" s="27" customFormat="1" ht="15" customHeight="1">
      <c r="A30" s="44"/>
      <c r="B30" s="98">
        <v>13</v>
      </c>
      <c r="C30" s="129" t="s">
        <v>56</v>
      </c>
      <c r="D30" s="97">
        <f>D25+D24+D23</f>
        <v>-146122.78</v>
      </c>
      <c r="E30" s="97">
        <f>E23+E24+E25</f>
        <v>72720.459999999992</v>
      </c>
      <c r="F30" s="19"/>
      <c r="G30" s="19"/>
      <c r="H30" s="57"/>
    </row>
    <row r="31" spans="1:8" s="27" customFormat="1" ht="15" customHeight="1">
      <c r="B31" s="102">
        <v>14</v>
      </c>
      <c r="C31" s="129" t="s">
        <v>129</v>
      </c>
      <c r="D31" s="106">
        <f>D22+D30</f>
        <v>16959419.609999996</v>
      </c>
      <c r="E31" s="106">
        <f>E22+E30</f>
        <v>4201608.4400000004</v>
      </c>
      <c r="F31" s="19"/>
      <c r="G31" s="19"/>
      <c r="H31" s="55"/>
    </row>
    <row r="32" spans="1:8" s="27" customFormat="1" ht="15" customHeight="1">
      <c r="B32" s="102">
        <v>15</v>
      </c>
      <c r="C32" s="124" t="s">
        <v>57</v>
      </c>
      <c r="D32" s="106">
        <v>1710246</v>
      </c>
      <c r="E32" s="106">
        <f>427109</f>
        <v>427109</v>
      </c>
      <c r="H32" s="55"/>
    </row>
    <row r="33" spans="1:8" s="27" customFormat="1" ht="15" customHeight="1">
      <c r="A33" s="44"/>
      <c r="B33" s="98">
        <v>16</v>
      </c>
      <c r="C33" s="129" t="s">
        <v>130</v>
      </c>
      <c r="D33" s="97">
        <f>D31-D32</f>
        <v>15249173.609999996</v>
      </c>
      <c r="E33" s="97">
        <f>E31-E32</f>
        <v>3774499.4400000004</v>
      </c>
      <c r="F33" s="19"/>
      <c r="G33" s="19"/>
      <c r="H33" s="55"/>
    </row>
    <row r="34" spans="1:8" s="27" customFormat="1" ht="15" customHeight="1">
      <c r="A34" s="44"/>
      <c r="B34" s="102">
        <v>17</v>
      </c>
      <c r="C34" s="124" t="s">
        <v>128</v>
      </c>
      <c r="D34" s="97"/>
      <c r="E34" s="97"/>
      <c r="F34" s="19"/>
      <c r="G34" s="19"/>
      <c r="H34" s="55"/>
    </row>
    <row r="35" spans="1:8" s="27" customFormat="1" ht="15.95" customHeight="1">
      <c r="B35" s="110"/>
      <c r="C35" s="110"/>
      <c r="D35" s="65"/>
      <c r="E35" s="65"/>
      <c r="H35" s="49"/>
    </row>
    <row r="36" spans="1:8" s="27" customFormat="1" ht="15.95" customHeight="1">
      <c r="B36" s="110"/>
      <c r="C36" s="92" t="s">
        <v>81</v>
      </c>
      <c r="D36" s="117">
        <f>D31</f>
        <v>16959419.609999996</v>
      </c>
      <c r="E36" s="65">
        <f>E31</f>
        <v>4201608.4400000004</v>
      </c>
      <c r="H36" s="69"/>
    </row>
    <row r="37" spans="1:8" s="27" customFormat="1" ht="15.95" customHeight="1">
      <c r="B37" s="110"/>
      <c r="C37" s="92" t="s">
        <v>183</v>
      </c>
      <c r="D37" s="117">
        <f>D38+D39+D40</f>
        <v>143043</v>
      </c>
      <c r="E37" s="65">
        <f>69480</f>
        <v>69480</v>
      </c>
      <c r="H37" s="36"/>
    </row>
    <row r="38" spans="1:8" s="27" customFormat="1" ht="15.95" customHeight="1">
      <c r="B38" s="110"/>
      <c r="C38" s="118" t="s">
        <v>184</v>
      </c>
      <c r="D38" s="117"/>
      <c r="E38" s="65">
        <f>69480</f>
        <v>69480</v>
      </c>
      <c r="H38" s="36"/>
    </row>
    <row r="39" spans="1:8" s="27" customFormat="1" ht="15.95" customHeight="1">
      <c r="B39" s="110"/>
      <c r="C39" s="118" t="s">
        <v>204</v>
      </c>
      <c r="D39" s="117">
        <v>142983</v>
      </c>
      <c r="E39" s="65"/>
      <c r="H39" s="36"/>
    </row>
    <row r="40" spans="1:8" s="27" customFormat="1" ht="15.95" customHeight="1">
      <c r="B40" s="110"/>
      <c r="C40" s="118" t="s">
        <v>185</v>
      </c>
      <c r="D40" s="117">
        <v>60</v>
      </c>
      <c r="E40" s="65"/>
      <c r="H40" s="36"/>
    </row>
    <row r="41" spans="1:8" s="27" customFormat="1" ht="15.95" customHeight="1">
      <c r="B41" s="110"/>
      <c r="C41" s="118"/>
      <c r="D41" s="117">
        <f>D36+D37</f>
        <v>17102462.609999996</v>
      </c>
      <c r="E41" s="65">
        <f>E36+E37</f>
        <v>4271088.4400000004</v>
      </c>
      <c r="H41" s="36"/>
    </row>
    <row r="42" spans="1:8" s="27" customFormat="1" ht="15.95" customHeight="1">
      <c r="B42" s="110"/>
      <c r="C42" s="119" t="s">
        <v>186</v>
      </c>
      <c r="D42" s="120">
        <f>D41*0.1</f>
        <v>1710246.2609999997</v>
      </c>
      <c r="E42" s="65">
        <f>E41*0.1</f>
        <v>427108.84400000004</v>
      </c>
      <c r="H42" s="36"/>
    </row>
    <row r="43" spans="1:8" s="27" customFormat="1" ht="15.95" customHeight="1">
      <c r="B43" s="110"/>
      <c r="C43" s="92" t="s">
        <v>196</v>
      </c>
      <c r="D43" s="117">
        <v>97145</v>
      </c>
      <c r="E43" s="65">
        <f>123000+45000</f>
        <v>168000</v>
      </c>
      <c r="H43" s="36"/>
    </row>
    <row r="44" spans="1:8">
      <c r="B44" s="91"/>
      <c r="C44" s="121" t="s">
        <v>201</v>
      </c>
      <c r="D44" s="162">
        <f>D42-D43</f>
        <v>1613101.2609999997</v>
      </c>
      <c r="E44" s="162">
        <f>E42-E43</f>
        <v>259108.84400000004</v>
      </c>
    </row>
    <row r="45" spans="1:8">
      <c r="D45" s="46"/>
      <c r="E45" s="46">
        <f>162998</f>
        <v>162998</v>
      </c>
    </row>
    <row r="46" spans="1:8">
      <c r="D46" s="46"/>
      <c r="E46" s="46">
        <f>E44-E45</f>
        <v>96110.844000000041</v>
      </c>
    </row>
    <row r="47" spans="1:8">
      <c r="C47" s="11" t="s">
        <v>205</v>
      </c>
      <c r="D47" s="46">
        <f>D44+E46</f>
        <v>1709212.1049999997</v>
      </c>
      <c r="E47" s="46"/>
    </row>
    <row r="48" spans="1:8">
      <c r="D48" s="46"/>
      <c r="E48" s="46"/>
    </row>
    <row r="49" spans="4:5">
      <c r="D49" s="46"/>
      <c r="E49" s="46"/>
    </row>
    <row r="50" spans="4:5">
      <c r="D50" s="46"/>
      <c r="E50" s="46"/>
    </row>
    <row r="51" spans="4:5">
      <c r="D51" s="46"/>
      <c r="E51" s="46"/>
    </row>
    <row r="52" spans="4:5">
      <c r="D52" s="46"/>
      <c r="E52" s="46"/>
    </row>
    <row r="53" spans="4:5">
      <c r="D53" s="46"/>
      <c r="E53" s="46"/>
    </row>
    <row r="54" spans="4:5">
      <c r="D54" s="46"/>
      <c r="E54" s="46"/>
    </row>
    <row r="55" spans="4:5">
      <c r="D55" s="46"/>
      <c r="E55" s="46"/>
    </row>
    <row r="56" spans="4:5">
      <c r="D56" s="46"/>
      <c r="E56" s="46"/>
    </row>
    <row r="57" spans="4:5">
      <c r="D57" s="46"/>
      <c r="E57" s="46"/>
    </row>
    <row r="58" spans="4:5">
      <c r="D58" s="46"/>
      <c r="E58" s="46"/>
    </row>
  </sheetData>
  <mergeCells count="4">
    <mergeCell ref="B5:E5"/>
    <mergeCell ref="B4:E4"/>
    <mergeCell ref="C7:C8"/>
    <mergeCell ref="B7:B8"/>
  </mergeCells>
  <phoneticPr fontId="0" type="noConversion"/>
  <printOptions horizontalCentered="1" verticalCentered="1"/>
  <pageMargins left="0" right="0" top="0.16" bottom="0" header="0.51181102362204722" footer="0.51181102362204722"/>
  <pageSetup orientation="portrait" horizontalDpi="300" verticalDpi="300" r:id="rId1"/>
  <headerFooter alignWithMargins="0"/>
  <ignoredErrors>
    <ignoredError sqref="E4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2:H65"/>
  <sheetViews>
    <sheetView topLeftCell="A19" workbookViewId="0">
      <selection activeCell="D9" sqref="D9:D40"/>
    </sheetView>
  </sheetViews>
  <sheetFormatPr defaultRowHeight="12.75"/>
  <cols>
    <col min="1" max="1" width="4.5703125" style="4" customWidth="1"/>
    <col min="2" max="2" width="3.42578125" style="11" customWidth="1"/>
    <col min="3" max="3" width="48.140625" style="11" customWidth="1"/>
    <col min="4" max="4" width="14.28515625" style="12" customWidth="1"/>
    <col min="5" max="5" width="13.7109375" style="12" customWidth="1"/>
    <col min="6" max="6" width="1.42578125" style="4" customWidth="1"/>
    <col min="7" max="7" width="9.140625" style="4"/>
    <col min="8" max="8" width="14.140625" style="4" customWidth="1"/>
    <col min="9" max="16384" width="9.140625" style="4"/>
  </cols>
  <sheetData>
    <row r="2" spans="2:5" s="58" customFormat="1" ht="15">
      <c r="B2" s="13"/>
      <c r="C2" s="13"/>
      <c r="E2" s="59"/>
    </row>
    <row r="3" spans="2:5" s="58" customFormat="1" ht="7.5" customHeight="1">
      <c r="B3" s="13"/>
      <c r="C3" s="13"/>
      <c r="D3" s="60"/>
      <c r="E3" s="61"/>
    </row>
    <row r="4" spans="2:5" s="58" customFormat="1" ht="8.25" customHeight="1">
      <c r="B4" s="13"/>
      <c r="C4" s="13"/>
      <c r="D4" s="62"/>
      <c r="E4" s="59"/>
    </row>
    <row r="5" spans="2:5" s="58" customFormat="1" ht="15" customHeight="1">
      <c r="B5" s="194" t="s">
        <v>179</v>
      </c>
      <c r="C5" s="194"/>
      <c r="D5" s="194"/>
      <c r="E5" s="194"/>
    </row>
    <row r="6" spans="2:5" ht="15" customHeight="1"/>
    <row r="7" spans="2:5" s="58" customFormat="1" ht="15" customHeight="1">
      <c r="B7" s="192" t="s">
        <v>2</v>
      </c>
      <c r="C7" s="184" t="s">
        <v>80</v>
      </c>
      <c r="D7" s="122" t="s">
        <v>133</v>
      </c>
      <c r="E7" s="93" t="s">
        <v>133</v>
      </c>
    </row>
    <row r="8" spans="2:5" s="58" customFormat="1" ht="32.25" customHeight="1">
      <c r="B8" s="193"/>
      <c r="C8" s="187"/>
      <c r="D8" s="123" t="s">
        <v>134</v>
      </c>
      <c r="E8" s="95" t="s">
        <v>195</v>
      </c>
    </row>
    <row r="9" spans="2:5" s="58" customFormat="1" ht="15" customHeight="1">
      <c r="B9" s="98" t="s">
        <v>3</v>
      </c>
      <c r="C9" s="130" t="s">
        <v>62</v>
      </c>
      <c r="D9" s="114"/>
      <c r="E9" s="114"/>
    </row>
    <row r="10" spans="2:5" s="58" customFormat="1" ht="15" customHeight="1">
      <c r="B10" s="102"/>
      <c r="C10" s="108" t="s">
        <v>81</v>
      </c>
      <c r="D10" s="106">
        <f>Rez.1!D31</f>
        <v>16959419.609999996</v>
      </c>
      <c r="E10" s="106">
        <f>Rez.1!E31</f>
        <v>4201608.4400000004</v>
      </c>
    </row>
    <row r="11" spans="2:5" s="58" customFormat="1" ht="19.5" customHeight="1">
      <c r="B11" s="102"/>
      <c r="C11" s="131" t="s">
        <v>82</v>
      </c>
      <c r="D11" s="115">
        <f>D12+D13</f>
        <v>863557.65</v>
      </c>
      <c r="E11" s="115">
        <f>E12+E13</f>
        <v>441353.95</v>
      </c>
    </row>
    <row r="12" spans="2:5" s="58" customFormat="1" ht="15" customHeight="1">
      <c r="B12" s="102"/>
      <c r="C12" s="132" t="s">
        <v>91</v>
      </c>
      <c r="D12" s="115">
        <f>Rez.1!D16</f>
        <v>846008</v>
      </c>
      <c r="E12" s="115">
        <f>Rez.1!E16</f>
        <v>633019</v>
      </c>
    </row>
    <row r="13" spans="2:5" s="58" customFormat="1" ht="15" customHeight="1">
      <c r="B13" s="102"/>
      <c r="C13" s="132" t="s">
        <v>92</v>
      </c>
      <c r="D13" s="115">
        <f>-Rez.1!D28</f>
        <v>17549.649999999994</v>
      </c>
      <c r="E13" s="115">
        <f>-Rez.1!E28</f>
        <v>-191665.05</v>
      </c>
    </row>
    <row r="14" spans="2:5" s="58" customFormat="1" ht="15" customHeight="1">
      <c r="B14" s="102"/>
      <c r="C14" s="132" t="s">
        <v>93</v>
      </c>
      <c r="D14" s="115"/>
      <c r="E14" s="115"/>
    </row>
    <row r="15" spans="2:5" s="58" customFormat="1" ht="15" customHeight="1">
      <c r="B15" s="125"/>
      <c r="C15" s="132" t="s">
        <v>94</v>
      </c>
      <c r="D15" s="115"/>
      <c r="E15" s="115"/>
    </row>
    <row r="16" spans="2:5" s="63" customFormat="1" ht="15" customHeight="1">
      <c r="B16" s="125"/>
      <c r="C16" s="133" t="s">
        <v>83</v>
      </c>
      <c r="D16" s="195">
        <f>-Aktivet!J13</f>
        <v>-14865533.65</v>
      </c>
      <c r="E16" s="195">
        <f>-3974682</f>
        <v>-3974682</v>
      </c>
    </row>
    <row r="17" spans="1:8" s="63" customFormat="1" ht="15" customHeight="1">
      <c r="B17" s="105"/>
      <c r="C17" s="134" t="s">
        <v>84</v>
      </c>
      <c r="D17" s="196"/>
      <c r="E17" s="196"/>
    </row>
    <row r="18" spans="1:8" s="58" customFormat="1" ht="15" customHeight="1">
      <c r="B18" s="105"/>
      <c r="C18" s="108" t="s">
        <v>85</v>
      </c>
      <c r="D18" s="135">
        <v>0</v>
      </c>
      <c r="E18" s="135"/>
    </row>
    <row r="19" spans="1:8" s="58" customFormat="1" ht="15" customHeight="1">
      <c r="B19" s="192"/>
      <c r="C19" s="133" t="s">
        <v>86</v>
      </c>
      <c r="D19" s="195">
        <f>Pasivet!J13-Pasivet!G18-407509</f>
        <v>4928297.3400000008</v>
      </c>
      <c r="E19" s="195">
        <f>3369378+Pasivet!H28-Pasivet!H18+305416</f>
        <v>4166939.62</v>
      </c>
    </row>
    <row r="20" spans="1:8" s="58" customFormat="1" ht="15" customHeight="1">
      <c r="B20" s="193"/>
      <c r="C20" s="131" t="s">
        <v>87</v>
      </c>
      <c r="D20" s="196"/>
      <c r="E20" s="196"/>
    </row>
    <row r="21" spans="1:8" s="58" customFormat="1" ht="15" customHeight="1">
      <c r="B21" s="102"/>
      <c r="C21" s="108" t="s">
        <v>88</v>
      </c>
      <c r="D21" s="136"/>
      <c r="E21" s="136"/>
    </row>
    <row r="22" spans="1:8" s="58" customFormat="1" ht="15" customHeight="1">
      <c r="B22" s="102"/>
      <c r="C22" s="108" t="s">
        <v>65</v>
      </c>
      <c r="D22" s="115"/>
      <c r="E22" s="115"/>
    </row>
    <row r="23" spans="1:8" s="58" customFormat="1" ht="15" customHeight="1">
      <c r="B23" s="102"/>
      <c r="C23" s="108" t="s">
        <v>66</v>
      </c>
      <c r="D23" s="115">
        <f>-158645+61500</f>
        <v>-97145</v>
      </c>
      <c r="E23" s="115">
        <f>-168000</f>
        <v>-168000</v>
      </c>
    </row>
    <row r="24" spans="1:8" s="58" customFormat="1" ht="15" customHeight="1">
      <c r="B24" s="102"/>
      <c r="C24" s="104" t="s">
        <v>89</v>
      </c>
      <c r="D24" s="115">
        <f>D10+D16+D19+D23+D11</f>
        <v>7788595.9499999965</v>
      </c>
      <c r="E24" s="115">
        <f>E10+E16+E19+E23+E11</f>
        <v>4667220.0100000007</v>
      </c>
    </row>
    <row r="25" spans="1:8" s="58" customFormat="1" ht="15" customHeight="1">
      <c r="A25" s="53"/>
      <c r="B25" s="98" t="s">
        <v>4</v>
      </c>
      <c r="C25" s="109" t="s">
        <v>67</v>
      </c>
      <c r="D25" s="114"/>
      <c r="E25" s="114"/>
    </row>
    <row r="26" spans="1:8" s="58" customFormat="1" ht="15" customHeight="1">
      <c r="B26" s="102"/>
      <c r="C26" s="108" t="s">
        <v>68</v>
      </c>
      <c r="D26" s="115"/>
      <c r="E26" s="115"/>
      <c r="H26" s="64"/>
    </row>
    <row r="27" spans="1:8" s="58" customFormat="1" ht="15" customHeight="1">
      <c r="B27" s="102"/>
      <c r="C27" s="108" t="s">
        <v>171</v>
      </c>
      <c r="D27" s="115"/>
      <c r="E27" s="115">
        <f>-3573541-633019</f>
        <v>-4206560</v>
      </c>
      <c r="H27" s="65"/>
    </row>
    <row r="28" spans="1:8" s="58" customFormat="1" ht="15" customHeight="1">
      <c r="B28" s="102"/>
      <c r="C28" s="108" t="s">
        <v>172</v>
      </c>
      <c r="D28" s="115"/>
      <c r="E28" s="115"/>
      <c r="H28" s="66"/>
    </row>
    <row r="29" spans="1:8" s="58" customFormat="1" ht="15" customHeight="1">
      <c r="B29" s="102"/>
      <c r="C29" s="108" t="s">
        <v>69</v>
      </c>
      <c r="D29" s="115"/>
      <c r="E29" s="115"/>
      <c r="H29" s="63"/>
    </row>
    <row r="30" spans="1:8" s="58" customFormat="1" ht="15" customHeight="1">
      <c r="B30" s="102"/>
      <c r="C30" s="108" t="s">
        <v>70</v>
      </c>
      <c r="D30" s="115"/>
      <c r="E30" s="115"/>
      <c r="H30" s="63"/>
    </row>
    <row r="31" spans="1:8" s="58" customFormat="1" ht="15" customHeight="1">
      <c r="B31" s="102"/>
      <c r="C31" s="104" t="s">
        <v>71</v>
      </c>
      <c r="D31" s="115">
        <f>SUM(D26:D30)</f>
        <v>0</v>
      </c>
      <c r="E31" s="115">
        <f>SUM(E26:E30)</f>
        <v>-4206560</v>
      </c>
      <c r="H31" s="65"/>
    </row>
    <row r="32" spans="1:8" s="58" customFormat="1" ht="15" customHeight="1">
      <c r="A32" s="53"/>
      <c r="B32" s="98" t="s">
        <v>37</v>
      </c>
      <c r="C32" s="130" t="s">
        <v>72</v>
      </c>
      <c r="D32" s="114"/>
      <c r="E32" s="114"/>
    </row>
    <row r="33" spans="1:5" s="58" customFormat="1" ht="15" customHeight="1">
      <c r="B33" s="102"/>
      <c r="C33" s="108" t="s">
        <v>79</v>
      </c>
      <c r="D33" s="115">
        <v>0</v>
      </c>
      <c r="E33" s="115"/>
    </row>
    <row r="34" spans="1:5" s="58" customFormat="1" ht="15" customHeight="1">
      <c r="B34" s="102"/>
      <c r="C34" s="108" t="s">
        <v>73</v>
      </c>
      <c r="D34" s="115"/>
      <c r="E34" s="115"/>
    </row>
    <row r="35" spans="1:5" s="58" customFormat="1" ht="15" customHeight="1">
      <c r="B35" s="102"/>
      <c r="C35" s="108" t="s">
        <v>74</v>
      </c>
      <c r="D35" s="115"/>
      <c r="E35" s="115"/>
    </row>
    <row r="36" spans="1:5" s="58" customFormat="1" ht="15" customHeight="1">
      <c r="B36" s="102"/>
      <c r="C36" s="108" t="s">
        <v>75</v>
      </c>
      <c r="D36" s="115"/>
      <c r="E36" s="115"/>
    </row>
    <row r="37" spans="1:5" s="58" customFormat="1" ht="15" customHeight="1">
      <c r="B37" s="102"/>
      <c r="C37" s="104" t="s">
        <v>90</v>
      </c>
      <c r="D37" s="115">
        <f>SUM(D33:D36)</f>
        <v>0</v>
      </c>
      <c r="E37" s="115">
        <f>SUM(E33:E36)</f>
        <v>0</v>
      </c>
    </row>
    <row r="38" spans="1:5" ht="15" customHeight="1">
      <c r="A38" s="54"/>
      <c r="B38" s="137" t="s">
        <v>155</v>
      </c>
      <c r="C38" s="109" t="s">
        <v>76</v>
      </c>
      <c r="D38" s="138">
        <f>D24+D31+D37</f>
        <v>7788595.9499999965</v>
      </c>
      <c r="E38" s="138">
        <f>E24+E31+E37</f>
        <v>460660.01000000071</v>
      </c>
    </row>
    <row r="39" spans="1:5" ht="15" customHeight="1">
      <c r="A39" s="54"/>
      <c r="B39" s="137" t="s">
        <v>156</v>
      </c>
      <c r="C39" s="109" t="s">
        <v>77</v>
      </c>
      <c r="D39" s="138">
        <f>E40</f>
        <v>3332167.0100000007</v>
      </c>
      <c r="E39" s="138">
        <v>2871507</v>
      </c>
    </row>
    <row r="40" spans="1:5" ht="15" customHeight="1">
      <c r="A40" s="54"/>
      <c r="B40" s="137" t="s">
        <v>157</v>
      </c>
      <c r="C40" s="109" t="s">
        <v>78</v>
      </c>
      <c r="D40" s="138">
        <f>D38+D39</f>
        <v>11120762.959999997</v>
      </c>
      <c r="E40" s="138">
        <f>E38+E39</f>
        <v>3332167.0100000007</v>
      </c>
    </row>
    <row r="41" spans="1:5">
      <c r="D41" s="67"/>
      <c r="E41" s="67"/>
    </row>
    <row r="42" spans="1:5">
      <c r="D42" s="67">
        <f>Aktivet!G9</f>
        <v>11120763.369999999</v>
      </c>
      <c r="E42" s="67">
        <f>Aktivet!H9</f>
        <v>3332167.2699999996</v>
      </c>
    </row>
    <row r="43" spans="1:5">
      <c r="D43" s="67">
        <f>D40-D42</f>
        <v>-0.41000000201165676</v>
      </c>
      <c r="E43" s="67">
        <f>E40-E42</f>
        <v>-0.25999999884516001</v>
      </c>
    </row>
    <row r="44" spans="1:5">
      <c r="D44" s="67"/>
      <c r="E44" s="67"/>
    </row>
    <row r="45" spans="1:5">
      <c r="D45" s="67"/>
      <c r="E45" s="67"/>
    </row>
    <row r="46" spans="1:5">
      <c r="D46" s="67"/>
      <c r="E46" s="67"/>
    </row>
    <row r="47" spans="1:5">
      <c r="D47" s="67"/>
      <c r="E47" s="67"/>
    </row>
    <row r="48" spans="1:5">
      <c r="D48" s="67"/>
      <c r="E48" s="67"/>
    </row>
    <row r="49" spans="4:5">
      <c r="D49" s="67"/>
      <c r="E49" s="67"/>
    </row>
    <row r="50" spans="4:5">
      <c r="D50" s="67"/>
      <c r="E50" s="67"/>
    </row>
    <row r="51" spans="4:5">
      <c r="D51" s="67"/>
      <c r="E51" s="67"/>
    </row>
    <row r="52" spans="4:5">
      <c r="D52" s="67"/>
      <c r="E52" s="67"/>
    </row>
    <row r="53" spans="4:5">
      <c r="D53" s="67"/>
      <c r="E53" s="67"/>
    </row>
    <row r="54" spans="4:5">
      <c r="D54" s="67"/>
      <c r="E54" s="67"/>
    </row>
    <row r="55" spans="4:5">
      <c r="D55" s="67"/>
      <c r="E55" s="67"/>
    </row>
    <row r="56" spans="4:5">
      <c r="D56" s="67"/>
      <c r="E56" s="67"/>
    </row>
    <row r="57" spans="4:5">
      <c r="D57" s="67"/>
      <c r="E57" s="67"/>
    </row>
    <row r="58" spans="4:5">
      <c r="D58" s="67"/>
      <c r="E58" s="67"/>
    </row>
    <row r="59" spans="4:5">
      <c r="D59" s="67"/>
      <c r="E59" s="67"/>
    </row>
    <row r="60" spans="4:5">
      <c r="D60" s="67"/>
      <c r="E60" s="67"/>
    </row>
    <row r="61" spans="4:5">
      <c r="D61" s="67"/>
      <c r="E61" s="67"/>
    </row>
    <row r="62" spans="4:5">
      <c r="D62" s="67"/>
      <c r="E62" s="67"/>
    </row>
    <row r="63" spans="4:5">
      <c r="D63" s="67"/>
      <c r="E63" s="67"/>
    </row>
    <row r="64" spans="4:5">
      <c r="D64" s="67"/>
      <c r="E64" s="67"/>
    </row>
    <row r="65" spans="4:5">
      <c r="D65" s="67"/>
      <c r="E65" s="67"/>
    </row>
  </sheetData>
  <mergeCells count="8">
    <mergeCell ref="B19:B20"/>
    <mergeCell ref="B5:E5"/>
    <mergeCell ref="C7:C8"/>
    <mergeCell ref="B7:B8"/>
    <mergeCell ref="D16:D17"/>
    <mergeCell ref="E16:E17"/>
    <mergeCell ref="E19:E20"/>
    <mergeCell ref="D19:D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H97"/>
  <sheetViews>
    <sheetView workbookViewId="0">
      <selection activeCell="C16" sqref="C16:H20"/>
    </sheetView>
  </sheetViews>
  <sheetFormatPr defaultColWidth="17.7109375" defaultRowHeight="12.75"/>
  <cols>
    <col min="1" max="1" width="2.85546875" customWidth="1"/>
    <col min="2" max="2" width="29.7109375" customWidth="1"/>
    <col min="3" max="3" width="11" customWidth="1"/>
    <col min="4" max="4" width="10.5703125" customWidth="1"/>
    <col min="5" max="5" width="9.85546875" customWidth="1"/>
    <col min="6" max="6" width="11.140625" customWidth="1"/>
    <col min="7" max="7" width="14.28515625" customWidth="1"/>
    <col min="8" max="8" width="11.28515625" customWidth="1"/>
    <col min="9" max="9" width="2.7109375" customWidth="1"/>
  </cols>
  <sheetData>
    <row r="2" spans="1:8" ht="15">
      <c r="B2" s="1"/>
    </row>
    <row r="3" spans="1:8" ht="6.75" customHeight="1"/>
    <row r="4" spans="1:8" ht="25.5" customHeight="1">
      <c r="A4" s="197" t="s">
        <v>180</v>
      </c>
      <c r="B4" s="197"/>
      <c r="C4" s="197"/>
      <c r="D4" s="197"/>
      <c r="E4" s="197"/>
      <c r="F4" s="197"/>
      <c r="G4" s="197"/>
      <c r="H4" s="197"/>
    </row>
    <row r="5" spans="1:8" ht="6.75" customHeight="1">
      <c r="A5" s="4"/>
      <c r="B5" s="4"/>
      <c r="C5" s="4"/>
      <c r="D5" s="4"/>
      <c r="E5" s="4"/>
      <c r="F5" s="4"/>
      <c r="G5" s="4"/>
      <c r="H5" s="4"/>
    </row>
    <row r="6" spans="1:8" ht="12.75" customHeight="1">
      <c r="A6" s="4"/>
      <c r="B6" s="139"/>
      <c r="C6" s="4"/>
      <c r="D6" s="4"/>
      <c r="E6" s="4"/>
      <c r="F6" s="4"/>
      <c r="G6" s="11"/>
      <c r="H6" s="4"/>
    </row>
    <row r="7" spans="1:8" ht="6.75" customHeight="1" thickBot="1">
      <c r="A7" s="140"/>
      <c r="B7" s="140"/>
      <c r="C7" s="140"/>
      <c r="D7" s="140"/>
      <c r="E7" s="140"/>
      <c r="F7" s="140"/>
      <c r="G7" s="140"/>
      <c r="H7" s="140"/>
    </row>
    <row r="8" spans="1:8" s="2" customFormat="1" ht="24.95" customHeight="1" thickTop="1">
      <c r="A8" s="198"/>
      <c r="B8" s="198"/>
      <c r="C8" s="141" t="s">
        <v>158</v>
      </c>
      <c r="D8" s="141" t="s">
        <v>160</v>
      </c>
      <c r="E8" s="141" t="s">
        <v>162</v>
      </c>
      <c r="F8" s="141" t="s">
        <v>164</v>
      </c>
      <c r="G8" s="141" t="s">
        <v>166</v>
      </c>
      <c r="H8" s="142" t="s">
        <v>58</v>
      </c>
    </row>
    <row r="9" spans="1:8" s="2" customFormat="1" ht="24.95" customHeight="1" thickBot="1">
      <c r="A9" s="143"/>
      <c r="B9" s="143"/>
      <c r="C9" s="144" t="s">
        <v>159</v>
      </c>
      <c r="D9" s="144" t="s">
        <v>161</v>
      </c>
      <c r="E9" s="144" t="s">
        <v>163</v>
      </c>
      <c r="F9" s="144" t="s">
        <v>165</v>
      </c>
      <c r="G9" s="144" t="s">
        <v>167</v>
      </c>
      <c r="H9" s="145"/>
    </row>
    <row r="10" spans="1:8" s="3" customFormat="1" ht="30" customHeight="1" thickBot="1">
      <c r="A10" s="146" t="s">
        <v>37</v>
      </c>
      <c r="B10" s="147" t="s">
        <v>170</v>
      </c>
      <c r="C10" s="148">
        <v>100000</v>
      </c>
      <c r="D10" s="148">
        <v>0</v>
      </c>
      <c r="E10" s="148">
        <v>0</v>
      </c>
      <c r="F10" s="148">
        <v>0</v>
      </c>
      <c r="G10" s="148">
        <v>2256042</v>
      </c>
      <c r="H10" s="149">
        <f>C10+G10</f>
        <v>2356042</v>
      </c>
    </row>
    <row r="11" spans="1:8" s="3" customFormat="1" ht="20.100000000000001" customHeight="1">
      <c r="A11" s="150">
        <v>1</v>
      </c>
      <c r="B11" s="151" t="s">
        <v>60</v>
      </c>
      <c r="C11" s="152"/>
      <c r="D11" s="152"/>
      <c r="E11" s="152"/>
      <c r="F11" s="152"/>
      <c r="G11" s="152">
        <f>Pasivet!H43</f>
        <v>3774499.4400000004</v>
      </c>
      <c r="H11" s="153">
        <f t="shared" ref="H11:H19" si="0">SUM(C11:G11)</f>
        <v>3774499.4400000004</v>
      </c>
    </row>
    <row r="12" spans="1:8" s="3" customFormat="1" ht="20.100000000000001" customHeight="1">
      <c r="A12" s="154">
        <v>2</v>
      </c>
      <c r="B12" s="155" t="s">
        <v>59</v>
      </c>
      <c r="C12" s="156"/>
      <c r="D12" s="156"/>
      <c r="E12" s="156"/>
      <c r="F12" s="156"/>
      <c r="G12" s="156"/>
      <c r="H12" s="157">
        <f t="shared" si="0"/>
        <v>0</v>
      </c>
    </row>
    <row r="13" spans="1:8" s="3" customFormat="1" ht="20.100000000000001" customHeight="1">
      <c r="A13" s="154">
        <v>3</v>
      </c>
      <c r="B13" s="155" t="s">
        <v>61</v>
      </c>
      <c r="C13" s="156">
        <v>0</v>
      </c>
      <c r="D13" s="156"/>
      <c r="E13" s="156"/>
      <c r="F13" s="156"/>
      <c r="G13" s="156"/>
      <c r="H13" s="157">
        <f t="shared" si="0"/>
        <v>0</v>
      </c>
    </row>
    <row r="14" spans="1:8" s="3" customFormat="1" ht="20.100000000000001" customHeight="1">
      <c r="A14" s="154">
        <v>4</v>
      </c>
      <c r="B14" s="155" t="s">
        <v>148</v>
      </c>
      <c r="C14" s="156"/>
      <c r="D14" s="156"/>
      <c r="E14" s="156"/>
      <c r="F14" s="156"/>
      <c r="G14" s="156"/>
      <c r="H14" s="157">
        <f t="shared" si="0"/>
        <v>0</v>
      </c>
    </row>
    <row r="15" spans="1:8" s="3" customFormat="1" ht="30" customHeight="1" thickBot="1">
      <c r="A15" s="158" t="s">
        <v>155</v>
      </c>
      <c r="B15" s="159" t="s">
        <v>174</v>
      </c>
      <c r="C15" s="160">
        <v>100000</v>
      </c>
      <c r="D15" s="160">
        <f>SUM(D10:D14)</f>
        <v>0</v>
      </c>
      <c r="E15" s="160">
        <f>SUM(E10:E14)</f>
        <v>0</v>
      </c>
      <c r="F15" s="160">
        <f>SUM(F10:F14)</f>
        <v>0</v>
      </c>
      <c r="G15" s="160">
        <f>G10+G11</f>
        <v>6030541.4400000004</v>
      </c>
      <c r="H15" s="161">
        <f>SUM(C15:G15)</f>
        <v>6130541.4400000004</v>
      </c>
    </row>
    <row r="16" spans="1:8" ht="18" customHeight="1" thickTop="1">
      <c r="A16" s="150">
        <v>5</v>
      </c>
      <c r="B16" s="151" t="s">
        <v>60</v>
      </c>
      <c r="C16" s="152"/>
      <c r="D16" s="152"/>
      <c r="E16" s="152"/>
      <c r="F16" s="152"/>
      <c r="G16" s="152">
        <f>Pasivet!G44</f>
        <v>15249173.609999996</v>
      </c>
      <c r="H16" s="153">
        <f t="shared" si="0"/>
        <v>15249173.609999996</v>
      </c>
    </row>
    <row r="17" spans="1:8" ht="15" customHeight="1">
      <c r="A17" s="154">
        <v>6</v>
      </c>
      <c r="B17" s="155" t="s">
        <v>59</v>
      </c>
      <c r="C17" s="156"/>
      <c r="D17" s="156"/>
      <c r="E17" s="156"/>
      <c r="F17" s="156"/>
      <c r="G17" s="156"/>
      <c r="H17" s="157">
        <f t="shared" si="0"/>
        <v>0</v>
      </c>
    </row>
    <row r="18" spans="1:8" ht="18" customHeight="1">
      <c r="A18" s="154">
        <v>7</v>
      </c>
      <c r="B18" s="155" t="s">
        <v>61</v>
      </c>
      <c r="C18" s="156"/>
      <c r="D18" s="156"/>
      <c r="E18" s="156"/>
      <c r="F18" s="156"/>
      <c r="G18" s="156"/>
      <c r="H18" s="157">
        <f t="shared" si="0"/>
        <v>0</v>
      </c>
    </row>
    <row r="19" spans="1:8" ht="16.5" customHeight="1">
      <c r="A19" s="154">
        <v>8</v>
      </c>
      <c r="B19" s="155" t="s">
        <v>148</v>
      </c>
      <c r="C19" s="156"/>
      <c r="D19" s="156"/>
      <c r="E19" s="156"/>
      <c r="F19" s="156"/>
      <c r="G19" s="156"/>
      <c r="H19" s="157">
        <f t="shared" si="0"/>
        <v>0</v>
      </c>
    </row>
    <row r="20" spans="1:8" ht="26.25" customHeight="1" thickBot="1">
      <c r="A20" s="158" t="s">
        <v>155</v>
      </c>
      <c r="B20" s="159" t="s">
        <v>187</v>
      </c>
      <c r="C20" s="160">
        <v>100000</v>
      </c>
      <c r="D20" s="160">
        <f>SUM(D15:D19)</f>
        <v>0</v>
      </c>
      <c r="E20" s="160">
        <f>SUM(E15:E19)</f>
        <v>0</v>
      </c>
      <c r="F20" s="160">
        <f>SUM(F15:F19)</f>
        <v>0</v>
      </c>
      <c r="G20" s="160">
        <f>G16+G15</f>
        <v>21279715.049999997</v>
      </c>
      <c r="H20" s="160">
        <f>H16+H15</f>
        <v>21379715.049999997</v>
      </c>
    </row>
    <row r="21" spans="1:8" ht="14.1" customHeight="1" thickTop="1"/>
    <row r="22" spans="1:8" ht="14.1" customHeight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</sheetData>
  <mergeCells count="3">
    <mergeCell ref="A4:H4"/>
    <mergeCell ref="A8"/>
    <mergeCell ref="B8"/>
  </mergeCells>
  <phoneticPr fontId="4" type="noConversion"/>
  <printOptions horizontalCentered="1"/>
  <pageMargins left="0" right="0" top="0.70866141732283505" bottom="0.31496062992126" header="0.511811023622047" footer="0.511811023622047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1" sqref="D21"/>
    </sheetView>
  </sheetViews>
  <sheetFormatPr defaultRowHeight="12.7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Rez.1</vt:lpstr>
      <vt:lpstr>Fluksi 2</vt:lpstr>
      <vt:lpstr>Kapitali 2</vt:lpstr>
      <vt:lpstr>Sheet1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jenny</cp:lastModifiedBy>
  <cp:lastPrinted>2012-05-11T08:35:21Z</cp:lastPrinted>
  <dcterms:created xsi:type="dcterms:W3CDTF">2002-02-16T18:16:52Z</dcterms:created>
  <dcterms:modified xsi:type="dcterms:W3CDTF">2012-07-04T14:39:46Z</dcterms:modified>
</cp:coreProperties>
</file>