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/>
  <bookViews>
    <workbookView xWindow="600" yWindow="210" windowWidth="8820" windowHeight="3885" tabRatio="859"/>
  </bookViews>
  <sheets>
    <sheet name="Kapaku" sheetId="16" r:id="rId1"/>
    <sheet name="Aktivet e detajuara" sheetId="1" r:id="rId2"/>
    <sheet name="Te ardhura e shpenzime" sheetId="2" r:id="rId3"/>
    <sheet name="Fluksi 2" sheetId="14" r:id="rId4"/>
    <sheet name="Kapitali " sheetId="22" r:id="rId5"/>
    <sheet name="Sheet1" sheetId="31" state="hidden" r:id="rId6"/>
    <sheet name="Shenime  2013" sheetId="32" r:id="rId7"/>
    <sheet name="Shenime " sheetId="23" state="hidden" r:id="rId8"/>
  </sheets>
  <externalReferences>
    <externalReference r:id="rId9"/>
    <externalReference r:id="rId10"/>
    <externalReference r:id="rId11"/>
    <externalReference r:id="rId12"/>
  </externalReferences>
  <definedNames>
    <definedName name="_Key1" localSheetId="6" hidden="1">[1]PRODUKTE!#REF!</definedName>
    <definedName name="_Key1" hidden="1">[1]PRODUKTE!#REF!</definedName>
    <definedName name="_Key2" localSheetId="6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1">'Aktivet e detajuara'!$A$1:$J$47,'Aktivet e detajuara'!$A$51:$J$95</definedName>
    <definedName name="_xlnm.Print_Area" localSheetId="3">'Fluksi 2'!$A$1:$G$36</definedName>
    <definedName name="_xlnm.Print_Area" localSheetId="0">Kapaku!$A$1:$F$35</definedName>
    <definedName name="_xlnm.Print_Area" localSheetId="7">'Shenime '!$A$1:$H$113</definedName>
    <definedName name="_xlnm.Print_Area" localSheetId="6">'Shenime  2013'!$A$1:$H$132</definedName>
    <definedName name="_xlnm.Print_Area" localSheetId="2">'Te ardhura e shpenzime'!$A$2:$E$29</definedName>
  </definedNames>
  <calcPr calcId="125725"/>
</workbook>
</file>

<file path=xl/calcChain.xml><?xml version="1.0" encoding="utf-8"?>
<calcChain xmlns="http://schemas.openxmlformats.org/spreadsheetml/2006/main">
  <c r="D57" i="32"/>
  <c r="E57"/>
  <c r="F57"/>
  <c r="G57"/>
  <c r="H57"/>
  <c r="F41" i="23"/>
  <c r="F42"/>
  <c r="F45"/>
  <c r="F44"/>
  <c r="F43"/>
  <c r="E44"/>
  <c r="E42"/>
  <c r="D25" i="2"/>
  <c r="J26"/>
  <c r="C113" i="32"/>
  <c r="D70"/>
  <c r="C70"/>
  <c r="D28"/>
  <c r="D29"/>
  <c r="D107"/>
  <c r="D113"/>
  <c r="D114" s="1"/>
  <c r="D65"/>
  <c r="C65"/>
  <c r="C33"/>
  <c r="C34" s="1"/>
  <c r="D33"/>
  <c r="D34" s="1"/>
  <c r="C73"/>
  <c r="C74" s="1"/>
  <c r="D73"/>
  <c r="D74" s="1"/>
  <c r="D42"/>
  <c r="D43" s="1"/>
  <c r="C42"/>
  <c r="C43" s="1"/>
  <c r="D11" i="2"/>
  <c r="D16" s="1"/>
  <c r="D17" s="1"/>
  <c r="D26" s="1"/>
  <c r="F5" i="14" s="1"/>
  <c r="C78" i="32"/>
  <c r="C79" s="1"/>
  <c r="E40" i="23"/>
  <c r="E16" i="32"/>
  <c r="E17"/>
  <c r="E18"/>
  <c r="E19"/>
  <c r="E15"/>
  <c r="I80" i="1"/>
  <c r="F9" i="14"/>
  <c r="F24"/>
  <c r="G24"/>
  <c r="E27"/>
  <c r="I67" i="1"/>
  <c r="I70"/>
  <c r="F14" i="14" s="1"/>
  <c r="I20" i="1"/>
  <c r="F7" i="14"/>
  <c r="I31" i="1"/>
  <c r="E15" i="22"/>
  <c r="I14"/>
  <c r="I13"/>
  <c r="I12"/>
  <c r="I11"/>
  <c r="D20" i="32"/>
  <c r="D44" i="23"/>
  <c r="G27" i="14"/>
  <c r="I8" i="22"/>
  <c r="I7"/>
  <c r="I6"/>
  <c r="I5"/>
  <c r="G36" i="14"/>
  <c r="F35" s="1"/>
  <c r="J20" i="1"/>
  <c r="J80"/>
  <c r="F30" i="14"/>
  <c r="F33" s="1"/>
  <c r="G33"/>
  <c r="J67" i="1"/>
  <c r="J70" s="1"/>
  <c r="J81" s="1"/>
  <c r="J95" s="1"/>
  <c r="J31"/>
  <c r="J13"/>
  <c r="J24" s="1"/>
  <c r="J47" s="1"/>
  <c r="J7"/>
  <c r="B118" i="32"/>
  <c r="B119"/>
  <c r="B117"/>
  <c r="D78"/>
  <c r="H50"/>
  <c r="E25" i="2"/>
  <c r="B35" i="31"/>
  <c r="E11" i="2"/>
  <c r="E9"/>
  <c r="E39" i="23"/>
  <c r="E41"/>
  <c r="E43"/>
  <c r="E45"/>
  <c r="E38"/>
  <c r="D39"/>
  <c r="D41"/>
  <c r="D45"/>
  <c r="D38"/>
  <c r="F38"/>
  <c r="H39"/>
  <c r="C39"/>
  <c r="C41"/>
  <c r="C42"/>
  <c r="C43"/>
  <c r="C38"/>
  <c r="C100"/>
  <c r="C99"/>
  <c r="C95"/>
  <c r="C61"/>
  <c r="C60"/>
  <c r="C52"/>
  <c r="C53"/>
  <c r="C51"/>
  <c r="C50"/>
  <c r="C49"/>
  <c r="C28"/>
  <c r="C29"/>
  <c r="C24"/>
  <c r="C23"/>
  <c r="C22"/>
  <c r="C25"/>
  <c r="C20"/>
  <c r="C16"/>
  <c r="C15"/>
  <c r="C9" i="22"/>
  <c r="D9"/>
  <c r="D15"/>
  <c r="E9"/>
  <c r="F9"/>
  <c r="F15"/>
  <c r="G9"/>
  <c r="G15"/>
  <c r="C32" i="23"/>
  <c r="G44"/>
  <c r="G46" s="1"/>
  <c r="C4" i="1"/>
  <c r="D4"/>
  <c r="F4"/>
  <c r="G4"/>
  <c r="C11"/>
  <c r="D11"/>
  <c r="F12"/>
  <c r="G12"/>
  <c r="G11"/>
  <c r="F13"/>
  <c r="G13"/>
  <c r="F14"/>
  <c r="G14"/>
  <c r="G15"/>
  <c r="F16"/>
  <c r="F11"/>
  <c r="F3"/>
  <c r="G16"/>
  <c r="C18"/>
  <c r="D18"/>
  <c r="D3"/>
  <c r="F18"/>
  <c r="G18"/>
  <c r="C24"/>
  <c r="D24"/>
  <c r="D23"/>
  <c r="F25"/>
  <c r="G25"/>
  <c r="F27"/>
  <c r="F24"/>
  <c r="G27"/>
  <c r="F28"/>
  <c r="G28"/>
  <c r="C30"/>
  <c r="C23"/>
  <c r="D30"/>
  <c r="F31"/>
  <c r="F33"/>
  <c r="F34"/>
  <c r="F30" s="1"/>
  <c r="F23" s="1"/>
  <c r="G34"/>
  <c r="G30" s="1"/>
  <c r="G23" s="1"/>
  <c r="C36"/>
  <c r="D36"/>
  <c r="F36"/>
  <c r="C39"/>
  <c r="D39"/>
  <c r="F40"/>
  <c r="F39"/>
  <c r="G40"/>
  <c r="F41"/>
  <c r="G41"/>
  <c r="C43"/>
  <c r="D43"/>
  <c r="F43"/>
  <c r="C45"/>
  <c r="D45"/>
  <c r="F45"/>
  <c r="C58"/>
  <c r="C54"/>
  <c r="C53"/>
  <c r="D58"/>
  <c r="D54"/>
  <c r="D53"/>
  <c r="F58"/>
  <c r="G59"/>
  <c r="G58"/>
  <c r="F63"/>
  <c r="F54" s="1"/>
  <c r="F53" s="1"/>
  <c r="G63"/>
  <c r="G54" s="1"/>
  <c r="G53" s="1"/>
  <c r="C65"/>
  <c r="D65"/>
  <c r="F65"/>
  <c r="G65"/>
  <c r="C71"/>
  <c r="D71"/>
  <c r="F71"/>
  <c r="G71"/>
  <c r="C75"/>
  <c r="D75"/>
  <c r="F76"/>
  <c r="F75"/>
  <c r="F77"/>
  <c r="G77"/>
  <c r="F79"/>
  <c r="G79"/>
  <c r="F81"/>
  <c r="G81"/>
  <c r="G75"/>
  <c r="G74"/>
  <c r="C83"/>
  <c r="D83"/>
  <c r="D74"/>
  <c r="G86"/>
  <c r="F87"/>
  <c r="G87"/>
  <c r="F88"/>
  <c r="F83"/>
  <c r="G88"/>
  <c r="F90"/>
  <c r="G90"/>
  <c r="F91"/>
  <c r="F92"/>
  <c r="G92"/>
  <c r="C94"/>
  <c r="D94"/>
  <c r="F94"/>
  <c r="C62" i="23"/>
  <c r="C17"/>
  <c r="C20" i="32"/>
  <c r="C56" i="23"/>
  <c r="C57" s="1"/>
  <c r="E20" i="32"/>
  <c r="E21"/>
  <c r="G83" i="1"/>
  <c r="G39"/>
  <c r="G24"/>
  <c r="C3"/>
  <c r="C98" i="23"/>
  <c r="C101" s="1"/>
  <c r="C103" s="1"/>
  <c r="C104" s="1"/>
  <c r="C106" s="1"/>
  <c r="F39"/>
  <c r="G16" i="14"/>
  <c r="G19"/>
  <c r="G34"/>
  <c r="J94" i="1"/>
  <c r="J37"/>
  <c r="J46"/>
  <c r="F36" i="14"/>
  <c r="I7" i="1"/>
  <c r="F13" i="14"/>
  <c r="C114" i="32"/>
  <c r="D9" i="2"/>
  <c r="C74" i="1"/>
  <c r="F12" i="14"/>
  <c r="C107" i="32"/>
  <c r="D43" i="23"/>
  <c r="E16" i="2"/>
  <c r="E17" s="1"/>
  <c r="E26" s="1"/>
  <c r="D116" i="32" s="1"/>
  <c r="D121" s="1"/>
  <c r="D40" i="23"/>
  <c r="F74" i="1"/>
  <c r="G3"/>
  <c r="H41" i="23"/>
  <c r="C57" i="32"/>
  <c r="C15" i="22"/>
  <c r="H38" i="23"/>
  <c r="I13" i="1"/>
  <c r="C28" i="32"/>
  <c r="G39" i="14" l="1"/>
  <c r="I36" i="1"/>
  <c r="F22" i="14" s="1"/>
  <c r="F27" s="1"/>
  <c r="C116" i="32"/>
  <c r="C121" s="1"/>
  <c r="D27" i="2" s="1"/>
  <c r="D28" s="1"/>
  <c r="I81" i="1"/>
  <c r="J97"/>
  <c r="C29" i="32"/>
  <c r="E27" i="2"/>
  <c r="E28" s="1"/>
  <c r="H4" i="22" s="1"/>
  <c r="I37" i="1"/>
  <c r="I46" s="1"/>
  <c r="C45" i="23"/>
  <c r="H45"/>
  <c r="F40"/>
  <c r="F46" s="1"/>
  <c r="E46"/>
  <c r="H44"/>
  <c r="H42"/>
  <c r="D42"/>
  <c r="D46" s="1"/>
  <c r="C44"/>
  <c r="H43"/>
  <c r="F10" i="14"/>
  <c r="F16" s="1"/>
  <c r="I24" i="1"/>
  <c r="F18" i="14" l="1"/>
  <c r="F19"/>
  <c r="F34" s="1"/>
  <c r="F39" s="1"/>
  <c r="H9" i="22"/>
  <c r="I4"/>
  <c r="I94" i="1"/>
  <c r="I95" s="1"/>
  <c r="H10" i="22"/>
  <c r="I10" s="1"/>
  <c r="C40" i="23"/>
  <c r="C46" s="1"/>
  <c r="I47" i="1"/>
  <c r="H15" i="22" l="1"/>
  <c r="I15" s="1"/>
  <c r="K15" s="1"/>
  <c r="I9"/>
  <c r="I97" i="1"/>
  <c r="H40" i="23"/>
  <c r="H46" s="1"/>
</calcChain>
</file>

<file path=xl/sharedStrings.xml><?xml version="1.0" encoding="utf-8"?>
<sst xmlns="http://schemas.openxmlformats.org/spreadsheetml/2006/main" count="535" uniqueCount="345">
  <si>
    <t>I</t>
  </si>
  <si>
    <t>II</t>
  </si>
  <si>
    <t>III</t>
  </si>
  <si>
    <t>Hua te tjera</t>
  </si>
  <si>
    <t>Shpenzime te tjera rrjedhese</t>
  </si>
  <si>
    <t>Ndertesa</t>
  </si>
  <si>
    <t>AKTIVET</t>
  </si>
  <si>
    <t>Shenimet</t>
  </si>
  <si>
    <t>AKTIVET AFATSHKURTERA</t>
  </si>
  <si>
    <t>Aktive monetare</t>
  </si>
  <si>
    <t>Derivative dhe aktive te mbajtura per tregetim</t>
  </si>
  <si>
    <t>(i)</t>
  </si>
  <si>
    <t>Derivativet</t>
  </si>
  <si>
    <t>(ii)</t>
  </si>
  <si>
    <t>Aktivet e mbajtura per tregetim</t>
  </si>
  <si>
    <t>Totali 2</t>
  </si>
  <si>
    <t>Aktive te tjera financiare afatshkurtera</t>
  </si>
  <si>
    <t>Llogari / Kerkesa te arketueshme</t>
  </si>
  <si>
    <t>Llogari / Kerkesa te tjera  te arketueshme</t>
  </si>
  <si>
    <t>(iii)</t>
  </si>
  <si>
    <t>Instrumente te tjera borxhi</t>
  </si>
  <si>
    <t>(iv)</t>
  </si>
  <si>
    <t>Investime te tjera financiare</t>
  </si>
  <si>
    <t>Totali 3</t>
  </si>
  <si>
    <t>Inventari</t>
  </si>
  <si>
    <t>(v)</t>
  </si>
  <si>
    <t>Prodhimi ne proces</t>
  </si>
  <si>
    <t>Produkte te gateshme</t>
  </si>
  <si>
    <t>Mallra per rishitje</t>
  </si>
  <si>
    <t>Parapagesat per furnizime</t>
  </si>
  <si>
    <t>Totali 4</t>
  </si>
  <si>
    <t>Aktivet biologjike afatshkurtera</t>
  </si>
  <si>
    <t>Aktivet afatshkurtera te mbajtura per shitje</t>
  </si>
  <si>
    <t>Parapagimet dhe shpenzimet e shtyra</t>
  </si>
  <si>
    <t>AKTIVET AFATGJATA</t>
  </si>
  <si>
    <t>Investimet financiare afatgjata</t>
  </si>
  <si>
    <t>Pjesemarrje te tjera ne njesi te kontrolluara (vetem ne PF )</t>
  </si>
  <si>
    <t>Aksione dhe investime te tjera ne pjesemarrje</t>
  </si>
  <si>
    <t>Aksione dhe letra te tjera me vlere</t>
  </si>
  <si>
    <t>Llogari / Kerkesa te arketueshme afatgjata</t>
  </si>
  <si>
    <t>Totali 1</t>
  </si>
  <si>
    <t>Aktive afatgjata materiale</t>
  </si>
  <si>
    <t>Toka</t>
  </si>
  <si>
    <t>Makineri dhe pajisje</t>
  </si>
  <si>
    <t>Aktive te tjera afatgjata materiale ( me vl. kontabel )</t>
  </si>
  <si>
    <t>Aktivet biologjike afatgjata</t>
  </si>
  <si>
    <t>Aktive afatgjata jomateriale</t>
  </si>
  <si>
    <t>Emri I mire</t>
  </si>
  <si>
    <t>Shpenzimet e zhvillimit</t>
  </si>
  <si>
    <t>Aktive te tjera afatgjata jomateriale</t>
  </si>
  <si>
    <t>Kapital aksionar I pa paguar</t>
  </si>
  <si>
    <t xml:space="preserve">Aktive te tjera afatgjata </t>
  </si>
  <si>
    <t>TOTALI I AKTIVEVE AFATGJATA ( II )</t>
  </si>
  <si>
    <t>TOTALI I AKTIVEVE  ( I + II )</t>
  </si>
  <si>
    <t>DETYRIMET DHE KAPITALI</t>
  </si>
  <si>
    <t>DETYRIMET AFATSHKURTERA</t>
  </si>
  <si>
    <t>Huamarrjet</t>
  </si>
  <si>
    <t>Huat dhe obligacionet afatshkurtera</t>
  </si>
  <si>
    <t>Kthimet / ripagesat e huave afatgjata</t>
  </si>
  <si>
    <t>Bono te konvertueshme</t>
  </si>
  <si>
    <t>Huat dhe parapagimet</t>
  </si>
  <si>
    <t>Te pagueshme ndaj furnitoreve</t>
  </si>
  <si>
    <t>Te pagueshme ndaj punonjesve</t>
  </si>
  <si>
    <t>Detyrime tatimore</t>
  </si>
  <si>
    <t>Parapagimet e arketuara</t>
  </si>
  <si>
    <t>Grantet dhe te ardhurat e shtyra</t>
  </si>
  <si>
    <t>Provizionet afatshkurtera</t>
  </si>
  <si>
    <t>TOTALI I DETYRIMEVE AFATSHKURTERA</t>
  </si>
  <si>
    <t>DETYRIME AFATGJATA</t>
  </si>
  <si>
    <t>Huat afatgjata</t>
  </si>
  <si>
    <t>Hua, bono dhe detyrime nga qiraja financiare</t>
  </si>
  <si>
    <t>Bonot e konvertueshme</t>
  </si>
  <si>
    <t>Huamarrje te tjera afatgjata</t>
  </si>
  <si>
    <t>Provizionet afatgjata</t>
  </si>
  <si>
    <t>TOTALI I DETYRIMEVE AFATGJATA ( II )</t>
  </si>
  <si>
    <t>TOTALI I DETYRIMEVE</t>
  </si>
  <si>
    <t>KAPITALI</t>
  </si>
  <si>
    <t>Aksionet e pakices ( perdoret vetem ne pasqyrat financiare te konsoliduara )</t>
  </si>
  <si>
    <t>Kapitali qe I perket aksionareve te shoqerise meme ( perdoret vetem ne PF te konsoliduara )</t>
  </si>
  <si>
    <t>Kapitali aksionar</t>
  </si>
  <si>
    <t>Primi I aksionit</t>
  </si>
  <si>
    <t>Njesite dhe aksionet e thesarit ( negative )</t>
  </si>
  <si>
    <t>Rezerva statusore</t>
  </si>
  <si>
    <t>Rezerva ligjore</t>
  </si>
  <si>
    <t>Rezerva te tjera</t>
  </si>
  <si>
    <t>Fitimet e pa shperndara</t>
  </si>
  <si>
    <t>Fitimi ( humbja ) e vitit financiar</t>
  </si>
  <si>
    <t>TOTALI I KAPITALIT ( III )</t>
  </si>
  <si>
    <t>TOTALI I DETYRIMEVE KAPITALIT ( I,II,III )</t>
  </si>
  <si>
    <t>Pershkrimi I Elementeve</t>
  </si>
  <si>
    <t>Shitjet neto</t>
  </si>
  <si>
    <t>Te ardhura te tjera nga veprimtarite e shfrytezimit</t>
  </si>
  <si>
    <t>Ndryshimet ne inventarin e produkteve te gatshme dhe prodhimit ne proces</t>
  </si>
  <si>
    <t>Materialet e konsumuara</t>
  </si>
  <si>
    <t>Kosto e punes</t>
  </si>
  <si>
    <t>pagat e personelit</t>
  </si>
  <si>
    <t>shpenzimet per sigurimet shoqerore dhe shendetesore</t>
  </si>
  <si>
    <t>Amortizimet dhe zhvleresimet</t>
  </si>
  <si>
    <t>Totali I shpenzimeve  ( shuma 4 - 7 )</t>
  </si>
  <si>
    <t>Fitimi apo humbja nga veprimtaria kryesore ( 1+2+/-3-8 )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</si>
  <si>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</si>
  <si>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</si>
  <si>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</si>
  <si>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>Te ardhurat dhe shpenzimet financiare nga investime te tjera financiare afatgjata</t>
  </si>
  <si>
    <t xml:space="preserve">Te ardhurat dhe shpenzimet nga interesat </t>
  </si>
  <si>
    <t>Fitimet ( humbjet ) nga kursi I kembimit</t>
  </si>
  <si>
    <t>Te ardhura dhe shpenzime te tjera financiare</t>
  </si>
  <si>
    <t>Totali I te ardhurave dhe shpenzimeve financiare ( 12.1+/-12.2+/-12.3+/-12.4 )</t>
  </si>
  <si>
    <t>Fitimi ( humbja ) para tatimit ( 9+/-13 )</t>
  </si>
  <si>
    <t>Shpenzimet e tatimit mbi fitimin</t>
  </si>
  <si>
    <t>Fitimi ( humbja ) neto e vitit financiar ( 14 - 15 )</t>
  </si>
  <si>
    <t>Elementet e pasqyrave te konsoliduara</t>
  </si>
  <si>
    <t xml:space="preserve">                     PASQYRA E TE ARDHURAVE DHE SHPENZIMEVE</t>
  </si>
  <si>
    <t>Fluksi monetar nga veprimtarite investuese</t>
  </si>
  <si>
    <t>Dividentet e arketuar</t>
  </si>
  <si>
    <t>Fluksi monetar nga aktivitetet financiare</t>
  </si>
  <si>
    <t>Te ardhura nga huamarrje afatgjata</t>
  </si>
  <si>
    <t>Dividente te paguar</t>
  </si>
  <si>
    <t>Mjetet monetare ne fillim te periudhes kontabel</t>
  </si>
  <si>
    <t>Mjetet monetare ne fund te periudhes kontabel</t>
  </si>
  <si>
    <t>Dividentet e paguar</t>
  </si>
  <si>
    <t>Fitimi neto per periudhen kontabel</t>
  </si>
  <si>
    <t>Totali I te Ardhurave  ( shuma 1+2+/-3 )</t>
  </si>
  <si>
    <t>( Bazuar ne klasifikimin e Shpenzimeve sipas Natyres  )</t>
  </si>
  <si>
    <t>PASIVET</t>
  </si>
  <si>
    <t>Te dhena identifikuese</t>
  </si>
  <si>
    <t>Emri</t>
  </si>
  <si>
    <t>Nipt</t>
  </si>
  <si>
    <t>Te dhena te tjera</t>
  </si>
  <si>
    <t xml:space="preserve">Pasqyra Finaciare </t>
  </si>
  <si>
    <t>Periudha Kontabel</t>
  </si>
  <si>
    <t>Aktive totale Afatshkurtra</t>
  </si>
  <si>
    <t>Nr</t>
  </si>
  <si>
    <t>Pasqyra e fluksit monetar - Metoda Indirekte</t>
  </si>
  <si>
    <t>Periudha</t>
  </si>
  <si>
    <t>Fluksi i parave nga veprimtaria e shfrytezimit</t>
  </si>
  <si>
    <t>Fitimi para tatimit</t>
  </si>
  <si>
    <t>Rregullime per :</t>
  </si>
  <si>
    <t>Amortizimin</t>
  </si>
  <si>
    <t>Te ardhura nga Investimet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</si>
  <si>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</si>
  <si>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</si>
  <si>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</si>
  <si>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</si>
  <si>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</si>
  <si>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</si>
  <si>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</si>
  <si>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</si>
  <si>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</si>
  <si>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</si>
  <si>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</si>
  <si>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</si>
  <si>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</si>
  <si>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MM neto te perdoruara ne veprimtarite investuese</t>
  </si>
  <si>
    <t>Te ardhura nga emetimi i kapitalit aksioner</t>
  </si>
  <si>
    <t>Pagesat e detyrimive te qerase financiare</t>
  </si>
  <si>
    <t>MM neto e perdorur ne veprimtarite Financiare</t>
  </si>
  <si>
    <t>Rritja/Renia neto e mjeteve monetare</t>
  </si>
  <si>
    <t>Rritje/renie ne Tepricen/parapagime dhe shpenz te shtyra</t>
  </si>
  <si>
    <t>Kapitali Aksionar</t>
  </si>
  <si>
    <t>Shenime Shpjeguese</t>
  </si>
  <si>
    <t xml:space="preserve">Mjete monetare </t>
  </si>
  <si>
    <t>Llogari rrjedhese ne banka</t>
  </si>
  <si>
    <t>Arka</t>
  </si>
  <si>
    <t>TAP</t>
  </si>
  <si>
    <t>Shpenzime të tjera nga veprimtaritë e shfrytëzimit</t>
  </si>
  <si>
    <t>PASQYRAT FINANCIARE</t>
  </si>
  <si>
    <t>Mbeshtetur ne ligjin nr 9228 dt 29.04.2004 "Per Kontabilitetin dhe Pasqyrat Financiare",  te ndryshuar dhe ne Standartet Kombetare te Kontabilitetit - SKK-2</t>
  </si>
  <si>
    <t>Individuale</t>
  </si>
  <si>
    <t>Monedha</t>
  </si>
  <si>
    <t>Lek</t>
  </si>
  <si>
    <t>Data e krijimit</t>
  </si>
  <si>
    <t>Rrumbullakimi</t>
  </si>
  <si>
    <t>S'Ka</t>
  </si>
  <si>
    <t>Nr Regjistrit Tregetar</t>
  </si>
  <si>
    <t>Fusha e veprimtarise</t>
  </si>
  <si>
    <t xml:space="preserve">Data e plotesimit te PF </t>
  </si>
  <si>
    <t xml:space="preserve">Pasqyra   e   Fluksit   Monetar  -  Metoda  Indirekte   </t>
  </si>
  <si>
    <t xml:space="preserve">Pasqyra  e  Ndryshimeve  ne  Kapital </t>
  </si>
  <si>
    <t>Nje pasqyre e pa Konsoliduar</t>
  </si>
  <si>
    <t>Transferimi ne rezerva</t>
  </si>
  <si>
    <t>Emetimi kapitali aksionar</t>
  </si>
  <si>
    <t>Aksione te thesari te riblera</t>
  </si>
  <si>
    <t>Adresa</t>
  </si>
  <si>
    <t>Politikat kontabël</t>
  </si>
  <si>
    <t>TVSH</t>
  </si>
  <si>
    <t>Tatim fitimi</t>
  </si>
  <si>
    <t>Qera</t>
  </si>
  <si>
    <t>D&amp;L Administrim</t>
  </si>
  <si>
    <t>Te tjera detyrime</t>
  </si>
  <si>
    <t>(vi)</t>
  </si>
  <si>
    <t>Kërkesa të arkëtueshme dhe te tjera te Arketueshme</t>
  </si>
  <si>
    <t>TVSH per tu rregulluar</t>
  </si>
  <si>
    <t>Ortake</t>
  </si>
  <si>
    <t>Paradhenie personeli</t>
  </si>
  <si>
    <t>Kliente</t>
  </si>
  <si>
    <t>Inventar I imet</t>
  </si>
  <si>
    <t>Lendet e para</t>
  </si>
  <si>
    <t>5</t>
  </si>
  <si>
    <t>Aktive te tjera afatgjata materiale</t>
  </si>
  <si>
    <t>Gjendja ne fillim</t>
  </si>
  <si>
    <t>Shtesa</t>
  </si>
  <si>
    <t>Norma amortizimit</t>
  </si>
  <si>
    <t>Vlera kontabile neto</t>
  </si>
  <si>
    <t>20 %</t>
  </si>
  <si>
    <t>25 %</t>
  </si>
  <si>
    <t>Te tjera</t>
  </si>
  <si>
    <t>Amortizimi I akumuluar</t>
  </si>
  <si>
    <t>7</t>
  </si>
  <si>
    <t xml:space="preserve">Sigurime Shoqerore </t>
  </si>
  <si>
    <t>Tatim ne burim</t>
  </si>
  <si>
    <t>Administrim</t>
  </si>
  <si>
    <t xml:space="preserve">Gjoba  </t>
  </si>
  <si>
    <t xml:space="preserve">Aktivet Afatgjata Materiale: Vlerësimi fillestar i elementeve që plotësojnë kriteret për njohjen si AAM në bilanc është bërë me kosto. Vlerësimi i mëpasshëm është bërë sipas modelit të kostos dhe AAM-të janë paraqitur në bilanc sipas vlerës së tyre neto (minus amortizimin e akumuluar dhe zhvlerësimin, nëse ka). </t>
  </si>
  <si>
    <t>Llogaritë e arkëtueshme: Llogaritë e arkëtueshme nuk mbartin interesa dhe paraqiten me vlerën e tyre neto.</t>
  </si>
  <si>
    <t>Kursi i shpallur nga Banka Shqipërisë në 31 Dhjetor, sipas monedhave përkundrejt lekut:</t>
  </si>
  <si>
    <t xml:space="preserve">Monedhat e huaja: Transaksionet e kryera në monedhë të huaj janë konvertuar në Lekë me kursin e ditës së kryerjes së transaksionit, ndërsa gjendjet e të gjithë llogarive të mjeteve dhe detyrimeve në monedhë të huaj janë konvertuar në Lekë me kursin zyrtar në ditën e fundit të vitit të shpallur nga Banka e Shqipërisë. </t>
  </si>
  <si>
    <t>K81602002S</t>
  </si>
  <si>
    <t>Rr'Frang Bardhi' Godina B, Tirane</t>
  </si>
  <si>
    <t>02.04.2008</t>
  </si>
  <si>
    <t>2.04.2008 ne QKR</t>
  </si>
  <si>
    <t>Keshillim administrim I pasurive te paluajtshme</t>
  </si>
  <si>
    <t>Shpenzime te pazbritshme</t>
  </si>
  <si>
    <t>Mirembajtje dhe riparime</t>
  </si>
  <si>
    <t>Fitimi I tatueshem</t>
  </si>
  <si>
    <t>Të Ardhurat dhe Shpenzimet: Të ardhurat dhe shpenzimet e njësisë ekonomike janë raportuar sipas metodës së konstatimit të të drejtave dhe detyrimeve.</t>
  </si>
  <si>
    <t>Tatimi mbi fitimin: Shkalla e tatimi mbi fitimin për vitin ushtrimor 2009 është 10% sipas Ligjit nr. 8438 datë 28.12.1998 “Për Tatimin mbi të ardhurat” (i ndryshuar), neni 28.</t>
  </si>
  <si>
    <t>EUR</t>
  </si>
  <si>
    <t>Amortizimi vjetor është llogaritur sipas metodës me vlerë të mbetur për të gjitha grupet e AAM-ve.Normat e amortizimit jane te njejta me ato fiskale ne fuqi</t>
  </si>
  <si>
    <t>Debitore te tjere</t>
  </si>
  <si>
    <t>6</t>
  </si>
  <si>
    <t>Te ardhura nga qerate per vitin 2011</t>
  </si>
  <si>
    <t>Rezultati tatimor</t>
  </si>
  <si>
    <t>Fitimi para taksave</t>
  </si>
  <si>
    <t>Humbje mbartur</t>
  </si>
  <si>
    <r>
      <rPr>
        <sz val="12"/>
        <rFont val="Tahoma"/>
        <family val="2"/>
      </rPr>
      <t>Sigurimet shoqërore janë llogaritur dhe paguar në përputhje me legjislacionin që vepron në këtë fushë.</t>
    </r>
  </si>
  <si>
    <t>Totali</t>
  </si>
  <si>
    <t>Ndertime</t>
  </si>
  <si>
    <t>Makineri,paisje</t>
  </si>
  <si>
    <t>Mjete transporti</t>
  </si>
  <si>
    <t>Zyre</t>
  </si>
  <si>
    <t>Kompjuterike</t>
  </si>
  <si>
    <t>Paisje elektrike &amp; elektronike</t>
  </si>
  <si>
    <t>Besnik Leskaj</t>
  </si>
  <si>
    <t>Pergatiti:</t>
  </si>
  <si>
    <t>Kontabel I Miratuar</t>
  </si>
  <si>
    <t>Administrator</t>
  </si>
  <si>
    <t>Amortizimi 2011</t>
  </si>
  <si>
    <t>Nafte per gjeneratorin</t>
  </si>
  <si>
    <t>Blerje materialesh</t>
  </si>
  <si>
    <t>Energjia elektrike</t>
  </si>
  <si>
    <t xml:space="preserve"> Uje per qendren</t>
  </si>
  <si>
    <t xml:space="preserve"> Kancelari</t>
  </si>
  <si>
    <t>Qera per ambjentet</t>
  </si>
  <si>
    <t>Mirembajteje ambi.e qendres</t>
  </si>
  <si>
    <t>Prime te sigurimit</t>
  </si>
  <si>
    <t xml:space="preserve"> Reklame</t>
  </si>
  <si>
    <t>Internet</t>
  </si>
  <si>
    <t>Sherbime bankare</t>
  </si>
  <si>
    <t>Auditme</t>
  </si>
  <si>
    <t>Diferenca nga rrumbullakimet</t>
  </si>
  <si>
    <t>Sherbime ligjore</t>
  </si>
  <si>
    <t>Sherbime Konsulence</t>
  </si>
  <si>
    <t>Shpenzime Zyre</t>
  </si>
  <si>
    <t>Mirembjatje amb.gjelb./Shp.Zyre</t>
  </si>
  <si>
    <t>Mirembajtje Ajer i Kondicionuar</t>
  </si>
  <si>
    <t>Rimbushje fikse zjarri</t>
  </si>
  <si>
    <t xml:space="preserve"> Mirembajtje Ashensori</t>
  </si>
  <si>
    <t>Sherb. Ruajtjes&amp;Sigurise fizike</t>
  </si>
  <si>
    <t xml:space="preserve"> Materiale pastrimi</t>
  </si>
  <si>
    <t>Sherb.Pastrimi - Other</t>
  </si>
  <si>
    <t>Mirembajtje ambj.gjel</t>
  </si>
  <si>
    <t>Shpenzime Dizifektim</t>
  </si>
  <si>
    <t>Te tjera tatime dhe taksa</t>
  </si>
  <si>
    <t xml:space="preserve"> Shpenzime per pritje dhe dhurat</t>
  </si>
  <si>
    <t>Penalitete, gjoba e demshperbli</t>
  </si>
  <si>
    <t>Shp. te pazbritshme</t>
  </si>
  <si>
    <t>Energji te pazbritshme</t>
  </si>
  <si>
    <t>Blerina Hilaj</t>
  </si>
  <si>
    <t>Fitim Fiskal per tu mbartur ne vitin 2012</t>
  </si>
  <si>
    <t>Tatimi fitimi</t>
  </si>
  <si>
    <t>Parapagime</t>
  </si>
  <si>
    <t>Tatim I mbipaguar</t>
  </si>
  <si>
    <t>Pozicioni me 31 dhjetor 2011</t>
  </si>
  <si>
    <t>Viti 2012</t>
  </si>
  <si>
    <t>Uje per qendren</t>
  </si>
  <si>
    <t>Kancelari</t>
  </si>
  <si>
    <t>Reklame organizim</t>
  </si>
  <si>
    <t>Sherbim Muzikor</t>
  </si>
  <si>
    <t>Reklama Ne gazeta</t>
  </si>
  <si>
    <t>Reklama, publicitet - televizive</t>
  </si>
  <si>
    <t>Materiale Publicitare</t>
  </si>
  <si>
    <t>Telefoni</t>
  </si>
  <si>
    <t>Mirembajtje Ashensori</t>
  </si>
  <si>
    <t>Materiale pastrimi</t>
  </si>
  <si>
    <t>Sherbim Pastrimi</t>
  </si>
  <si>
    <t>Shpenzime per pritje dhe dhurat</t>
  </si>
  <si>
    <t>Shp. te pazbritshme ( pa fature fiskale )</t>
  </si>
  <si>
    <t>2012</t>
  </si>
  <si>
    <t>Pozicioni me 31 dhjetor 2012</t>
  </si>
  <si>
    <t>20%</t>
  </si>
  <si>
    <t>Euro</t>
  </si>
  <si>
    <t>ProCredit Bank</t>
  </si>
  <si>
    <t>ISP</t>
  </si>
  <si>
    <t>RZB</t>
  </si>
  <si>
    <t>BKT</t>
  </si>
  <si>
    <t xml:space="preserve">Garancite e klienteve </t>
  </si>
  <si>
    <t>Pozicioni me 31 dhjetor 2013</t>
  </si>
  <si>
    <t>Viti 2013</t>
  </si>
  <si>
    <t xml:space="preserve"> 1 Janar 2013- 31 Dhjetor 2013</t>
  </si>
  <si>
    <t>2013</t>
  </si>
  <si>
    <t>Te ardhura nga interesa</t>
  </si>
  <si>
    <t>31 Dhjetor 2012</t>
  </si>
  <si>
    <t>31 Dhjetor 2013</t>
  </si>
  <si>
    <t>Bileta kinemaje</t>
  </si>
  <si>
    <t>Makineri,paisje, instalime</t>
  </si>
  <si>
    <t>Amortizimi 2013</t>
  </si>
  <si>
    <t>Reklama &amp; materiale publicitare</t>
  </si>
  <si>
    <t>Sherbime ligjore dhe financiare</t>
  </si>
  <si>
    <t>Fitim (humbja) para tatimit</t>
  </si>
  <si>
    <t>AAP shpk</t>
  </si>
  <si>
    <t>Punime hidraulike</t>
  </si>
  <si>
    <t>Ndertime mure (Edil ALIT)</t>
  </si>
  <si>
    <t>Punime Gipsi (Gips Karton)</t>
  </si>
  <si>
    <t>Punime Elektrike (dyqani Rosman)</t>
  </si>
  <si>
    <t>Prime Sigurimi ndertese</t>
  </si>
  <si>
    <t>Punime (Enternal shpk)</t>
  </si>
  <si>
    <t>8</t>
  </si>
  <si>
    <t>Te tjera Detyrime</t>
  </si>
  <si>
    <t xml:space="preserve">Shpenzime të tjera </t>
  </si>
  <si>
    <t>Tatimi mbi fitimin: Shkalla e tatimi mbi fitimin për vitin ushtrimor 2013 është 10% sipas Ligjit nr. 8438 datë 28.12.1998 “Për Tatimin mbi të ardhurat” (i ndryshuar), neni 28.</t>
  </si>
  <si>
    <t>Inventari te tjera</t>
  </si>
  <si>
    <t>TVSH per tu sistemuar</t>
  </si>
  <si>
    <t>Humbje nga mosarketimi</t>
  </si>
  <si>
    <t xml:space="preserve">Te ardhura dhe shpenzime te tjera </t>
  </si>
  <si>
    <t>Humbje nga mosarketimi (Kliente)</t>
  </si>
  <si>
    <t>Furnitore te palikujduar</t>
  </si>
  <si>
    <t>Garanci Kliente</t>
  </si>
  <si>
    <t>Sigurimet shoqërore janë llogaritur dhe paguar në përputhje me legjislacionin që vepron në këtë fushë.</t>
  </si>
  <si>
    <t>Kliente dhe te tjera kerkesa</t>
  </si>
  <si>
    <t>Kerkesa te arketueshme afatgjata</t>
  </si>
  <si>
    <t>Fitimi (humbja) tatimore</t>
  </si>
  <si>
    <t>Per vitin 2013, nuk eshte llogaritur amortizimi</t>
  </si>
  <si>
    <t>29.03.14</t>
  </si>
  <si>
    <t>Elona Bisha</t>
  </si>
</sst>
</file>

<file path=xl/styles.xml><?xml version="1.0" encoding="utf-8"?>
<styleSheet xmlns="http://schemas.openxmlformats.org/spreadsheetml/2006/main">
  <numFmts count="11">
    <numFmt numFmtId="43" formatCode="_(* #,##0.00_);_(* \(#,##0.00\);_(* &quot;-&quot;??_);_(@_)"/>
    <numFmt numFmtId="171" formatCode="_-* #,##0.00_-;\-* #,##0.00_-;_-* &quot;-&quot;??_-;_-@_-"/>
    <numFmt numFmtId="184" formatCode="_-* #,##0.0_-;\-* #,##0.0_-;_-* &quot;-&quot;??_-;_-@_-"/>
    <numFmt numFmtId="185" formatCode="_-* #,##0_-;\-* #,##0_-;_-* &quot;-&quot;??_-;_-@_-"/>
    <numFmt numFmtId="186" formatCode="_-* #,##0.000_-;\-* #,##0.000_-;_-* &quot;-&quot;??_-;_-@_-"/>
    <numFmt numFmtId="192" formatCode="_(* #,##0_);_(* \(#,##0\);_(* &quot;-&quot;??_);_(@_)"/>
    <numFmt numFmtId="196" formatCode="_(* #,##0.0_);_(* \(#,##0.0\);_(* &quot;-&quot;?_);_(@_)"/>
    <numFmt numFmtId="204" formatCode="_-* #,##0.00_L_e_k_-;\-* #,##0.00_L_e_k_-;_-* &quot;-&quot;??_L_e_k_-;_-@_-"/>
    <numFmt numFmtId="205" formatCode="#,##0.0"/>
    <numFmt numFmtId="206" formatCode="#,##0.00;\-#,##0.00"/>
    <numFmt numFmtId="226" formatCode="0.00000000000"/>
  </numFmts>
  <fonts count="4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2"/>
      <name val="Tahoma"/>
      <family val="2"/>
    </font>
    <font>
      <sz val="10"/>
      <name val="Tahoma"/>
      <family val="2"/>
    </font>
    <font>
      <sz val="36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i/>
      <sz val="12"/>
      <name val="Tahoma"/>
      <family val="2"/>
    </font>
    <font>
      <i/>
      <sz val="11"/>
      <name val="Tahoma"/>
      <family val="2"/>
    </font>
    <font>
      <u/>
      <sz val="10"/>
      <name val="Tahoma"/>
      <family val="2"/>
    </font>
    <font>
      <u/>
      <sz val="12"/>
      <name val="Tahoma"/>
      <family val="2"/>
    </font>
    <font>
      <i/>
      <u/>
      <sz val="12"/>
      <name val="Tahoma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1"/>
      <color indexed="8"/>
      <name val="Tahoma"/>
      <family val="2"/>
    </font>
    <font>
      <sz val="9"/>
      <color indexed="8"/>
      <name val="Tahoma"/>
      <family val="2"/>
    </font>
    <font>
      <b/>
      <sz val="9"/>
      <color indexed="8"/>
      <name val="Tahoma"/>
      <family val="2"/>
    </font>
    <font>
      <b/>
      <sz val="9"/>
      <name val="Tahoma"/>
      <family val="2"/>
    </font>
    <font>
      <sz val="8.5"/>
      <color indexed="8"/>
      <name val="Tahoma"/>
      <family val="2"/>
    </font>
    <font>
      <sz val="11"/>
      <name val="Tahoma"/>
      <family val="2"/>
    </font>
    <font>
      <sz val="9"/>
      <name val="Tahoma"/>
      <family val="2"/>
    </font>
    <font>
      <b/>
      <sz val="11"/>
      <color indexed="8"/>
      <name val="Tahoma"/>
      <family val="2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17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" fillId="0" borderId="0"/>
    <xf numFmtId="0" fontId="2" fillId="0" borderId="0"/>
  </cellStyleXfs>
  <cellXfs count="203">
    <xf numFmtId="0" fontId="0" fillId="0" borderId="0" xfId="0"/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9" fillId="0" borderId="0" xfId="0" applyFont="1" applyBorder="1" applyAlignment="1"/>
    <xf numFmtId="49" fontId="7" fillId="0" borderId="0" xfId="0" applyNumberFormat="1" applyFont="1" applyBorder="1" applyAlignment="1">
      <alignment wrapText="1"/>
    </xf>
    <xf numFmtId="0" fontId="7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14" fillId="0" borderId="0" xfId="0" applyFont="1"/>
    <xf numFmtId="0" fontId="15" fillId="0" borderId="0" xfId="0" applyFont="1" applyBorder="1" applyAlignment="1">
      <alignment horizontal="left"/>
    </xf>
    <xf numFmtId="0" fontId="12" fillId="0" borderId="0" xfId="0" applyFont="1" applyBorder="1" applyAlignment="1"/>
    <xf numFmtId="0" fontId="12" fillId="0" borderId="0" xfId="0" applyFont="1" applyBorder="1"/>
    <xf numFmtId="0" fontId="16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85" fontId="17" fillId="0" borderId="1" xfId="3" applyNumberFormat="1" applyFont="1" applyBorder="1" applyAlignment="1">
      <alignment vertical="center"/>
    </xf>
    <xf numFmtId="185" fontId="5" fillId="0" borderId="1" xfId="1" applyNumberFormat="1" applyFont="1" applyBorder="1" applyAlignment="1">
      <alignment vertical="center"/>
    </xf>
    <xf numFmtId="185" fontId="17" fillId="0" borderId="1" xfId="1" applyNumberFormat="1" applyFont="1" applyBorder="1" applyAlignment="1">
      <alignment vertical="center"/>
    </xf>
    <xf numFmtId="0" fontId="14" fillId="0" borderId="0" xfId="0" applyFont="1" applyBorder="1"/>
    <xf numFmtId="0" fontId="14" fillId="0" borderId="0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185" fontId="5" fillId="0" borderId="1" xfId="1" applyNumberFormat="1" applyFont="1" applyBorder="1" applyAlignment="1">
      <alignment horizontal="right" vertical="center"/>
    </xf>
    <xf numFmtId="185" fontId="17" fillId="0" borderId="1" xfId="1" applyNumberFormat="1" applyFont="1" applyBorder="1" applyAlignment="1">
      <alignment horizontal="right" vertical="center"/>
    </xf>
    <xf numFmtId="185" fontId="17" fillId="0" borderId="1" xfId="1" applyNumberFormat="1" applyFont="1" applyBorder="1" applyAlignment="1">
      <alignment horizontal="right"/>
    </xf>
    <xf numFmtId="185" fontId="23" fillId="0" borderId="0" xfId="1" applyNumberFormat="1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185" fontId="5" fillId="0" borderId="0" xfId="1" applyNumberFormat="1" applyFont="1" applyAlignment="1">
      <alignment vertical="center"/>
    </xf>
    <xf numFmtId="14" fontId="23" fillId="0" borderId="0" xfId="2" applyNumberFormat="1" applyFont="1" applyAlignment="1">
      <alignment horizontal="center"/>
    </xf>
    <xf numFmtId="0" fontId="22" fillId="0" borderId="0" xfId="6" applyFont="1"/>
    <xf numFmtId="0" fontId="21" fillId="0" borderId="0" xfId="6" applyFont="1"/>
    <xf numFmtId="171" fontId="22" fillId="0" borderId="0" xfId="1" applyFont="1" applyAlignment="1">
      <alignment horizontal="center" wrapText="1"/>
    </xf>
    <xf numFmtId="0" fontId="23" fillId="0" borderId="0" xfId="6" applyFont="1" applyAlignment="1">
      <alignment horizontal="center"/>
    </xf>
    <xf numFmtId="192" fontId="22" fillId="0" borderId="0" xfId="2" applyNumberFormat="1" applyFont="1"/>
    <xf numFmtId="49" fontId="24" fillId="0" borderId="0" xfId="6" applyNumberFormat="1" applyFont="1" applyBorder="1" applyAlignment="1">
      <alignment horizontal="center" wrapText="1" readingOrder="1"/>
    </xf>
    <xf numFmtId="192" fontId="23" fillId="0" borderId="0" xfId="2" applyNumberFormat="1" applyFont="1"/>
    <xf numFmtId="171" fontId="21" fillId="0" borderId="0" xfId="1" applyFont="1"/>
    <xf numFmtId="171" fontId="8" fillId="0" borderId="0" xfId="1" applyFont="1"/>
    <xf numFmtId="43" fontId="21" fillId="0" borderId="0" xfId="6" applyNumberFormat="1" applyFont="1"/>
    <xf numFmtId="0" fontId="24" fillId="0" borderId="0" xfId="6" applyNumberFormat="1" applyFont="1" applyBorder="1" applyAlignment="1">
      <alignment horizontal="center" wrapText="1" readingOrder="1"/>
    </xf>
    <xf numFmtId="192" fontId="22" fillId="0" borderId="0" xfId="2" applyNumberFormat="1" applyFont="1" applyBorder="1"/>
    <xf numFmtId="196" fontId="21" fillId="0" borderId="0" xfId="6" applyNumberFormat="1" applyFont="1"/>
    <xf numFmtId="192" fontId="23" fillId="0" borderId="0" xfId="2" applyNumberFormat="1" applyFont="1" applyBorder="1"/>
    <xf numFmtId="192" fontId="25" fillId="0" borderId="0" xfId="2" applyNumberFormat="1" applyFont="1" applyAlignment="1">
      <alignment horizontal="left"/>
    </xf>
    <xf numFmtId="0" fontId="24" fillId="0" borderId="0" xfId="6" applyFont="1" applyAlignment="1">
      <alignment horizontal="center"/>
    </xf>
    <xf numFmtId="0" fontId="26" fillId="0" borderId="0" xfId="6" applyFont="1"/>
    <xf numFmtId="192" fontId="26" fillId="0" borderId="0" xfId="6" applyNumberFormat="1" applyFont="1"/>
    <xf numFmtId="185" fontId="27" fillId="0" borderId="0" xfId="1" applyNumberFormat="1" applyFont="1" applyFill="1" applyBorder="1" applyAlignment="1">
      <alignment horizontal="left" wrapText="1" readingOrder="1"/>
    </xf>
    <xf numFmtId="185" fontId="23" fillId="0" borderId="0" xfId="1" applyNumberFormat="1" applyFont="1" applyFill="1"/>
    <xf numFmtId="49" fontId="24" fillId="0" borderId="0" xfId="6" applyNumberFormat="1" applyFont="1" applyBorder="1" applyAlignment="1">
      <alignment horizontal="left" wrapText="1" readingOrder="1"/>
    </xf>
    <xf numFmtId="49" fontId="27" fillId="0" borderId="0" xfId="6" applyNumberFormat="1" applyFont="1" applyBorder="1" applyAlignment="1">
      <alignment horizontal="left" wrapText="1" readingOrder="1"/>
    </xf>
    <xf numFmtId="49" fontId="27" fillId="0" borderId="0" xfId="6" applyNumberFormat="1" applyFont="1" applyFill="1" applyBorder="1" applyAlignment="1">
      <alignment horizontal="left" wrapText="1" readingOrder="1"/>
    </xf>
    <xf numFmtId="0" fontId="27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49" fontId="24" fillId="0" borderId="0" xfId="6" applyNumberFormat="1" applyFont="1" applyBorder="1" applyAlignment="1">
      <alignment horizontal="left" vertical="justify"/>
    </xf>
    <xf numFmtId="171" fontId="22" fillId="0" borderId="0" xfId="1" applyFont="1" applyFill="1"/>
    <xf numFmtId="192" fontId="23" fillId="0" borderId="0" xfId="2" applyNumberFormat="1" applyFont="1" applyFill="1"/>
    <xf numFmtId="192" fontId="22" fillId="0" borderId="0" xfId="2" applyNumberFormat="1" applyFont="1" applyFill="1"/>
    <xf numFmtId="0" fontId="22" fillId="0" borderId="0" xfId="6" applyFont="1" applyFill="1"/>
    <xf numFmtId="0" fontId="3" fillId="0" borderId="1" xfId="7" applyFont="1" applyBorder="1"/>
    <xf numFmtId="0" fontId="23" fillId="0" borderId="0" xfId="6" applyFont="1"/>
    <xf numFmtId="0" fontId="28" fillId="0" borderId="0" xfId="6" applyFont="1"/>
    <xf numFmtId="171" fontId="17" fillId="0" borderId="1" xfId="1" applyFont="1" applyBorder="1" applyAlignment="1">
      <alignment vertical="center"/>
    </xf>
    <xf numFmtId="192" fontId="21" fillId="0" borderId="0" xfId="6" applyNumberFormat="1" applyFont="1"/>
    <xf numFmtId="43" fontId="34" fillId="0" borderId="0" xfId="1" applyNumberFormat="1" applyFont="1" applyBorder="1" applyAlignment="1">
      <alignment horizontal="center"/>
    </xf>
    <xf numFmtId="43" fontId="35" fillId="0" borderId="0" xfId="1" applyNumberFormat="1" applyFont="1" applyBorder="1" applyAlignment="1">
      <alignment horizontal="center" wrapText="1"/>
    </xf>
    <xf numFmtId="43" fontId="35" fillId="0" borderId="0" xfId="1" applyNumberFormat="1" applyFont="1" applyBorder="1" applyAlignment="1">
      <alignment horizontal="center"/>
    </xf>
    <xf numFmtId="185" fontId="22" fillId="0" borderId="1" xfId="1" applyNumberFormat="1" applyFont="1" applyBorder="1"/>
    <xf numFmtId="185" fontId="21" fillId="0" borderId="1" xfId="1" applyNumberFormat="1" applyFont="1" applyBorder="1"/>
    <xf numFmtId="49" fontId="22" fillId="0" borderId="1" xfId="1" applyNumberFormat="1" applyFont="1" applyBorder="1" applyAlignment="1">
      <alignment horizontal="center"/>
    </xf>
    <xf numFmtId="185" fontId="23" fillId="0" borderId="1" xfId="1" applyNumberFormat="1" applyFont="1" applyBorder="1"/>
    <xf numFmtId="0" fontId="27" fillId="0" borderId="1" xfId="0" applyFont="1" applyFill="1" applyBorder="1" applyAlignment="1">
      <alignment vertical="center"/>
    </xf>
    <xf numFmtId="49" fontId="36" fillId="0" borderId="0" xfId="0" applyNumberFormat="1" applyFont="1"/>
    <xf numFmtId="206" fontId="37" fillId="0" borderId="0" xfId="0" applyNumberFormat="1" applyFont="1" applyBorder="1"/>
    <xf numFmtId="206" fontId="37" fillId="0" borderId="0" xfId="0" applyNumberFormat="1" applyFont="1"/>
    <xf numFmtId="185" fontId="5" fillId="0" borderId="1" xfId="1" applyNumberFormat="1" applyFont="1" applyBorder="1" applyAlignment="1">
      <alignment horizontal="center" vertical="center"/>
    </xf>
    <xf numFmtId="171" fontId="22" fillId="0" borderId="0" xfId="1" applyFont="1"/>
    <xf numFmtId="185" fontId="17" fillId="0" borderId="0" xfId="0" applyNumberFormat="1" applyFont="1" applyAlignment="1">
      <alignment vertical="center"/>
    </xf>
    <xf numFmtId="185" fontId="22" fillId="0" borderId="1" xfId="1" applyNumberFormat="1" applyFont="1" applyBorder="1" applyAlignment="1">
      <alignment horizontal="center"/>
    </xf>
    <xf numFmtId="185" fontId="5" fillId="0" borderId="1" xfId="1" applyNumberFormat="1" applyFont="1" applyBorder="1" applyAlignment="1">
      <alignment horizontal="left" vertical="center"/>
    </xf>
    <xf numFmtId="186" fontId="22" fillId="0" borderId="0" xfId="1" applyNumberFormat="1" applyFont="1"/>
    <xf numFmtId="49" fontId="24" fillId="0" borderId="0" xfId="6" applyNumberFormat="1" applyFont="1" applyBorder="1" applyAlignment="1">
      <alignment horizontal="left"/>
    </xf>
    <xf numFmtId="49" fontId="38" fillId="0" borderId="0" xfId="0" applyNumberFormat="1" applyFont="1"/>
    <xf numFmtId="43" fontId="5" fillId="0" borderId="0" xfId="1" applyNumberFormat="1" applyFont="1"/>
    <xf numFmtId="192" fontId="22" fillId="0" borderId="0" xfId="6" applyNumberFormat="1" applyFont="1"/>
    <xf numFmtId="0" fontId="29" fillId="0" borderId="0" xfId="0" applyFont="1" applyFill="1" applyBorder="1" applyAlignment="1">
      <alignment vertical="center"/>
    </xf>
    <xf numFmtId="43" fontId="34" fillId="0" borderId="0" xfId="1" applyNumberFormat="1" applyFont="1" applyBorder="1" applyAlignment="1">
      <alignment horizontal="center" wrapText="1"/>
    </xf>
    <xf numFmtId="0" fontId="5" fillId="0" borderId="1" xfId="7" applyFont="1" applyBorder="1"/>
    <xf numFmtId="0" fontId="27" fillId="0" borderId="0" xfId="0" applyFont="1"/>
    <xf numFmtId="171" fontId="27" fillId="0" borderId="0" xfId="1" applyFont="1"/>
    <xf numFmtId="43" fontId="22" fillId="0" borderId="0" xfId="6" applyNumberFormat="1" applyFont="1"/>
    <xf numFmtId="185" fontId="22" fillId="0" borderId="0" xfId="6" applyNumberFormat="1" applyFont="1"/>
    <xf numFmtId="196" fontId="30" fillId="0" borderId="0" xfId="6" applyNumberFormat="1" applyFont="1"/>
    <xf numFmtId="196" fontId="22" fillId="0" borderId="0" xfId="6" applyNumberFormat="1" applyFont="1"/>
    <xf numFmtId="192" fontId="22" fillId="0" borderId="0" xfId="2" applyNumberFormat="1" applyFont="1" applyAlignment="1">
      <alignment horizontal="left"/>
    </xf>
    <xf numFmtId="206" fontId="22" fillId="0" borderId="0" xfId="6" applyNumberFormat="1" applyFont="1"/>
    <xf numFmtId="205" fontId="22" fillId="0" borderId="0" xfId="6" applyNumberFormat="1" applyFont="1"/>
    <xf numFmtId="49" fontId="39" fillId="0" borderId="0" xfId="0" applyNumberFormat="1" applyFont="1"/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5" fillId="0" borderId="0" xfId="0" applyFont="1" applyFill="1"/>
    <xf numFmtId="0" fontId="17" fillId="0" borderId="1" xfId="0" applyFont="1" applyFill="1" applyBorder="1" applyAlignment="1">
      <alignment vertical="center"/>
    </xf>
    <xf numFmtId="185" fontId="5" fillId="0" borderId="1" xfId="1" applyNumberFormat="1" applyFont="1" applyFill="1" applyBorder="1" applyAlignment="1">
      <alignment vertical="center"/>
    </xf>
    <xf numFmtId="1" fontId="17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85" fontId="17" fillId="0" borderId="1" xfId="1" applyNumberFormat="1" applyFont="1" applyFill="1" applyBorder="1" applyAlignment="1">
      <alignment vertical="center"/>
    </xf>
    <xf numFmtId="0" fontId="17" fillId="0" borderId="0" xfId="0" applyFont="1" applyFill="1"/>
    <xf numFmtId="185" fontId="17" fillId="0" borderId="0" xfId="0" applyNumberFormat="1" applyFont="1" applyFill="1"/>
    <xf numFmtId="0" fontId="5" fillId="0" borderId="1" xfId="0" applyFont="1" applyFill="1" applyBorder="1" applyAlignment="1">
      <alignment horizontal="left" vertical="center"/>
    </xf>
    <xf numFmtId="1" fontId="17" fillId="0" borderId="0" xfId="1" applyNumberFormat="1" applyFont="1" applyFill="1" applyAlignment="1">
      <alignment horizontal="center"/>
    </xf>
    <xf numFmtId="1" fontId="17" fillId="0" borderId="2" xfId="1" applyNumberFormat="1" applyFont="1" applyFill="1" applyBorder="1" applyAlignment="1">
      <alignment horizontal="center" vertical="center"/>
    </xf>
    <xf numFmtId="184" fontId="17" fillId="0" borderId="0" xfId="0" applyNumberFormat="1" applyFont="1" applyFill="1"/>
    <xf numFmtId="0" fontId="17" fillId="0" borderId="0" xfId="0" applyFont="1" applyFill="1" applyBorder="1" applyAlignment="1">
      <alignment horizontal="center"/>
    </xf>
    <xf numFmtId="185" fontId="17" fillId="0" borderId="0" xfId="1" applyNumberFormat="1" applyFont="1" applyFill="1" applyBorder="1"/>
    <xf numFmtId="185" fontId="5" fillId="0" borderId="0" xfId="1" applyNumberFormat="1" applyFont="1" applyFill="1"/>
    <xf numFmtId="0" fontId="5" fillId="0" borderId="0" xfId="0" applyFont="1" applyFill="1" applyBorder="1"/>
    <xf numFmtId="185" fontId="17" fillId="0" borderId="1" xfId="1" applyNumberFormat="1" applyFont="1" applyFill="1" applyBorder="1" applyAlignment="1">
      <alignment horizontal="center" vertical="center"/>
    </xf>
    <xf numFmtId="43" fontId="5" fillId="0" borderId="0" xfId="0" applyNumberFormat="1" applyFont="1" applyFill="1"/>
    <xf numFmtId="185" fontId="17" fillId="0" borderId="1" xfId="1" applyNumberFormat="1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85" fontId="5" fillId="0" borderId="1" xfId="1" applyNumberFormat="1" applyFont="1" applyFill="1" applyBorder="1"/>
    <xf numFmtId="185" fontId="5" fillId="0" borderId="0" xfId="1" applyNumberFormat="1" applyFont="1" applyFill="1" applyBorder="1"/>
    <xf numFmtId="2" fontId="5" fillId="0" borderId="0" xfId="0" applyNumberFormat="1" applyFont="1" applyFill="1"/>
    <xf numFmtId="2" fontId="5" fillId="0" borderId="0" xfId="0" applyNumberFormat="1" applyFont="1" applyFill="1" applyAlignment="1">
      <alignment horizontal="right"/>
    </xf>
    <xf numFmtId="0" fontId="5" fillId="0" borderId="0" xfId="0" applyNumberFormat="1" applyFont="1" applyFill="1"/>
    <xf numFmtId="185" fontId="17" fillId="0" borderId="1" xfId="1" applyNumberFormat="1" applyFont="1" applyFill="1" applyBorder="1" applyAlignment="1">
      <alignment horizontal="center"/>
    </xf>
    <xf numFmtId="185" fontId="5" fillId="0" borderId="1" xfId="1" applyNumberFormat="1" applyFont="1" applyFill="1" applyBorder="1" applyAlignment="1">
      <alignment horizontal="center" vertical="center"/>
    </xf>
    <xf numFmtId="49" fontId="17" fillId="0" borderId="1" xfId="1" applyNumberFormat="1" applyFont="1" applyFill="1" applyBorder="1" applyAlignment="1">
      <alignment horizontal="center"/>
    </xf>
    <xf numFmtId="185" fontId="38" fillId="0" borderId="0" xfId="1" applyNumberFormat="1" applyFont="1" applyBorder="1"/>
    <xf numFmtId="0" fontId="5" fillId="0" borderId="0" xfId="0" applyFont="1"/>
    <xf numFmtId="171" fontId="5" fillId="0" borderId="0" xfId="1" applyFont="1"/>
    <xf numFmtId="0" fontId="17" fillId="0" borderId="3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185" fontId="17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192" fontId="40" fillId="0" borderId="0" xfId="4" applyNumberFormat="1" applyFont="1"/>
    <xf numFmtId="1" fontId="17" fillId="0" borderId="1" xfId="1" applyNumberFormat="1" applyFont="1" applyBorder="1" applyAlignment="1">
      <alignment horizontal="center" vertical="center"/>
    </xf>
    <xf numFmtId="185" fontId="17" fillId="0" borderId="1" xfId="1" applyNumberFormat="1" applyFont="1" applyBorder="1" applyAlignment="1">
      <alignment horizontal="center" vertical="center"/>
    </xf>
    <xf numFmtId="184" fontId="5" fillId="0" borderId="0" xfId="1" applyNumberFormat="1" applyFont="1" applyBorder="1" applyAlignment="1">
      <alignment horizontal="left" vertical="justify"/>
    </xf>
    <xf numFmtId="171" fontId="17" fillId="0" borderId="0" xfId="1" applyFont="1"/>
    <xf numFmtId="0" fontId="17" fillId="0" borderId="0" xfId="0" applyFont="1"/>
    <xf numFmtId="49" fontId="5" fillId="0" borderId="0" xfId="5" applyNumberFormat="1" applyFont="1" applyBorder="1" applyAlignment="1">
      <alignment horizontal="left" vertical="justify"/>
    </xf>
    <xf numFmtId="0" fontId="17" fillId="0" borderId="1" xfId="0" applyFont="1" applyFill="1" applyBorder="1" applyAlignment="1">
      <alignment vertical="center" wrapText="1"/>
    </xf>
    <xf numFmtId="185" fontId="38" fillId="0" borderId="1" xfId="1" applyNumberFormat="1" applyFont="1" applyBorder="1"/>
    <xf numFmtId="185" fontId="5" fillId="0" borderId="1" xfId="1" applyNumberFormat="1" applyFont="1" applyBorder="1"/>
    <xf numFmtId="0" fontId="17" fillId="0" borderId="0" xfId="0" applyFont="1" applyBorder="1"/>
    <xf numFmtId="1" fontId="17" fillId="0" borderId="1" xfId="1" applyNumberFormat="1" applyFont="1" applyBorder="1" applyAlignment="1">
      <alignment horizontal="center" vertical="center" wrapText="1"/>
    </xf>
    <xf numFmtId="185" fontId="17" fillId="0" borderId="1" xfId="1" applyNumberFormat="1" applyFont="1" applyBorder="1" applyAlignment="1">
      <alignment horizontal="center" vertical="center" wrapText="1"/>
    </xf>
    <xf numFmtId="43" fontId="17" fillId="0" borderId="0" xfId="0" applyNumberFormat="1" applyFont="1"/>
    <xf numFmtId="2" fontId="5" fillId="0" borderId="0" xfId="1" applyNumberFormat="1" applyFont="1" applyFill="1"/>
    <xf numFmtId="226" fontId="5" fillId="0" borderId="0" xfId="1" applyNumberFormat="1" applyFont="1" applyFill="1"/>
    <xf numFmtId="185" fontId="31" fillId="0" borderId="1" xfId="1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71" fontId="5" fillId="0" borderId="0" xfId="1" applyFont="1" applyBorder="1" applyAlignment="1">
      <alignment vertical="center"/>
    </xf>
    <xf numFmtId="37" fontId="5" fillId="0" borderId="0" xfId="0" applyNumberFormat="1" applyFont="1" applyBorder="1" applyAlignment="1">
      <alignment vertical="center"/>
    </xf>
    <xf numFmtId="37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85" fontId="5" fillId="0" borderId="0" xfId="0" applyNumberFormat="1" applyFont="1"/>
    <xf numFmtId="0" fontId="32" fillId="0" borderId="0" xfId="0" applyFont="1"/>
    <xf numFmtId="185" fontId="22" fillId="0" borderId="0" xfId="1" applyNumberFormat="1" applyFont="1"/>
    <xf numFmtId="0" fontId="1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5" fontId="5" fillId="0" borderId="1" xfId="1" applyNumberFormat="1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27" fillId="0" borderId="0" xfId="0" applyFont="1" applyAlignment="1">
      <alignment horizontal="left" wrapText="1"/>
    </xf>
    <xf numFmtId="0" fontId="27" fillId="0" borderId="0" xfId="0" applyNumberFormat="1" applyFont="1" applyAlignment="1">
      <alignment horizontal="left" wrapText="1"/>
    </xf>
    <xf numFmtId="0" fontId="24" fillId="0" borderId="0" xfId="0" applyFont="1" applyAlignment="1">
      <alignment horizontal="left" wrapText="1"/>
    </xf>
    <xf numFmtId="171" fontId="27" fillId="0" borderId="0" xfId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NumberFormat="1" applyFont="1" applyAlignment="1">
      <alignment horizontal="left" wrapText="1"/>
    </xf>
    <xf numFmtId="171" fontId="8" fillId="0" borderId="0" xfId="1" applyFont="1" applyAlignment="1">
      <alignment horizontal="left" wrapText="1"/>
    </xf>
  </cellXfs>
  <cellStyles count="8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2_Pasqyrat financiare DIXHI PRINT -AL shpk" xfId="6"/>
    <cellStyle name="Normal 3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F_Student\AppData\Local\Microsoft\Windows\Temporary%20Internet%20Files\Low\Content.IE5\G6N1CXYN\BS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F_Student\AppData\Local\Microsoft\Windows\Temporary%20Internet%20Files\Low\Content.IE5\G6N1CXYN\Book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Temporary%20Internet%20Files\Content.Outlook\NTYW8V54\PF_QB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9">
          <cell r="H19">
            <v>931435.82</v>
          </cell>
        </row>
        <row r="23">
          <cell r="H23">
            <v>173661.44</v>
          </cell>
        </row>
        <row r="31">
          <cell r="H31">
            <v>62339715.579999998</v>
          </cell>
        </row>
        <row r="34">
          <cell r="H34">
            <v>1326670.8999999999</v>
          </cell>
        </row>
        <row r="36">
          <cell r="H36">
            <v>37108</v>
          </cell>
        </row>
        <row r="39">
          <cell r="H39">
            <v>38184.339999999997</v>
          </cell>
        </row>
        <row r="46">
          <cell r="H46">
            <v>139594</v>
          </cell>
        </row>
        <row r="47">
          <cell r="H47">
            <v>582981</v>
          </cell>
        </row>
        <row r="86">
          <cell r="H86">
            <v>502907.96</v>
          </cell>
        </row>
        <row r="88">
          <cell r="H88">
            <v>45974</v>
          </cell>
        </row>
        <row r="92">
          <cell r="H92">
            <v>68550</v>
          </cell>
        </row>
        <row r="97">
          <cell r="H97">
            <v>56741</v>
          </cell>
        </row>
        <row r="98">
          <cell r="H98">
            <v>2718789.18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H6">
            <v>33645466.380000003</v>
          </cell>
          <cell r="I6">
            <v>99403284.469999999</v>
          </cell>
          <cell r="J6">
            <v>7120</v>
          </cell>
          <cell r="K6">
            <v>520147.5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Kliente"/>
      <sheetName val="PL"/>
      <sheetName val="BSH"/>
      <sheetName val="Furnitore"/>
    </sheetNames>
    <sheetDataSet>
      <sheetData sheetId="0"/>
      <sheetData sheetId="1"/>
      <sheetData sheetId="2"/>
      <sheetData sheetId="3">
        <row r="34">
          <cell r="I34">
            <v>1335104.23</v>
          </cell>
        </row>
        <row r="96">
          <cell r="H96">
            <v>2097019.48</v>
          </cell>
          <cell r="I96">
            <v>2512919.48</v>
          </cell>
        </row>
        <row r="122">
          <cell r="H122">
            <v>5302818.01</v>
          </cell>
          <cell r="I122">
            <v>5302818.01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1"/>
  <sheetViews>
    <sheetView tabSelected="1" topLeftCell="A8" zoomScaleNormal="100" workbookViewId="0">
      <selection activeCell="E32" sqref="E32"/>
    </sheetView>
  </sheetViews>
  <sheetFormatPr defaultRowHeight="12.75"/>
  <cols>
    <col min="1" max="1" width="22.5703125" style="3" customWidth="1"/>
    <col min="2" max="2" width="23.28515625" style="3" customWidth="1"/>
    <col min="3" max="3" width="5.5703125" style="3" customWidth="1"/>
    <col min="4" max="4" width="23" style="3" customWidth="1"/>
    <col min="5" max="5" width="20.7109375" style="3" customWidth="1"/>
    <col min="6" max="6" width="6.42578125" style="3" customWidth="1"/>
    <col min="7" max="16384" width="9.140625" style="3"/>
  </cols>
  <sheetData>
    <row r="1" spans="1:8" ht="15">
      <c r="A1" s="1"/>
      <c r="B1" s="1"/>
      <c r="C1" s="1"/>
      <c r="D1" s="2"/>
      <c r="E1" s="2"/>
      <c r="F1" s="2"/>
    </row>
    <row r="2" spans="1:8" ht="15">
      <c r="A2" s="1"/>
      <c r="B2" s="1"/>
      <c r="C2" s="1"/>
      <c r="D2" s="2"/>
      <c r="E2" s="2"/>
      <c r="F2" s="2"/>
    </row>
    <row r="3" spans="1:8" ht="44.25">
      <c r="A3" s="180" t="s">
        <v>166</v>
      </c>
      <c r="B3" s="180"/>
      <c r="C3" s="180"/>
      <c r="D3" s="180"/>
      <c r="E3" s="180"/>
      <c r="F3" s="4"/>
      <c r="G3" s="4"/>
      <c r="H3" s="4"/>
    </row>
    <row r="4" spans="1:8" ht="15">
      <c r="A4" s="1"/>
      <c r="B4" s="1"/>
      <c r="C4" s="1"/>
      <c r="D4" s="2"/>
      <c r="E4" s="2"/>
      <c r="F4" s="2"/>
    </row>
    <row r="5" spans="1:8" ht="15">
      <c r="A5" s="1"/>
      <c r="B5" s="2"/>
      <c r="C5" s="2"/>
      <c r="D5" s="2"/>
      <c r="E5" s="2"/>
      <c r="F5" s="2"/>
    </row>
    <row r="6" spans="1:8" ht="48.75" customHeight="1">
      <c r="A6" s="181" t="s">
        <v>167</v>
      </c>
      <c r="B6" s="181"/>
      <c r="C6" s="181"/>
      <c r="D6" s="181"/>
      <c r="E6" s="181"/>
      <c r="F6" s="5"/>
      <c r="G6" s="5"/>
      <c r="H6" s="5"/>
    </row>
    <row r="7" spans="1:8" ht="15">
      <c r="A7" s="1"/>
      <c r="B7" s="6"/>
      <c r="C7" s="6"/>
      <c r="D7" s="2"/>
      <c r="E7" s="2"/>
      <c r="F7" s="2"/>
    </row>
    <row r="8" spans="1:8" ht="15">
      <c r="A8" s="1"/>
      <c r="B8" s="2"/>
      <c r="C8" s="2"/>
      <c r="D8" s="2"/>
      <c r="E8" s="2"/>
      <c r="F8" s="2"/>
    </row>
    <row r="9" spans="1:8" ht="15">
      <c r="A9" s="1"/>
      <c r="B9" s="2"/>
      <c r="C9" s="2"/>
      <c r="D9" s="2"/>
      <c r="E9" s="2"/>
      <c r="F9" s="2"/>
    </row>
    <row r="10" spans="1:8" ht="15">
      <c r="A10" s="1"/>
      <c r="B10" s="1"/>
      <c r="C10" s="1"/>
      <c r="D10" s="2"/>
      <c r="E10" s="2"/>
      <c r="F10" s="2"/>
    </row>
    <row r="11" spans="1:8" ht="15">
      <c r="A11" s="1"/>
      <c r="B11" s="1"/>
      <c r="C11" s="1"/>
      <c r="D11" s="2"/>
      <c r="E11" s="2"/>
      <c r="F11" s="2"/>
    </row>
    <row r="12" spans="1:8" ht="15">
      <c r="A12" s="1"/>
      <c r="B12" s="1"/>
      <c r="C12" s="1"/>
      <c r="D12" s="2"/>
      <c r="E12" s="2"/>
      <c r="F12" s="2"/>
    </row>
    <row r="13" spans="1:8" ht="15">
      <c r="A13" s="1"/>
      <c r="B13" s="1"/>
      <c r="C13" s="1"/>
      <c r="D13" s="2"/>
      <c r="E13" s="2"/>
      <c r="F13" s="2"/>
    </row>
    <row r="14" spans="1:8" ht="15">
      <c r="A14" s="1"/>
      <c r="B14" s="1"/>
      <c r="C14" s="1"/>
      <c r="D14" s="2"/>
      <c r="E14" s="2"/>
      <c r="F14" s="2"/>
    </row>
    <row r="15" spans="1:8" ht="15">
      <c r="A15" s="1"/>
      <c r="B15" s="1"/>
      <c r="C15" s="1"/>
      <c r="D15" s="2"/>
      <c r="E15" s="2"/>
      <c r="F15" s="2"/>
    </row>
    <row r="16" spans="1:8" ht="18">
      <c r="A16" s="1"/>
      <c r="B16" s="7"/>
      <c r="C16" s="7"/>
      <c r="D16" s="2"/>
      <c r="E16" s="2"/>
      <c r="F16" s="2"/>
    </row>
    <row r="17" spans="1:6" ht="15">
      <c r="A17" s="1"/>
      <c r="B17" s="1"/>
      <c r="C17" s="1"/>
      <c r="D17" s="2"/>
      <c r="E17" s="2"/>
      <c r="F17" s="2"/>
    </row>
    <row r="18" spans="1:6" ht="15">
      <c r="A18" s="1"/>
      <c r="B18" s="1"/>
      <c r="C18" s="1"/>
      <c r="D18" s="1"/>
      <c r="E18" s="1"/>
      <c r="F18" s="2"/>
    </row>
    <row r="19" spans="1:6" ht="15">
      <c r="A19" s="182" t="s">
        <v>125</v>
      </c>
      <c r="B19" s="182"/>
      <c r="D19" s="182" t="s">
        <v>128</v>
      </c>
      <c r="E19" s="182"/>
      <c r="F19" s="2"/>
    </row>
    <row r="20" spans="1:6" ht="15">
      <c r="A20" s="1"/>
      <c r="E20" s="8"/>
      <c r="F20" s="2"/>
    </row>
    <row r="21" spans="1:6" ht="14.25">
      <c r="A21" s="9" t="s">
        <v>126</v>
      </c>
      <c r="B21" s="10" t="s">
        <v>188</v>
      </c>
      <c r="D21" s="9" t="s">
        <v>129</v>
      </c>
      <c r="E21" s="32" t="s">
        <v>168</v>
      </c>
      <c r="F21" s="2"/>
    </row>
    <row r="22" spans="1:6" ht="14.25">
      <c r="A22" s="9"/>
      <c r="B22" s="10"/>
      <c r="D22" s="9"/>
      <c r="E22" s="32"/>
      <c r="F22" s="2"/>
    </row>
    <row r="23" spans="1:6" ht="14.25">
      <c r="A23" s="9" t="s">
        <v>127</v>
      </c>
      <c r="B23" s="10" t="s">
        <v>217</v>
      </c>
      <c r="D23" s="9" t="s">
        <v>169</v>
      </c>
      <c r="E23" s="32" t="s">
        <v>170</v>
      </c>
      <c r="F23" s="2"/>
    </row>
    <row r="24" spans="1:6" ht="14.25">
      <c r="A24" s="9"/>
      <c r="B24" s="10"/>
      <c r="D24" s="9"/>
      <c r="E24" s="32"/>
      <c r="F24" s="2"/>
    </row>
    <row r="25" spans="1:6" ht="25.5">
      <c r="A25" s="9" t="s">
        <v>183</v>
      </c>
      <c r="B25" s="41" t="s">
        <v>218</v>
      </c>
      <c r="D25" s="9" t="s">
        <v>172</v>
      </c>
      <c r="E25" s="33" t="s">
        <v>173</v>
      </c>
      <c r="F25" s="2"/>
    </row>
    <row r="26" spans="1:6" ht="15">
      <c r="A26" s="9"/>
      <c r="B26" s="10"/>
      <c r="D26" s="9"/>
      <c r="E26" s="11"/>
      <c r="F26" s="2"/>
    </row>
    <row r="27" spans="1:6" ht="15">
      <c r="A27" s="9" t="s">
        <v>171</v>
      </c>
      <c r="B27" s="10" t="s">
        <v>219</v>
      </c>
      <c r="D27" s="9" t="s">
        <v>130</v>
      </c>
      <c r="E27" s="1"/>
      <c r="F27" s="2"/>
    </row>
    <row r="28" spans="1:6" ht="14.25">
      <c r="A28" s="9"/>
      <c r="B28" s="10"/>
      <c r="F28" s="2"/>
    </row>
    <row r="29" spans="1:6" ht="14.25">
      <c r="A29" s="9" t="s">
        <v>174</v>
      </c>
      <c r="B29" s="10" t="s">
        <v>220</v>
      </c>
      <c r="D29" s="179" t="s">
        <v>309</v>
      </c>
      <c r="E29" s="179"/>
      <c r="F29" s="2"/>
    </row>
    <row r="30" spans="1:6" ht="15">
      <c r="A30" s="9"/>
      <c r="B30" s="10"/>
      <c r="F30" s="12"/>
    </row>
    <row r="31" spans="1:6" ht="25.5">
      <c r="A31" s="9" t="s">
        <v>175</v>
      </c>
      <c r="B31" s="42" t="s">
        <v>221</v>
      </c>
      <c r="D31" s="9" t="s">
        <v>176</v>
      </c>
      <c r="E31" s="32" t="s">
        <v>343</v>
      </c>
      <c r="F31" s="2"/>
    </row>
    <row r="32" spans="1:6" ht="15">
      <c r="A32" s="1"/>
      <c r="B32" s="13"/>
      <c r="C32" s="13"/>
      <c r="D32" s="1"/>
      <c r="E32" s="1"/>
      <c r="F32" s="2"/>
    </row>
    <row r="33" spans="1:6" ht="15">
      <c r="A33" s="1"/>
      <c r="B33" s="14"/>
      <c r="C33" s="14"/>
      <c r="D33" s="14"/>
      <c r="E33" s="14"/>
      <c r="F33" s="2"/>
    </row>
    <row r="34" spans="1:6" ht="15">
      <c r="A34" s="1"/>
      <c r="B34" s="1"/>
      <c r="C34" s="1"/>
      <c r="D34" s="1"/>
      <c r="E34" s="1"/>
      <c r="F34" s="2"/>
    </row>
    <row r="35" spans="1:6" ht="15">
      <c r="A35" s="1"/>
      <c r="B35" s="1"/>
      <c r="C35" s="1"/>
      <c r="D35" s="2"/>
      <c r="E35" s="2"/>
      <c r="F35" s="2"/>
    </row>
    <row r="36" spans="1:6" ht="15">
      <c r="A36" s="1"/>
      <c r="B36" s="1"/>
      <c r="C36" s="1"/>
      <c r="D36" s="2"/>
      <c r="E36" s="2"/>
      <c r="F36" s="2"/>
    </row>
    <row r="37" spans="1:6" ht="15">
      <c r="A37" s="1"/>
      <c r="B37" s="1"/>
      <c r="C37" s="1"/>
      <c r="D37" s="2"/>
      <c r="E37" s="2"/>
      <c r="F37" s="2"/>
    </row>
    <row r="38" spans="1:6" ht="15">
      <c r="A38" s="1"/>
      <c r="B38" s="1"/>
      <c r="C38" s="1"/>
      <c r="D38" s="2"/>
      <c r="E38" s="2"/>
      <c r="F38" s="2"/>
    </row>
    <row r="39" spans="1:6">
      <c r="A39" s="2"/>
      <c r="B39" s="2"/>
      <c r="C39" s="2"/>
      <c r="D39" s="2"/>
      <c r="E39" s="2"/>
      <c r="F39" s="2"/>
    </row>
    <row r="40" spans="1:6">
      <c r="A40" s="2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  <row r="43" spans="1:6">
      <c r="A43" s="2"/>
      <c r="B43" s="2"/>
      <c r="C43" s="2"/>
      <c r="D43" s="2"/>
      <c r="E43" s="2"/>
      <c r="F43" s="2"/>
    </row>
    <row r="44" spans="1:6">
      <c r="A44" s="2"/>
      <c r="B44" s="2"/>
      <c r="C44" s="2"/>
      <c r="D44" s="2"/>
      <c r="E44" s="2"/>
      <c r="F44" s="2"/>
    </row>
    <row r="45" spans="1:6">
      <c r="A45" s="2"/>
      <c r="B45" s="2"/>
      <c r="C45" s="2"/>
      <c r="D45" s="2"/>
      <c r="E45" s="2"/>
      <c r="F45" s="2"/>
    </row>
    <row r="46" spans="1:6">
      <c r="A46" s="2"/>
      <c r="B46" s="2"/>
      <c r="C46" s="2"/>
      <c r="D46" s="2"/>
      <c r="E46" s="2"/>
      <c r="F46" s="2"/>
    </row>
    <row r="47" spans="1:6">
      <c r="A47" s="2"/>
      <c r="B47" s="2"/>
      <c r="C47" s="2"/>
      <c r="D47" s="2"/>
      <c r="E47" s="2"/>
      <c r="F47" s="2"/>
    </row>
    <row r="48" spans="1:6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  <row r="52" spans="1:6">
      <c r="A52" s="2"/>
      <c r="B52" s="2"/>
      <c r="C52" s="2"/>
      <c r="D52" s="2"/>
      <c r="E52" s="2"/>
      <c r="F52" s="2"/>
    </row>
    <row r="53" spans="1:6">
      <c r="A53" s="2"/>
      <c r="B53" s="2"/>
      <c r="C53" s="2"/>
      <c r="D53" s="2"/>
      <c r="E53" s="2"/>
      <c r="F53" s="2"/>
    </row>
    <row r="54" spans="1:6">
      <c r="A54" s="2"/>
      <c r="B54" s="2"/>
      <c r="C54" s="2"/>
      <c r="D54" s="2"/>
      <c r="E54" s="2"/>
      <c r="F54" s="2"/>
    </row>
    <row r="55" spans="1:6">
      <c r="A55" s="2"/>
      <c r="B55" s="2"/>
      <c r="C55" s="2"/>
      <c r="D55" s="2"/>
      <c r="E55" s="2"/>
      <c r="F55" s="2"/>
    </row>
    <row r="56" spans="1:6">
      <c r="A56" s="2"/>
      <c r="B56" s="2"/>
      <c r="C56" s="2"/>
      <c r="D56" s="2"/>
      <c r="E56" s="2"/>
      <c r="F56" s="2"/>
    </row>
    <row r="57" spans="1:6">
      <c r="A57" s="2"/>
      <c r="B57" s="2"/>
      <c r="C57" s="2"/>
      <c r="D57" s="2"/>
      <c r="E57" s="2"/>
      <c r="F57" s="2"/>
    </row>
    <row r="58" spans="1:6">
      <c r="A58" s="2"/>
      <c r="B58" s="2"/>
      <c r="C58" s="2"/>
      <c r="D58" s="2"/>
      <c r="E58" s="2"/>
      <c r="F58" s="2"/>
    </row>
    <row r="59" spans="1:6">
      <c r="A59" s="2"/>
      <c r="B59" s="2"/>
      <c r="C59" s="2"/>
      <c r="D59" s="2"/>
      <c r="E59" s="2"/>
      <c r="F59" s="2"/>
    </row>
    <row r="60" spans="1:6">
      <c r="A60" s="2"/>
      <c r="B60" s="2"/>
      <c r="C60" s="2"/>
      <c r="D60" s="2"/>
      <c r="E60" s="2"/>
      <c r="F60" s="2"/>
    </row>
    <row r="61" spans="1:6">
      <c r="A61" s="2"/>
      <c r="B61" s="2"/>
      <c r="C61" s="2"/>
      <c r="D61" s="2"/>
      <c r="E61" s="2"/>
      <c r="F61" s="2"/>
    </row>
  </sheetData>
  <mergeCells count="5">
    <mergeCell ref="D29:E29"/>
    <mergeCell ref="A3:E3"/>
    <mergeCell ref="A6:E6"/>
    <mergeCell ref="A19:B19"/>
    <mergeCell ref="D19:E19"/>
  </mergeCells>
  <phoneticPr fontId="20" type="noConversion"/>
  <pageMargins left="0.47" right="0.3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70"/>
  <sheetViews>
    <sheetView topLeftCell="A70" workbookViewId="0">
      <selection activeCell="I86" sqref="I86:J93"/>
    </sheetView>
  </sheetViews>
  <sheetFormatPr defaultRowHeight="12"/>
  <cols>
    <col min="1" max="1" width="6" style="117" customWidth="1"/>
    <col min="2" max="2" width="41" style="117" bestFit="1" customWidth="1"/>
    <col min="3" max="3" width="10.5703125" style="117" hidden="1" customWidth="1"/>
    <col min="4" max="6" width="10.42578125" style="117" hidden="1" customWidth="1"/>
    <col min="7" max="7" width="16.140625" style="117" hidden="1" customWidth="1"/>
    <col min="8" max="8" width="8.5703125" style="117" customWidth="1"/>
    <col min="9" max="9" width="21.28515625" style="132" customWidth="1"/>
    <col min="10" max="10" width="17.5703125" style="132" customWidth="1"/>
    <col min="11" max="11" width="9.140625" style="117"/>
    <col min="12" max="12" width="11.140625" style="117" bestFit="1" customWidth="1"/>
    <col min="13" max="16384" width="9.140625" style="117"/>
  </cols>
  <sheetData>
    <row r="1" spans="1:10" ht="12.75" customHeight="1">
      <c r="A1" s="183" t="s">
        <v>6</v>
      </c>
      <c r="B1" s="183"/>
      <c r="C1" s="115">
        <v>1999</v>
      </c>
      <c r="D1" s="115">
        <v>2000</v>
      </c>
      <c r="E1" s="116">
        <v>2001</v>
      </c>
      <c r="F1" s="114">
        <v>2002</v>
      </c>
      <c r="G1" s="114">
        <v>2003</v>
      </c>
      <c r="H1" s="114" t="s">
        <v>7</v>
      </c>
      <c r="I1" s="146">
        <v>2013</v>
      </c>
      <c r="J1" s="146">
        <v>2012</v>
      </c>
    </row>
    <row r="2" spans="1:10" ht="12.75" customHeight="1">
      <c r="A2" s="114" t="s">
        <v>0</v>
      </c>
      <c r="B2" s="118" t="s">
        <v>8</v>
      </c>
      <c r="C2" s="119">
        <v>0</v>
      </c>
      <c r="D2" s="119">
        <v>0</v>
      </c>
      <c r="E2" s="119">
        <v>0</v>
      </c>
      <c r="F2" s="119">
        <v>0</v>
      </c>
      <c r="G2" s="119">
        <v>0</v>
      </c>
      <c r="H2" s="120"/>
      <c r="I2" s="134"/>
      <c r="J2" s="134"/>
    </row>
    <row r="3" spans="1:10" ht="12.75" customHeight="1">
      <c r="A3" s="114">
        <v>1</v>
      </c>
      <c r="B3" s="118" t="s">
        <v>9</v>
      </c>
      <c r="C3" s="119">
        <f>C4+C11+C18</f>
        <v>201263989</v>
      </c>
      <c r="D3" s="119">
        <f>D4+D11+D18</f>
        <v>336682728</v>
      </c>
      <c r="E3" s="119">
        <v>373521787</v>
      </c>
      <c r="F3" s="119">
        <f>F4+F11+F18</f>
        <v>425809640</v>
      </c>
      <c r="G3" s="119">
        <f>G4+G11+G18</f>
        <v>425143477</v>
      </c>
      <c r="H3" s="120">
        <v>2</v>
      </c>
      <c r="I3" s="134">
        <v>446127.15</v>
      </c>
      <c r="J3" s="136">
        <v>2492094.79</v>
      </c>
    </row>
    <row r="4" spans="1:10" ht="12.75" customHeight="1">
      <c r="A4" s="114">
        <v>2</v>
      </c>
      <c r="B4" s="118" t="s">
        <v>10</v>
      </c>
      <c r="C4" s="119">
        <f>C5+C6+C7+C8+C9+C10</f>
        <v>0</v>
      </c>
      <c r="D4" s="119">
        <f>D5+D6+D7+D8+D9+D10</f>
        <v>0</v>
      </c>
      <c r="E4" s="119">
        <v>0</v>
      </c>
      <c r="F4" s="119">
        <f>F5+F6+F7+F8+F9+F10</f>
        <v>0</v>
      </c>
      <c r="G4" s="119">
        <f>G5+G6+G7+G8+G9+G10</f>
        <v>0</v>
      </c>
      <c r="H4" s="120"/>
      <c r="I4" s="134"/>
      <c r="J4" s="134"/>
    </row>
    <row r="5" spans="1:10" ht="12.75" customHeight="1">
      <c r="A5" s="121" t="s">
        <v>11</v>
      </c>
      <c r="B5" s="122" t="s">
        <v>12</v>
      </c>
      <c r="C5" s="119">
        <v>0</v>
      </c>
      <c r="D5" s="119">
        <v>0</v>
      </c>
      <c r="E5" s="119">
        <v>0</v>
      </c>
      <c r="F5" s="119">
        <v>0</v>
      </c>
      <c r="G5" s="119"/>
      <c r="H5" s="120"/>
      <c r="I5" s="134"/>
      <c r="J5" s="134"/>
    </row>
    <row r="6" spans="1:10" ht="12.75" customHeight="1">
      <c r="A6" s="121" t="s">
        <v>13</v>
      </c>
      <c r="B6" s="122" t="s">
        <v>14</v>
      </c>
      <c r="C6" s="119">
        <v>0</v>
      </c>
      <c r="D6" s="119">
        <v>0</v>
      </c>
      <c r="E6" s="119">
        <v>0</v>
      </c>
      <c r="F6" s="119">
        <v>0</v>
      </c>
      <c r="G6" s="119"/>
      <c r="H6" s="120"/>
      <c r="I6" s="134"/>
      <c r="J6" s="134"/>
    </row>
    <row r="7" spans="1:10" s="124" customFormat="1" ht="12.75" customHeight="1">
      <c r="A7" s="114"/>
      <c r="B7" s="118" t="s">
        <v>15</v>
      </c>
      <c r="C7" s="123">
        <v>0</v>
      </c>
      <c r="D7" s="123">
        <v>0</v>
      </c>
      <c r="E7" s="123">
        <v>0</v>
      </c>
      <c r="F7" s="123">
        <v>0</v>
      </c>
      <c r="G7" s="123"/>
      <c r="H7" s="120"/>
      <c r="I7" s="136">
        <f>SUM(I3:I6)</f>
        <v>446127.15</v>
      </c>
      <c r="J7" s="136">
        <f>SUM(J3:J6)</f>
        <v>2492094.79</v>
      </c>
    </row>
    <row r="8" spans="1:10" ht="12.75" customHeight="1">
      <c r="A8" s="114">
        <v>3</v>
      </c>
      <c r="B8" s="118" t="s">
        <v>16</v>
      </c>
      <c r="C8" s="119">
        <v>0</v>
      </c>
      <c r="D8" s="119">
        <v>0</v>
      </c>
      <c r="E8" s="119">
        <v>0</v>
      </c>
      <c r="F8" s="119">
        <v>0</v>
      </c>
      <c r="G8" s="119"/>
      <c r="H8" s="120"/>
      <c r="I8" s="134"/>
      <c r="J8" s="134"/>
    </row>
    <row r="9" spans="1:10" ht="12.75" customHeight="1">
      <c r="A9" s="121" t="s">
        <v>11</v>
      </c>
      <c r="B9" s="122" t="s">
        <v>17</v>
      </c>
      <c r="C9" s="119">
        <v>0</v>
      </c>
      <c r="D9" s="119">
        <v>0</v>
      </c>
      <c r="E9" s="119">
        <v>0</v>
      </c>
      <c r="F9" s="119">
        <v>0</v>
      </c>
      <c r="G9" s="119"/>
      <c r="H9" s="120">
        <v>3</v>
      </c>
      <c r="I9" s="145">
        <v>45072900.390000001</v>
      </c>
      <c r="J9" s="139">
        <v>73324246.769999996</v>
      </c>
    </row>
    <row r="10" spans="1:10" ht="12.75" customHeight="1">
      <c r="A10" s="121" t="s">
        <v>13</v>
      </c>
      <c r="B10" s="122" t="s">
        <v>18</v>
      </c>
      <c r="C10" s="119">
        <v>0</v>
      </c>
      <c r="D10" s="119">
        <v>0</v>
      </c>
      <c r="E10" s="119">
        <v>0</v>
      </c>
      <c r="F10" s="119">
        <v>0</v>
      </c>
      <c r="G10" s="119"/>
      <c r="H10" s="120">
        <v>3</v>
      </c>
      <c r="I10" s="145">
        <v>1422842.4059999986</v>
      </c>
      <c r="J10" s="139">
        <v>1522241.8530000001</v>
      </c>
    </row>
    <row r="11" spans="1:10" ht="12.75" customHeight="1">
      <c r="A11" s="121" t="s">
        <v>19</v>
      </c>
      <c r="B11" s="122" t="s">
        <v>20</v>
      </c>
      <c r="C11" s="119">
        <f>C12+C13+C14+C15+C16+C17</f>
        <v>196835689</v>
      </c>
      <c r="D11" s="119">
        <f>D12+D13+D14+D15+D16+D17</f>
        <v>336682728</v>
      </c>
      <c r="E11" s="119">
        <v>373521787</v>
      </c>
      <c r="F11" s="119">
        <f>F12+F13+F14+F15+F16+F17</f>
        <v>425809640</v>
      </c>
      <c r="G11" s="119">
        <f>G12+G13+G14+G15+G16+G17</f>
        <v>425143477</v>
      </c>
      <c r="H11" s="120"/>
      <c r="I11" s="134"/>
      <c r="J11" s="134"/>
    </row>
    <row r="12" spans="1:10" ht="12.75" customHeight="1">
      <c r="A12" s="121" t="s">
        <v>21</v>
      </c>
      <c r="B12" s="122" t="s">
        <v>22</v>
      </c>
      <c r="C12" s="119">
        <v>45512084</v>
      </c>
      <c r="D12" s="119">
        <v>146103471</v>
      </c>
      <c r="E12" s="119">
        <v>146103471</v>
      </c>
      <c r="F12" s="119">
        <f>145479500+64505971</f>
        <v>209985471</v>
      </c>
      <c r="G12" s="119">
        <f>131693000+64505971</f>
        <v>196198971</v>
      </c>
      <c r="H12" s="120"/>
      <c r="I12" s="134"/>
      <c r="J12" s="134"/>
    </row>
    <row r="13" spans="1:10" s="124" customFormat="1" ht="12.75" customHeight="1">
      <c r="A13" s="114"/>
      <c r="B13" s="118" t="s">
        <v>23</v>
      </c>
      <c r="C13" s="123">
        <v>89808807</v>
      </c>
      <c r="D13" s="123">
        <v>105953520</v>
      </c>
      <c r="E13" s="123">
        <v>205449592</v>
      </c>
      <c r="F13" s="123">
        <f>28805025+180115995+1407360</f>
        <v>210328380</v>
      </c>
      <c r="G13" s="123">
        <f>225855822+1407360</f>
        <v>227263182</v>
      </c>
      <c r="H13" s="120"/>
      <c r="I13" s="136">
        <f>SUM(I9:I12)</f>
        <v>46495742.795999996</v>
      </c>
      <c r="J13" s="136">
        <f>SUM(J9:J12)</f>
        <v>74846488.622999996</v>
      </c>
    </row>
    <row r="14" spans="1:10" ht="12.75" customHeight="1">
      <c r="A14" s="114">
        <v>4</v>
      </c>
      <c r="B14" s="118" t="s">
        <v>24</v>
      </c>
      <c r="C14" s="119">
        <v>96204577</v>
      </c>
      <c r="D14" s="119">
        <v>162272174</v>
      </c>
      <c r="E14" s="119">
        <v>171204805</v>
      </c>
      <c r="F14" s="119">
        <f>173065760+3267439+1827725+1931387</f>
        <v>180092311</v>
      </c>
      <c r="G14" s="119">
        <f>224460536+3267439+2153882+1931387</f>
        <v>231813244</v>
      </c>
      <c r="H14" s="120"/>
      <c r="I14" s="134"/>
      <c r="J14" s="134"/>
    </row>
    <row r="15" spans="1:10" ht="12.75" customHeight="1">
      <c r="A15" s="121" t="s">
        <v>11</v>
      </c>
      <c r="B15" s="122" t="s">
        <v>331</v>
      </c>
      <c r="C15" s="119">
        <v>4708078</v>
      </c>
      <c r="D15" s="119">
        <v>0</v>
      </c>
      <c r="E15" s="119">
        <v>0</v>
      </c>
      <c r="F15" s="119">
        <v>0</v>
      </c>
      <c r="G15" s="119">
        <f>88319137-88319137</f>
        <v>0</v>
      </c>
      <c r="H15" s="120">
        <v>4</v>
      </c>
      <c r="I15" s="134">
        <v>1372212.23</v>
      </c>
      <c r="J15" s="136">
        <v>1372212.23</v>
      </c>
    </row>
    <row r="16" spans="1:10" ht="12.75" customHeight="1">
      <c r="A16" s="121" t="s">
        <v>13</v>
      </c>
      <c r="B16" s="122" t="s">
        <v>26</v>
      </c>
      <c r="C16" s="119">
        <v>-39397857</v>
      </c>
      <c r="D16" s="119">
        <v>-77646437</v>
      </c>
      <c r="E16" s="119">
        <v>-149236081</v>
      </c>
      <c r="F16" s="119">
        <f>-(6290169+89418873+75833866+3053614)</f>
        <v>-174596522</v>
      </c>
      <c r="G16" s="119">
        <f>-(9515468+115044258+101669438+3902756)</f>
        <v>-230131920</v>
      </c>
      <c r="H16" s="120"/>
      <c r="I16" s="134"/>
      <c r="J16" s="134"/>
    </row>
    <row r="17" spans="1:11" ht="12.75" customHeight="1">
      <c r="A17" s="121" t="s">
        <v>19</v>
      </c>
      <c r="B17" s="122" t="s">
        <v>27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  <c r="H17" s="120"/>
      <c r="I17" s="134"/>
      <c r="J17" s="134"/>
    </row>
    <row r="18" spans="1:11" ht="12.75" customHeight="1">
      <c r="A18" s="121" t="s">
        <v>21</v>
      </c>
      <c r="B18" s="122" t="s">
        <v>28</v>
      </c>
      <c r="C18" s="119">
        <f>SUM(C19:C22)</f>
        <v>4428300</v>
      </c>
      <c r="D18" s="119">
        <f>SUM(D19:D22)</f>
        <v>0</v>
      </c>
      <c r="E18" s="119">
        <v>0</v>
      </c>
      <c r="F18" s="119">
        <f>SUM(F19:F22)</f>
        <v>0</v>
      </c>
      <c r="G18" s="119">
        <f>SUM(G19:G22)</f>
        <v>0</v>
      </c>
      <c r="H18" s="120"/>
      <c r="I18" s="134"/>
      <c r="J18" s="134"/>
    </row>
    <row r="19" spans="1:11" ht="12.75" customHeight="1">
      <c r="A19" s="121" t="s">
        <v>25</v>
      </c>
      <c r="B19" s="122" t="s">
        <v>29</v>
      </c>
      <c r="C19" s="119">
        <v>0</v>
      </c>
      <c r="D19" s="119">
        <v>0</v>
      </c>
      <c r="E19" s="119">
        <v>0</v>
      </c>
      <c r="F19" s="119">
        <v>0</v>
      </c>
      <c r="G19" s="119">
        <v>0</v>
      </c>
      <c r="H19" s="120"/>
      <c r="I19" s="134"/>
      <c r="J19" s="134"/>
    </row>
    <row r="20" spans="1:11" s="124" customFormat="1" ht="12.75" customHeight="1">
      <c r="A20" s="114"/>
      <c r="B20" s="118" t="s">
        <v>30</v>
      </c>
      <c r="C20" s="123">
        <v>0</v>
      </c>
      <c r="D20" s="123">
        <v>0</v>
      </c>
      <c r="E20" s="123">
        <v>0</v>
      </c>
      <c r="F20" s="123">
        <v>0</v>
      </c>
      <c r="G20" s="123">
        <v>0</v>
      </c>
      <c r="H20" s="120"/>
      <c r="I20" s="136">
        <f>SUM(I15:I19)</f>
        <v>1372212.23</v>
      </c>
      <c r="J20" s="136">
        <f>SUM(J15:J19)</f>
        <v>1372212.23</v>
      </c>
      <c r="K20" s="125"/>
    </row>
    <row r="21" spans="1:11" ht="12.75" customHeight="1">
      <c r="A21" s="114">
        <v>5</v>
      </c>
      <c r="B21" s="118" t="s">
        <v>31</v>
      </c>
      <c r="C21" s="119">
        <v>4428300</v>
      </c>
      <c r="D21" s="119">
        <v>0</v>
      </c>
      <c r="E21" s="119">
        <v>0</v>
      </c>
      <c r="F21" s="119">
        <v>0</v>
      </c>
      <c r="G21" s="119">
        <v>0</v>
      </c>
      <c r="H21" s="120"/>
      <c r="I21" s="134"/>
      <c r="J21" s="134"/>
    </row>
    <row r="22" spans="1:11" ht="12.75" customHeight="1">
      <c r="A22" s="114">
        <v>6</v>
      </c>
      <c r="B22" s="118" t="s">
        <v>32</v>
      </c>
      <c r="C22" s="119">
        <v>0</v>
      </c>
      <c r="D22" s="119">
        <v>0</v>
      </c>
      <c r="E22" s="119">
        <v>0</v>
      </c>
      <c r="F22" s="119">
        <v>0</v>
      </c>
      <c r="G22" s="119">
        <v>0</v>
      </c>
      <c r="H22" s="120"/>
      <c r="I22" s="134"/>
      <c r="J22" s="134"/>
    </row>
    <row r="23" spans="1:11" ht="12.75" customHeight="1">
      <c r="A23" s="114">
        <v>7</v>
      </c>
      <c r="B23" s="118" t="s">
        <v>33</v>
      </c>
      <c r="C23" s="119">
        <f>C24+C30+C36+C39+C43</f>
        <v>75970003</v>
      </c>
      <c r="D23" s="119">
        <f>D24+D30+D36+D39+D43</f>
        <v>65872862</v>
      </c>
      <c r="E23" s="119">
        <v>91535489.25</v>
      </c>
      <c r="F23" s="119" t="e">
        <f>F24+F30+F36+F39+F43</f>
        <v>#REF!</v>
      </c>
      <c r="G23" s="119" t="e">
        <f>G24+G30+G36+G39+G43</f>
        <v>#REF!</v>
      </c>
      <c r="H23" s="120">
        <v>5</v>
      </c>
      <c r="I23" s="134">
        <v>3210271.5</v>
      </c>
      <c r="J23" s="136">
        <v>1806111.5</v>
      </c>
    </row>
    <row r="24" spans="1:11" s="124" customFormat="1" ht="12.75" customHeight="1">
      <c r="A24" s="114"/>
      <c r="B24" s="118" t="s">
        <v>131</v>
      </c>
      <c r="C24" s="123">
        <f>SUM(C25:C29)</f>
        <v>7700726</v>
      </c>
      <c r="D24" s="123">
        <f>SUM(D25:D29)</f>
        <v>23542873</v>
      </c>
      <c r="E24" s="123">
        <v>47861579</v>
      </c>
      <c r="F24" s="123">
        <f>SUM(F25:F29)</f>
        <v>41253384</v>
      </c>
      <c r="G24" s="123">
        <f>SUM(G25:G29)</f>
        <v>50444295</v>
      </c>
      <c r="H24" s="120"/>
      <c r="I24" s="136">
        <f>I3+I13+I20+I23</f>
        <v>51524353.675999992</v>
      </c>
      <c r="J24" s="136">
        <f>J3+J13+J20+J23</f>
        <v>80516907.143000007</v>
      </c>
    </row>
    <row r="25" spans="1:11" ht="12.75" customHeight="1">
      <c r="A25" s="114" t="s">
        <v>1</v>
      </c>
      <c r="B25" s="118" t="s">
        <v>34</v>
      </c>
      <c r="C25" s="119">
        <v>7109995</v>
      </c>
      <c r="D25" s="119">
        <v>18559628</v>
      </c>
      <c r="E25" s="119">
        <v>32115465</v>
      </c>
      <c r="F25" s="119">
        <f>4196409+20215562+1434568+890237</f>
        <v>26736776</v>
      </c>
      <c r="G25" s="119">
        <f>8411650+688241+18958901+2788940+3797740</f>
        <v>34645472</v>
      </c>
      <c r="H25" s="120"/>
      <c r="I25" s="134"/>
      <c r="J25" s="134"/>
    </row>
    <row r="26" spans="1:11" ht="12.75" customHeight="1">
      <c r="A26" s="114">
        <v>1</v>
      </c>
      <c r="B26" s="118" t="s">
        <v>35</v>
      </c>
      <c r="C26" s="119">
        <v>0</v>
      </c>
      <c r="D26" s="119">
        <v>0</v>
      </c>
      <c r="E26" s="119">
        <v>0</v>
      </c>
      <c r="F26" s="119">
        <v>0</v>
      </c>
      <c r="G26" s="119">
        <v>0</v>
      </c>
      <c r="H26" s="120"/>
      <c r="I26" s="134"/>
      <c r="J26" s="134"/>
    </row>
    <row r="27" spans="1:11" ht="12.75" customHeight="1">
      <c r="A27" s="121" t="s">
        <v>11</v>
      </c>
      <c r="B27" s="122" t="s">
        <v>36</v>
      </c>
      <c r="C27" s="119">
        <v>0</v>
      </c>
      <c r="D27" s="119">
        <v>4718872</v>
      </c>
      <c r="E27" s="119">
        <v>14544535</v>
      </c>
      <c r="F27" s="119">
        <f>1671310+11279261</f>
        <v>12950571</v>
      </c>
      <c r="G27" s="119">
        <f>7570540+6428196</f>
        <v>13998736</v>
      </c>
      <c r="H27" s="120"/>
      <c r="I27" s="134"/>
      <c r="J27" s="134"/>
    </row>
    <row r="28" spans="1:11" ht="12.75" customHeight="1">
      <c r="A28" s="121" t="s">
        <v>13</v>
      </c>
      <c r="B28" s="122" t="s">
        <v>37</v>
      </c>
      <c r="C28" s="119">
        <v>590731</v>
      </c>
      <c r="D28" s="119">
        <v>264373</v>
      </c>
      <c r="E28" s="119">
        <v>1201579</v>
      </c>
      <c r="F28" s="119">
        <f>693737+872300</f>
        <v>1566037</v>
      </c>
      <c r="G28" s="119">
        <f>929409+870678</f>
        <v>1800087</v>
      </c>
      <c r="H28" s="120"/>
      <c r="I28" s="134"/>
      <c r="J28" s="134"/>
    </row>
    <row r="29" spans="1:11" ht="12.75" customHeight="1">
      <c r="A29" s="121" t="s">
        <v>19</v>
      </c>
      <c r="B29" s="122" t="s">
        <v>38</v>
      </c>
      <c r="C29" s="119">
        <v>0</v>
      </c>
      <c r="D29" s="119">
        <v>0</v>
      </c>
      <c r="E29" s="119">
        <v>0</v>
      </c>
      <c r="F29" s="119">
        <v>0</v>
      </c>
      <c r="G29" s="119">
        <v>0</v>
      </c>
      <c r="H29" s="120"/>
      <c r="I29" s="134"/>
      <c r="J29" s="134"/>
    </row>
    <row r="30" spans="1:11" ht="12.75" customHeight="1">
      <c r="A30" s="121" t="s">
        <v>21</v>
      </c>
      <c r="B30" s="126" t="s">
        <v>39</v>
      </c>
      <c r="C30" s="119">
        <f>SUM(C31:C35)</f>
        <v>61561438</v>
      </c>
      <c r="D30" s="119">
        <f>SUM(D31:D35)</f>
        <v>33568786</v>
      </c>
      <c r="E30" s="119">
        <v>38296642.25</v>
      </c>
      <c r="F30" s="119" t="e">
        <f>SUM(F31:F35)</f>
        <v>#REF!</v>
      </c>
      <c r="G30" s="119" t="e">
        <f>SUM(G31:G35)</f>
        <v>#REF!</v>
      </c>
      <c r="H30" s="120">
        <v>6</v>
      </c>
      <c r="I30" s="134">
        <v>5648835</v>
      </c>
      <c r="J30" s="136">
        <v>5648835</v>
      </c>
    </row>
    <row r="31" spans="1:11" ht="12.75" customHeight="1">
      <c r="A31" s="121"/>
      <c r="B31" s="118" t="s">
        <v>40</v>
      </c>
      <c r="C31" s="119">
        <v>27761769</v>
      </c>
      <c r="D31" s="119">
        <v>15679466</v>
      </c>
      <c r="E31" s="119">
        <v>28007796</v>
      </c>
      <c r="F31" s="119">
        <f>43249534-18390838</f>
        <v>24858696</v>
      </c>
      <c r="G31" s="119">
        <v>56700754</v>
      </c>
      <c r="H31" s="120"/>
      <c r="I31" s="136">
        <f>I30</f>
        <v>5648835</v>
      </c>
      <c r="J31" s="136">
        <f>J30</f>
        <v>5648835</v>
      </c>
    </row>
    <row r="32" spans="1:11" ht="12.75" customHeight="1">
      <c r="A32" s="114">
        <v>2</v>
      </c>
      <c r="B32" s="118" t="s">
        <v>41</v>
      </c>
      <c r="C32" s="119">
        <v>0</v>
      </c>
      <c r="D32" s="119">
        <v>12029319</v>
      </c>
      <c r="E32" s="119">
        <v>0</v>
      </c>
      <c r="F32" s="119">
        <v>0</v>
      </c>
      <c r="G32" s="119">
        <v>0</v>
      </c>
      <c r="H32" s="120"/>
      <c r="I32" s="134"/>
      <c r="J32" s="134"/>
    </row>
    <row r="33" spans="1:12" ht="12.75" customHeight="1">
      <c r="A33" s="121" t="s">
        <v>11</v>
      </c>
      <c r="B33" s="122" t="s">
        <v>42</v>
      </c>
      <c r="C33" s="119">
        <v>237000</v>
      </c>
      <c r="D33" s="119">
        <v>730001</v>
      </c>
      <c r="E33" s="119">
        <v>0</v>
      </c>
      <c r="F33" s="119">
        <f>317000</f>
        <v>317000</v>
      </c>
      <c r="G33" s="119">
        <v>0</v>
      </c>
      <c r="H33" s="120"/>
      <c r="I33" s="134"/>
      <c r="J33" s="134"/>
    </row>
    <row r="34" spans="1:12" ht="12.75" customHeight="1">
      <c r="A34" s="121" t="s">
        <v>13</v>
      </c>
      <c r="B34" s="122" t="s">
        <v>5</v>
      </c>
      <c r="C34" s="119">
        <v>33562669</v>
      </c>
      <c r="D34" s="119">
        <v>5130000</v>
      </c>
      <c r="E34" s="119">
        <v>10288846.25</v>
      </c>
      <c r="F34" s="119" t="e">
        <f>17678006-'Te ardhura e shpenzime'!#REF!</f>
        <v>#REF!</v>
      </c>
      <c r="G34" s="119" t="e">
        <f>26487723-718910-'Te ardhura e shpenzime'!#REF!+5130000</f>
        <v>#REF!</v>
      </c>
      <c r="H34" s="120"/>
      <c r="I34" s="134"/>
      <c r="J34" s="134"/>
    </row>
    <row r="35" spans="1:12" ht="12.75" customHeight="1">
      <c r="A35" s="121" t="s">
        <v>19</v>
      </c>
      <c r="B35" s="122" t="s">
        <v>43</v>
      </c>
      <c r="C35" s="119">
        <v>0</v>
      </c>
      <c r="D35" s="119">
        <v>0</v>
      </c>
      <c r="E35" s="119">
        <v>0</v>
      </c>
      <c r="F35" s="119">
        <v>0</v>
      </c>
      <c r="G35" s="119">
        <v>0</v>
      </c>
      <c r="H35" s="120"/>
      <c r="I35" s="134"/>
      <c r="J35" s="134"/>
    </row>
    <row r="36" spans="1:12" ht="12.75" customHeight="1">
      <c r="A36" s="121" t="s">
        <v>21</v>
      </c>
      <c r="B36" s="122" t="s">
        <v>44</v>
      </c>
      <c r="C36" s="119">
        <f>SUM(C37:C38)</f>
        <v>0</v>
      </c>
      <c r="D36" s="119">
        <f>SUM(D37:D38)</f>
        <v>0</v>
      </c>
      <c r="E36" s="119">
        <v>0</v>
      </c>
      <c r="F36" s="119">
        <f>SUM(F37:F38)</f>
        <v>0</v>
      </c>
      <c r="G36" s="119">
        <v>0</v>
      </c>
      <c r="H36" s="120">
        <v>7</v>
      </c>
      <c r="I36" s="134">
        <f>'Shenime  2013'!H57</f>
        <v>14955446.83</v>
      </c>
      <c r="J36" s="136">
        <v>14038136.380000001</v>
      </c>
    </row>
    <row r="37" spans="1:12" s="124" customFormat="1" ht="12.75" customHeight="1">
      <c r="A37" s="114"/>
      <c r="B37" s="118" t="s">
        <v>15</v>
      </c>
      <c r="C37" s="123">
        <v>0</v>
      </c>
      <c r="D37" s="123">
        <v>0</v>
      </c>
      <c r="E37" s="123">
        <v>0</v>
      </c>
      <c r="F37" s="123">
        <v>0</v>
      </c>
      <c r="G37" s="123">
        <v>0</v>
      </c>
      <c r="H37" s="120"/>
      <c r="I37" s="136">
        <f>I36</f>
        <v>14955446.83</v>
      </c>
      <c r="J37" s="136">
        <f>J36</f>
        <v>14038136.380000001</v>
      </c>
    </row>
    <row r="38" spans="1:12" ht="12.75" customHeight="1">
      <c r="A38" s="114">
        <v>3</v>
      </c>
      <c r="B38" s="118" t="s">
        <v>45</v>
      </c>
      <c r="C38" s="119">
        <v>0</v>
      </c>
      <c r="D38" s="119">
        <v>0</v>
      </c>
      <c r="E38" s="119">
        <v>0</v>
      </c>
      <c r="F38" s="119">
        <v>0</v>
      </c>
      <c r="G38" s="119">
        <v>0</v>
      </c>
      <c r="H38" s="120"/>
      <c r="I38" s="134"/>
      <c r="J38" s="134"/>
    </row>
    <row r="39" spans="1:12" ht="12.75" customHeight="1">
      <c r="A39" s="114">
        <v>4</v>
      </c>
      <c r="B39" s="118" t="s">
        <v>46</v>
      </c>
      <c r="C39" s="119">
        <f>SUM(C40:C42)</f>
        <v>6707839</v>
      </c>
      <c r="D39" s="119">
        <f>SUM(D40:D42)</f>
        <v>8761203</v>
      </c>
      <c r="E39" s="119">
        <v>5377268</v>
      </c>
      <c r="F39" s="119">
        <f>SUM(F40:F42)</f>
        <v>13013243</v>
      </c>
      <c r="G39" s="119">
        <f>SUM(G40:G42)</f>
        <v>1313177</v>
      </c>
      <c r="H39" s="127"/>
      <c r="I39" s="144"/>
      <c r="J39" s="144"/>
    </row>
    <row r="40" spans="1:12" ht="12.75" customHeight="1">
      <c r="A40" s="121" t="s">
        <v>11</v>
      </c>
      <c r="B40" s="122" t="s">
        <v>47</v>
      </c>
      <c r="C40" s="119">
        <v>2555535</v>
      </c>
      <c r="D40" s="119">
        <v>1152332</v>
      </c>
      <c r="E40" s="119">
        <v>5053412</v>
      </c>
      <c r="F40" s="119">
        <f>4090529+859568+60696+18682+20198+71188+11962+20515+113315</f>
        <v>5266653</v>
      </c>
      <c r="G40" s="119">
        <f>1299+1759+60696+28211+13318+71188+76941+48487+203390-1616-3370</f>
        <v>500303</v>
      </c>
      <c r="H40" s="128"/>
      <c r="I40" s="134"/>
      <c r="J40" s="134"/>
    </row>
    <row r="41" spans="1:12" ht="12.75" customHeight="1">
      <c r="A41" s="121" t="s">
        <v>13</v>
      </c>
      <c r="B41" s="122" t="s">
        <v>48</v>
      </c>
      <c r="C41" s="119">
        <v>4152304</v>
      </c>
      <c r="D41" s="119">
        <v>7608871</v>
      </c>
      <c r="E41" s="119">
        <v>323856</v>
      </c>
      <c r="F41" s="119">
        <f>7249076+485180+12334</f>
        <v>7746590</v>
      </c>
      <c r="G41" s="119">
        <f>114281+687656+10937</f>
        <v>812874</v>
      </c>
      <c r="H41" s="128"/>
      <c r="I41" s="134"/>
      <c r="J41" s="134"/>
    </row>
    <row r="42" spans="1:12" ht="12.75" customHeight="1">
      <c r="A42" s="121" t="s">
        <v>19</v>
      </c>
      <c r="B42" s="122" t="s">
        <v>49</v>
      </c>
      <c r="C42" s="119">
        <v>0</v>
      </c>
      <c r="D42" s="119">
        <v>0</v>
      </c>
      <c r="E42" s="119">
        <v>0</v>
      </c>
      <c r="F42" s="119">
        <v>0</v>
      </c>
      <c r="G42" s="119">
        <v>0</v>
      </c>
      <c r="H42" s="120"/>
      <c r="I42" s="134"/>
      <c r="J42" s="134"/>
    </row>
    <row r="43" spans="1:12" s="124" customFormat="1" ht="12.75" customHeight="1">
      <c r="A43" s="114"/>
      <c r="B43" s="118" t="s">
        <v>30</v>
      </c>
      <c r="C43" s="123">
        <f>C44</f>
        <v>0</v>
      </c>
      <c r="D43" s="123">
        <f>D44</f>
        <v>0</v>
      </c>
      <c r="E43" s="123">
        <v>0</v>
      </c>
      <c r="F43" s="123">
        <f>F44</f>
        <v>0</v>
      </c>
      <c r="G43" s="123">
        <v>0</v>
      </c>
      <c r="H43" s="120"/>
      <c r="I43" s="134"/>
      <c r="J43" s="134"/>
    </row>
    <row r="44" spans="1:12" s="124" customFormat="1" ht="12.75" customHeight="1">
      <c r="A44" s="114">
        <v>5</v>
      </c>
      <c r="B44" s="118" t="s">
        <v>50</v>
      </c>
      <c r="C44" s="123">
        <v>0</v>
      </c>
      <c r="D44" s="123">
        <v>0</v>
      </c>
      <c r="E44" s="123">
        <v>0</v>
      </c>
      <c r="F44" s="123">
        <v>0</v>
      </c>
      <c r="G44" s="123">
        <v>0</v>
      </c>
      <c r="H44" s="120"/>
      <c r="I44" s="134"/>
      <c r="J44" s="134"/>
    </row>
    <row r="45" spans="1:12" ht="12.75" customHeight="1">
      <c r="A45" s="114">
        <v>6</v>
      </c>
      <c r="B45" s="118" t="s">
        <v>51</v>
      </c>
      <c r="C45" s="119">
        <f>SUM(C46:C47)</f>
        <v>0</v>
      </c>
      <c r="D45" s="119">
        <f>SUM(D46:D47)</f>
        <v>0</v>
      </c>
      <c r="E45" s="119">
        <v>0</v>
      </c>
      <c r="F45" s="119">
        <f>SUM(F46:F47)</f>
        <v>0</v>
      </c>
      <c r="G45" s="119">
        <v>0</v>
      </c>
      <c r="H45" s="120"/>
      <c r="I45" s="134"/>
      <c r="J45" s="134"/>
    </row>
    <row r="46" spans="1:12" s="124" customFormat="1" ht="12.75" customHeight="1">
      <c r="A46" s="114"/>
      <c r="B46" s="118" t="s">
        <v>52</v>
      </c>
      <c r="C46" s="123">
        <v>0</v>
      </c>
      <c r="D46" s="123">
        <v>0</v>
      </c>
      <c r="E46" s="123">
        <v>0</v>
      </c>
      <c r="F46" s="123">
        <v>0</v>
      </c>
      <c r="G46" s="123">
        <v>0</v>
      </c>
      <c r="H46" s="120"/>
      <c r="I46" s="136">
        <f>I31+I37</f>
        <v>20604281.829999998</v>
      </c>
      <c r="J46" s="136">
        <f>J31+J37</f>
        <v>19686971.380000003</v>
      </c>
    </row>
    <row r="47" spans="1:12" s="124" customFormat="1" ht="12.75" customHeight="1">
      <c r="A47" s="114"/>
      <c r="B47" s="118" t="s">
        <v>53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0"/>
      <c r="I47" s="136">
        <f>I24+I46</f>
        <v>72128635.505999982</v>
      </c>
      <c r="J47" s="136">
        <f>J24+J46</f>
        <v>100203878.523</v>
      </c>
      <c r="L47" s="129"/>
    </row>
    <row r="48" spans="1:12" ht="12.75" customHeight="1">
      <c r="A48" s="130"/>
      <c r="B48" s="130"/>
      <c r="C48" s="131"/>
      <c r="D48" s="131"/>
      <c r="E48" s="131"/>
      <c r="F48" s="131"/>
      <c r="G48" s="131"/>
      <c r="H48" s="131"/>
      <c r="I48" s="131"/>
      <c r="J48" s="131"/>
    </row>
    <row r="49" spans="1:10" ht="12.75" customHeight="1">
      <c r="A49" s="184"/>
      <c r="B49" s="184"/>
      <c r="C49" s="132"/>
      <c r="D49" s="132"/>
      <c r="F49" s="133"/>
      <c r="G49" s="133"/>
      <c r="H49" s="133"/>
      <c r="I49" s="140"/>
      <c r="J49" s="140"/>
    </row>
    <row r="50" spans="1:10" ht="12.75" customHeight="1">
      <c r="A50" s="184"/>
      <c r="B50" s="184"/>
      <c r="C50" s="184"/>
      <c r="D50" s="184"/>
      <c r="E50" s="184"/>
      <c r="F50" s="184"/>
      <c r="G50" s="184"/>
      <c r="H50" s="184"/>
      <c r="I50" s="184"/>
      <c r="J50" s="184"/>
    </row>
    <row r="51" spans="1:10" ht="12.75" customHeight="1">
      <c r="A51" s="183" t="s">
        <v>124</v>
      </c>
      <c r="B51" s="183"/>
      <c r="C51" s="115">
        <v>1999</v>
      </c>
      <c r="D51" s="115">
        <v>2000</v>
      </c>
      <c r="E51" s="116">
        <v>2001</v>
      </c>
      <c r="F51" s="114">
        <v>2002</v>
      </c>
      <c r="G51" s="114">
        <v>2003</v>
      </c>
      <c r="H51" s="120"/>
      <c r="I51" s="146">
        <v>2013</v>
      </c>
      <c r="J51" s="146">
        <v>2012</v>
      </c>
    </row>
    <row r="52" spans="1:10" ht="12.75" customHeight="1">
      <c r="A52" s="183" t="s">
        <v>54</v>
      </c>
      <c r="B52" s="183"/>
      <c r="C52" s="115"/>
      <c r="D52" s="115"/>
      <c r="E52" s="116"/>
      <c r="F52" s="114"/>
      <c r="G52" s="114"/>
      <c r="H52" s="120"/>
      <c r="I52" s="134"/>
      <c r="J52" s="134"/>
    </row>
    <row r="53" spans="1:10" ht="12.75" customHeight="1">
      <c r="A53" s="114" t="s">
        <v>0</v>
      </c>
      <c r="B53" s="118" t="s">
        <v>55</v>
      </c>
      <c r="C53" s="119">
        <f>C54+C65+C70+C71</f>
        <v>56512963</v>
      </c>
      <c r="D53" s="119">
        <f>D54+D65+D70+D71</f>
        <v>113958327</v>
      </c>
      <c r="E53" s="119">
        <v>215426152.25</v>
      </c>
      <c r="F53" s="119" t="e">
        <f>F54+F65+F70+F71</f>
        <v>#REF!</v>
      </c>
      <c r="G53" s="119" t="e">
        <f>G54+G65+G70+G71</f>
        <v>#REF!</v>
      </c>
      <c r="H53" s="120"/>
      <c r="I53" s="134"/>
      <c r="J53" s="134"/>
    </row>
    <row r="54" spans="1:10" ht="12.75" customHeight="1">
      <c r="A54" s="114">
        <v>1</v>
      </c>
      <c r="B54" s="118" t="s">
        <v>12</v>
      </c>
      <c r="C54" s="119">
        <f>C55+C56+C57+C58+C62+C63</f>
        <v>39609170</v>
      </c>
      <c r="D54" s="119">
        <f>D55+D56+D57+D58+D62+D63</f>
        <v>79162316</v>
      </c>
      <c r="E54" s="119">
        <v>158062086.75</v>
      </c>
      <c r="F54" s="119" t="e">
        <f>F55+F56+F57+F58+F62+F63</f>
        <v>#REF!</v>
      </c>
      <c r="G54" s="119" t="e">
        <f>G55+G56+G57+G58+G62+G63</f>
        <v>#REF!</v>
      </c>
      <c r="H54" s="120"/>
      <c r="I54" s="134"/>
      <c r="J54" s="134"/>
    </row>
    <row r="55" spans="1:10" ht="12.75" customHeight="1">
      <c r="A55" s="114">
        <v>2</v>
      </c>
      <c r="B55" s="118" t="s">
        <v>56</v>
      </c>
      <c r="C55" s="119">
        <v>100000</v>
      </c>
      <c r="D55" s="119">
        <v>100000</v>
      </c>
      <c r="E55" s="119">
        <v>72120000</v>
      </c>
      <c r="F55" s="119">
        <v>72120000</v>
      </c>
      <c r="G55" s="119">
        <v>72120000</v>
      </c>
      <c r="H55" s="120"/>
      <c r="I55" s="134"/>
      <c r="J55" s="134"/>
    </row>
    <row r="56" spans="1:10" ht="12.75" customHeight="1">
      <c r="A56" s="121" t="s">
        <v>11</v>
      </c>
      <c r="B56" s="122" t="s">
        <v>57</v>
      </c>
      <c r="C56" s="119">
        <v>0</v>
      </c>
      <c r="D56" s="119">
        <v>0</v>
      </c>
      <c r="E56" s="119">
        <v>47205564.25</v>
      </c>
      <c r="F56" s="119">
        <v>47205564</v>
      </c>
      <c r="G56" s="119">
        <v>47205564</v>
      </c>
      <c r="H56" s="120"/>
      <c r="I56" s="134"/>
      <c r="J56" s="134"/>
    </row>
    <row r="57" spans="1:10" ht="12.75" customHeight="1">
      <c r="A57" s="121" t="s">
        <v>13</v>
      </c>
      <c r="B57" s="122" t="s">
        <v>58</v>
      </c>
      <c r="C57" s="119">
        <v>0</v>
      </c>
      <c r="D57" s="119">
        <v>0</v>
      </c>
      <c r="E57" s="119">
        <v>0</v>
      </c>
      <c r="F57" s="119">
        <v>0</v>
      </c>
      <c r="G57" s="119">
        <v>0</v>
      </c>
      <c r="H57" s="120"/>
      <c r="I57" s="134"/>
      <c r="J57" s="134"/>
    </row>
    <row r="58" spans="1:10" ht="12.75" customHeight="1">
      <c r="A58" s="121" t="s">
        <v>19</v>
      </c>
      <c r="B58" s="122" t="s">
        <v>59</v>
      </c>
      <c r="C58" s="119">
        <f>SUM(C59:C61)</f>
        <v>0</v>
      </c>
      <c r="D58" s="119">
        <f>SUM(D59:D61)</f>
        <v>0</v>
      </c>
      <c r="E58" s="119">
        <v>7042316</v>
      </c>
      <c r="F58" s="119">
        <f>SUM(F59:F61)</f>
        <v>7042316</v>
      </c>
      <c r="G58" s="119">
        <f>SUM(G59:G61)</f>
        <v>46364118</v>
      </c>
      <c r="H58" s="120"/>
      <c r="I58" s="134"/>
      <c r="J58" s="134"/>
    </row>
    <row r="59" spans="1:10" s="124" customFormat="1" ht="12.75" customHeight="1">
      <c r="A59" s="114"/>
      <c r="B59" s="118" t="s">
        <v>15</v>
      </c>
      <c r="C59" s="123">
        <v>0</v>
      </c>
      <c r="D59" s="123">
        <v>0</v>
      </c>
      <c r="E59" s="123">
        <v>100000</v>
      </c>
      <c r="F59" s="123">
        <v>100000</v>
      </c>
      <c r="G59" s="123">
        <f>100000+7112000</f>
        <v>7212000</v>
      </c>
      <c r="H59" s="120"/>
      <c r="I59" s="134"/>
      <c r="J59" s="134"/>
    </row>
    <row r="60" spans="1:10" ht="12.75" customHeight="1">
      <c r="A60" s="114">
        <v>3</v>
      </c>
      <c r="B60" s="118" t="s">
        <v>60</v>
      </c>
      <c r="C60" s="119">
        <v>0</v>
      </c>
      <c r="D60" s="119">
        <v>0</v>
      </c>
      <c r="E60" s="119">
        <v>0</v>
      </c>
      <c r="F60" s="119">
        <v>0</v>
      </c>
      <c r="G60" s="119">
        <v>0</v>
      </c>
      <c r="H60" s="120"/>
      <c r="I60" s="134"/>
      <c r="J60" s="134"/>
    </row>
    <row r="61" spans="1:10" ht="12.75" customHeight="1">
      <c r="A61" s="121" t="s">
        <v>11</v>
      </c>
      <c r="B61" s="126" t="s">
        <v>61</v>
      </c>
      <c r="C61" s="119">
        <v>0</v>
      </c>
      <c r="D61" s="119">
        <v>0</v>
      </c>
      <c r="E61" s="119">
        <v>6942316</v>
      </c>
      <c r="F61" s="119">
        <v>6942316</v>
      </c>
      <c r="G61" s="119">
        <v>39152118</v>
      </c>
      <c r="H61" s="120"/>
      <c r="I61" s="119">
        <v>79624335.049999997</v>
      </c>
      <c r="J61" s="119">
        <v>72043605.839999989</v>
      </c>
    </row>
    <row r="62" spans="1:10" ht="12.75" customHeight="1">
      <c r="A62" s="121" t="s">
        <v>13</v>
      </c>
      <c r="B62" s="126" t="s">
        <v>62</v>
      </c>
      <c r="C62" s="119">
        <v>8149519</v>
      </c>
      <c r="D62" s="119">
        <v>39509170</v>
      </c>
      <c r="E62" s="119">
        <v>0</v>
      </c>
      <c r="F62" s="119">
        <v>25017223</v>
      </c>
      <c r="G62" s="119">
        <v>0</v>
      </c>
      <c r="H62" s="120"/>
      <c r="I62" s="119">
        <v>3106232</v>
      </c>
      <c r="J62" s="119">
        <v>2192141</v>
      </c>
    </row>
    <row r="63" spans="1:10" ht="12.75" customHeight="1">
      <c r="A63" s="121" t="s">
        <v>19</v>
      </c>
      <c r="B63" s="126" t="s">
        <v>63</v>
      </c>
      <c r="C63" s="119">
        <v>31359651</v>
      </c>
      <c r="D63" s="119">
        <v>39553146</v>
      </c>
      <c r="E63" s="119">
        <v>31694206.5</v>
      </c>
      <c r="F63" s="119" t="e">
        <f>'Te ardhura e shpenzime'!#REF!</f>
        <v>#REF!</v>
      </c>
      <c r="G63" s="119" t="e">
        <f>'Te ardhura e shpenzime'!#REF!</f>
        <v>#REF!</v>
      </c>
      <c r="H63" s="120">
        <v>8</v>
      </c>
      <c r="I63" s="119">
        <v>2789232.5100000002</v>
      </c>
      <c r="J63" s="119">
        <v>2849400.62</v>
      </c>
    </row>
    <row r="64" spans="1:10" ht="12.75" customHeight="1">
      <c r="A64" s="121" t="s">
        <v>21</v>
      </c>
      <c r="B64" s="126" t="s">
        <v>189</v>
      </c>
      <c r="C64" s="119"/>
      <c r="D64" s="119"/>
      <c r="E64" s="119"/>
      <c r="F64" s="119"/>
      <c r="G64" s="119"/>
      <c r="H64" s="120">
        <v>9</v>
      </c>
      <c r="I64" s="119">
        <v>14443178.039999999</v>
      </c>
      <c r="J64" s="119">
        <v>19163749</v>
      </c>
    </row>
    <row r="65" spans="1:12" ht="12.75" customHeight="1">
      <c r="A65" s="121" t="s">
        <v>25</v>
      </c>
      <c r="B65" s="126" t="s">
        <v>3</v>
      </c>
      <c r="C65" s="119">
        <f>SUM(C66:C69)</f>
        <v>0</v>
      </c>
      <c r="D65" s="119">
        <f>SUM(D66:D69)</f>
        <v>0</v>
      </c>
      <c r="E65" s="119">
        <v>0</v>
      </c>
      <c r="F65" s="119">
        <f>SUM(F66:F69)</f>
        <v>0</v>
      </c>
      <c r="G65" s="119">
        <f>SUM(G66:G69)</f>
        <v>0</v>
      </c>
      <c r="H65" s="120"/>
      <c r="I65" s="119">
        <v>107190</v>
      </c>
      <c r="J65" s="119">
        <v>126486.74</v>
      </c>
      <c r="L65" s="135"/>
    </row>
    <row r="66" spans="1:12" ht="12.75" customHeight="1">
      <c r="A66" s="121" t="s">
        <v>190</v>
      </c>
      <c r="B66" s="126" t="s">
        <v>64</v>
      </c>
      <c r="C66" s="119">
        <v>0</v>
      </c>
      <c r="D66" s="119">
        <v>0</v>
      </c>
      <c r="E66" s="119">
        <v>0</v>
      </c>
      <c r="F66" s="119">
        <v>0</v>
      </c>
      <c r="G66" s="119">
        <v>0</v>
      </c>
      <c r="H66" s="120"/>
      <c r="I66" s="134"/>
      <c r="J66" s="134"/>
    </row>
    <row r="67" spans="1:12" s="124" customFormat="1" ht="12.75" customHeight="1">
      <c r="A67" s="114"/>
      <c r="B67" s="118" t="s">
        <v>23</v>
      </c>
      <c r="C67" s="123">
        <v>0</v>
      </c>
      <c r="D67" s="123">
        <v>0</v>
      </c>
      <c r="E67" s="123">
        <v>0</v>
      </c>
      <c r="F67" s="123">
        <v>0</v>
      </c>
      <c r="G67" s="123">
        <v>0</v>
      </c>
      <c r="H67" s="120"/>
      <c r="I67" s="136">
        <f>SUM(I61:I65)</f>
        <v>100070167.59999999</v>
      </c>
      <c r="J67" s="136">
        <f>SUM(J61:J65)</f>
        <v>96375383.199999988</v>
      </c>
    </row>
    <row r="68" spans="1:12" ht="12.75" customHeight="1">
      <c r="A68" s="114">
        <v>4</v>
      </c>
      <c r="B68" s="118" t="s">
        <v>65</v>
      </c>
      <c r="C68" s="119">
        <v>0</v>
      </c>
      <c r="D68" s="119">
        <v>0</v>
      </c>
      <c r="E68" s="119">
        <v>0</v>
      </c>
      <c r="F68" s="119">
        <v>0</v>
      </c>
      <c r="G68" s="119">
        <v>0</v>
      </c>
      <c r="H68" s="120"/>
      <c r="I68" s="136"/>
      <c r="J68" s="136">
        <v>0</v>
      </c>
    </row>
    <row r="69" spans="1:12" ht="12.75" customHeight="1">
      <c r="A69" s="114">
        <v>5</v>
      </c>
      <c r="B69" s="118" t="s">
        <v>66</v>
      </c>
      <c r="C69" s="119">
        <v>0</v>
      </c>
      <c r="D69" s="119">
        <v>0</v>
      </c>
      <c r="E69" s="119">
        <v>0</v>
      </c>
      <c r="F69" s="119">
        <v>0</v>
      </c>
      <c r="G69" s="119">
        <v>0</v>
      </c>
      <c r="H69" s="120"/>
      <c r="I69" s="134"/>
      <c r="J69" s="134"/>
    </row>
    <row r="70" spans="1:12" s="124" customFormat="1" ht="12.75" customHeight="1">
      <c r="A70" s="114"/>
      <c r="B70" s="118" t="s">
        <v>67</v>
      </c>
      <c r="C70" s="123">
        <v>0</v>
      </c>
      <c r="D70" s="123">
        <v>0</v>
      </c>
      <c r="E70" s="123">
        <v>0</v>
      </c>
      <c r="F70" s="123">
        <v>0</v>
      </c>
      <c r="G70" s="123">
        <v>0</v>
      </c>
      <c r="H70" s="120"/>
      <c r="I70" s="136">
        <f>I67+I68</f>
        <v>100070167.59999999</v>
      </c>
      <c r="J70" s="136">
        <f>J67+J68</f>
        <v>96375383.199999988</v>
      </c>
    </row>
    <row r="71" spans="1:12" ht="12.75" customHeight="1">
      <c r="A71" s="121"/>
      <c r="B71" s="126"/>
      <c r="C71" s="119">
        <f>SUM(C72:C73)</f>
        <v>16903793</v>
      </c>
      <c r="D71" s="119">
        <f>SUM(D72:D73)</f>
        <v>34796011</v>
      </c>
      <c r="E71" s="119">
        <v>57364065.5</v>
      </c>
      <c r="F71" s="119">
        <f>SUM(F72:F73)</f>
        <v>64041050</v>
      </c>
      <c r="G71" s="119">
        <f>SUM(G72:G73)</f>
        <v>64041050</v>
      </c>
      <c r="H71" s="120"/>
      <c r="I71" s="134"/>
      <c r="J71" s="134"/>
    </row>
    <row r="72" spans="1:12" ht="12.75" customHeight="1">
      <c r="A72" s="114" t="s">
        <v>1</v>
      </c>
      <c r="B72" s="118" t="s">
        <v>68</v>
      </c>
      <c r="C72" s="119">
        <v>16903793</v>
      </c>
      <c r="D72" s="119">
        <v>34796011</v>
      </c>
      <c r="E72" s="119">
        <v>57364065.5</v>
      </c>
      <c r="F72" s="119">
        <v>64041050</v>
      </c>
      <c r="G72" s="119">
        <v>64041050</v>
      </c>
      <c r="H72" s="120"/>
      <c r="I72" s="134"/>
      <c r="J72" s="134"/>
    </row>
    <row r="73" spans="1:12" ht="12.75" customHeight="1">
      <c r="A73" s="114">
        <v>1</v>
      </c>
      <c r="B73" s="118" t="s">
        <v>69</v>
      </c>
      <c r="C73" s="119">
        <v>0</v>
      </c>
      <c r="D73" s="119">
        <v>0</v>
      </c>
      <c r="E73" s="119">
        <v>0</v>
      </c>
      <c r="F73" s="119">
        <v>0</v>
      </c>
      <c r="G73" s="119">
        <v>0</v>
      </c>
      <c r="H73" s="120"/>
      <c r="I73" s="134"/>
      <c r="J73" s="134"/>
    </row>
    <row r="74" spans="1:12" ht="12.75" customHeight="1">
      <c r="A74" s="121" t="s">
        <v>11</v>
      </c>
      <c r="B74" s="122" t="s">
        <v>70</v>
      </c>
      <c r="C74" s="119">
        <f>C75+C83</f>
        <v>220721029</v>
      </c>
      <c r="D74" s="119">
        <f>D75+D83</f>
        <v>288597263</v>
      </c>
      <c r="E74" s="119">
        <v>249631124</v>
      </c>
      <c r="F74" s="119">
        <f>F75+F83</f>
        <v>288008954</v>
      </c>
      <c r="G74" s="119">
        <f>G75+G83</f>
        <v>293613970</v>
      </c>
      <c r="H74" s="120"/>
      <c r="I74" s="134"/>
      <c r="J74" s="134"/>
    </row>
    <row r="75" spans="1:12" ht="12.75" customHeight="1">
      <c r="A75" s="121" t="s">
        <v>13</v>
      </c>
      <c r="B75" s="122" t="s">
        <v>71</v>
      </c>
      <c r="C75" s="119">
        <f>SUM(C76:C82)</f>
        <v>84481379</v>
      </c>
      <c r="D75" s="119">
        <f>SUM(D76:D82)</f>
        <v>145032122</v>
      </c>
      <c r="E75" s="119">
        <v>204986429</v>
      </c>
      <c r="F75" s="119">
        <f>SUM(F76:F82)</f>
        <v>218896549</v>
      </c>
      <c r="G75" s="119">
        <f>SUM(G76:G82)</f>
        <v>130802045</v>
      </c>
      <c r="H75" s="120"/>
      <c r="I75" s="134"/>
      <c r="J75" s="134"/>
    </row>
    <row r="76" spans="1:12" s="124" customFormat="1" ht="12.75" customHeight="1">
      <c r="A76" s="114"/>
      <c r="B76" s="118" t="s">
        <v>40</v>
      </c>
      <c r="C76" s="123">
        <v>27813645</v>
      </c>
      <c r="D76" s="123">
        <v>30215728</v>
      </c>
      <c r="E76" s="123">
        <v>51320728</v>
      </c>
      <c r="F76" s="123">
        <f>34925000+20490000</f>
        <v>55415000</v>
      </c>
      <c r="G76" s="123">
        <v>26184347</v>
      </c>
      <c r="H76" s="120"/>
      <c r="I76" s="134"/>
      <c r="J76" s="134"/>
    </row>
    <row r="77" spans="1:12" s="124" customFormat="1" ht="12.75" customHeight="1">
      <c r="A77" s="114">
        <v>2</v>
      </c>
      <c r="B77" s="118" t="s">
        <v>72</v>
      </c>
      <c r="C77" s="123">
        <v>56667734</v>
      </c>
      <c r="D77" s="123">
        <v>114816394</v>
      </c>
      <c r="E77" s="123">
        <v>75318498</v>
      </c>
      <c r="F77" s="123">
        <f>6481212+70848337</f>
        <v>77329549</v>
      </c>
      <c r="G77" s="123">
        <f>56620069+26475469</f>
        <v>83095538</v>
      </c>
      <c r="H77" s="120">
        <v>10</v>
      </c>
      <c r="I77" s="136">
        <v>7815737.4900000002</v>
      </c>
      <c r="J77" s="136">
        <v>7399837.4900000002</v>
      </c>
    </row>
    <row r="78" spans="1:12" ht="12.75" customHeight="1">
      <c r="A78" s="114">
        <v>3</v>
      </c>
      <c r="B78" s="118" t="s">
        <v>73</v>
      </c>
      <c r="C78" s="119">
        <v>0</v>
      </c>
      <c r="D78" s="119">
        <v>0</v>
      </c>
      <c r="E78" s="119">
        <v>0</v>
      </c>
      <c r="F78" s="119">
        <v>13700000</v>
      </c>
      <c r="G78" s="119">
        <v>0</v>
      </c>
      <c r="H78" s="120"/>
      <c r="I78" s="134"/>
      <c r="J78" s="134"/>
    </row>
    <row r="79" spans="1:12" ht="12.75" customHeight="1">
      <c r="A79" s="114">
        <v>4</v>
      </c>
      <c r="B79" s="118" t="s">
        <v>65</v>
      </c>
      <c r="C79" s="119">
        <v>0</v>
      </c>
      <c r="D79" s="119">
        <v>0</v>
      </c>
      <c r="E79" s="119">
        <v>15801738</v>
      </c>
      <c r="F79" s="119">
        <f>33452000</f>
        <v>33452000</v>
      </c>
      <c r="G79" s="119">
        <f>11522160</f>
        <v>11522160</v>
      </c>
      <c r="H79" s="120"/>
      <c r="I79" s="134"/>
      <c r="J79" s="134"/>
    </row>
    <row r="80" spans="1:12" s="124" customFormat="1" ht="12.75" customHeight="1">
      <c r="A80" s="114"/>
      <c r="B80" s="118" t="s">
        <v>74</v>
      </c>
      <c r="C80" s="123">
        <v>0</v>
      </c>
      <c r="D80" s="123">
        <v>0</v>
      </c>
      <c r="E80" s="123">
        <v>0</v>
      </c>
      <c r="F80" s="123">
        <v>0</v>
      </c>
      <c r="G80" s="123">
        <v>0</v>
      </c>
      <c r="H80" s="120"/>
      <c r="I80" s="136">
        <f>I77</f>
        <v>7815737.4900000002</v>
      </c>
      <c r="J80" s="136">
        <f>J77</f>
        <v>7399837.4900000002</v>
      </c>
    </row>
    <row r="81" spans="1:10" s="124" customFormat="1" ht="12.75" customHeight="1">
      <c r="A81" s="114"/>
      <c r="B81" s="118" t="s">
        <v>75</v>
      </c>
      <c r="C81" s="123">
        <v>0</v>
      </c>
      <c r="D81" s="123">
        <v>0</v>
      </c>
      <c r="E81" s="123">
        <v>45505465</v>
      </c>
      <c r="F81" s="123">
        <f>54228159+14409416+1954059-31591634</f>
        <v>39000000</v>
      </c>
      <c r="G81" s="123">
        <f>10000000</f>
        <v>10000000</v>
      </c>
      <c r="H81" s="120"/>
      <c r="I81" s="136">
        <f>I70+I80</f>
        <v>107885905.08999999</v>
      </c>
      <c r="J81" s="136">
        <f>J70+J80</f>
        <v>103775220.68999998</v>
      </c>
    </row>
    <row r="82" spans="1:10" ht="12.75" customHeight="1">
      <c r="A82" s="121"/>
      <c r="B82" s="122"/>
      <c r="C82" s="119">
        <v>0</v>
      </c>
      <c r="D82" s="119">
        <v>0</v>
      </c>
      <c r="E82" s="119">
        <v>17040000</v>
      </c>
      <c r="F82" s="119">
        <v>0</v>
      </c>
      <c r="G82" s="119">
        <v>0</v>
      </c>
      <c r="H82" s="120"/>
      <c r="I82" s="134"/>
      <c r="J82" s="134"/>
    </row>
    <row r="83" spans="1:10" ht="12.75" customHeight="1">
      <c r="A83" s="114" t="s">
        <v>2</v>
      </c>
      <c r="B83" s="118" t="s">
        <v>76</v>
      </c>
      <c r="C83" s="119">
        <f>SUM(C84:C92)</f>
        <v>136239650</v>
      </c>
      <c r="D83" s="119">
        <f>SUM(D84:D92)</f>
        <v>143565141</v>
      </c>
      <c r="E83" s="119">
        <v>44644695</v>
      </c>
      <c r="F83" s="119">
        <f>SUM(F84:F92)</f>
        <v>69112405</v>
      </c>
      <c r="G83" s="119">
        <f>SUM(G84:G92)</f>
        <v>162811925</v>
      </c>
      <c r="H83" s="120"/>
      <c r="I83" s="134"/>
      <c r="J83" s="134"/>
    </row>
    <row r="84" spans="1:10" ht="27" customHeight="1">
      <c r="A84" s="114">
        <v>1</v>
      </c>
      <c r="B84" s="137" t="s">
        <v>77</v>
      </c>
      <c r="C84" s="119">
        <v>0</v>
      </c>
      <c r="D84" s="119">
        <v>0</v>
      </c>
      <c r="E84" s="119">
        <v>0</v>
      </c>
      <c r="F84" s="119">
        <v>0</v>
      </c>
      <c r="G84" s="119">
        <v>0</v>
      </c>
      <c r="H84" s="120"/>
      <c r="I84" s="134"/>
      <c r="J84" s="134"/>
    </row>
    <row r="85" spans="1:10" ht="28.5" customHeight="1">
      <c r="A85" s="114">
        <v>2</v>
      </c>
      <c r="B85" s="138" t="s">
        <v>78</v>
      </c>
      <c r="C85" s="119">
        <v>0</v>
      </c>
      <c r="D85" s="119">
        <v>0</v>
      </c>
      <c r="E85" s="119">
        <v>0</v>
      </c>
      <c r="F85" s="119">
        <v>0</v>
      </c>
      <c r="G85" s="119">
        <v>0</v>
      </c>
      <c r="H85" s="120"/>
      <c r="I85" s="134"/>
      <c r="J85" s="134"/>
    </row>
    <row r="86" spans="1:10" ht="12.75" customHeight="1">
      <c r="A86" s="114">
        <v>3</v>
      </c>
      <c r="B86" s="122" t="s">
        <v>79</v>
      </c>
      <c r="C86" s="119">
        <v>0</v>
      </c>
      <c r="D86" s="119">
        <v>0</v>
      </c>
      <c r="E86" s="119">
        <v>0</v>
      </c>
      <c r="F86" s="119">
        <v>0</v>
      </c>
      <c r="G86" s="119">
        <f>25502780+4928194</f>
        <v>30430974</v>
      </c>
      <c r="H86" s="120"/>
      <c r="I86" s="139">
        <v>100000</v>
      </c>
      <c r="J86" s="139">
        <v>100000</v>
      </c>
    </row>
    <row r="87" spans="1:10" ht="12.75" customHeight="1">
      <c r="A87" s="114">
        <v>4</v>
      </c>
      <c r="B87" s="122" t="s">
        <v>80</v>
      </c>
      <c r="C87" s="119">
        <v>58100520</v>
      </c>
      <c r="D87" s="119">
        <v>29447042</v>
      </c>
      <c r="E87" s="119">
        <v>29596919</v>
      </c>
      <c r="F87" s="119">
        <f>62887782-3249540-21630746</f>
        <v>38007496</v>
      </c>
      <c r="G87" s="119">
        <f>90217943+25640002</f>
        <v>115857945</v>
      </c>
      <c r="H87" s="120"/>
      <c r="I87" s="134"/>
      <c r="J87" s="134"/>
    </row>
    <row r="88" spans="1:10" ht="12.75" customHeight="1">
      <c r="A88" s="114">
        <v>5</v>
      </c>
      <c r="B88" s="122" t="s">
        <v>81</v>
      </c>
      <c r="C88" s="119">
        <v>275448</v>
      </c>
      <c r="D88" s="119">
        <v>604436</v>
      </c>
      <c r="E88" s="119">
        <v>1201616</v>
      </c>
      <c r="F88" s="119">
        <f>1243183+12000</f>
        <v>1255183</v>
      </c>
      <c r="G88" s="119">
        <f>2341575+12000</f>
        <v>2353575</v>
      </c>
      <c r="H88" s="120"/>
      <c r="I88" s="134"/>
      <c r="J88" s="134"/>
    </row>
    <row r="89" spans="1:10" ht="12.75" customHeight="1">
      <c r="A89" s="114">
        <v>6</v>
      </c>
      <c r="B89" s="122" t="s">
        <v>82</v>
      </c>
      <c r="C89" s="119">
        <v>372404</v>
      </c>
      <c r="D89" s="119">
        <v>1338666</v>
      </c>
      <c r="E89" s="119">
        <v>3050222</v>
      </c>
      <c r="F89" s="119">
        <v>2761080</v>
      </c>
      <c r="G89" s="119">
        <v>1981890</v>
      </c>
      <c r="H89" s="120"/>
      <c r="I89" s="134"/>
      <c r="J89" s="134"/>
    </row>
    <row r="90" spans="1:10" ht="12.75" customHeight="1">
      <c r="A90" s="114">
        <v>7</v>
      </c>
      <c r="B90" s="122" t="s">
        <v>83</v>
      </c>
      <c r="C90" s="119">
        <v>207948</v>
      </c>
      <c r="D90" s="119">
        <v>400965</v>
      </c>
      <c r="E90" s="119">
        <v>5487669</v>
      </c>
      <c r="F90" s="119">
        <f>247869+2311200+6085558+80000</f>
        <v>8724627</v>
      </c>
      <c r="G90" s="119">
        <f>407094+2914156+80000+2646755-55000</f>
        <v>5993005</v>
      </c>
      <c r="H90" s="120"/>
      <c r="I90" s="134"/>
      <c r="J90" s="134"/>
    </row>
    <row r="91" spans="1:10" ht="12.75" customHeight="1">
      <c r="A91" s="114">
        <v>8</v>
      </c>
      <c r="B91" s="122" t="s">
        <v>84</v>
      </c>
      <c r="C91" s="119">
        <v>43362116</v>
      </c>
      <c r="D91" s="119">
        <v>76990330</v>
      </c>
      <c r="E91" s="119">
        <v>0</v>
      </c>
      <c r="F91" s="119">
        <f>48346168+3249540-18390838-20412993</f>
        <v>12791877</v>
      </c>
      <c r="G91" s="119">
        <v>0</v>
      </c>
      <c r="H91" s="120"/>
      <c r="I91" s="139">
        <v>-3671341.7359999828</v>
      </c>
      <c r="J91" s="139">
        <v>-12165824.940000001</v>
      </c>
    </row>
    <row r="92" spans="1:10" ht="12.75" customHeight="1">
      <c r="A92" s="114">
        <v>9</v>
      </c>
      <c r="B92" s="122" t="s">
        <v>85</v>
      </c>
      <c r="C92" s="119">
        <v>33921214</v>
      </c>
      <c r="D92" s="119">
        <v>34783702</v>
      </c>
      <c r="E92" s="119">
        <v>5308269</v>
      </c>
      <c r="F92" s="119">
        <f>58800+1513342+4000000</f>
        <v>5572142</v>
      </c>
      <c r="G92" s="119">
        <f>6135736+58800</f>
        <v>6194536</v>
      </c>
      <c r="H92" s="120"/>
      <c r="I92" s="139"/>
      <c r="J92" s="139">
        <v>6087697.6610000031</v>
      </c>
    </row>
    <row r="93" spans="1:10" ht="12.75" customHeight="1">
      <c r="A93" s="114">
        <v>10</v>
      </c>
      <c r="B93" s="122" t="s">
        <v>86</v>
      </c>
      <c r="C93" s="119">
        <v>0</v>
      </c>
      <c r="D93" s="119">
        <v>0</v>
      </c>
      <c r="E93" s="119">
        <v>0</v>
      </c>
      <c r="F93" s="119">
        <v>0</v>
      </c>
      <c r="G93" s="119">
        <v>0</v>
      </c>
      <c r="H93" s="120"/>
      <c r="I93" s="139">
        <v>-32185927.527000003</v>
      </c>
      <c r="J93" s="139">
        <v>2406785.5430000154</v>
      </c>
    </row>
    <row r="94" spans="1:10" s="124" customFormat="1" ht="12.75" customHeight="1">
      <c r="A94" s="114"/>
      <c r="B94" s="118" t="s">
        <v>87</v>
      </c>
      <c r="C94" s="123" t="e">
        <f>#REF!</f>
        <v>#REF!</v>
      </c>
      <c r="D94" s="123" t="e">
        <f>#REF!</f>
        <v>#REF!</v>
      </c>
      <c r="E94" s="123">
        <v>0</v>
      </c>
      <c r="F94" s="123" t="e">
        <f>#REF!</f>
        <v>#REF!</v>
      </c>
      <c r="G94" s="123">
        <v>0</v>
      </c>
      <c r="H94" s="120"/>
      <c r="I94" s="136">
        <f>SUM(I84:I93)</f>
        <v>-35757269.262999982</v>
      </c>
      <c r="J94" s="136">
        <f>SUM(J84:J93)</f>
        <v>-3571341.7359999828</v>
      </c>
    </row>
    <row r="95" spans="1:10" s="124" customFormat="1" ht="12.75" customHeight="1">
      <c r="A95" s="114"/>
      <c r="B95" s="118" t="s">
        <v>88</v>
      </c>
      <c r="C95" s="123"/>
      <c r="D95" s="123"/>
      <c r="E95" s="118"/>
      <c r="F95" s="118"/>
      <c r="G95" s="123"/>
      <c r="H95" s="120"/>
      <c r="I95" s="136">
        <f>I81+I94</f>
        <v>72128635.827000007</v>
      </c>
      <c r="J95" s="136">
        <f>J81+J94</f>
        <v>100203878.954</v>
      </c>
    </row>
    <row r="96" spans="1:10" ht="12.75" customHeight="1">
      <c r="F96" s="133"/>
      <c r="G96" s="133"/>
      <c r="H96" s="133"/>
      <c r="I96" s="140"/>
      <c r="J96" s="140"/>
    </row>
    <row r="97" spans="3:10" ht="12.75" customHeight="1">
      <c r="F97" s="133"/>
      <c r="G97" s="140"/>
      <c r="H97" s="140"/>
      <c r="I97" s="140">
        <f>I47-I95</f>
        <v>-0.32100002467632294</v>
      </c>
      <c r="J97" s="140">
        <f>J47-J95</f>
        <v>-0.4309999942779541</v>
      </c>
    </row>
    <row r="98" spans="3:10" ht="12.75" customHeight="1">
      <c r="F98" s="133"/>
      <c r="G98" s="133"/>
      <c r="H98" s="133"/>
      <c r="I98" s="140"/>
      <c r="J98" s="140"/>
    </row>
    <row r="99" spans="3:10" ht="12.75" customHeight="1">
      <c r="F99" s="133"/>
      <c r="G99" s="133"/>
      <c r="H99" s="133"/>
      <c r="I99" s="140"/>
      <c r="J99" s="140"/>
    </row>
    <row r="100" spans="3:10" ht="12.75" customHeight="1">
      <c r="C100" s="141"/>
      <c r="D100" s="141"/>
      <c r="F100" s="133"/>
      <c r="G100" s="133"/>
      <c r="H100" s="133"/>
      <c r="I100" s="140"/>
      <c r="J100" s="140"/>
    </row>
    <row r="101" spans="3:10" ht="12.75" customHeight="1">
      <c r="F101" s="133"/>
      <c r="G101" s="133"/>
      <c r="H101" s="133"/>
      <c r="I101" s="140"/>
      <c r="J101" s="140"/>
    </row>
    <row r="102" spans="3:10" ht="12.75" customHeight="1">
      <c r="F102" s="133"/>
      <c r="G102" s="140"/>
      <c r="H102" s="140"/>
      <c r="I102" s="140"/>
      <c r="J102" s="140"/>
    </row>
    <row r="103" spans="3:10" ht="12.75" customHeight="1">
      <c r="C103" s="141"/>
      <c r="F103" s="133"/>
      <c r="G103" s="133"/>
      <c r="H103" s="133"/>
      <c r="I103" s="140"/>
      <c r="J103" s="140"/>
    </row>
    <row r="104" spans="3:10" ht="12.75" customHeight="1">
      <c r="C104" s="142"/>
      <c r="F104" s="133"/>
      <c r="G104" s="133"/>
      <c r="H104" s="133"/>
      <c r="I104" s="140"/>
      <c r="J104" s="140"/>
    </row>
    <row r="105" spans="3:10" ht="12.75" customHeight="1">
      <c r="C105" s="141"/>
      <c r="F105" s="133"/>
      <c r="G105" s="133"/>
      <c r="H105" s="133"/>
      <c r="I105" s="140"/>
      <c r="J105" s="140"/>
    </row>
    <row r="106" spans="3:10" ht="12.75" customHeight="1">
      <c r="C106" s="141"/>
      <c r="F106" s="133"/>
      <c r="G106" s="133"/>
      <c r="H106" s="133"/>
      <c r="I106" s="140"/>
      <c r="J106" s="140"/>
    </row>
    <row r="107" spans="3:10" ht="12.75" customHeight="1">
      <c r="C107" s="141"/>
      <c r="F107" s="133"/>
      <c r="G107" s="133"/>
      <c r="H107" s="133"/>
      <c r="I107" s="140"/>
      <c r="J107" s="140"/>
    </row>
    <row r="108" spans="3:10" ht="12.75" customHeight="1">
      <c r="C108" s="141"/>
      <c r="F108" s="133"/>
      <c r="G108" s="133"/>
      <c r="H108" s="133"/>
      <c r="I108" s="140"/>
      <c r="J108" s="140"/>
    </row>
    <row r="109" spans="3:10" ht="12.75" customHeight="1">
      <c r="C109" s="141"/>
      <c r="F109" s="133"/>
      <c r="G109" s="133"/>
      <c r="H109" s="133"/>
      <c r="I109" s="140"/>
      <c r="J109" s="140"/>
    </row>
    <row r="110" spans="3:10" ht="12.75" customHeight="1">
      <c r="C110" s="141"/>
      <c r="F110" s="133"/>
      <c r="G110" s="133"/>
      <c r="H110" s="133"/>
      <c r="I110" s="140"/>
      <c r="J110" s="140"/>
    </row>
    <row r="111" spans="3:10" ht="12.75" customHeight="1">
      <c r="C111" s="141"/>
      <c r="F111" s="133"/>
      <c r="G111" s="133"/>
      <c r="H111" s="133"/>
      <c r="I111" s="140"/>
      <c r="J111" s="140"/>
    </row>
    <row r="112" spans="3:10">
      <c r="C112" s="141"/>
      <c r="F112" s="133"/>
      <c r="G112" s="133"/>
      <c r="H112" s="133"/>
      <c r="I112" s="140"/>
      <c r="J112" s="140"/>
    </row>
    <row r="113" spans="3:10">
      <c r="C113" s="141"/>
      <c r="F113" s="133"/>
      <c r="G113" s="133"/>
      <c r="H113" s="133"/>
      <c r="I113" s="140"/>
      <c r="J113" s="140"/>
    </row>
    <row r="114" spans="3:10">
      <c r="C114" s="141"/>
      <c r="F114" s="133"/>
      <c r="G114" s="133"/>
      <c r="H114" s="133"/>
      <c r="I114" s="140"/>
      <c r="J114" s="140"/>
    </row>
    <row r="115" spans="3:10">
      <c r="C115" s="141"/>
      <c r="F115" s="133"/>
      <c r="G115" s="133"/>
      <c r="H115" s="133"/>
      <c r="I115" s="140"/>
      <c r="J115" s="140"/>
    </row>
    <row r="116" spans="3:10">
      <c r="C116" s="141"/>
      <c r="F116" s="133"/>
      <c r="G116" s="133"/>
      <c r="H116" s="133"/>
      <c r="I116" s="140"/>
      <c r="J116" s="140"/>
    </row>
    <row r="117" spans="3:10">
      <c r="C117" s="141"/>
      <c r="F117" s="133"/>
      <c r="G117" s="133"/>
      <c r="H117" s="133"/>
      <c r="I117" s="140"/>
      <c r="J117" s="140"/>
    </row>
    <row r="118" spans="3:10">
      <c r="C118" s="141"/>
      <c r="F118" s="133"/>
      <c r="G118" s="133"/>
      <c r="H118" s="133"/>
      <c r="I118" s="140"/>
      <c r="J118" s="140"/>
    </row>
    <row r="119" spans="3:10">
      <c r="C119" s="141"/>
      <c r="F119" s="133"/>
      <c r="G119" s="133"/>
      <c r="H119" s="133"/>
      <c r="I119" s="140"/>
      <c r="J119" s="140"/>
    </row>
    <row r="120" spans="3:10">
      <c r="C120" s="141"/>
      <c r="F120" s="133"/>
      <c r="G120" s="133"/>
      <c r="H120" s="133"/>
      <c r="I120" s="140"/>
      <c r="J120" s="140"/>
    </row>
    <row r="121" spans="3:10">
      <c r="C121" s="141"/>
      <c r="F121" s="133"/>
      <c r="G121" s="133"/>
      <c r="H121" s="133"/>
      <c r="I121" s="140"/>
      <c r="J121" s="140"/>
    </row>
    <row r="122" spans="3:10">
      <c r="C122" s="141"/>
      <c r="F122" s="133"/>
      <c r="G122" s="133"/>
      <c r="H122" s="133"/>
      <c r="I122" s="140"/>
      <c r="J122" s="140"/>
    </row>
    <row r="123" spans="3:10">
      <c r="C123" s="143"/>
      <c r="F123" s="133"/>
      <c r="G123" s="133"/>
      <c r="H123" s="133"/>
      <c r="I123" s="140"/>
      <c r="J123" s="140"/>
    </row>
    <row r="124" spans="3:10">
      <c r="C124" s="141"/>
      <c r="F124" s="133"/>
      <c r="G124" s="133"/>
      <c r="H124" s="133"/>
      <c r="I124" s="140"/>
      <c r="J124" s="140"/>
    </row>
    <row r="125" spans="3:10">
      <c r="C125" s="141"/>
      <c r="F125" s="133"/>
      <c r="G125" s="133"/>
      <c r="H125" s="133"/>
      <c r="I125" s="140"/>
      <c r="J125" s="140"/>
    </row>
    <row r="126" spans="3:10">
      <c r="F126" s="133"/>
      <c r="G126" s="133"/>
      <c r="H126" s="133"/>
      <c r="I126" s="140"/>
      <c r="J126" s="140"/>
    </row>
    <row r="127" spans="3:10">
      <c r="F127" s="133"/>
      <c r="G127" s="133"/>
      <c r="H127" s="133"/>
      <c r="I127" s="140"/>
      <c r="J127" s="140"/>
    </row>
    <row r="128" spans="3:10">
      <c r="F128" s="133"/>
      <c r="G128" s="133"/>
      <c r="H128" s="133"/>
      <c r="I128" s="140"/>
      <c r="J128" s="140"/>
    </row>
    <row r="129" spans="6:10">
      <c r="F129" s="133"/>
      <c r="G129" s="133"/>
      <c r="H129" s="133"/>
      <c r="I129" s="140"/>
      <c r="J129" s="140"/>
    </row>
    <row r="130" spans="6:10">
      <c r="F130" s="133"/>
      <c r="G130" s="133"/>
      <c r="H130" s="133"/>
      <c r="I130" s="140"/>
      <c r="J130" s="140"/>
    </row>
    <row r="131" spans="6:10">
      <c r="F131" s="133"/>
      <c r="G131" s="133"/>
      <c r="H131" s="133"/>
      <c r="I131" s="140"/>
      <c r="J131" s="140"/>
    </row>
    <row r="132" spans="6:10">
      <c r="F132" s="133"/>
      <c r="G132" s="133"/>
      <c r="H132" s="133"/>
      <c r="I132" s="140"/>
      <c r="J132" s="140"/>
    </row>
    <row r="133" spans="6:10">
      <c r="F133" s="133"/>
      <c r="G133" s="133"/>
      <c r="H133" s="133"/>
      <c r="I133" s="140"/>
      <c r="J133" s="140"/>
    </row>
    <row r="134" spans="6:10">
      <c r="F134" s="133"/>
      <c r="G134" s="133"/>
      <c r="H134" s="133"/>
      <c r="I134" s="140"/>
      <c r="J134" s="140"/>
    </row>
    <row r="135" spans="6:10">
      <c r="F135" s="133"/>
      <c r="G135" s="133"/>
      <c r="H135" s="133"/>
      <c r="I135" s="140"/>
      <c r="J135" s="140"/>
    </row>
    <row r="136" spans="6:10">
      <c r="F136" s="133"/>
      <c r="G136" s="133"/>
      <c r="H136" s="133"/>
      <c r="I136" s="140"/>
      <c r="J136" s="140"/>
    </row>
    <row r="137" spans="6:10">
      <c r="F137" s="133"/>
      <c r="G137" s="133"/>
      <c r="H137" s="133"/>
      <c r="I137" s="140"/>
      <c r="J137" s="140"/>
    </row>
    <row r="138" spans="6:10">
      <c r="F138" s="133"/>
      <c r="G138" s="133"/>
      <c r="H138" s="133"/>
      <c r="I138" s="140"/>
      <c r="J138" s="140"/>
    </row>
    <row r="139" spans="6:10">
      <c r="F139" s="133"/>
      <c r="G139" s="133"/>
      <c r="H139" s="133"/>
      <c r="I139" s="140"/>
      <c r="J139" s="140"/>
    </row>
    <row r="140" spans="6:10">
      <c r="F140" s="133"/>
      <c r="G140" s="133"/>
      <c r="H140" s="133"/>
      <c r="I140" s="140"/>
      <c r="J140" s="140"/>
    </row>
    <row r="141" spans="6:10">
      <c r="F141" s="133"/>
      <c r="G141" s="133"/>
      <c r="H141" s="133"/>
      <c r="I141" s="140"/>
      <c r="J141" s="140"/>
    </row>
    <row r="142" spans="6:10">
      <c r="F142" s="133"/>
      <c r="G142" s="133"/>
      <c r="H142" s="133"/>
      <c r="I142" s="140"/>
      <c r="J142" s="140"/>
    </row>
    <row r="143" spans="6:10">
      <c r="F143" s="133"/>
      <c r="G143" s="133"/>
      <c r="H143" s="133"/>
      <c r="I143" s="140"/>
      <c r="J143" s="140"/>
    </row>
    <row r="144" spans="6:10">
      <c r="F144" s="133"/>
      <c r="G144" s="133"/>
      <c r="H144" s="133"/>
      <c r="I144" s="140"/>
      <c r="J144" s="140"/>
    </row>
    <row r="145" spans="6:10">
      <c r="F145" s="133"/>
      <c r="G145" s="133"/>
      <c r="H145" s="133"/>
      <c r="I145" s="140"/>
      <c r="J145" s="140"/>
    </row>
    <row r="146" spans="6:10">
      <c r="F146" s="133"/>
      <c r="G146" s="133"/>
      <c r="H146" s="133"/>
      <c r="I146" s="140"/>
      <c r="J146" s="140"/>
    </row>
    <row r="147" spans="6:10">
      <c r="F147" s="133"/>
      <c r="G147" s="133"/>
      <c r="H147" s="133"/>
      <c r="I147" s="140"/>
      <c r="J147" s="140"/>
    </row>
    <row r="148" spans="6:10">
      <c r="F148" s="133"/>
      <c r="G148" s="133"/>
      <c r="H148" s="133"/>
      <c r="I148" s="140"/>
      <c r="J148" s="140"/>
    </row>
    <row r="149" spans="6:10">
      <c r="F149" s="133"/>
      <c r="G149" s="133"/>
      <c r="H149" s="133"/>
      <c r="I149" s="140"/>
      <c r="J149" s="140"/>
    </row>
    <row r="150" spans="6:10">
      <c r="F150" s="133"/>
      <c r="G150" s="133"/>
      <c r="H150" s="133"/>
      <c r="I150" s="140"/>
      <c r="J150" s="140"/>
    </row>
    <row r="151" spans="6:10">
      <c r="F151" s="133"/>
      <c r="G151" s="133"/>
      <c r="H151" s="133"/>
      <c r="I151" s="140"/>
      <c r="J151" s="140"/>
    </row>
    <row r="152" spans="6:10">
      <c r="F152" s="133"/>
      <c r="G152" s="133"/>
      <c r="H152" s="133"/>
      <c r="I152" s="140"/>
      <c r="J152" s="140"/>
    </row>
    <row r="153" spans="6:10">
      <c r="F153" s="133"/>
      <c r="G153" s="133"/>
      <c r="H153" s="133"/>
      <c r="I153" s="140"/>
      <c r="J153" s="140"/>
    </row>
    <row r="154" spans="6:10">
      <c r="F154" s="133"/>
      <c r="G154" s="133"/>
      <c r="H154" s="133"/>
      <c r="I154" s="140"/>
      <c r="J154" s="140"/>
    </row>
    <row r="155" spans="6:10">
      <c r="F155" s="133"/>
      <c r="G155" s="133"/>
      <c r="H155" s="133"/>
      <c r="I155" s="140"/>
      <c r="J155" s="140"/>
    </row>
    <row r="156" spans="6:10">
      <c r="F156" s="133"/>
      <c r="G156" s="133"/>
      <c r="H156" s="133"/>
      <c r="I156" s="140"/>
      <c r="J156" s="140"/>
    </row>
    <row r="157" spans="6:10">
      <c r="F157" s="133"/>
      <c r="G157" s="133"/>
      <c r="H157" s="133"/>
      <c r="I157" s="140"/>
      <c r="J157" s="140"/>
    </row>
    <row r="158" spans="6:10">
      <c r="F158" s="133"/>
      <c r="G158" s="133"/>
      <c r="H158" s="133"/>
      <c r="I158" s="140"/>
      <c r="J158" s="140"/>
    </row>
    <row r="159" spans="6:10">
      <c r="F159" s="133"/>
      <c r="G159" s="133"/>
      <c r="H159" s="133"/>
      <c r="I159" s="140"/>
      <c r="J159" s="140"/>
    </row>
    <row r="160" spans="6:10">
      <c r="F160" s="133"/>
      <c r="G160" s="133"/>
      <c r="H160" s="133"/>
      <c r="I160" s="140"/>
      <c r="J160" s="140"/>
    </row>
    <row r="161" spans="6:10">
      <c r="F161" s="133"/>
      <c r="G161" s="133"/>
      <c r="H161" s="133"/>
      <c r="I161" s="140"/>
      <c r="J161" s="140"/>
    </row>
    <row r="162" spans="6:10">
      <c r="F162" s="133"/>
      <c r="G162" s="133"/>
      <c r="H162" s="133"/>
      <c r="I162" s="140"/>
      <c r="J162" s="140"/>
    </row>
    <row r="163" spans="6:10">
      <c r="F163" s="133"/>
      <c r="G163" s="133"/>
      <c r="H163" s="133"/>
      <c r="I163" s="140"/>
      <c r="J163" s="140"/>
    </row>
    <row r="164" spans="6:10">
      <c r="F164" s="133"/>
      <c r="G164" s="133"/>
      <c r="H164" s="133"/>
      <c r="I164" s="140"/>
      <c r="J164" s="140"/>
    </row>
    <row r="165" spans="6:10">
      <c r="F165" s="133"/>
      <c r="G165" s="133"/>
      <c r="H165" s="133"/>
      <c r="I165" s="140"/>
      <c r="J165" s="140"/>
    </row>
    <row r="166" spans="6:10">
      <c r="F166" s="133"/>
      <c r="G166" s="133"/>
      <c r="H166" s="133"/>
      <c r="I166" s="140"/>
      <c r="J166" s="140"/>
    </row>
    <row r="167" spans="6:10">
      <c r="F167" s="133"/>
      <c r="G167" s="133"/>
      <c r="H167" s="133"/>
      <c r="I167" s="140"/>
      <c r="J167" s="140"/>
    </row>
    <row r="168" spans="6:10">
      <c r="F168" s="133"/>
      <c r="G168" s="133"/>
      <c r="H168" s="133"/>
      <c r="I168" s="140"/>
      <c r="J168" s="140"/>
    </row>
    <row r="169" spans="6:10">
      <c r="F169" s="133"/>
      <c r="G169" s="133"/>
      <c r="H169" s="133"/>
      <c r="I169" s="140"/>
      <c r="J169" s="140"/>
    </row>
    <row r="170" spans="6:10">
      <c r="F170" s="133"/>
      <c r="G170" s="133"/>
      <c r="H170" s="133"/>
      <c r="I170" s="140"/>
      <c r="J170" s="140"/>
    </row>
  </sheetData>
  <mergeCells count="5">
    <mergeCell ref="A52:B52"/>
    <mergeCell ref="A1:B1"/>
    <mergeCell ref="A51:B51"/>
    <mergeCell ref="A49:B49"/>
    <mergeCell ref="A50:J50"/>
  </mergeCells>
  <phoneticPr fontId="3" type="noConversion"/>
  <printOptions verticalCentered="1"/>
  <pageMargins left="0.143700787" right="0.143700787" top="1" bottom="0.81" header="0.511811023622047" footer="0.511811023622047"/>
  <pageSetup paperSize="9" scale="110" orientation="portrait" horizontalDpi="300" verticalDpi="300" r:id="rId1"/>
  <headerFooter alignWithMargins="0">
    <oddHeader xml:space="preserve">&amp;C&amp;"Arial,Bold"&amp;12D L Administrim
</oddHeader>
  </headerFooter>
  <cellWatches>
    <cellWatch r="B84"/>
  </cellWatches>
</worksheet>
</file>

<file path=xl/worksheets/sheet3.xml><?xml version="1.0" encoding="utf-8"?>
<worksheet xmlns="http://schemas.openxmlformats.org/spreadsheetml/2006/main" xmlns:r="http://schemas.openxmlformats.org/officeDocument/2006/relationships">
  <dimension ref="A1:J31"/>
  <sheetViews>
    <sheetView topLeftCell="B19" workbookViewId="0">
      <selection activeCell="D18" sqref="D18"/>
    </sheetView>
  </sheetViews>
  <sheetFormatPr defaultRowHeight="12"/>
  <cols>
    <col min="1" max="1" width="3.85546875" style="148" hidden="1" customWidth="1"/>
    <col min="2" max="2" width="44.28515625" style="148" bestFit="1" customWidth="1"/>
    <col min="3" max="3" width="8" style="148" customWidth="1"/>
    <col min="4" max="4" width="19.85546875" style="148" customWidth="1"/>
    <col min="5" max="5" width="16.42578125" style="148" customWidth="1"/>
    <col min="6" max="6" width="10.7109375" style="148" customWidth="1"/>
    <col min="7" max="7" width="13.5703125" style="149" bestFit="1" customWidth="1"/>
    <col min="8" max="8" width="14.140625" style="149" bestFit="1" customWidth="1"/>
    <col min="9" max="9" width="14.140625" style="148" bestFit="1" customWidth="1"/>
    <col min="10" max="10" width="11" style="148" bestFit="1" customWidth="1"/>
    <col min="11" max="16384" width="9.140625" style="148"/>
  </cols>
  <sheetData>
    <row r="1" spans="1:9" ht="12.75" customHeight="1"/>
    <row r="2" spans="1:9" ht="12.75" customHeight="1">
      <c r="A2" s="187" t="s">
        <v>112</v>
      </c>
      <c r="B2" s="188"/>
      <c r="C2" s="188"/>
      <c r="D2" s="188"/>
      <c r="E2" s="188"/>
    </row>
    <row r="3" spans="1:9" ht="12.75" customHeight="1">
      <c r="A3" s="189" t="s">
        <v>123</v>
      </c>
      <c r="B3" s="190"/>
      <c r="C3" s="190"/>
      <c r="D3" s="190"/>
      <c r="E3" s="190"/>
    </row>
    <row r="4" spans="1:9" ht="12.75" customHeight="1">
      <c r="A4" s="150"/>
      <c r="B4" s="151"/>
      <c r="C4" s="151"/>
      <c r="D4" s="151"/>
      <c r="E4" s="151"/>
    </row>
    <row r="5" spans="1:9" ht="33.75" customHeight="1">
      <c r="A5" s="185" t="s">
        <v>89</v>
      </c>
      <c r="B5" s="186"/>
      <c r="C5" s="114" t="s">
        <v>7</v>
      </c>
      <c r="D5" s="152" t="s">
        <v>308</v>
      </c>
      <c r="E5" s="152" t="s">
        <v>284</v>
      </c>
      <c r="F5" s="153"/>
    </row>
    <row r="6" spans="1:9" ht="20.100000000000001" customHeight="1">
      <c r="A6" s="118">
        <v>1</v>
      </c>
      <c r="B6" s="122" t="s">
        <v>90</v>
      </c>
      <c r="C6" s="120">
        <v>11</v>
      </c>
      <c r="D6" s="119">
        <v>101524803.45</v>
      </c>
      <c r="E6" s="119">
        <v>117578133.45</v>
      </c>
      <c r="F6" s="153"/>
      <c r="G6" s="154"/>
      <c r="I6" s="149"/>
    </row>
    <row r="7" spans="1:9" ht="20.100000000000001" customHeight="1">
      <c r="A7" s="118">
        <v>2</v>
      </c>
      <c r="B7" s="122" t="s">
        <v>91</v>
      </c>
      <c r="C7" s="120"/>
      <c r="D7" s="134"/>
      <c r="E7" s="134"/>
      <c r="F7" s="153"/>
      <c r="I7" s="149"/>
    </row>
    <row r="8" spans="1:9" ht="28.5" customHeight="1">
      <c r="A8" s="118">
        <v>3</v>
      </c>
      <c r="B8" s="138" t="s">
        <v>92</v>
      </c>
      <c r="C8" s="155"/>
      <c r="D8" s="156"/>
      <c r="E8" s="156"/>
      <c r="F8" s="153"/>
    </row>
    <row r="9" spans="1:9" s="159" customFormat="1" ht="28.5" customHeight="1">
      <c r="A9" s="118"/>
      <c r="B9" s="118" t="s">
        <v>122</v>
      </c>
      <c r="C9" s="155"/>
      <c r="D9" s="123">
        <f>D6</f>
        <v>101524803.45</v>
      </c>
      <c r="E9" s="123">
        <f>E6</f>
        <v>117578133.45</v>
      </c>
      <c r="F9" s="157"/>
      <c r="G9" s="158"/>
      <c r="H9" s="158"/>
    </row>
    <row r="10" spans="1:9" ht="20.100000000000001" customHeight="1">
      <c r="A10" s="118">
        <v>4</v>
      </c>
      <c r="B10" s="122" t="s">
        <v>93</v>
      </c>
      <c r="C10" s="120"/>
      <c r="D10" s="134"/>
      <c r="E10" s="134"/>
      <c r="F10" s="160"/>
    </row>
    <row r="11" spans="1:9" s="159" customFormat="1" ht="20.100000000000001" customHeight="1">
      <c r="A11" s="118">
        <v>5</v>
      </c>
      <c r="B11" s="161" t="s">
        <v>94</v>
      </c>
      <c r="C11" s="120"/>
      <c r="D11" s="123">
        <f>D12+D13</f>
        <v>5689083</v>
      </c>
      <c r="E11" s="123">
        <f>E12+E13</f>
        <v>6435050</v>
      </c>
      <c r="F11" s="160"/>
      <c r="G11" s="158"/>
      <c r="H11" s="158"/>
    </row>
    <row r="12" spans="1:9" ht="20.100000000000001" customHeight="1">
      <c r="A12" s="118"/>
      <c r="B12" s="122" t="s">
        <v>95</v>
      </c>
      <c r="C12" s="155"/>
      <c r="D12" s="162">
        <v>4999681</v>
      </c>
      <c r="E12" s="162">
        <v>5653214</v>
      </c>
      <c r="F12" s="153"/>
    </row>
    <row r="13" spans="1:9" ht="20.100000000000001" customHeight="1">
      <c r="A13" s="118"/>
      <c r="B13" s="122" t="s">
        <v>96</v>
      </c>
      <c r="C13" s="155"/>
      <c r="D13" s="162">
        <v>689402</v>
      </c>
      <c r="E13" s="162">
        <v>781836</v>
      </c>
      <c r="F13" s="153"/>
    </row>
    <row r="14" spans="1:9" ht="20.100000000000001" customHeight="1">
      <c r="A14" s="118">
        <v>6</v>
      </c>
      <c r="B14" s="122" t="s">
        <v>97</v>
      </c>
      <c r="C14" s="155">
        <v>7</v>
      </c>
      <c r="D14" s="162">
        <v>0</v>
      </c>
      <c r="E14" s="119">
        <v>3488186.22</v>
      </c>
      <c r="F14" s="153"/>
    </row>
    <row r="15" spans="1:9" ht="20.100000000000001" customHeight="1">
      <c r="A15" s="118">
        <v>7</v>
      </c>
      <c r="B15" s="122" t="s">
        <v>4</v>
      </c>
      <c r="C15" s="120">
        <v>12</v>
      </c>
      <c r="D15" s="163">
        <v>98586257.400000006</v>
      </c>
      <c r="E15" s="163">
        <v>104548985.91999999</v>
      </c>
      <c r="F15" s="153"/>
    </row>
    <row r="16" spans="1:9" s="159" customFormat="1" ht="20.100000000000001" customHeight="1">
      <c r="A16" s="118">
        <v>8</v>
      </c>
      <c r="B16" s="118" t="s">
        <v>98</v>
      </c>
      <c r="C16" s="155"/>
      <c r="D16" s="123">
        <f>D11+D14+D15</f>
        <v>104275340.40000001</v>
      </c>
      <c r="E16" s="123">
        <f>E11+E14+E15</f>
        <v>114472222.13999999</v>
      </c>
      <c r="F16" s="164"/>
      <c r="G16" s="158"/>
      <c r="H16" s="158"/>
    </row>
    <row r="17" spans="1:10" s="159" customFormat="1" ht="20.100000000000001" customHeight="1">
      <c r="A17" s="118">
        <v>9</v>
      </c>
      <c r="B17" s="118" t="s">
        <v>99</v>
      </c>
      <c r="C17" s="155"/>
      <c r="D17" s="123">
        <f>D9-D16</f>
        <v>-2750536.950000003</v>
      </c>
      <c r="E17" s="123">
        <f>E9-E16</f>
        <v>3105911.3100000173</v>
      </c>
      <c r="F17" s="164"/>
      <c r="G17" s="158"/>
      <c r="H17" s="158"/>
    </row>
    <row r="18" spans="1:10" ht="24.75" customHeight="1">
      <c r="A18" s="118">
        <v>10</v>
      </c>
      <c r="B18" s="138" t="s">
        <v>100</v>
      </c>
      <c r="C18" s="155"/>
      <c r="D18" s="156"/>
      <c r="E18" s="156"/>
      <c r="F18" s="153"/>
    </row>
    <row r="19" spans="1:10" ht="26.25" customHeight="1">
      <c r="A19" s="118">
        <v>11</v>
      </c>
      <c r="B19" s="138" t="s">
        <v>101</v>
      </c>
      <c r="C19" s="155"/>
      <c r="D19" s="156"/>
      <c r="E19" s="156"/>
      <c r="F19" s="153"/>
    </row>
    <row r="20" spans="1:10" ht="20.100000000000001" customHeight="1">
      <c r="A20" s="118">
        <v>12</v>
      </c>
      <c r="B20" s="138" t="s">
        <v>102</v>
      </c>
      <c r="C20" s="120"/>
      <c r="D20" s="134"/>
      <c r="E20" s="134"/>
      <c r="F20" s="153"/>
    </row>
    <row r="21" spans="1:10" ht="30" customHeight="1">
      <c r="A21" s="118">
        <v>12.1</v>
      </c>
      <c r="B21" s="138" t="s">
        <v>103</v>
      </c>
      <c r="C21" s="165"/>
      <c r="D21" s="166"/>
      <c r="E21" s="166"/>
      <c r="F21" s="153"/>
    </row>
    <row r="22" spans="1:10" ht="20.100000000000001" customHeight="1">
      <c r="A22" s="118">
        <v>12.2</v>
      </c>
      <c r="B22" s="138" t="s">
        <v>104</v>
      </c>
      <c r="C22" s="155"/>
      <c r="D22" s="119">
        <v>521.4</v>
      </c>
      <c r="E22" s="119">
        <v>487.22</v>
      </c>
      <c r="F22" s="153"/>
    </row>
    <row r="23" spans="1:10" ht="20.100000000000001" customHeight="1">
      <c r="A23" s="118">
        <v>12.3</v>
      </c>
      <c r="B23" s="122" t="s">
        <v>105</v>
      </c>
      <c r="C23" s="155"/>
      <c r="D23" s="119">
        <v>-144280.07</v>
      </c>
      <c r="E23" s="119">
        <v>-99389.6</v>
      </c>
      <c r="F23" s="153"/>
    </row>
    <row r="24" spans="1:10" ht="20.100000000000001" customHeight="1">
      <c r="A24" s="118">
        <v>12.4</v>
      </c>
      <c r="B24" s="122" t="s">
        <v>106</v>
      </c>
      <c r="C24" s="120">
        <v>13</v>
      </c>
      <c r="D24" s="119">
        <v>-29021435.699999999</v>
      </c>
      <c r="E24" s="134"/>
      <c r="F24" s="153"/>
    </row>
    <row r="25" spans="1:10" ht="26.25" customHeight="1">
      <c r="A25" s="118">
        <v>13</v>
      </c>
      <c r="B25" s="161" t="s">
        <v>107</v>
      </c>
      <c r="C25" s="155"/>
      <c r="D25" s="119">
        <f>SUM(D18:D24)</f>
        <v>-29165194.370000001</v>
      </c>
      <c r="E25" s="119">
        <f>E22+E23</f>
        <v>-98902.38</v>
      </c>
      <c r="F25" s="153"/>
    </row>
    <row r="26" spans="1:10" s="159" customFormat="1" ht="20.100000000000001" customHeight="1">
      <c r="A26" s="118">
        <v>14</v>
      </c>
      <c r="B26" s="118" t="s">
        <v>108</v>
      </c>
      <c r="C26" s="155"/>
      <c r="D26" s="123">
        <f>D17+D25</f>
        <v>-31915731.320000004</v>
      </c>
      <c r="E26" s="123">
        <f>E17+E25</f>
        <v>3007008.9300000174</v>
      </c>
      <c r="F26" s="164"/>
      <c r="G26" s="158"/>
      <c r="H26" s="158"/>
      <c r="I26" s="167"/>
      <c r="J26" s="167">
        <f>I26-H26</f>
        <v>0</v>
      </c>
    </row>
    <row r="27" spans="1:10" ht="20.100000000000001" customHeight="1">
      <c r="A27" s="118">
        <v>15</v>
      </c>
      <c r="B27" s="122" t="s">
        <v>109</v>
      </c>
      <c r="C27" s="155">
        <v>14</v>
      </c>
      <c r="D27" s="119">
        <f>'Shenime  2013'!C122</f>
        <v>270196.20699999965</v>
      </c>
      <c r="E27" s="119">
        <f>'Shenime  2013'!D122</f>
        <v>600223.38700000185</v>
      </c>
      <c r="F27" s="153"/>
    </row>
    <row r="28" spans="1:10" s="159" customFormat="1" ht="20.100000000000001" customHeight="1">
      <c r="A28" s="118">
        <v>16</v>
      </c>
      <c r="B28" s="118" t="s">
        <v>110</v>
      </c>
      <c r="C28" s="155"/>
      <c r="D28" s="123">
        <f>D26-D27</f>
        <v>-32185927.527000003</v>
      </c>
      <c r="E28" s="123">
        <f>E26-E27</f>
        <v>2406785.5430000154</v>
      </c>
      <c r="F28" s="164"/>
      <c r="G28" s="158"/>
      <c r="H28" s="158"/>
    </row>
    <row r="29" spans="1:10" ht="20.100000000000001" customHeight="1">
      <c r="A29" s="118">
        <v>17</v>
      </c>
      <c r="B29" s="122" t="s">
        <v>111</v>
      </c>
      <c r="C29" s="155"/>
      <c r="D29" s="156"/>
      <c r="E29" s="156"/>
      <c r="F29" s="153"/>
    </row>
    <row r="30" spans="1:10" ht="12.75" customHeight="1">
      <c r="A30" s="117"/>
      <c r="B30" s="117"/>
      <c r="C30" s="168"/>
      <c r="D30" s="168"/>
      <c r="E30" s="168"/>
      <c r="F30" s="153"/>
    </row>
    <row r="31" spans="1:10" ht="12.75" customHeight="1">
      <c r="A31" s="117"/>
      <c r="B31" s="117"/>
      <c r="C31" s="168"/>
      <c r="D31" s="169"/>
      <c r="E31" s="168"/>
      <c r="F31" s="153"/>
    </row>
  </sheetData>
  <mergeCells count="3">
    <mergeCell ref="A5:B5"/>
    <mergeCell ref="A2:E2"/>
    <mergeCell ref="A3:E3"/>
  </mergeCells>
  <phoneticPr fontId="3" type="noConversion"/>
  <printOptions horizontalCentered="1" verticalCentered="1"/>
  <pageMargins left="0.08" right="0.143700787" top="0.73" bottom="0.56999999999999995" header="0.27" footer="0.34"/>
  <pageSetup paperSize="9" scale="115" orientation="portrait" horizontalDpi="300" verticalDpi="300" r:id="rId1"/>
  <headerFooter alignWithMargins="0">
    <oddHeader>&amp;C&amp;"Arial,Bold"&amp;14D L Administrim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39"/>
  <sheetViews>
    <sheetView topLeftCell="A22" workbookViewId="0">
      <selection activeCell="F39" sqref="F39"/>
    </sheetView>
  </sheetViews>
  <sheetFormatPr defaultRowHeight="12"/>
  <cols>
    <col min="1" max="1" width="3.7109375" style="175" customWidth="1"/>
    <col min="2" max="2" width="2.85546875" style="175" customWidth="1"/>
    <col min="3" max="3" width="3.5703125" style="175" customWidth="1"/>
    <col min="4" max="4" width="44.42578125" style="148" customWidth="1"/>
    <col min="5" max="5" width="6.140625" style="148" customWidth="1"/>
    <col min="6" max="6" width="15.5703125" style="148" customWidth="1"/>
    <col min="7" max="7" width="15" style="148" customWidth="1"/>
    <col min="8" max="8" width="9.140625" style="148"/>
    <col min="9" max="9" width="12.85546875" style="148" bestFit="1" customWidth="1"/>
    <col min="10" max="10" width="10.28515625" style="148" bestFit="1" customWidth="1"/>
    <col min="11" max="16384" width="9.140625" style="148"/>
  </cols>
  <sheetData>
    <row r="1" spans="1:10" s="27" customFormat="1" ht="18" customHeight="1">
      <c r="A1" s="191" t="s">
        <v>177</v>
      </c>
      <c r="B1" s="191"/>
      <c r="C1" s="191"/>
      <c r="D1" s="191"/>
      <c r="E1" s="191"/>
      <c r="F1" s="191"/>
      <c r="G1" s="191"/>
    </row>
    <row r="2" spans="1:10" s="27" customFormat="1" ht="15.95" customHeight="1">
      <c r="A2" s="193" t="s">
        <v>132</v>
      </c>
      <c r="B2" s="192" t="s">
        <v>133</v>
      </c>
      <c r="C2" s="192"/>
      <c r="D2" s="192"/>
      <c r="E2" s="16"/>
      <c r="F2" s="17" t="s">
        <v>134</v>
      </c>
      <c r="G2" s="17" t="s">
        <v>134</v>
      </c>
    </row>
    <row r="3" spans="1:10" s="27" customFormat="1" ht="15.95" customHeight="1">
      <c r="A3" s="193"/>
      <c r="B3" s="192"/>
      <c r="C3" s="192"/>
      <c r="D3" s="192"/>
      <c r="E3" s="16"/>
      <c r="F3" s="18" t="s">
        <v>310</v>
      </c>
      <c r="G3" s="18" t="s">
        <v>298</v>
      </c>
    </row>
    <row r="4" spans="1:10" s="27" customFormat="1" ht="18.75" customHeight="1">
      <c r="A4" s="15"/>
      <c r="B4" s="19" t="s">
        <v>135</v>
      </c>
      <c r="C4" s="19"/>
      <c r="D4" s="19"/>
      <c r="E4" s="19"/>
      <c r="F4" s="31"/>
      <c r="G4" s="31"/>
    </row>
    <row r="5" spans="1:10" s="27" customFormat="1" ht="16.5" customHeight="1">
      <c r="A5" s="15"/>
      <c r="B5" s="19"/>
      <c r="C5" s="20" t="s">
        <v>136</v>
      </c>
      <c r="D5" s="20"/>
      <c r="E5" s="20"/>
      <c r="F5" s="37">
        <f>'Te ardhura e shpenzime'!D26</f>
        <v>-31915731.320000004</v>
      </c>
      <c r="G5" s="37">
        <v>3007008.9300000174</v>
      </c>
    </row>
    <row r="6" spans="1:10" s="27" customFormat="1" ht="20.100000000000001" customHeight="1">
      <c r="A6" s="15"/>
      <c r="B6" s="19"/>
      <c r="C6" s="20" t="s">
        <v>137</v>
      </c>
      <c r="D6" s="20"/>
      <c r="E6" s="20"/>
      <c r="F6" s="30"/>
      <c r="G6" s="30"/>
    </row>
    <row r="7" spans="1:10" s="27" customFormat="1" ht="20.100000000000001" customHeight="1">
      <c r="A7" s="15"/>
      <c r="B7" s="19"/>
      <c r="C7" s="19"/>
      <c r="D7" s="35" t="s">
        <v>138</v>
      </c>
      <c r="E7" s="15"/>
      <c r="F7" s="37">
        <f>'Te ardhura e shpenzime'!D14</f>
        <v>0</v>
      </c>
      <c r="G7" s="37">
        <v>3488186.22</v>
      </c>
    </row>
    <row r="8" spans="1:10" s="27" customFormat="1" ht="20.100000000000001" customHeight="1">
      <c r="A8" s="15"/>
      <c r="B8" s="19"/>
      <c r="C8" s="19"/>
      <c r="D8" s="35" t="s">
        <v>139</v>
      </c>
      <c r="E8" s="21"/>
      <c r="F8" s="95"/>
      <c r="G8" s="95"/>
    </row>
    <row r="9" spans="1:10" s="27" customFormat="1" ht="20.100000000000001" customHeight="1">
      <c r="A9" s="15"/>
      <c r="B9" s="19"/>
      <c r="C9" s="19"/>
      <c r="D9" s="35" t="s">
        <v>311</v>
      </c>
      <c r="E9" s="21"/>
      <c r="F9" s="170">
        <f>-'Te ardhura e shpenzime'!D22</f>
        <v>-521.4</v>
      </c>
      <c r="G9" s="170">
        <v>-487.22</v>
      </c>
    </row>
    <row r="10" spans="1:10" s="171" customFormat="1" ht="20.100000000000001" customHeight="1">
      <c r="A10" s="193"/>
      <c r="B10" s="192"/>
      <c r="C10" s="20" t="s">
        <v>140</v>
      </c>
      <c r="D10" s="34"/>
      <c r="E10" s="193"/>
      <c r="F10" s="194">
        <f>'Aktivet e detajuara'!J13-'Aktivet e detajuara'!I13</f>
        <v>28350745.827</v>
      </c>
      <c r="G10" s="194">
        <v>-10656526.211999997</v>
      </c>
    </row>
    <row r="11" spans="1:10" s="171" customFormat="1" ht="20.100000000000001" customHeight="1">
      <c r="A11" s="193"/>
      <c r="B11" s="192"/>
      <c r="C11" s="20" t="s">
        <v>141</v>
      </c>
      <c r="D11" s="34"/>
      <c r="E11" s="193"/>
      <c r="F11" s="194"/>
      <c r="G11" s="194"/>
      <c r="I11" s="172"/>
      <c r="J11" s="173"/>
    </row>
    <row r="12" spans="1:10" s="27" customFormat="1" ht="20.100000000000001" customHeight="1">
      <c r="A12" s="15"/>
      <c r="B12" s="19"/>
      <c r="C12" s="20" t="s">
        <v>142</v>
      </c>
      <c r="D12" s="34"/>
      <c r="E12" s="20"/>
      <c r="F12" s="37">
        <f>'Aktivet e detajuara'!I20-'Aktivet e detajuara'!J20</f>
        <v>0</v>
      </c>
      <c r="G12" s="37">
        <v>-8433.3300000000745</v>
      </c>
    </row>
    <row r="13" spans="1:10" s="27" customFormat="1" ht="20.100000000000001" customHeight="1">
      <c r="A13" s="15"/>
      <c r="B13" s="19"/>
      <c r="C13" s="20" t="s">
        <v>158</v>
      </c>
      <c r="D13" s="34"/>
      <c r="E13" s="20"/>
      <c r="F13" s="37">
        <f>'Aktivet e detajuara'!J23-'Aktivet e detajuara'!I23</f>
        <v>-1404160</v>
      </c>
      <c r="G13" s="37">
        <v>-604116.60000000009</v>
      </c>
    </row>
    <row r="14" spans="1:10" s="27" customFormat="1" ht="20.100000000000001" customHeight="1">
      <c r="A14" s="193"/>
      <c r="B14" s="192"/>
      <c r="C14" s="20" t="s">
        <v>143</v>
      </c>
      <c r="D14" s="34"/>
      <c r="E14" s="193"/>
      <c r="F14" s="194">
        <f>'Aktivet e detajuara'!I70-'Aktivet e detajuara'!J70</f>
        <v>3694784.400000006</v>
      </c>
      <c r="G14" s="194">
        <v>7071189.3299999833</v>
      </c>
    </row>
    <row r="15" spans="1:10" s="27" customFormat="1" ht="20.100000000000001" customHeight="1">
      <c r="A15" s="193"/>
      <c r="B15" s="192"/>
      <c r="C15" s="20" t="s">
        <v>144</v>
      </c>
      <c r="D15" s="34"/>
      <c r="E15" s="193"/>
      <c r="F15" s="194"/>
      <c r="G15" s="194"/>
    </row>
    <row r="16" spans="1:10" s="27" customFormat="1" ht="20.100000000000001" customHeight="1">
      <c r="A16" s="15"/>
      <c r="B16" s="19"/>
      <c r="C16" s="19" t="s">
        <v>145</v>
      </c>
      <c r="D16" s="36"/>
      <c r="E16" s="19"/>
      <c r="F16" s="38">
        <f>SUM(F4:F15)</f>
        <v>-1274882.492999997</v>
      </c>
      <c r="G16" s="38">
        <f>SUM(G4:G15)</f>
        <v>2296821.1180000026</v>
      </c>
      <c r="J16" s="174"/>
    </row>
    <row r="17" spans="1:7" s="27" customFormat="1" ht="20.100000000000001" customHeight="1">
      <c r="A17" s="15"/>
      <c r="B17" s="19"/>
      <c r="C17" s="20" t="s">
        <v>146</v>
      </c>
      <c r="D17" s="34"/>
      <c r="E17" s="20"/>
      <c r="F17" s="30"/>
      <c r="G17" s="30"/>
    </row>
    <row r="18" spans="1:7" s="27" customFormat="1" ht="20.100000000000001" customHeight="1">
      <c r="A18" s="15"/>
      <c r="B18" s="19"/>
      <c r="C18" s="20" t="s">
        <v>147</v>
      </c>
      <c r="D18" s="20"/>
      <c r="E18" s="20"/>
      <c r="F18" s="30">
        <f>-'Te ardhura e shpenzime'!D27</f>
        <v>-270196.20699999965</v>
      </c>
      <c r="G18" s="30">
        <v>-600223.38700000185</v>
      </c>
    </row>
    <row r="19" spans="1:7" s="27" customFormat="1" ht="20.100000000000001" customHeight="1">
      <c r="A19" s="15"/>
      <c r="B19" s="19"/>
      <c r="C19" s="22" t="s">
        <v>148</v>
      </c>
      <c r="D19" s="19"/>
      <c r="E19" s="19"/>
      <c r="F19" s="31">
        <f>F16+F17+F18</f>
        <v>-1545078.6999999967</v>
      </c>
      <c r="G19" s="31">
        <f>G16+G17+G18</f>
        <v>1696597.7310000006</v>
      </c>
    </row>
    <row r="20" spans="1:7" s="27" customFormat="1" ht="24.95" customHeight="1">
      <c r="A20" s="15"/>
      <c r="B20" s="19" t="s">
        <v>113</v>
      </c>
      <c r="C20" s="19"/>
      <c r="D20" s="20"/>
      <c r="E20" s="20"/>
      <c r="F20" s="30"/>
      <c r="G20" s="30"/>
    </row>
    <row r="21" spans="1:7" s="27" customFormat="1" ht="20.100000000000001" customHeight="1">
      <c r="A21" s="15"/>
      <c r="B21" s="19"/>
      <c r="C21" s="20" t="s">
        <v>149</v>
      </c>
      <c r="D21" s="20"/>
      <c r="E21" s="20"/>
      <c r="F21" s="30"/>
      <c r="G21" s="30"/>
    </row>
    <row r="22" spans="1:7" s="27" customFormat="1" ht="20.100000000000001" customHeight="1">
      <c r="A22" s="15"/>
      <c r="B22" s="19"/>
      <c r="C22" s="20" t="s">
        <v>150</v>
      </c>
      <c r="D22" s="20"/>
      <c r="E22" s="15"/>
      <c r="F22" s="91">
        <f>-('Aktivet e detajuara'!I36+'Te ardhura e shpenzime'!D14-'Aktivet e detajuara'!J36)</f>
        <v>-917310.44999999925</v>
      </c>
      <c r="G22" s="91">
        <v>-910086.93</v>
      </c>
    </row>
    <row r="23" spans="1:7" s="27" customFormat="1" ht="20.100000000000001" customHeight="1">
      <c r="A23" s="15"/>
      <c r="B23" s="23"/>
      <c r="C23" s="20" t="s">
        <v>151</v>
      </c>
      <c r="D23" s="20"/>
      <c r="E23" s="20"/>
      <c r="F23" s="30"/>
      <c r="G23" s="30"/>
    </row>
    <row r="24" spans="1:7" s="27" customFormat="1" ht="20.100000000000001" customHeight="1">
      <c r="A24" s="15"/>
      <c r="B24" s="15"/>
      <c r="C24" s="20" t="s">
        <v>152</v>
      </c>
      <c r="D24" s="20"/>
      <c r="E24" s="20"/>
      <c r="F24" s="30">
        <f>-F9</f>
        <v>521.4</v>
      </c>
      <c r="G24" s="30">
        <f>-G9</f>
        <v>487.22</v>
      </c>
    </row>
    <row r="25" spans="1:7" s="27" customFormat="1" ht="20.100000000000001" customHeight="1">
      <c r="A25" s="15"/>
      <c r="B25" s="15"/>
      <c r="C25" s="20" t="s">
        <v>114</v>
      </c>
      <c r="D25" s="20"/>
      <c r="E25" s="20"/>
      <c r="F25" s="30"/>
      <c r="G25" s="30"/>
    </row>
    <row r="26" spans="1:7" s="27" customFormat="1" ht="20.100000000000001" customHeight="1">
      <c r="A26" s="15"/>
      <c r="B26" s="15"/>
      <c r="C26" s="24" t="s">
        <v>153</v>
      </c>
      <c r="D26" s="20"/>
      <c r="E26" s="20"/>
      <c r="F26" s="30"/>
      <c r="G26" s="30"/>
    </row>
    <row r="27" spans="1:7" s="27" customFormat="1" ht="24.95" customHeight="1">
      <c r="A27" s="15"/>
      <c r="B27" s="19" t="s">
        <v>115</v>
      </c>
      <c r="C27" s="15"/>
      <c r="D27" s="20"/>
      <c r="E27" s="78">
        <f>SUM(E21:E26)</f>
        <v>0</v>
      </c>
      <c r="F27" s="31">
        <f>SUM(F21:F26)</f>
        <v>-916789.04999999923</v>
      </c>
      <c r="G27" s="31">
        <f>SUM(G21:G26)</f>
        <v>-909599.71000000008</v>
      </c>
    </row>
    <row r="28" spans="1:7" s="27" customFormat="1" ht="20.100000000000001" customHeight="1">
      <c r="A28" s="15"/>
      <c r="B28" s="15"/>
      <c r="C28" s="20" t="s">
        <v>154</v>
      </c>
      <c r="D28" s="20"/>
      <c r="E28" s="20"/>
      <c r="F28" s="30"/>
      <c r="G28" s="30"/>
    </row>
    <row r="29" spans="1:7" s="27" customFormat="1" ht="20.100000000000001" customHeight="1">
      <c r="A29" s="15"/>
      <c r="B29" s="15"/>
      <c r="C29" s="20" t="s">
        <v>159</v>
      </c>
      <c r="D29" s="20"/>
      <c r="E29" s="20"/>
      <c r="F29" s="30"/>
      <c r="G29" s="30"/>
    </row>
    <row r="30" spans="1:7" s="27" customFormat="1" ht="20.100000000000001" customHeight="1">
      <c r="A30" s="15"/>
      <c r="B30" s="15"/>
      <c r="C30" s="20" t="s">
        <v>116</v>
      </c>
      <c r="D30" s="20"/>
      <c r="E30" s="20"/>
      <c r="F30" s="30">
        <f>'Aktivet e detajuara'!I80-'Aktivet e detajuara'!J80</f>
        <v>415900</v>
      </c>
      <c r="G30" s="30">
        <v>600000</v>
      </c>
    </row>
    <row r="31" spans="1:7" s="27" customFormat="1" ht="20.100000000000001" customHeight="1">
      <c r="A31" s="15"/>
      <c r="B31" s="15"/>
      <c r="C31" s="20" t="s">
        <v>155</v>
      </c>
      <c r="D31" s="20"/>
      <c r="E31" s="20"/>
      <c r="F31" s="30"/>
      <c r="G31" s="30"/>
    </row>
    <row r="32" spans="1:7" s="27" customFormat="1" ht="20.100000000000001" customHeight="1">
      <c r="A32" s="15"/>
      <c r="B32" s="15"/>
      <c r="C32" s="20" t="s">
        <v>117</v>
      </c>
      <c r="D32" s="20"/>
      <c r="E32" s="20"/>
      <c r="F32" s="30"/>
      <c r="G32" s="30"/>
    </row>
    <row r="33" spans="1:7" s="27" customFormat="1" ht="20.100000000000001" customHeight="1">
      <c r="A33" s="15"/>
      <c r="B33" s="15"/>
      <c r="C33" s="24" t="s">
        <v>156</v>
      </c>
      <c r="D33" s="20"/>
      <c r="E33" s="20"/>
      <c r="F33" s="38">
        <f>SUM(F28:F32)</f>
        <v>415900</v>
      </c>
      <c r="G33" s="38">
        <f>SUM(G28:G32)</f>
        <v>600000</v>
      </c>
    </row>
    <row r="34" spans="1:7" ht="18" customHeight="1">
      <c r="A34" s="25"/>
      <c r="B34" s="19" t="s">
        <v>157</v>
      </c>
      <c r="C34" s="25"/>
      <c r="D34" s="26"/>
      <c r="E34" s="25">
        <v>2</v>
      </c>
      <c r="F34" s="39">
        <f>F19+F27+F33</f>
        <v>-2045967.7499999958</v>
      </c>
      <c r="G34" s="39">
        <f>G19+G27+G33</f>
        <v>1386998.0210000006</v>
      </c>
    </row>
    <row r="35" spans="1:7" ht="18" customHeight="1">
      <c r="A35" s="25"/>
      <c r="B35" s="19" t="s">
        <v>118</v>
      </c>
      <c r="C35" s="25"/>
      <c r="D35" s="26"/>
      <c r="E35" s="26"/>
      <c r="F35" s="39">
        <f>G36</f>
        <v>2492094.79</v>
      </c>
      <c r="G35" s="39">
        <v>1105096.81</v>
      </c>
    </row>
    <row r="36" spans="1:7" ht="18" customHeight="1">
      <c r="A36" s="25"/>
      <c r="B36" s="19" t="s">
        <v>119</v>
      </c>
      <c r="C36" s="25"/>
      <c r="D36" s="26"/>
      <c r="E36" s="26"/>
      <c r="F36" s="39">
        <f>'Aktivet e detajuara'!I3</f>
        <v>446127.15</v>
      </c>
      <c r="G36" s="39">
        <f>'Aktivet e detajuara'!J3</f>
        <v>2492094.79</v>
      </c>
    </row>
    <row r="39" spans="1:7">
      <c r="F39" s="176">
        <f>F34+F35-F36</f>
        <v>-0.10999999579507858</v>
      </c>
      <c r="G39" s="176">
        <f>G34+G35-G36</f>
        <v>4.1000000666826963E-2</v>
      </c>
    </row>
  </sheetData>
  <mergeCells count="13">
    <mergeCell ref="E14:E15"/>
    <mergeCell ref="B10:B11"/>
    <mergeCell ref="B14:B15"/>
    <mergeCell ref="A14:A15"/>
    <mergeCell ref="G10:G11"/>
    <mergeCell ref="G14:G15"/>
    <mergeCell ref="F14:F15"/>
    <mergeCell ref="A1:G1"/>
    <mergeCell ref="B2:D3"/>
    <mergeCell ref="A2:A3"/>
    <mergeCell ref="A10:A11"/>
    <mergeCell ref="E10:E11"/>
    <mergeCell ref="F10:F11"/>
  </mergeCells>
  <phoneticPr fontId="0" type="noConversion"/>
  <printOptions horizontalCentered="1" verticalCentered="1"/>
  <pageMargins left="0.36" right="0" top="0.75" bottom="0.31" header="0.48" footer="0.22"/>
  <pageSetup paperSize="9" orientation="portrait" horizontalDpi="300" verticalDpi="300" r:id="rId1"/>
  <headerFooter alignWithMargins="0">
    <oddHeader xml:space="preserve">&amp;C&amp;"Arial,Bold"&amp;12D L Administrim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91"/>
  <sheetViews>
    <sheetView workbookViewId="0">
      <selection activeCell="H10" sqref="H10"/>
    </sheetView>
  </sheetViews>
  <sheetFormatPr defaultColWidth="17.7109375" defaultRowHeight="12"/>
  <cols>
    <col min="1" max="1" width="2.85546875" style="148" customWidth="1"/>
    <col min="2" max="2" width="31.28515625" style="148" customWidth="1"/>
    <col min="3" max="3" width="13.140625" style="148" customWidth="1"/>
    <col min="4" max="4" width="13" style="148" customWidth="1"/>
    <col min="5" max="5" width="14" style="148" bestFit="1" customWidth="1"/>
    <col min="6" max="6" width="14.7109375" style="148" customWidth="1"/>
    <col min="7" max="7" width="13.140625" style="148" customWidth="1"/>
    <col min="8" max="8" width="13.7109375" style="148" customWidth="1"/>
    <col min="9" max="9" width="12.140625" style="159" customWidth="1"/>
    <col min="10" max="10" width="2.7109375" style="148" customWidth="1"/>
    <col min="11" max="16384" width="17.7109375" style="148"/>
  </cols>
  <sheetData>
    <row r="1" spans="1:11" ht="25.5" customHeight="1">
      <c r="A1" s="195" t="s">
        <v>178</v>
      </c>
      <c r="B1" s="195"/>
      <c r="C1" s="195"/>
      <c r="D1" s="195"/>
      <c r="E1" s="195"/>
      <c r="F1" s="195"/>
      <c r="G1" s="195"/>
      <c r="H1" s="195"/>
      <c r="I1" s="195"/>
    </row>
    <row r="2" spans="1:11" ht="12.75" customHeight="1">
      <c r="B2" s="177" t="s">
        <v>179</v>
      </c>
      <c r="H2" s="175"/>
    </row>
    <row r="3" spans="1:11" s="28" customFormat="1" ht="30" customHeight="1">
      <c r="A3" s="16" t="s">
        <v>0</v>
      </c>
      <c r="B3" s="19" t="s">
        <v>283</v>
      </c>
      <c r="C3" s="29">
        <v>100000</v>
      </c>
      <c r="D3" s="29">
        <v>0</v>
      </c>
      <c r="E3" s="29">
        <v>0</v>
      </c>
      <c r="F3" s="29">
        <v>0</v>
      </c>
      <c r="G3" s="29">
        <v>10462704</v>
      </c>
      <c r="H3" s="29">
        <v>-16540831.278999999</v>
      </c>
      <c r="I3" s="31">
        <v>-5978127.2789999992</v>
      </c>
    </row>
    <row r="4" spans="1:11" s="27" customFormat="1" ht="20.100000000000001" customHeight="1">
      <c r="A4" s="15">
        <v>1</v>
      </c>
      <c r="B4" s="20" t="s">
        <v>121</v>
      </c>
      <c r="C4" s="30"/>
      <c r="D4" s="30"/>
      <c r="E4" s="30"/>
      <c r="F4" s="30"/>
      <c r="G4" s="30"/>
      <c r="H4" s="30">
        <f>'Te ardhura e shpenzime'!E28</f>
        <v>2406785.5430000154</v>
      </c>
      <c r="I4" s="31">
        <f t="shared" ref="I4:I9" si="0">SUM(C4:H4)</f>
        <v>2406785.5430000154</v>
      </c>
    </row>
    <row r="5" spans="1:11" s="27" customFormat="1" ht="20.100000000000001" customHeight="1">
      <c r="A5" s="15">
        <v>2</v>
      </c>
      <c r="B5" s="20" t="s">
        <v>120</v>
      </c>
      <c r="C5" s="30"/>
      <c r="D5" s="30"/>
      <c r="E5" s="30"/>
      <c r="F5" s="30"/>
      <c r="G5" s="30"/>
      <c r="H5" s="43"/>
      <c r="I5" s="31">
        <f t="shared" si="0"/>
        <v>0</v>
      </c>
    </row>
    <row r="6" spans="1:11" s="27" customFormat="1" ht="20.100000000000001" customHeight="1">
      <c r="A6" s="15">
        <v>3</v>
      </c>
      <c r="B6" s="20" t="s">
        <v>180</v>
      </c>
      <c r="C6" s="30"/>
      <c r="D6" s="30"/>
      <c r="E6" s="30"/>
      <c r="F6" s="30"/>
      <c r="G6" s="30">
        <v>0</v>
      </c>
      <c r="H6" s="30">
        <v>0</v>
      </c>
      <c r="I6" s="31">
        <f t="shared" si="0"/>
        <v>0</v>
      </c>
    </row>
    <row r="7" spans="1:11" s="27" customFormat="1" ht="20.100000000000001" customHeight="1">
      <c r="A7" s="15">
        <v>3</v>
      </c>
      <c r="B7" s="20" t="s">
        <v>181</v>
      </c>
      <c r="C7" s="30"/>
      <c r="D7" s="30"/>
      <c r="E7" s="30"/>
      <c r="F7" s="30"/>
      <c r="G7" s="30"/>
      <c r="H7" s="30"/>
      <c r="I7" s="31">
        <f t="shared" si="0"/>
        <v>0</v>
      </c>
    </row>
    <row r="8" spans="1:11" s="27" customFormat="1" ht="20.100000000000001" customHeight="1">
      <c r="A8" s="15">
        <v>4</v>
      </c>
      <c r="B8" s="20" t="s">
        <v>182</v>
      </c>
      <c r="C8" s="30"/>
      <c r="D8" s="30"/>
      <c r="E8" s="30"/>
      <c r="F8" s="30"/>
      <c r="G8" s="30"/>
      <c r="H8" s="30"/>
      <c r="I8" s="31">
        <f t="shared" si="0"/>
        <v>0</v>
      </c>
    </row>
    <row r="9" spans="1:11" s="28" customFormat="1" ht="30" customHeight="1">
      <c r="A9" s="16" t="s">
        <v>1</v>
      </c>
      <c r="B9" s="19" t="s">
        <v>299</v>
      </c>
      <c r="C9" s="29">
        <f t="shared" ref="C9:H9" si="1">SUM(C3:C8)</f>
        <v>100000</v>
      </c>
      <c r="D9" s="29">
        <f t="shared" si="1"/>
        <v>0</v>
      </c>
      <c r="E9" s="29">
        <f t="shared" si="1"/>
        <v>0</v>
      </c>
      <c r="F9" s="29">
        <f t="shared" si="1"/>
        <v>0</v>
      </c>
      <c r="G9" s="29">
        <f t="shared" si="1"/>
        <v>10462704</v>
      </c>
      <c r="H9" s="29">
        <f t="shared" si="1"/>
        <v>-14134045.735999983</v>
      </c>
      <c r="I9" s="31">
        <f t="shared" si="0"/>
        <v>-3571341.7359999828</v>
      </c>
    </row>
    <row r="10" spans="1:11" s="27" customFormat="1" ht="20.100000000000001" customHeight="1">
      <c r="A10" s="15">
        <v>1</v>
      </c>
      <c r="B10" s="20" t="s">
        <v>121</v>
      </c>
      <c r="C10" s="30"/>
      <c r="D10" s="30"/>
      <c r="E10" s="30"/>
      <c r="F10" s="30"/>
      <c r="G10" s="30"/>
      <c r="H10" s="30">
        <f>'Aktivet e detajuara'!I93</f>
        <v>-32185927.527000003</v>
      </c>
      <c r="I10" s="31">
        <f t="shared" ref="I10:I15" si="2">SUM(C10:H10)</f>
        <v>-32185927.527000003</v>
      </c>
    </row>
    <row r="11" spans="1:11" s="27" customFormat="1" ht="20.100000000000001" customHeight="1">
      <c r="A11" s="15">
        <v>2</v>
      </c>
      <c r="B11" s="20" t="s">
        <v>120</v>
      </c>
      <c r="C11" s="30"/>
      <c r="D11" s="30"/>
      <c r="E11" s="30"/>
      <c r="F11" s="30"/>
      <c r="G11" s="30"/>
      <c r="H11" s="43"/>
      <c r="I11" s="31">
        <f t="shared" si="2"/>
        <v>0</v>
      </c>
    </row>
    <row r="12" spans="1:11" s="27" customFormat="1" ht="20.100000000000001" customHeight="1">
      <c r="A12" s="15">
        <v>3</v>
      </c>
      <c r="B12" s="20" t="s">
        <v>180</v>
      </c>
      <c r="C12" s="30"/>
      <c r="D12" s="30"/>
      <c r="E12" s="30"/>
      <c r="F12" s="30"/>
      <c r="G12" s="30">
        <v>0</v>
      </c>
      <c r="H12" s="30">
        <v>0</v>
      </c>
      <c r="I12" s="31">
        <f t="shared" si="2"/>
        <v>0</v>
      </c>
    </row>
    <row r="13" spans="1:11" s="27" customFormat="1" ht="20.100000000000001" customHeight="1">
      <c r="A13" s="15">
        <v>3</v>
      </c>
      <c r="B13" s="20" t="s">
        <v>181</v>
      </c>
      <c r="C13" s="30"/>
      <c r="D13" s="30"/>
      <c r="E13" s="30"/>
      <c r="F13" s="30"/>
      <c r="G13" s="30"/>
      <c r="H13" s="30"/>
      <c r="I13" s="31">
        <f t="shared" si="2"/>
        <v>0</v>
      </c>
    </row>
    <row r="14" spans="1:11" s="27" customFormat="1" ht="20.100000000000001" customHeight="1">
      <c r="A14" s="15">
        <v>4</v>
      </c>
      <c r="B14" s="20" t="s">
        <v>182</v>
      </c>
      <c r="C14" s="30"/>
      <c r="D14" s="30"/>
      <c r="E14" s="30"/>
      <c r="F14" s="30"/>
      <c r="G14" s="30"/>
      <c r="H14" s="30"/>
      <c r="I14" s="31">
        <f t="shared" si="2"/>
        <v>0</v>
      </c>
    </row>
    <row r="15" spans="1:11" s="28" customFormat="1" ht="30" customHeight="1">
      <c r="A15" s="16" t="s">
        <v>2</v>
      </c>
      <c r="B15" s="19" t="s">
        <v>307</v>
      </c>
      <c r="C15" s="29">
        <f t="shared" ref="C15:H15" si="3">SUM(C9:C14)</f>
        <v>100000</v>
      </c>
      <c r="D15" s="29">
        <f t="shared" si="3"/>
        <v>0</v>
      </c>
      <c r="E15" s="29">
        <f t="shared" si="3"/>
        <v>0</v>
      </c>
      <c r="F15" s="29">
        <f t="shared" si="3"/>
        <v>0</v>
      </c>
      <c r="G15" s="29">
        <f t="shared" si="3"/>
        <v>10462704</v>
      </c>
      <c r="H15" s="29">
        <f t="shared" si="3"/>
        <v>-46319973.262999982</v>
      </c>
      <c r="I15" s="31">
        <f t="shared" si="2"/>
        <v>-35757269.262999982</v>
      </c>
      <c r="K15" s="93">
        <f>I15-'Aktivet e detajuara'!I94</f>
        <v>0</v>
      </c>
    </row>
    <row r="16" spans="1:11" ht="14.1" customHeight="1"/>
    <row r="17" ht="14.1" customHeight="1"/>
    <row r="18" ht="14.1" customHeight="1"/>
    <row r="19" ht="14.1" customHeight="1"/>
    <row r="20" ht="14.1" customHeight="1"/>
    <row r="21" ht="14.1" customHeight="1"/>
    <row r="22" ht="14.1" customHeight="1"/>
    <row r="23" ht="14.1" customHeight="1"/>
    <row r="24" ht="14.1" customHeight="1"/>
    <row r="25" ht="14.1" customHeight="1"/>
    <row r="26" ht="14.1" customHeight="1"/>
    <row r="27" ht="14.1" customHeight="1"/>
    <row r="28" ht="14.1" customHeight="1"/>
    <row r="29" ht="14.1" customHeight="1"/>
    <row r="30" ht="14.1" customHeight="1"/>
    <row r="31" ht="14.1" customHeight="1"/>
    <row r="32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</sheetData>
  <mergeCells count="1">
    <mergeCell ref="A1:I1"/>
  </mergeCells>
  <printOptions horizontalCentered="1"/>
  <pageMargins left="0" right="0" top="1.36" bottom="0.31496062992126" header="0.511811023622047" footer="0.511811023622047"/>
  <pageSetup paperSize="9" orientation="landscape" r:id="rId1"/>
  <headerFooter alignWithMargins="0">
    <oddHeader>&amp;C&amp;"Arial,Bold"&amp;12D L Administrim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35"/>
  <sheetViews>
    <sheetView topLeftCell="A10" workbookViewId="0">
      <selection activeCell="A2" sqref="A2:B34"/>
    </sheetView>
  </sheetViews>
  <sheetFormatPr defaultRowHeight="12.75"/>
  <cols>
    <col min="1" max="1" width="32.7109375" bestFit="1" customWidth="1"/>
    <col min="2" max="2" width="11.7109375" bestFit="1" customWidth="1"/>
  </cols>
  <sheetData>
    <row r="1" spans="1:2">
      <c r="A1" s="88"/>
      <c r="B1" s="89"/>
    </row>
    <row r="2" spans="1:2">
      <c r="A2" s="88" t="s">
        <v>249</v>
      </c>
      <c r="B2" s="89">
        <v>230308.53</v>
      </c>
    </row>
    <row r="3" spans="1:2">
      <c r="A3" s="88" t="s">
        <v>250</v>
      </c>
      <c r="B3" s="89">
        <v>14685677.789999999</v>
      </c>
    </row>
    <row r="4" spans="1:2">
      <c r="A4" s="88" t="s">
        <v>285</v>
      </c>
      <c r="B4" s="89">
        <v>1078136</v>
      </c>
    </row>
    <row r="5" spans="1:2">
      <c r="A5" s="88" t="s">
        <v>286</v>
      </c>
      <c r="B5" s="89">
        <v>111067.96</v>
      </c>
    </row>
    <row r="6" spans="1:2">
      <c r="A6" s="88" t="s">
        <v>253</v>
      </c>
      <c r="B6" s="89">
        <v>66374528.68</v>
      </c>
    </row>
    <row r="7" spans="1:2">
      <c r="A7" s="88" t="s">
        <v>254</v>
      </c>
      <c r="B7" s="89">
        <v>68290.960000000006</v>
      </c>
    </row>
    <row r="8" spans="1:2">
      <c r="A8" s="88" t="s">
        <v>223</v>
      </c>
      <c r="B8" s="89">
        <v>174616.52</v>
      </c>
    </row>
    <row r="9" spans="1:2">
      <c r="A9" s="88" t="s">
        <v>255</v>
      </c>
      <c r="B9" s="89">
        <v>1201994.8999999999</v>
      </c>
    </row>
    <row r="10" spans="1:2">
      <c r="A10" s="88" t="s">
        <v>287</v>
      </c>
      <c r="B10" s="90">
        <v>975526.48</v>
      </c>
    </row>
    <row r="11" spans="1:2">
      <c r="A11" s="88" t="s">
        <v>288</v>
      </c>
      <c r="B11" s="89">
        <v>66666.67</v>
      </c>
    </row>
    <row r="12" spans="1:2">
      <c r="A12" s="88" t="s">
        <v>289</v>
      </c>
      <c r="B12" s="89">
        <v>89320</v>
      </c>
    </row>
    <row r="13" spans="1:2">
      <c r="A13" s="88" t="s">
        <v>290</v>
      </c>
      <c r="B13" s="89">
        <v>2266216.6</v>
      </c>
    </row>
    <row r="14" spans="1:2">
      <c r="A14" s="88" t="s">
        <v>291</v>
      </c>
      <c r="B14" s="89">
        <v>379456</v>
      </c>
    </row>
    <row r="15" spans="1:2">
      <c r="A15" s="88" t="s">
        <v>257</v>
      </c>
      <c r="B15" s="89">
        <v>426997.33</v>
      </c>
    </row>
    <row r="16" spans="1:2">
      <c r="A16" s="88" t="s">
        <v>292</v>
      </c>
      <c r="B16" s="89">
        <v>130984.58</v>
      </c>
    </row>
    <row r="17" spans="1:2">
      <c r="A17" s="88" t="s">
        <v>258</v>
      </c>
      <c r="B17" s="89">
        <v>87140.98</v>
      </c>
    </row>
    <row r="18" spans="1:2">
      <c r="A18" s="88" t="s">
        <v>259</v>
      </c>
      <c r="B18" s="89">
        <v>138000</v>
      </c>
    </row>
    <row r="19" spans="1:2">
      <c r="A19" s="88" t="s">
        <v>261</v>
      </c>
      <c r="B19" s="89">
        <v>10062.5</v>
      </c>
    </row>
    <row r="20" spans="1:2">
      <c r="A20" s="88" t="s">
        <v>262</v>
      </c>
      <c r="B20" s="89">
        <v>1046500</v>
      </c>
    </row>
    <row r="21" spans="1:2">
      <c r="A21" s="88" t="s">
        <v>263</v>
      </c>
      <c r="B21" s="89">
        <v>52095</v>
      </c>
    </row>
    <row r="22" spans="1:2">
      <c r="A22" s="88" t="s">
        <v>265</v>
      </c>
      <c r="B22" s="89">
        <v>564696</v>
      </c>
    </row>
    <row r="23" spans="1:2">
      <c r="A23" s="88" t="s">
        <v>293</v>
      </c>
      <c r="B23" s="89">
        <v>1094225</v>
      </c>
    </row>
    <row r="24" spans="1:2">
      <c r="A24" s="88" t="s">
        <v>268</v>
      </c>
      <c r="B24" s="89">
        <v>5562500</v>
      </c>
    </row>
    <row r="25" spans="1:2">
      <c r="A25" s="88" t="s">
        <v>294</v>
      </c>
      <c r="B25" s="89">
        <v>556282.5</v>
      </c>
    </row>
    <row r="26" spans="1:2">
      <c r="A26" s="88" t="s">
        <v>295</v>
      </c>
      <c r="B26" s="89">
        <v>3703000</v>
      </c>
    </row>
    <row r="27" spans="1:2">
      <c r="A27" s="88" t="s">
        <v>271</v>
      </c>
      <c r="B27" s="89">
        <v>125000</v>
      </c>
    </row>
    <row r="28" spans="1:2">
      <c r="A28" s="88" t="s">
        <v>272</v>
      </c>
      <c r="B28" s="89">
        <v>180090</v>
      </c>
    </row>
    <row r="29" spans="1:2">
      <c r="A29" s="88" t="s">
        <v>273</v>
      </c>
      <c r="B29" s="89">
        <v>60040</v>
      </c>
    </row>
    <row r="30" spans="1:2">
      <c r="A30" s="88" t="s">
        <v>296</v>
      </c>
      <c r="B30" s="89">
        <v>114340</v>
      </c>
    </row>
    <row r="31" spans="1:2">
      <c r="A31" s="88" t="s">
        <v>275</v>
      </c>
      <c r="B31" s="89">
        <v>22491</v>
      </c>
    </row>
    <row r="32" spans="1:2">
      <c r="A32" s="88" t="s">
        <v>222</v>
      </c>
      <c r="B32" s="89">
        <v>29472124.260000002</v>
      </c>
    </row>
    <row r="33" spans="1:2">
      <c r="A33" s="88" t="s">
        <v>277</v>
      </c>
      <c r="B33" s="89">
        <v>2705943.94</v>
      </c>
    </row>
    <row r="34" spans="1:2">
      <c r="A34" s="88" t="s">
        <v>297</v>
      </c>
      <c r="B34" s="89">
        <v>266790</v>
      </c>
    </row>
    <row r="35" spans="1:2">
      <c r="A35" s="88"/>
      <c r="B35" s="89">
        <f>SUM(B1:B34)</f>
        <v>134021110.17999999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30"/>
  <sheetViews>
    <sheetView topLeftCell="A103" workbookViewId="0">
      <selection activeCell="C108" sqref="C108:D108"/>
    </sheetView>
  </sheetViews>
  <sheetFormatPr defaultRowHeight="11.25"/>
  <cols>
    <col min="1" max="1" width="3.28515625" style="48" bestFit="1" customWidth="1"/>
    <col min="2" max="2" width="34" style="45" bestFit="1" customWidth="1"/>
    <col min="3" max="3" width="17.5703125" style="49" bestFit="1" customWidth="1"/>
    <col min="4" max="4" width="15.28515625" style="45" bestFit="1" customWidth="1"/>
    <col min="5" max="5" width="13.5703125" style="45" customWidth="1"/>
    <col min="6" max="6" width="16.140625" style="45" bestFit="1" customWidth="1"/>
    <col min="7" max="7" width="14" style="45" bestFit="1" customWidth="1"/>
    <col min="8" max="8" width="13.7109375" style="45" bestFit="1" customWidth="1"/>
    <col min="9" max="9" width="16.140625" style="45" bestFit="1" customWidth="1"/>
    <col min="10" max="10" width="9.140625" style="45"/>
    <col min="11" max="11" width="13.85546875" style="45" customWidth="1"/>
    <col min="12" max="12" width="12.7109375" style="45" customWidth="1"/>
    <col min="13" max="16384" width="9.140625" style="45"/>
  </cols>
  <sheetData>
    <row r="1" spans="1:8">
      <c r="B1" s="65" t="s">
        <v>160</v>
      </c>
    </row>
    <row r="2" spans="1:8">
      <c r="B2" s="65"/>
    </row>
    <row r="3" spans="1:8">
      <c r="A3" s="48">
        <v>1</v>
      </c>
      <c r="B3" s="65" t="s">
        <v>184</v>
      </c>
    </row>
    <row r="4" spans="1:8" ht="41.25" customHeight="1">
      <c r="B4" s="197" t="s">
        <v>213</v>
      </c>
      <c r="C4" s="197"/>
      <c r="D4" s="197"/>
      <c r="E4" s="197"/>
      <c r="F4" s="197"/>
      <c r="G4" s="197"/>
      <c r="H4" s="197"/>
    </row>
    <row r="5" spans="1:8" ht="30.75" customHeight="1">
      <c r="B5" s="198" t="s">
        <v>342</v>
      </c>
      <c r="C5" s="198"/>
      <c r="D5" s="198"/>
      <c r="E5" s="198"/>
      <c r="F5" s="198"/>
      <c r="G5" s="198"/>
      <c r="H5" s="198"/>
    </row>
    <row r="6" spans="1:8">
      <c r="B6" s="196" t="s">
        <v>214</v>
      </c>
      <c r="C6" s="196"/>
      <c r="D6" s="196"/>
      <c r="E6" s="196"/>
      <c r="F6" s="196"/>
      <c r="G6" s="196"/>
      <c r="H6" s="196"/>
    </row>
    <row r="7" spans="1:8" ht="30" customHeight="1">
      <c r="B7" s="196" t="s">
        <v>225</v>
      </c>
      <c r="C7" s="196"/>
      <c r="D7" s="196"/>
      <c r="E7" s="196"/>
      <c r="F7" s="196"/>
      <c r="G7" s="196"/>
      <c r="H7" s="196"/>
    </row>
    <row r="8" spans="1:8" ht="33.75" customHeight="1">
      <c r="B8" s="196" t="s">
        <v>330</v>
      </c>
      <c r="C8" s="196"/>
      <c r="D8" s="196"/>
      <c r="E8" s="196"/>
      <c r="F8" s="196"/>
      <c r="G8" s="196"/>
      <c r="H8" s="196"/>
    </row>
    <row r="9" spans="1:8" ht="14.25" customHeight="1">
      <c r="B9" s="199" t="s">
        <v>338</v>
      </c>
      <c r="C9" s="199"/>
      <c r="D9" s="199"/>
      <c r="E9" s="199"/>
      <c r="F9" s="199"/>
      <c r="G9" s="199"/>
      <c r="H9" s="199"/>
    </row>
    <row r="10" spans="1:8" ht="52.5" customHeight="1">
      <c r="B10" s="196" t="s">
        <v>216</v>
      </c>
      <c r="C10" s="196"/>
      <c r="D10" s="196"/>
      <c r="E10" s="196"/>
      <c r="F10" s="196"/>
      <c r="G10" s="196"/>
      <c r="H10" s="196"/>
    </row>
    <row r="11" spans="1:8" ht="22.5" customHeight="1">
      <c r="B11" s="196" t="s">
        <v>215</v>
      </c>
      <c r="C11" s="196"/>
      <c r="D11" s="196"/>
      <c r="E11" s="196"/>
      <c r="F11" s="196"/>
      <c r="G11" s="196"/>
      <c r="H11" s="196"/>
    </row>
    <row r="12" spans="1:8">
      <c r="B12" s="50" t="s">
        <v>169</v>
      </c>
      <c r="C12" s="44">
        <v>41639</v>
      </c>
    </row>
    <row r="13" spans="1:8" ht="32.25" customHeight="1">
      <c r="B13" s="50" t="s">
        <v>227</v>
      </c>
      <c r="C13" s="47">
        <v>140.19999999999999</v>
      </c>
    </row>
    <row r="14" spans="1:8" ht="15.95" customHeight="1">
      <c r="A14" s="50">
        <v>2</v>
      </c>
      <c r="B14" s="65" t="s">
        <v>161</v>
      </c>
      <c r="C14" s="49" t="s">
        <v>301</v>
      </c>
      <c r="D14" s="49" t="s">
        <v>170</v>
      </c>
      <c r="E14" s="49" t="s">
        <v>236</v>
      </c>
    </row>
    <row r="15" spans="1:8" ht="15.95" customHeight="1">
      <c r="A15" s="50"/>
      <c r="B15" s="98" t="s">
        <v>302</v>
      </c>
      <c r="C15" s="49">
        <v>42.62</v>
      </c>
      <c r="D15" s="49">
        <v>63196.73</v>
      </c>
      <c r="E15" s="49">
        <f>C15*$C$13+D15</f>
        <v>69172.054000000004</v>
      </c>
    </row>
    <row r="16" spans="1:8" ht="15.95" customHeight="1">
      <c r="A16" s="50"/>
      <c r="B16" s="98" t="s">
        <v>303</v>
      </c>
      <c r="C16" s="99">
        <v>306.33</v>
      </c>
      <c r="D16" s="49">
        <v>2258.1999999999998</v>
      </c>
      <c r="E16" s="49">
        <f>C16*$C$13+D16</f>
        <v>45205.66599999999</v>
      </c>
    </row>
    <row r="17" spans="1:6" ht="15.95" customHeight="1">
      <c r="A17" s="50"/>
      <c r="B17" s="98" t="s">
        <v>304</v>
      </c>
      <c r="C17" s="49">
        <v>554.01</v>
      </c>
      <c r="D17" s="49">
        <v>117354.16</v>
      </c>
      <c r="E17" s="49">
        <f>C17*$C$13+D17</f>
        <v>195026.36199999999</v>
      </c>
    </row>
    <row r="18" spans="1:6" ht="15.95" customHeight="1">
      <c r="A18" s="50"/>
      <c r="B18" s="98" t="s">
        <v>305</v>
      </c>
      <c r="C18" s="92">
        <v>12.42</v>
      </c>
      <c r="D18" s="49">
        <v>1689.92</v>
      </c>
      <c r="E18" s="49">
        <f>C18*$C$13+D18</f>
        <v>3431.2039999999997</v>
      </c>
    </row>
    <row r="19" spans="1:6" ht="15.95" customHeight="1">
      <c r="A19" s="50"/>
      <c r="B19" s="66" t="s">
        <v>163</v>
      </c>
      <c r="C19" s="49">
        <v>0</v>
      </c>
      <c r="D19" s="49">
        <v>133291.87</v>
      </c>
      <c r="E19" s="49">
        <f>C19*$C$13+D19</f>
        <v>133291.87</v>
      </c>
    </row>
    <row r="20" spans="1:6" ht="15.95" customHeight="1">
      <c r="A20" s="50"/>
      <c r="B20" s="65" t="s">
        <v>236</v>
      </c>
      <c r="C20" s="51">
        <f>SUM(C15:C19)</f>
        <v>915.38</v>
      </c>
      <c r="D20" s="51">
        <f>SUM(D15:D19)</f>
        <v>317790.88</v>
      </c>
      <c r="E20" s="51">
        <f>SUM(E15:E19)</f>
        <v>446127.15600000002</v>
      </c>
    </row>
    <row r="21" spans="1:6" ht="15.95" customHeight="1">
      <c r="A21" s="50"/>
      <c r="B21" s="66"/>
      <c r="E21" s="100">
        <f>E20-'Aktivet e detajuara'!I3</f>
        <v>5.9999999939464033E-3</v>
      </c>
    </row>
    <row r="22" spans="1:6" ht="23.25" customHeight="1">
      <c r="A22" s="50">
        <v>3</v>
      </c>
      <c r="B22" s="65" t="s">
        <v>339</v>
      </c>
      <c r="C22" s="45" t="s">
        <v>313</v>
      </c>
      <c r="D22" s="45" t="s">
        <v>312</v>
      </c>
    </row>
    <row r="23" spans="1:6" ht="15.95" customHeight="1">
      <c r="A23" s="50"/>
      <c r="B23" s="66" t="s">
        <v>195</v>
      </c>
      <c r="C23" s="49">
        <v>45072900.390000001</v>
      </c>
      <c r="D23" s="49">
        <v>73324246.769999996</v>
      </c>
    </row>
    <row r="24" spans="1:6" ht="15.95" customHeight="1">
      <c r="A24" s="50"/>
      <c r="B24" s="66" t="s">
        <v>186</v>
      </c>
      <c r="C24" s="49">
        <v>519067.4059999985</v>
      </c>
      <c r="D24" s="49">
        <v>789263.61300000001</v>
      </c>
      <c r="E24" s="92"/>
    </row>
    <row r="25" spans="1:6" ht="15.95" customHeight="1">
      <c r="A25" s="50"/>
      <c r="B25" s="66" t="s">
        <v>192</v>
      </c>
      <c r="C25" s="49">
        <v>0</v>
      </c>
      <c r="D25" s="49">
        <v>1903.24</v>
      </c>
    </row>
    <row r="26" spans="1:6" ht="15.95" customHeight="1">
      <c r="A26" s="50"/>
      <c r="B26" s="66" t="s">
        <v>194</v>
      </c>
      <c r="C26" s="49">
        <v>139594</v>
      </c>
      <c r="D26" s="49">
        <v>139594</v>
      </c>
    </row>
    <row r="27" spans="1:6" ht="15.95" customHeight="1">
      <c r="A27" s="50"/>
      <c r="B27" s="66" t="s">
        <v>229</v>
      </c>
      <c r="C27" s="49">
        <v>764181</v>
      </c>
      <c r="D27" s="49">
        <v>591481</v>
      </c>
    </row>
    <row r="28" spans="1:6" ht="15.95" customHeight="1">
      <c r="A28" s="50"/>
      <c r="B28" s="65" t="s">
        <v>236</v>
      </c>
      <c r="C28" s="51">
        <f>SUM(C23:C27)</f>
        <v>46495742.795999996</v>
      </c>
      <c r="D28" s="51">
        <f>SUM(D23:D27)</f>
        <v>74846488.622999996</v>
      </c>
      <c r="F28" s="100"/>
    </row>
    <row r="29" spans="1:6" ht="15.95" customHeight="1">
      <c r="A29" s="50"/>
      <c r="B29" s="66"/>
      <c r="C29" s="96">
        <f>C28-'Aktivet e detajuara'!I13</f>
        <v>0</v>
      </c>
      <c r="D29" s="49">
        <f>D28-'Aktivet e detajuara'!J13</f>
        <v>0</v>
      </c>
    </row>
    <row r="30" spans="1:6" ht="15.95" customHeight="1">
      <c r="A30" s="50">
        <v>4</v>
      </c>
      <c r="B30" s="65" t="s">
        <v>197</v>
      </c>
      <c r="C30" s="45" t="s">
        <v>313</v>
      </c>
      <c r="D30" s="45" t="s">
        <v>312</v>
      </c>
    </row>
    <row r="31" spans="1:6" ht="15.95" customHeight="1">
      <c r="A31" s="50"/>
      <c r="B31" s="66" t="s">
        <v>196</v>
      </c>
      <c r="C31" s="49">
        <v>1335104.23</v>
      </c>
      <c r="D31" s="49">
        <v>1335104.23</v>
      </c>
    </row>
    <row r="32" spans="1:6" ht="15.95" customHeight="1">
      <c r="A32" s="50"/>
      <c r="B32" s="66" t="s">
        <v>314</v>
      </c>
      <c r="C32" s="49">
        <v>37108</v>
      </c>
      <c r="D32" s="49">
        <v>37108</v>
      </c>
    </row>
    <row r="33" spans="1:4" ht="15.95" customHeight="1">
      <c r="A33" s="50"/>
      <c r="B33" s="65" t="s">
        <v>236</v>
      </c>
      <c r="C33" s="51">
        <f>SUM(C31:C32)</f>
        <v>1372212.23</v>
      </c>
      <c r="D33" s="51">
        <f>SUM(D31:D32)</f>
        <v>1372212.23</v>
      </c>
    </row>
    <row r="34" spans="1:4" ht="15.95" customHeight="1">
      <c r="A34" s="50"/>
      <c r="B34" s="67"/>
      <c r="C34" s="51">
        <f>C33-'Aktivet e detajuara'!I15</f>
        <v>0</v>
      </c>
      <c r="D34" s="51">
        <f>D33-'Aktivet e detajuara'!J15</f>
        <v>0</v>
      </c>
    </row>
    <row r="35" spans="1:4" ht="15.95" customHeight="1">
      <c r="A35" s="50" t="s">
        <v>198</v>
      </c>
      <c r="B35" s="65" t="s">
        <v>33</v>
      </c>
      <c r="C35" s="45" t="s">
        <v>313</v>
      </c>
      <c r="D35" s="45" t="s">
        <v>312</v>
      </c>
    </row>
    <row r="36" spans="1:4" ht="15.95" customHeight="1">
      <c r="A36" s="50"/>
      <c r="B36" s="66" t="s">
        <v>321</v>
      </c>
      <c r="C36" s="49">
        <v>138000</v>
      </c>
      <c r="D36" s="49">
        <v>0</v>
      </c>
    </row>
    <row r="37" spans="1:4" ht="15.95" customHeight="1">
      <c r="A37" s="50"/>
      <c r="B37" s="66" t="s">
        <v>326</v>
      </c>
      <c r="C37" s="49">
        <v>211140</v>
      </c>
      <c r="D37" s="49">
        <v>211140</v>
      </c>
    </row>
    <row r="38" spans="1:4" ht="15.95" customHeight="1">
      <c r="A38" s="50"/>
      <c r="B38" s="66" t="s">
        <v>322</v>
      </c>
      <c r="C38" s="49">
        <v>308188.5</v>
      </c>
      <c r="D38" s="49">
        <v>0</v>
      </c>
    </row>
    <row r="39" spans="1:4" ht="15.95" customHeight="1">
      <c r="A39" s="50"/>
      <c r="B39" s="66" t="s">
        <v>323</v>
      </c>
      <c r="C39" s="49">
        <v>986125</v>
      </c>
      <c r="D39" s="49">
        <v>255771.5</v>
      </c>
    </row>
    <row r="40" spans="1:4" ht="15.95" customHeight="1">
      <c r="A40" s="50"/>
      <c r="B40" s="66" t="s">
        <v>324</v>
      </c>
      <c r="C40" s="49">
        <v>221858</v>
      </c>
      <c r="D40" s="49">
        <v>0</v>
      </c>
    </row>
    <row r="41" spans="1:4" ht="15.95" customHeight="1">
      <c r="A41" s="50"/>
      <c r="B41" s="66" t="s">
        <v>325</v>
      </c>
      <c r="C41" s="49">
        <v>1344960</v>
      </c>
      <c r="D41" s="49">
        <v>1339200</v>
      </c>
    </row>
    <row r="42" spans="1:4" ht="15.95" customHeight="1">
      <c r="A42" s="50"/>
      <c r="B42" s="65" t="s">
        <v>236</v>
      </c>
      <c r="C42" s="51">
        <f>SUM(C36:C41)</f>
        <v>3210271.5</v>
      </c>
      <c r="D42" s="51">
        <f>SUM(D36:D41)</f>
        <v>1806111.5</v>
      </c>
    </row>
    <row r="43" spans="1:4" ht="15.95" customHeight="1">
      <c r="A43" s="50"/>
      <c r="B43" s="101"/>
      <c r="C43" s="49">
        <f>C42-'Aktivet e detajuara'!I23</f>
        <v>0</v>
      </c>
      <c r="D43" s="49">
        <f>D42-'Aktivet e detajuara'!J23</f>
        <v>0</v>
      </c>
    </row>
    <row r="44" spans="1:4" ht="28.5" customHeight="1">
      <c r="A44" s="50" t="s">
        <v>230</v>
      </c>
      <c r="B44" s="65" t="s">
        <v>340</v>
      </c>
      <c r="C44" s="45" t="s">
        <v>313</v>
      </c>
      <c r="D44" s="45" t="s">
        <v>312</v>
      </c>
    </row>
    <row r="45" spans="1:4" ht="15.95" customHeight="1">
      <c r="A45" s="50"/>
      <c r="B45" s="66" t="s">
        <v>193</v>
      </c>
      <c r="C45" s="49">
        <v>5648835</v>
      </c>
      <c r="D45" s="49">
        <v>5648835</v>
      </c>
    </row>
    <row r="46" spans="1:4" ht="15.95" customHeight="1">
      <c r="A46" s="50"/>
      <c r="B46" s="66"/>
    </row>
    <row r="47" spans="1:4">
      <c r="A47" s="50" t="s">
        <v>208</v>
      </c>
      <c r="B47" s="65" t="s">
        <v>199</v>
      </c>
    </row>
    <row r="48" spans="1:4">
      <c r="A48" s="50"/>
      <c r="B48" s="66"/>
    </row>
    <row r="49" spans="1:11" ht="33.75">
      <c r="A49" s="50"/>
      <c r="B49" s="80" t="s">
        <v>199</v>
      </c>
      <c r="C49" s="80" t="s">
        <v>200</v>
      </c>
      <c r="D49" s="102" t="s">
        <v>207</v>
      </c>
      <c r="E49" s="102" t="s">
        <v>201</v>
      </c>
      <c r="F49" s="80" t="s">
        <v>316</v>
      </c>
      <c r="G49" s="102" t="s">
        <v>202</v>
      </c>
      <c r="H49" s="102" t="s">
        <v>203</v>
      </c>
      <c r="K49" s="92"/>
    </row>
    <row r="50" spans="1:11" ht="12">
      <c r="A50" s="50"/>
      <c r="B50" s="103" t="s">
        <v>42</v>
      </c>
      <c r="C50" s="83"/>
      <c r="D50" s="83"/>
      <c r="E50" s="83"/>
      <c r="F50" s="83"/>
      <c r="G50" s="94">
        <v>0</v>
      </c>
      <c r="H50" s="83">
        <f>C50-D50+E50-F50</f>
        <v>0</v>
      </c>
      <c r="K50" s="92"/>
    </row>
    <row r="51" spans="1:11" ht="12">
      <c r="A51" s="50"/>
      <c r="B51" s="103" t="s">
        <v>237</v>
      </c>
      <c r="C51" s="83"/>
      <c r="D51" s="83">
        <v>0</v>
      </c>
      <c r="E51" s="83">
        <v>0</v>
      </c>
      <c r="F51" s="83">
        <v>0</v>
      </c>
      <c r="G51" s="94" t="s">
        <v>204</v>
      </c>
      <c r="H51" s="83">
        <v>0</v>
      </c>
      <c r="J51" s="104"/>
      <c r="K51" s="105"/>
    </row>
    <row r="52" spans="1:11" ht="12">
      <c r="A52" s="50"/>
      <c r="B52" s="103" t="s">
        <v>315</v>
      </c>
      <c r="C52" s="83">
        <v>4744782.76</v>
      </c>
      <c r="D52" s="83">
        <v>2569362.6</v>
      </c>
      <c r="E52" s="83">
        <v>580806.09000000008</v>
      </c>
      <c r="F52" s="83">
        <v>0</v>
      </c>
      <c r="G52" s="94" t="s">
        <v>300</v>
      </c>
      <c r="H52" s="83">
        <v>2756226.25</v>
      </c>
      <c r="J52" s="104"/>
      <c r="K52" s="105"/>
    </row>
    <row r="53" spans="1:11" ht="12">
      <c r="A53" s="50"/>
      <c r="B53" s="103" t="s">
        <v>241</v>
      </c>
      <c r="C53" s="83">
        <v>2469441.34</v>
      </c>
      <c r="D53" s="83">
        <v>1577304.31</v>
      </c>
      <c r="E53" s="83">
        <v>13320.45</v>
      </c>
      <c r="F53" s="83">
        <v>0</v>
      </c>
      <c r="G53" s="94" t="s">
        <v>205</v>
      </c>
      <c r="H53" s="83">
        <v>905457.47999999975</v>
      </c>
      <c r="J53" s="104"/>
      <c r="K53" s="105"/>
    </row>
    <row r="54" spans="1:11" ht="12">
      <c r="A54" s="50"/>
      <c r="B54" s="103" t="s">
        <v>240</v>
      </c>
      <c r="C54" s="83">
        <v>6432460.5700000003</v>
      </c>
      <c r="D54" s="83">
        <v>3674104.12</v>
      </c>
      <c r="E54" s="83">
        <v>47917.05</v>
      </c>
      <c r="F54" s="83">
        <v>0</v>
      </c>
      <c r="G54" s="94" t="s">
        <v>204</v>
      </c>
      <c r="H54" s="83">
        <v>2806273.5</v>
      </c>
      <c r="J54" s="104"/>
      <c r="K54" s="105"/>
    </row>
    <row r="55" spans="1:11" ht="12">
      <c r="A55" s="50"/>
      <c r="B55" s="103" t="s">
        <v>242</v>
      </c>
      <c r="C55" s="83">
        <v>17220713.73</v>
      </c>
      <c r="D55" s="83">
        <v>9125443.25</v>
      </c>
      <c r="E55" s="83"/>
      <c r="F55" s="83">
        <v>0</v>
      </c>
      <c r="G55" s="94" t="s">
        <v>300</v>
      </c>
      <c r="H55" s="83">
        <v>8095270.4800000004</v>
      </c>
      <c r="J55" s="104"/>
      <c r="K55" s="105"/>
    </row>
    <row r="56" spans="1:11" ht="12">
      <c r="A56" s="50"/>
      <c r="B56" s="103" t="s">
        <v>206</v>
      </c>
      <c r="C56" s="83">
        <v>347057.66</v>
      </c>
      <c r="D56" s="83">
        <v>230105.42</v>
      </c>
      <c r="E56" s="83">
        <v>275266.88</v>
      </c>
      <c r="F56" s="83">
        <v>0</v>
      </c>
      <c r="G56" s="94" t="s">
        <v>204</v>
      </c>
      <c r="H56" s="83">
        <v>392219.12</v>
      </c>
      <c r="J56" s="104"/>
      <c r="K56" s="105"/>
    </row>
    <row r="57" spans="1:11">
      <c r="A57" s="50"/>
      <c r="B57" s="87"/>
      <c r="C57" s="86">
        <f t="shared" ref="C57:H57" si="0">SUM(C50:C56)</f>
        <v>31214456.059999999</v>
      </c>
      <c r="D57" s="86">
        <f t="shared" si="0"/>
        <v>17176319.700000003</v>
      </c>
      <c r="E57" s="86">
        <f t="shared" si="0"/>
        <v>917310.47000000009</v>
      </c>
      <c r="F57" s="86">
        <f t="shared" si="0"/>
        <v>0</v>
      </c>
      <c r="G57" s="86">
        <f t="shared" si="0"/>
        <v>0</v>
      </c>
      <c r="H57" s="86">
        <f t="shared" si="0"/>
        <v>14955446.83</v>
      </c>
      <c r="J57" s="104"/>
      <c r="K57" s="105"/>
    </row>
    <row r="58" spans="1:11">
      <c r="A58" s="50"/>
      <c r="B58" s="68"/>
      <c r="C58" s="40"/>
      <c r="D58" s="40"/>
      <c r="E58" s="40"/>
      <c r="F58" s="40"/>
      <c r="G58" s="40"/>
      <c r="H58" s="40"/>
      <c r="J58" s="104"/>
      <c r="K58" s="105"/>
    </row>
    <row r="59" spans="1:11" ht="15.95" customHeight="1">
      <c r="A59" s="50" t="s">
        <v>327</v>
      </c>
      <c r="B59" s="65" t="s">
        <v>63</v>
      </c>
      <c r="C59" s="45" t="s">
        <v>313</v>
      </c>
      <c r="D59" s="45" t="s">
        <v>312</v>
      </c>
      <c r="E59" s="106"/>
      <c r="F59" s="107"/>
    </row>
    <row r="60" spans="1:11" ht="15.95" customHeight="1">
      <c r="A60" s="50"/>
      <c r="B60" s="66" t="s">
        <v>164</v>
      </c>
      <c r="C60" s="49">
        <v>35141</v>
      </c>
      <c r="D60" s="49">
        <v>40821</v>
      </c>
      <c r="E60" s="106"/>
    </row>
    <row r="61" spans="1:11" ht="15.95" customHeight="1">
      <c r="A61" s="50"/>
      <c r="B61" s="66" t="s">
        <v>209</v>
      </c>
      <c r="C61" s="49">
        <v>84002</v>
      </c>
      <c r="D61" s="49">
        <v>96222</v>
      </c>
      <c r="E61" s="106"/>
    </row>
    <row r="62" spans="1:11" ht="15.95" customHeight="1">
      <c r="A62" s="50"/>
      <c r="B62" s="66" t="s">
        <v>185</v>
      </c>
      <c r="C62" s="49">
        <v>412531.20000000001</v>
      </c>
      <c r="D62" s="49">
        <v>469880.39</v>
      </c>
      <c r="E62" s="106"/>
    </row>
    <row r="63" spans="1:11" ht="15.95" customHeight="1">
      <c r="A63" s="50"/>
      <c r="B63" s="66" t="s">
        <v>210</v>
      </c>
      <c r="C63" s="49">
        <v>2242228.31</v>
      </c>
      <c r="D63" s="49">
        <v>2242477.23</v>
      </c>
      <c r="E63" s="106"/>
    </row>
    <row r="64" spans="1:11" ht="15.95" customHeight="1">
      <c r="A64" s="50"/>
      <c r="B64" s="66" t="s">
        <v>332</v>
      </c>
      <c r="C64" s="49">
        <v>15330</v>
      </c>
      <c r="D64" s="49">
        <v>0</v>
      </c>
      <c r="E64" s="106"/>
    </row>
    <row r="65" spans="1:6" ht="15.95" customHeight="1">
      <c r="A65" s="50"/>
      <c r="B65" s="65" t="s">
        <v>236</v>
      </c>
      <c r="C65" s="51">
        <f>SUM(C60:C64)</f>
        <v>2789232.51</v>
      </c>
      <c r="D65" s="51">
        <f>SUM(D60:D64)</f>
        <v>2849400.62</v>
      </c>
      <c r="E65" s="106"/>
    </row>
    <row r="66" spans="1:6" ht="15.95" customHeight="1">
      <c r="A66" s="50"/>
      <c r="B66" s="66"/>
      <c r="D66" s="49"/>
      <c r="E66" s="106"/>
    </row>
    <row r="67" spans="1:6" ht="15.95" customHeight="1">
      <c r="A67" s="55">
        <v>9</v>
      </c>
      <c r="B67" s="69" t="s">
        <v>328</v>
      </c>
      <c r="C67" s="45" t="s">
        <v>313</v>
      </c>
      <c r="D67" s="45" t="s">
        <v>312</v>
      </c>
    </row>
    <row r="68" spans="1:6" ht="15.95" customHeight="1">
      <c r="B68" s="66" t="s">
        <v>306</v>
      </c>
      <c r="C68" s="49">
        <v>13429490.037999999</v>
      </c>
      <c r="D68" s="49">
        <v>19163749</v>
      </c>
      <c r="E68" s="108"/>
    </row>
    <row r="69" spans="1:6" ht="15.95" customHeight="1">
      <c r="B69" s="66" t="s">
        <v>281</v>
      </c>
      <c r="C69" s="49">
        <v>1013688</v>
      </c>
      <c r="D69" s="49">
        <v>0</v>
      </c>
      <c r="E69" s="108"/>
    </row>
    <row r="70" spans="1:6" ht="15.95" customHeight="1">
      <c r="B70" s="65" t="s">
        <v>236</v>
      </c>
      <c r="C70" s="58">
        <f>SUM(C68:C69)</f>
        <v>14443178.037999999</v>
      </c>
      <c r="D70" s="58">
        <f>SUM(D68:D69)</f>
        <v>19163749</v>
      </c>
      <c r="E70" s="109"/>
    </row>
    <row r="71" spans="1:6" ht="15.95" customHeight="1">
      <c r="C71" s="40"/>
      <c r="D71" s="40"/>
      <c r="E71" s="110"/>
      <c r="F71" s="110"/>
    </row>
    <row r="72" spans="1:6" ht="15.95" customHeight="1">
      <c r="A72" s="48">
        <v>10</v>
      </c>
      <c r="B72" s="69" t="s">
        <v>72</v>
      </c>
      <c r="C72" s="45" t="s">
        <v>313</v>
      </c>
      <c r="D72" s="45" t="s">
        <v>312</v>
      </c>
      <c r="E72" s="110"/>
      <c r="F72" s="110"/>
    </row>
    <row r="73" spans="1:6" ht="15.95" customHeight="1">
      <c r="B73" s="45" t="s">
        <v>193</v>
      </c>
      <c r="C73" s="51">
        <f>[4]BSH!$I$122+[4]BSH!$I$96</f>
        <v>7815737.4900000002</v>
      </c>
      <c r="D73" s="51">
        <f>[4]BSH!$H$122+[4]BSH!$H$96</f>
        <v>7399837.4900000002</v>
      </c>
      <c r="E73" s="110"/>
      <c r="F73" s="110"/>
    </row>
    <row r="74" spans="1:6" ht="15.95" customHeight="1">
      <c r="C74" s="51">
        <f>C73-'Aktivet e detajuara'!I77</f>
        <v>0</v>
      </c>
      <c r="D74" s="51">
        <f>D73-'Aktivet e detajuara'!J77</f>
        <v>0</v>
      </c>
      <c r="E74" s="110"/>
      <c r="F74" s="110"/>
    </row>
    <row r="75" spans="1:6" ht="15.95" customHeight="1">
      <c r="A75" s="48">
        <v>11</v>
      </c>
      <c r="B75" s="69" t="s">
        <v>90</v>
      </c>
      <c r="C75" s="73" t="s">
        <v>308</v>
      </c>
      <c r="D75" s="73" t="s">
        <v>284</v>
      </c>
      <c r="E75" s="110"/>
      <c r="F75" s="110"/>
    </row>
    <row r="76" spans="1:6" ht="15.95" customHeight="1">
      <c r="B76" s="67" t="s">
        <v>187</v>
      </c>
      <c r="C76" s="73">
        <v>77115657.099999994</v>
      </c>
      <c r="D76" s="73">
        <v>87645201</v>
      </c>
      <c r="E76" s="110"/>
      <c r="F76" s="110"/>
    </row>
    <row r="77" spans="1:6" ht="15.95" customHeight="1">
      <c r="B77" s="67" t="s">
        <v>211</v>
      </c>
      <c r="C77" s="73">
        <v>24409146.350000001</v>
      </c>
      <c r="D77" s="73">
        <v>29932932</v>
      </c>
      <c r="E77" s="110"/>
      <c r="F77" s="110"/>
    </row>
    <row r="78" spans="1:6" ht="15.95" customHeight="1">
      <c r="B78" s="65" t="s">
        <v>236</v>
      </c>
      <c r="C78" s="72">
        <f>SUM(C76:C77)</f>
        <v>101524803.44999999</v>
      </c>
      <c r="D78" s="72">
        <f>SUM(D76:D77)</f>
        <v>117578133</v>
      </c>
      <c r="E78" s="110"/>
      <c r="F78" s="110"/>
    </row>
    <row r="79" spans="1:6" ht="15.95" customHeight="1">
      <c r="C79" s="51">
        <f>C78-'Te ardhura e shpenzime'!D6</f>
        <v>0</v>
      </c>
      <c r="D79" s="51"/>
      <c r="E79" s="110"/>
      <c r="F79" s="110"/>
    </row>
    <row r="80" spans="1:6" ht="15.95" customHeight="1">
      <c r="A80" s="48">
        <v>12</v>
      </c>
      <c r="B80" s="97" t="s">
        <v>329</v>
      </c>
      <c r="C80" s="73" t="s">
        <v>308</v>
      </c>
      <c r="D80" s="73" t="s">
        <v>284</v>
      </c>
    </row>
    <row r="81" spans="2:5" ht="15.95" customHeight="1">
      <c r="B81" s="67" t="s">
        <v>249</v>
      </c>
      <c r="C81" s="73">
        <v>79649</v>
      </c>
      <c r="D81" s="73">
        <v>230308.53</v>
      </c>
    </row>
    <row r="82" spans="2:5" ht="15.95" customHeight="1">
      <c r="B82" s="67" t="s">
        <v>250</v>
      </c>
      <c r="C82" s="73">
        <v>12341570.609999999</v>
      </c>
      <c r="D82" s="73">
        <v>14685677.789999999</v>
      </c>
    </row>
    <row r="83" spans="2:5" ht="15.95" customHeight="1">
      <c r="B83" s="67" t="s">
        <v>285</v>
      </c>
      <c r="C83" s="73">
        <v>909782</v>
      </c>
      <c r="D83" s="73">
        <v>1078136</v>
      </c>
    </row>
    <row r="84" spans="2:5" ht="15.95" customHeight="1">
      <c r="B84" s="67" t="s">
        <v>286</v>
      </c>
      <c r="C84" s="73">
        <v>173506.97</v>
      </c>
      <c r="D84" s="73">
        <v>111067.96</v>
      </c>
    </row>
    <row r="85" spans="2:5" ht="15.95" customHeight="1">
      <c r="B85" s="67" t="s">
        <v>253</v>
      </c>
      <c r="C85" s="73">
        <v>67744424.319999993</v>
      </c>
      <c r="D85" s="73">
        <v>66374528.68</v>
      </c>
    </row>
    <row r="86" spans="2:5" ht="15.95" customHeight="1">
      <c r="B86" s="67" t="s">
        <v>254</v>
      </c>
      <c r="C86" s="73">
        <v>298234.87</v>
      </c>
      <c r="D86" s="73">
        <v>68290.960000000006</v>
      </c>
    </row>
    <row r="87" spans="2:5" ht="15.95" customHeight="1">
      <c r="B87" s="67" t="s">
        <v>223</v>
      </c>
      <c r="C87" s="73">
        <v>245549.79</v>
      </c>
      <c r="D87" s="73">
        <v>174616.52</v>
      </c>
    </row>
    <row r="88" spans="2:5" ht="15.95" customHeight="1">
      <c r="B88" s="67" t="s">
        <v>255</v>
      </c>
      <c r="C88" s="73">
        <v>1339200</v>
      </c>
      <c r="D88" s="73">
        <v>1201994.8999999999</v>
      </c>
    </row>
    <row r="89" spans="2:5" ht="15.95" customHeight="1">
      <c r="B89" s="67" t="s">
        <v>317</v>
      </c>
      <c r="C89" s="73">
        <v>2859678.16</v>
      </c>
      <c r="D89" s="73">
        <v>3777185.75</v>
      </c>
      <c r="E89" s="111"/>
    </row>
    <row r="90" spans="2:5" ht="15.95" customHeight="1">
      <c r="B90" s="67" t="s">
        <v>257</v>
      </c>
      <c r="C90" s="73">
        <v>99868.27</v>
      </c>
      <c r="D90" s="73">
        <v>426997.33</v>
      </c>
    </row>
    <row r="91" spans="2:5" ht="15.95" customHeight="1">
      <c r="B91" s="67" t="s">
        <v>292</v>
      </c>
      <c r="C91" s="73">
        <v>141796.31</v>
      </c>
      <c r="D91" s="73">
        <v>130984.58</v>
      </c>
    </row>
    <row r="92" spans="2:5" ht="15.95" customHeight="1">
      <c r="B92" s="67" t="s">
        <v>258</v>
      </c>
      <c r="C92" s="73">
        <v>97954.71</v>
      </c>
      <c r="D92" s="73">
        <v>87140.98</v>
      </c>
    </row>
    <row r="93" spans="2:5" ht="15.95" customHeight="1">
      <c r="B93" s="67" t="s">
        <v>318</v>
      </c>
      <c r="C93" s="73">
        <v>1200650.01</v>
      </c>
      <c r="D93" s="73">
        <v>1194562.5</v>
      </c>
      <c r="E93" s="112"/>
    </row>
    <row r="94" spans="2:5" ht="15.95" customHeight="1">
      <c r="B94" s="67" t="s">
        <v>266</v>
      </c>
      <c r="C94" s="73">
        <v>55000</v>
      </c>
      <c r="D94" s="73">
        <v>52095</v>
      </c>
    </row>
    <row r="95" spans="2:5" ht="15.95" customHeight="1">
      <c r="B95" s="67" t="s">
        <v>265</v>
      </c>
      <c r="C95" s="73">
        <v>562033.85</v>
      </c>
      <c r="D95" s="73">
        <v>564696</v>
      </c>
    </row>
    <row r="96" spans="2:5" ht="15.95" customHeight="1">
      <c r="B96" s="67" t="s">
        <v>293</v>
      </c>
      <c r="C96" s="73">
        <v>1105000</v>
      </c>
      <c r="D96" s="73">
        <v>1094225</v>
      </c>
    </row>
    <row r="97" spans="1:9" ht="15.95" customHeight="1">
      <c r="B97" s="67" t="s">
        <v>268</v>
      </c>
      <c r="C97" s="73">
        <v>2313150</v>
      </c>
      <c r="D97" s="73">
        <v>5562500</v>
      </c>
    </row>
    <row r="98" spans="1:9" ht="15.95" customHeight="1">
      <c r="B98" s="67" t="s">
        <v>294</v>
      </c>
      <c r="C98" s="73">
        <v>419995</v>
      </c>
      <c r="D98" s="73">
        <v>556282.5</v>
      </c>
    </row>
    <row r="99" spans="1:9" ht="15.95" customHeight="1">
      <c r="B99" s="67" t="s">
        <v>295</v>
      </c>
      <c r="C99" s="73">
        <v>4955344.72</v>
      </c>
      <c r="D99" s="73">
        <v>3703000</v>
      </c>
    </row>
    <row r="100" spans="1:9" ht="15.95" customHeight="1">
      <c r="B100" s="67" t="s">
        <v>271</v>
      </c>
      <c r="C100" s="73">
        <v>0</v>
      </c>
      <c r="D100" s="73">
        <v>125000</v>
      </c>
      <c r="I100" s="92"/>
    </row>
    <row r="101" spans="1:9" ht="15.95" customHeight="1">
      <c r="B101" s="67" t="s">
        <v>272</v>
      </c>
      <c r="C101" s="73">
        <v>165082.5</v>
      </c>
      <c r="D101" s="73">
        <v>180090</v>
      </c>
      <c r="I101" s="92"/>
    </row>
    <row r="102" spans="1:9" ht="15.95" customHeight="1">
      <c r="B102" s="67" t="s">
        <v>273</v>
      </c>
      <c r="C102" s="73">
        <v>48940.08</v>
      </c>
      <c r="D102" s="73">
        <v>60040</v>
      </c>
      <c r="I102" s="92"/>
    </row>
    <row r="103" spans="1:9" ht="15.95" customHeight="1">
      <c r="B103" s="67" t="s">
        <v>296</v>
      </c>
      <c r="C103" s="73">
        <v>0</v>
      </c>
      <c r="D103" s="73">
        <v>114340</v>
      </c>
    </row>
    <row r="104" spans="1:9" ht="15.95" customHeight="1">
      <c r="B104" s="67" t="s">
        <v>275</v>
      </c>
      <c r="C104" s="73">
        <v>30180.01</v>
      </c>
      <c r="D104" s="73">
        <v>22491</v>
      </c>
    </row>
    <row r="105" spans="1:9" ht="15.95" customHeight="1">
      <c r="B105" s="67" t="s">
        <v>277</v>
      </c>
      <c r="C105" s="73">
        <v>1015718.22</v>
      </c>
      <c r="D105" s="73">
        <v>2705943.94</v>
      </c>
    </row>
    <row r="106" spans="1:9" ht="15.95" customHeight="1">
      <c r="B106" s="67" t="s">
        <v>276</v>
      </c>
      <c r="C106" s="73">
        <v>383948</v>
      </c>
      <c r="D106" s="73">
        <v>266790</v>
      </c>
    </row>
    <row r="107" spans="1:9" ht="15.95" customHeight="1">
      <c r="B107" s="65" t="s">
        <v>236</v>
      </c>
      <c r="C107" s="72">
        <f>SUM(C81:C106)</f>
        <v>98586257.399999991</v>
      </c>
      <c r="D107" s="72">
        <f>SUM(D81:D106)</f>
        <v>104548985.91999999</v>
      </c>
    </row>
    <row r="108" spans="1:9" ht="15.95" customHeight="1">
      <c r="B108" s="113"/>
      <c r="C108" s="147"/>
      <c r="D108" s="147"/>
    </row>
    <row r="109" spans="1:9" ht="15.95" customHeight="1">
      <c r="A109" s="48">
        <v>13</v>
      </c>
      <c r="B109" s="97" t="s">
        <v>334</v>
      </c>
      <c r="C109" s="73" t="s">
        <v>308</v>
      </c>
      <c r="D109" s="73" t="s">
        <v>284</v>
      </c>
    </row>
    <row r="110" spans="1:9" ht="15.95" customHeight="1">
      <c r="B110" s="98" t="s">
        <v>335</v>
      </c>
      <c r="C110" s="73">
        <v>-33187847.16</v>
      </c>
      <c r="D110" s="73">
        <v>0</v>
      </c>
      <c r="F110" s="92"/>
      <c r="G110" s="92"/>
    </row>
    <row r="111" spans="1:9" ht="15.95" customHeight="1">
      <c r="B111" s="98" t="s">
        <v>336</v>
      </c>
      <c r="C111" s="73">
        <v>2627221</v>
      </c>
      <c r="D111" s="73">
        <v>0</v>
      </c>
      <c r="F111" s="92"/>
      <c r="G111" s="92"/>
    </row>
    <row r="112" spans="1:9" ht="15.95" customHeight="1">
      <c r="B112" s="98" t="s">
        <v>337</v>
      </c>
      <c r="C112" s="73">
        <v>1539190.46</v>
      </c>
      <c r="D112" s="73">
        <v>0</v>
      </c>
      <c r="F112" s="92"/>
      <c r="G112" s="92"/>
    </row>
    <row r="113" spans="1:12" ht="15.95" customHeight="1">
      <c r="B113" s="65" t="s">
        <v>236</v>
      </c>
      <c r="C113" s="72">
        <f>SUM(C110:C112)</f>
        <v>-29021435.699999999</v>
      </c>
      <c r="D113" s="72">
        <f>SUM(D110:D112)</f>
        <v>0</v>
      </c>
      <c r="F113" s="92"/>
      <c r="G113" s="92"/>
    </row>
    <row r="114" spans="1:12" ht="15.95" customHeight="1">
      <c r="B114" s="113"/>
      <c r="C114" s="147">
        <f>C113-'Te ardhura e shpenzime'!D24</f>
        <v>0</v>
      </c>
      <c r="D114" s="147">
        <f>D113-'Te ardhura e shpenzime'!E24</f>
        <v>0</v>
      </c>
      <c r="F114" s="92"/>
      <c r="G114" s="92"/>
    </row>
    <row r="115" spans="1:12" ht="15.95" customHeight="1">
      <c r="B115" s="113"/>
      <c r="C115" s="73" t="s">
        <v>308</v>
      </c>
      <c r="D115" s="73" t="s">
        <v>284</v>
      </c>
      <c r="F115" s="92"/>
      <c r="G115" s="92"/>
      <c r="I115" s="92"/>
      <c r="J115" s="92"/>
      <c r="K115" s="92"/>
    </row>
    <row r="116" spans="1:12" ht="15.95" customHeight="1">
      <c r="A116" s="48">
        <v>14</v>
      </c>
      <c r="B116" s="70" t="s">
        <v>319</v>
      </c>
      <c r="C116" s="178">
        <f>'Te ardhura e shpenzime'!D26</f>
        <v>-31915731.320000004</v>
      </c>
      <c r="D116" s="49">
        <f>'Te ardhura e shpenzime'!E26</f>
        <v>3007008.9300000174</v>
      </c>
      <c r="F116" s="92"/>
      <c r="G116" s="92"/>
      <c r="I116" s="92"/>
      <c r="J116" s="92"/>
      <c r="K116" s="92"/>
    </row>
    <row r="117" spans="1:12" ht="15.95" customHeight="1">
      <c r="B117" s="67" t="str">
        <f>B104</f>
        <v>Penalitete, gjoba e demshperbli</v>
      </c>
      <c r="C117" s="49">
        <v>30180.01</v>
      </c>
      <c r="D117" s="49">
        <v>22491</v>
      </c>
      <c r="F117" s="92"/>
      <c r="G117" s="92"/>
      <c r="I117" s="92"/>
      <c r="J117" s="92"/>
      <c r="K117" s="92"/>
    </row>
    <row r="118" spans="1:12" ht="15.95" customHeight="1">
      <c r="B118" s="67" t="str">
        <f>B105</f>
        <v>Energji te pazbritshme</v>
      </c>
      <c r="C118" s="49">
        <v>1015718.22</v>
      </c>
      <c r="D118" s="49">
        <v>2705943.94</v>
      </c>
      <c r="F118" s="92"/>
      <c r="G118" s="92"/>
      <c r="I118" s="92"/>
      <c r="J118" s="92"/>
      <c r="K118" s="92"/>
    </row>
    <row r="119" spans="1:12" ht="15.95" customHeight="1">
      <c r="B119" s="67" t="str">
        <f>B106</f>
        <v>Shp. te pazbritshme</v>
      </c>
      <c r="C119" s="49">
        <v>383948</v>
      </c>
      <c r="D119" s="49">
        <v>266790</v>
      </c>
      <c r="F119" s="92"/>
      <c r="G119" s="92"/>
      <c r="I119" s="92"/>
      <c r="J119" s="92"/>
      <c r="K119" s="92"/>
      <c r="L119" s="106"/>
    </row>
    <row r="120" spans="1:12" ht="15.95" customHeight="1">
      <c r="B120" s="67" t="s">
        <v>333</v>
      </c>
      <c r="C120" s="49">
        <v>33187847.16</v>
      </c>
      <c r="D120" s="49"/>
      <c r="F120" s="92"/>
      <c r="G120" s="92"/>
      <c r="I120" s="92"/>
      <c r="J120" s="92"/>
      <c r="K120" s="92"/>
    </row>
    <row r="121" spans="1:12" ht="15.95" customHeight="1">
      <c r="B121" s="67" t="s">
        <v>341</v>
      </c>
      <c r="C121" s="51">
        <f>SUM(C116:C120)</f>
        <v>2701962.0699999966</v>
      </c>
      <c r="D121" s="51">
        <f>SUM(D116:D120)</f>
        <v>6002233.8700000178</v>
      </c>
      <c r="E121" s="92"/>
      <c r="F121" s="92"/>
      <c r="G121" s="92"/>
      <c r="I121" s="92"/>
      <c r="J121" s="92"/>
      <c r="K121" s="92"/>
    </row>
    <row r="122" spans="1:12" ht="15.95" customHeight="1">
      <c r="B122" s="67" t="s">
        <v>280</v>
      </c>
      <c r="C122" s="49">
        <v>270196.20699999965</v>
      </c>
      <c r="D122" s="49">
        <v>600223.38700000185</v>
      </c>
      <c r="F122" s="92"/>
      <c r="G122" s="92"/>
      <c r="I122" s="92"/>
      <c r="J122" s="92"/>
      <c r="K122" s="92"/>
    </row>
    <row r="123" spans="1:12" ht="15.95" customHeight="1">
      <c r="B123" s="67" t="s">
        <v>281</v>
      </c>
      <c r="C123" s="49">
        <v>789263.61299999815</v>
      </c>
      <c r="D123" s="49">
        <v>1389487</v>
      </c>
      <c r="F123" s="92"/>
      <c r="G123" s="92"/>
      <c r="I123" s="92"/>
      <c r="J123" s="92"/>
      <c r="K123" s="92"/>
    </row>
    <row r="124" spans="1:12" ht="15.95" customHeight="1">
      <c r="B124" s="67" t="s">
        <v>282</v>
      </c>
      <c r="C124" s="49">
        <v>519067.4059999985</v>
      </c>
      <c r="D124" s="49">
        <v>789263.61299999815</v>
      </c>
    </row>
    <row r="125" spans="1:12" ht="15.95" customHeight="1">
      <c r="B125" s="67"/>
      <c r="I125" s="106"/>
      <c r="K125" s="106"/>
    </row>
    <row r="126" spans="1:12" ht="15.95" customHeight="1">
      <c r="B126" s="67"/>
    </row>
    <row r="127" spans="1:12" ht="15.95" customHeight="1">
      <c r="B127" s="76" t="s">
        <v>244</v>
      </c>
      <c r="D127" s="76" t="s">
        <v>188</v>
      </c>
    </row>
    <row r="128" spans="1:12" ht="15.95" customHeight="1">
      <c r="B128" s="45" t="s">
        <v>320</v>
      </c>
      <c r="D128" s="45" t="s">
        <v>243</v>
      </c>
    </row>
    <row r="129" spans="2:5" ht="15.95" customHeight="1">
      <c r="B129" s="45" t="s">
        <v>344</v>
      </c>
      <c r="D129" s="45" t="s">
        <v>246</v>
      </c>
    </row>
    <row r="130" spans="2:5" ht="15.95" customHeight="1">
      <c r="E130" s="76"/>
    </row>
  </sheetData>
  <mergeCells count="8">
    <mergeCell ref="B10:H10"/>
    <mergeCell ref="B11:H11"/>
    <mergeCell ref="B4:H4"/>
    <mergeCell ref="B5:H5"/>
    <mergeCell ref="B6:H6"/>
    <mergeCell ref="B7:H7"/>
    <mergeCell ref="B8:H8"/>
    <mergeCell ref="B9:H9"/>
  </mergeCells>
  <pageMargins left="0.11" right="0.11" top="0.08" bottom="0.11" header="0.08" footer="0.08"/>
  <pageSetup scale="90" orientation="portrait" r:id="rId1"/>
  <headerFooter alignWithMargins="0">
    <oddHeader>&amp;CD L Administrim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111"/>
  <sheetViews>
    <sheetView topLeftCell="A88" workbookViewId="0">
      <selection activeCell="G104" sqref="G104"/>
    </sheetView>
  </sheetViews>
  <sheetFormatPr defaultRowHeight="14.25"/>
  <cols>
    <col min="1" max="1" width="3.28515625" style="48" bestFit="1" customWidth="1"/>
    <col min="2" max="2" width="34" style="45" bestFit="1" customWidth="1"/>
    <col min="3" max="3" width="17.5703125" style="49" bestFit="1" customWidth="1"/>
    <col min="4" max="4" width="11.85546875" style="46" bestFit="1" customWidth="1"/>
    <col min="5" max="5" width="11.85546875" style="46" customWidth="1"/>
    <col min="6" max="6" width="15.85546875" style="46" bestFit="1" customWidth="1"/>
    <col min="7" max="7" width="10.42578125" style="46" bestFit="1" customWidth="1"/>
    <col min="8" max="8" width="13.7109375" style="46" bestFit="1" customWidth="1"/>
    <col min="9" max="9" width="16.140625" style="46" bestFit="1" customWidth="1"/>
    <col min="10" max="10" width="9.140625" style="46"/>
    <col min="11" max="11" width="13.85546875" style="46" customWidth="1"/>
    <col min="12" max="12" width="12.7109375" style="46" customWidth="1"/>
    <col min="13" max="16384" width="9.140625" style="46"/>
  </cols>
  <sheetData>
    <row r="1" spans="1:8">
      <c r="B1" s="65" t="s">
        <v>160</v>
      </c>
    </row>
    <row r="2" spans="1:8">
      <c r="B2" s="65"/>
    </row>
    <row r="3" spans="1:8">
      <c r="A3" s="48">
        <v>1</v>
      </c>
      <c r="B3" s="65" t="s">
        <v>184</v>
      </c>
    </row>
    <row r="4" spans="1:8" ht="41.25" customHeight="1">
      <c r="B4" s="201" t="s">
        <v>213</v>
      </c>
      <c r="C4" s="201"/>
      <c r="D4" s="201"/>
      <c r="E4" s="201"/>
      <c r="F4" s="201"/>
      <c r="G4" s="201"/>
      <c r="H4" s="201"/>
    </row>
    <row r="5" spans="1:8" ht="30.75" customHeight="1">
      <c r="B5" s="200" t="s">
        <v>228</v>
      </c>
      <c r="C5" s="200"/>
      <c r="D5" s="200"/>
      <c r="E5" s="200"/>
      <c r="F5" s="200"/>
      <c r="G5" s="200"/>
      <c r="H5" s="200"/>
    </row>
    <row r="6" spans="1:8">
      <c r="B6" s="200" t="s">
        <v>214</v>
      </c>
      <c r="C6" s="200"/>
      <c r="D6" s="200"/>
      <c r="E6" s="200"/>
      <c r="F6" s="200"/>
      <c r="G6" s="200"/>
      <c r="H6" s="200"/>
    </row>
    <row r="7" spans="1:8" ht="30" customHeight="1">
      <c r="B7" s="200" t="s">
        <v>225</v>
      </c>
      <c r="C7" s="200"/>
      <c r="D7" s="200"/>
      <c r="E7" s="200"/>
      <c r="F7" s="200"/>
      <c r="G7" s="200"/>
      <c r="H7" s="200"/>
    </row>
    <row r="8" spans="1:8" ht="33.75" customHeight="1">
      <c r="B8" s="200" t="s">
        <v>226</v>
      </c>
      <c r="C8" s="200"/>
      <c r="D8" s="200"/>
      <c r="E8" s="200"/>
      <c r="F8" s="200"/>
      <c r="G8" s="200"/>
      <c r="H8" s="200"/>
    </row>
    <row r="9" spans="1:8" ht="14.25" customHeight="1">
      <c r="B9" s="202" t="s">
        <v>235</v>
      </c>
      <c r="C9" s="202"/>
      <c r="D9" s="202"/>
      <c r="E9" s="202"/>
      <c r="F9" s="202"/>
      <c r="G9" s="202"/>
      <c r="H9" s="202"/>
    </row>
    <row r="10" spans="1:8" ht="52.5" customHeight="1">
      <c r="B10" s="200" t="s">
        <v>216</v>
      </c>
      <c r="C10" s="200"/>
      <c r="D10" s="200"/>
      <c r="E10" s="200"/>
      <c r="F10" s="200"/>
      <c r="G10" s="200"/>
      <c r="H10" s="200"/>
    </row>
    <row r="11" spans="1:8" ht="22.5" customHeight="1">
      <c r="B11" s="200" t="s">
        <v>215</v>
      </c>
      <c r="C11" s="200"/>
      <c r="D11" s="200"/>
      <c r="E11" s="200"/>
      <c r="F11" s="200"/>
      <c r="G11" s="200"/>
      <c r="H11" s="200"/>
    </row>
    <row r="12" spans="1:8">
      <c r="B12" s="50" t="s">
        <v>169</v>
      </c>
      <c r="C12" s="44">
        <v>40908</v>
      </c>
      <c r="D12" s="45"/>
      <c r="E12" s="45"/>
      <c r="F12" s="45"/>
      <c r="G12" s="45"/>
      <c r="H12" s="45"/>
    </row>
    <row r="13" spans="1:8" ht="32.25" customHeight="1">
      <c r="B13" s="50" t="s">
        <v>227</v>
      </c>
      <c r="C13" s="47">
        <v>138.93</v>
      </c>
      <c r="D13" s="45"/>
      <c r="E13" s="45"/>
      <c r="F13" s="45"/>
      <c r="G13" s="45"/>
      <c r="H13" s="45"/>
    </row>
    <row r="14" spans="1:8">
      <c r="A14" s="50">
        <v>2</v>
      </c>
      <c r="B14" s="65" t="s">
        <v>161</v>
      </c>
    </row>
    <row r="15" spans="1:8">
      <c r="A15" s="50"/>
      <c r="B15" s="66" t="s">
        <v>162</v>
      </c>
      <c r="C15" s="49">
        <f>[2]Sheet1!$H$19</f>
        <v>931435.82</v>
      </c>
    </row>
    <row r="16" spans="1:8">
      <c r="A16" s="50"/>
      <c r="B16" s="66" t="s">
        <v>163</v>
      </c>
      <c r="C16" s="49">
        <f>[2]Sheet1!$H$23</f>
        <v>173661.44</v>
      </c>
    </row>
    <row r="17" spans="1:6">
      <c r="A17" s="50"/>
      <c r="B17" s="66"/>
      <c r="C17" s="51">
        <f>SUM(C15:C16)</f>
        <v>1105097.26</v>
      </c>
    </row>
    <row r="18" spans="1:6">
      <c r="A18" s="50"/>
      <c r="B18" s="66"/>
    </row>
    <row r="19" spans="1:6" ht="23.25">
      <c r="A19" s="50">
        <v>3</v>
      </c>
      <c r="B19" s="65" t="s">
        <v>191</v>
      </c>
    </row>
    <row r="20" spans="1:6">
      <c r="A20" s="50"/>
      <c r="B20" s="66" t="s">
        <v>195</v>
      </c>
      <c r="C20" s="49">
        <f>[2]Sheet1!$H$31</f>
        <v>62339715.579999998</v>
      </c>
    </row>
    <row r="21" spans="1:6">
      <c r="A21" s="50"/>
      <c r="B21" s="66" t="s">
        <v>186</v>
      </c>
      <c r="C21" s="49">
        <v>1089487.4909999997</v>
      </c>
    </row>
    <row r="22" spans="1:6">
      <c r="A22" s="50"/>
      <c r="B22" s="66" t="s">
        <v>192</v>
      </c>
      <c r="C22" s="49">
        <f>[2]Sheet1!$H$39</f>
        <v>38184.339999999997</v>
      </c>
    </row>
    <row r="23" spans="1:6">
      <c r="A23" s="50"/>
      <c r="B23" s="66" t="s">
        <v>194</v>
      </c>
      <c r="C23" s="49">
        <f>[2]Sheet1!$H$46</f>
        <v>139594</v>
      </c>
    </row>
    <row r="24" spans="1:6">
      <c r="A24" s="50"/>
      <c r="B24" s="66" t="s">
        <v>229</v>
      </c>
      <c r="C24" s="49">
        <f>[2]Sheet1!$H$47</f>
        <v>582981</v>
      </c>
    </row>
    <row r="25" spans="1:6">
      <c r="A25" s="50"/>
      <c r="B25" s="66"/>
      <c r="C25" s="51">
        <f>SUM(C20:C24)</f>
        <v>64189962.410999998</v>
      </c>
      <c r="F25" s="79"/>
    </row>
    <row r="26" spans="1:6">
      <c r="A26" s="50"/>
      <c r="B26" s="66"/>
    </row>
    <row r="27" spans="1:6">
      <c r="A27" s="50">
        <v>4</v>
      </c>
      <c r="B27" s="65" t="s">
        <v>197</v>
      </c>
    </row>
    <row r="28" spans="1:6">
      <c r="A28" s="50"/>
      <c r="B28" s="66" t="s">
        <v>196</v>
      </c>
      <c r="C28" s="49">
        <f>[2]Sheet1!$H$34+[2]Sheet1!$H$36</f>
        <v>1363778.9</v>
      </c>
    </row>
    <row r="29" spans="1:6">
      <c r="A29" s="50"/>
      <c r="B29" s="67"/>
      <c r="C29" s="51">
        <f>SUM(C28:C28)</f>
        <v>1363778.9</v>
      </c>
    </row>
    <row r="30" spans="1:6">
      <c r="A30" s="50"/>
      <c r="B30" s="66"/>
    </row>
    <row r="31" spans="1:6" ht="23.25">
      <c r="A31" s="50" t="s">
        <v>198</v>
      </c>
      <c r="B31" s="65" t="s">
        <v>39</v>
      </c>
    </row>
    <row r="32" spans="1:6">
      <c r="A32" s="50"/>
      <c r="B32" s="66" t="s">
        <v>193</v>
      </c>
      <c r="C32" s="49" t="e">
        <f>'Aktivet e detajuara'!#REF!</f>
        <v>#REF!</v>
      </c>
    </row>
    <row r="33" spans="1:11">
      <c r="A33" s="50"/>
      <c r="B33" s="66"/>
    </row>
    <row r="34" spans="1:11">
      <c r="A34" s="50"/>
      <c r="B34" s="66"/>
    </row>
    <row r="35" spans="1:11">
      <c r="A35" s="50" t="s">
        <v>230</v>
      </c>
      <c r="B35" s="65" t="s">
        <v>199</v>
      </c>
    </row>
    <row r="36" spans="1:11">
      <c r="A36" s="50"/>
      <c r="B36" s="66"/>
    </row>
    <row r="37" spans="1:11" ht="21.75">
      <c r="A37" s="50"/>
      <c r="B37" s="80" t="s">
        <v>199</v>
      </c>
      <c r="C37" s="80" t="s">
        <v>200</v>
      </c>
      <c r="D37" s="81" t="s">
        <v>207</v>
      </c>
      <c r="E37" s="81" t="s">
        <v>201</v>
      </c>
      <c r="F37" s="82" t="s">
        <v>247</v>
      </c>
      <c r="G37" s="81" t="s">
        <v>202</v>
      </c>
      <c r="H37" s="81" t="s">
        <v>203</v>
      </c>
      <c r="K37" s="52"/>
    </row>
    <row r="38" spans="1:11">
      <c r="A38" s="50"/>
      <c r="B38" s="75" t="s">
        <v>42</v>
      </c>
      <c r="C38" s="83" t="e">
        <f>#REF!</f>
        <v>#REF!</v>
      </c>
      <c r="D38" s="84" t="e">
        <f>#REF!</f>
        <v>#REF!</v>
      </c>
      <c r="E38" s="84" t="e">
        <f>#REF!</f>
        <v>#REF!</v>
      </c>
      <c r="F38" s="83" t="e">
        <f>#REF!</f>
        <v>#REF!</v>
      </c>
      <c r="G38" s="85" t="s">
        <v>204</v>
      </c>
      <c r="H38" s="83" t="e">
        <f>#REF!</f>
        <v>#REF!</v>
      </c>
      <c r="K38" s="52"/>
    </row>
    <row r="39" spans="1:11">
      <c r="A39" s="50"/>
      <c r="B39" s="75" t="s">
        <v>237</v>
      </c>
      <c r="C39" s="83" t="e">
        <f>#REF!</f>
        <v>#REF!</v>
      </c>
      <c r="D39" s="84" t="e">
        <f>#REF!</f>
        <v>#REF!</v>
      </c>
      <c r="E39" s="84" t="e">
        <f>#REF!</f>
        <v>#REF!</v>
      </c>
      <c r="F39" s="83" t="e">
        <f>#REF!</f>
        <v>#REF!</v>
      </c>
      <c r="G39" s="85" t="s">
        <v>204</v>
      </c>
      <c r="H39" s="83" t="e">
        <f>#REF!</f>
        <v>#REF!</v>
      </c>
      <c r="J39" s="3"/>
      <c r="K39" s="53"/>
    </row>
    <row r="40" spans="1:11">
      <c r="A40" s="50"/>
      <c r="B40" s="75" t="s">
        <v>238</v>
      </c>
      <c r="C40" s="83" t="e">
        <f>#REF!</f>
        <v>#REF!</v>
      </c>
      <c r="D40" s="84" t="e">
        <f>#REF!</f>
        <v>#REF!</v>
      </c>
      <c r="E40" s="84" t="e">
        <f>#REF!</f>
        <v>#REF!</v>
      </c>
      <c r="F40" s="83" t="e">
        <f>#REF!</f>
        <v>#REF!</v>
      </c>
      <c r="G40" s="85" t="s">
        <v>205</v>
      </c>
      <c r="H40" s="83" t="e">
        <f>#REF!</f>
        <v>#REF!</v>
      </c>
      <c r="J40" s="3"/>
      <c r="K40" s="53"/>
    </row>
    <row r="41" spans="1:11">
      <c r="A41" s="50"/>
      <c r="B41" s="75" t="s">
        <v>239</v>
      </c>
      <c r="C41" s="83" t="e">
        <f>#REF!</f>
        <v>#REF!</v>
      </c>
      <c r="D41" s="84" t="e">
        <f>#REF!</f>
        <v>#REF!</v>
      </c>
      <c r="E41" s="84" t="e">
        <f>#REF!</f>
        <v>#REF!</v>
      </c>
      <c r="F41" s="83" t="e">
        <f>#REF!</f>
        <v>#REF!</v>
      </c>
      <c r="G41" s="85" t="s">
        <v>204</v>
      </c>
      <c r="H41" s="83" t="e">
        <f>#REF!</f>
        <v>#REF!</v>
      </c>
      <c r="J41" s="3"/>
      <c r="K41" s="53"/>
    </row>
    <row r="42" spans="1:11">
      <c r="A42" s="50"/>
      <c r="B42" s="75" t="s">
        <v>241</v>
      </c>
      <c r="C42" s="83" t="e">
        <f>#REF!</f>
        <v>#REF!</v>
      </c>
      <c r="D42" s="84" t="e">
        <f>#REF!</f>
        <v>#REF!</v>
      </c>
      <c r="E42" s="84" t="e">
        <f>#REF!</f>
        <v>#REF!</v>
      </c>
      <c r="F42" s="83" t="e">
        <f>#REF!</f>
        <v>#REF!</v>
      </c>
      <c r="G42" s="85" t="s">
        <v>204</v>
      </c>
      <c r="H42" s="83" t="e">
        <f>#REF!</f>
        <v>#REF!</v>
      </c>
      <c r="J42" s="3"/>
      <c r="K42" s="53"/>
    </row>
    <row r="43" spans="1:11">
      <c r="A43" s="50"/>
      <c r="B43" s="75" t="s">
        <v>240</v>
      </c>
      <c r="C43" s="83" t="e">
        <f>#REF!</f>
        <v>#REF!</v>
      </c>
      <c r="D43" s="84" t="e">
        <f>#REF!</f>
        <v>#REF!</v>
      </c>
      <c r="E43" s="84" t="e">
        <f>#REF!</f>
        <v>#REF!</v>
      </c>
      <c r="F43" s="83" t="e">
        <f>#REF!</f>
        <v>#REF!</v>
      </c>
      <c r="G43" s="85" t="s">
        <v>204</v>
      </c>
      <c r="H43" s="83" t="e">
        <f>#REF!</f>
        <v>#REF!</v>
      </c>
      <c r="J43" s="3"/>
      <c r="K43" s="53"/>
    </row>
    <row r="44" spans="1:11">
      <c r="A44" s="50"/>
      <c r="B44" s="75" t="s">
        <v>242</v>
      </c>
      <c r="C44" s="83" t="e">
        <f>#REF!</f>
        <v>#REF!</v>
      </c>
      <c r="D44" s="84" t="e">
        <f>#REF!</f>
        <v>#REF!</v>
      </c>
      <c r="E44" s="84" t="e">
        <f>#REF!</f>
        <v>#REF!</v>
      </c>
      <c r="F44" s="83" t="e">
        <f>#REF!</f>
        <v>#REF!</v>
      </c>
      <c r="G44" s="86">
        <f>SUM(G38:G43)</f>
        <v>0</v>
      </c>
      <c r="H44" s="83" t="e">
        <f>#REF!</f>
        <v>#REF!</v>
      </c>
      <c r="J44" s="3"/>
      <c r="K44" s="53"/>
    </row>
    <row r="45" spans="1:11">
      <c r="A45" s="50"/>
      <c r="B45" s="75" t="s">
        <v>206</v>
      </c>
      <c r="C45" s="83" t="e">
        <f>#REF!</f>
        <v>#REF!</v>
      </c>
      <c r="D45" s="84" t="e">
        <f>#REF!</f>
        <v>#REF!</v>
      </c>
      <c r="E45" s="84" t="e">
        <f>#REF!</f>
        <v>#REF!</v>
      </c>
      <c r="F45" s="83" t="e">
        <f>#REF!</f>
        <v>#REF!</v>
      </c>
      <c r="G45" s="86"/>
      <c r="H45" s="83" t="e">
        <f>#REF!</f>
        <v>#REF!</v>
      </c>
      <c r="J45" s="3"/>
      <c r="K45" s="53"/>
    </row>
    <row r="46" spans="1:11">
      <c r="A46" s="50"/>
      <c r="B46" s="87"/>
      <c r="C46" s="86" t="e">
        <f t="shared" ref="C46:H46" si="0">SUM(C38:C45)</f>
        <v>#REF!</v>
      </c>
      <c r="D46" s="86" t="e">
        <f t="shared" si="0"/>
        <v>#REF!</v>
      </c>
      <c r="E46" s="86" t="e">
        <f t="shared" si="0"/>
        <v>#REF!</v>
      </c>
      <c r="F46" s="86" t="e">
        <f t="shared" si="0"/>
        <v>#REF!</v>
      </c>
      <c r="G46" s="86">
        <f t="shared" si="0"/>
        <v>0</v>
      </c>
      <c r="H46" s="86" t="e">
        <f t="shared" si="0"/>
        <v>#REF!</v>
      </c>
      <c r="J46" s="3"/>
      <c r="K46" s="53"/>
    </row>
    <row r="47" spans="1:11">
      <c r="A47" s="50"/>
      <c r="B47" s="68"/>
      <c r="C47" s="40"/>
      <c r="D47" s="40"/>
      <c r="E47" s="40"/>
      <c r="F47" s="40"/>
      <c r="G47" s="40"/>
      <c r="H47" s="40"/>
      <c r="J47" s="3"/>
      <c r="K47" s="53"/>
    </row>
    <row r="48" spans="1:11">
      <c r="A48" s="50" t="s">
        <v>208</v>
      </c>
      <c r="B48" s="65" t="s">
        <v>63</v>
      </c>
      <c r="D48" s="54"/>
      <c r="E48" s="54"/>
    </row>
    <row r="49" spans="1:6">
      <c r="A49" s="50"/>
      <c r="B49" s="66" t="s">
        <v>164</v>
      </c>
      <c r="C49" s="49">
        <f>[2]Sheet1!$H$97</f>
        <v>56741</v>
      </c>
      <c r="D49" s="54"/>
      <c r="E49" s="54"/>
    </row>
    <row r="50" spans="1:6">
      <c r="A50" s="50"/>
      <c r="B50" s="66" t="s">
        <v>209</v>
      </c>
      <c r="C50" s="49">
        <f>[2]Sheet1!$H$88+[2]Sheet1!$H$92</f>
        <v>114524</v>
      </c>
      <c r="D50" s="54"/>
      <c r="E50" s="54"/>
    </row>
    <row r="51" spans="1:6">
      <c r="A51" s="50"/>
      <c r="B51" s="66" t="s">
        <v>185</v>
      </c>
      <c r="C51" s="49">
        <f>[2]Sheet1!$H$86</f>
        <v>502907.96</v>
      </c>
      <c r="D51" s="54"/>
      <c r="E51" s="54"/>
    </row>
    <row r="52" spans="1:6">
      <c r="A52" s="50"/>
      <c r="B52" s="66" t="s">
        <v>210</v>
      </c>
      <c r="C52" s="49">
        <f>[2]Sheet1!$H$98</f>
        <v>2718789.18</v>
      </c>
      <c r="D52" s="54"/>
      <c r="E52" s="54"/>
    </row>
    <row r="53" spans="1:6">
      <c r="A53" s="50"/>
      <c r="B53" s="66"/>
      <c r="C53" s="51">
        <f>SUM(C49:C52)</f>
        <v>3392962.14</v>
      </c>
      <c r="D53" s="54"/>
      <c r="E53" s="54"/>
    </row>
    <row r="54" spans="1:6">
      <c r="A54" s="50"/>
      <c r="B54" s="66"/>
      <c r="D54" s="54"/>
      <c r="E54" s="54"/>
    </row>
    <row r="55" spans="1:6">
      <c r="A55" s="55">
        <v>8</v>
      </c>
      <c r="B55" s="69" t="s">
        <v>65</v>
      </c>
    </row>
    <row r="56" spans="1:6">
      <c r="B56" s="66" t="s">
        <v>231</v>
      </c>
      <c r="C56" s="56" t="e">
        <f>'Aktivet e detajuara'!#REF!</f>
        <v>#REF!</v>
      </c>
      <c r="D56" s="57"/>
      <c r="E56" s="57"/>
    </row>
    <row r="57" spans="1:6">
      <c r="B57" s="67"/>
      <c r="C57" s="58" t="e">
        <f>SUM(C56)</f>
        <v>#REF!</v>
      </c>
      <c r="D57" s="57"/>
      <c r="E57" s="57"/>
    </row>
    <row r="58" spans="1:6">
      <c r="C58" s="51"/>
      <c r="D58" s="59"/>
      <c r="E58" s="59"/>
      <c r="F58" s="59"/>
    </row>
    <row r="59" spans="1:6">
      <c r="A59" s="48">
        <v>9</v>
      </c>
      <c r="B59" s="69" t="s">
        <v>90</v>
      </c>
      <c r="C59" s="72"/>
      <c r="D59" s="59"/>
      <c r="E59" s="59"/>
      <c r="F59" s="59"/>
    </row>
    <row r="60" spans="1:6">
      <c r="B60" s="67" t="s">
        <v>187</v>
      </c>
      <c r="C60" s="73">
        <f>[3]Sheet1!$I$6+[3]Sheet1!$K$6</f>
        <v>99923431.969999999</v>
      </c>
      <c r="D60" s="59"/>
      <c r="E60" s="59"/>
      <c r="F60" s="59"/>
    </row>
    <row r="61" spans="1:6">
      <c r="B61" s="67" t="s">
        <v>211</v>
      </c>
      <c r="C61" s="73">
        <f>[3]Sheet1!$H$6+[3]Sheet1!$J$6</f>
        <v>33652586.380000003</v>
      </c>
      <c r="D61" s="59"/>
      <c r="E61" s="59"/>
      <c r="F61" s="59"/>
    </row>
    <row r="62" spans="1:6">
      <c r="B62" s="74"/>
      <c r="C62" s="72">
        <f>SUM(C60:C61)</f>
        <v>133576018.34999999</v>
      </c>
      <c r="D62" s="59"/>
      <c r="E62" s="59"/>
      <c r="F62" s="59"/>
    </row>
    <row r="63" spans="1:6">
      <c r="C63" s="51"/>
      <c r="D63" s="59"/>
      <c r="E63" s="59"/>
      <c r="F63" s="59"/>
    </row>
    <row r="64" spans="1:6" ht="22.5">
      <c r="A64" s="48">
        <v>10</v>
      </c>
      <c r="B64" s="70" t="s">
        <v>165</v>
      </c>
    </row>
    <row r="65" spans="2:3">
      <c r="B65" s="67" t="s">
        <v>248</v>
      </c>
      <c r="C65" s="63">
        <v>240700</v>
      </c>
    </row>
    <row r="66" spans="2:3">
      <c r="B66" s="67" t="s">
        <v>249</v>
      </c>
      <c r="C66" s="63">
        <v>27089</v>
      </c>
    </row>
    <row r="67" spans="2:3">
      <c r="B67" s="67" t="s">
        <v>250</v>
      </c>
      <c r="C67" s="63">
        <v>12406108.34</v>
      </c>
    </row>
    <row r="68" spans="2:3">
      <c r="B68" s="67" t="s">
        <v>251</v>
      </c>
      <c r="C68" s="63">
        <v>806450</v>
      </c>
    </row>
    <row r="69" spans="2:3">
      <c r="B69" s="67" t="s">
        <v>252</v>
      </c>
      <c r="C69" s="63">
        <v>87280.33</v>
      </c>
    </row>
    <row r="70" spans="2:3">
      <c r="B70" s="67" t="s">
        <v>253</v>
      </c>
      <c r="C70" s="63">
        <v>81223926.560000002</v>
      </c>
    </row>
    <row r="71" spans="2:3">
      <c r="B71" s="67" t="s">
        <v>254</v>
      </c>
      <c r="C71" s="63">
        <v>1460476.0999999999</v>
      </c>
    </row>
    <row r="72" spans="2:3">
      <c r="B72" s="67" t="s">
        <v>255</v>
      </c>
      <c r="C72" s="63">
        <v>1285744</v>
      </c>
    </row>
    <row r="73" spans="2:3">
      <c r="B73" s="67" t="s">
        <v>256</v>
      </c>
      <c r="C73" s="63">
        <v>3236935.55</v>
      </c>
    </row>
    <row r="74" spans="2:3">
      <c r="B74" s="67" t="s">
        <v>257</v>
      </c>
      <c r="C74" s="63">
        <v>424150.41000000003</v>
      </c>
    </row>
    <row r="75" spans="2:3">
      <c r="B75" s="67" t="s">
        <v>258</v>
      </c>
      <c r="C75" s="63">
        <v>83041.100000000006</v>
      </c>
    </row>
    <row r="76" spans="2:3">
      <c r="B76" s="67" t="s">
        <v>259</v>
      </c>
      <c r="C76" s="63">
        <v>139200</v>
      </c>
    </row>
    <row r="77" spans="2:3">
      <c r="B77" s="67" t="s">
        <v>260</v>
      </c>
      <c r="C77" s="63">
        <v>-630.25</v>
      </c>
    </row>
    <row r="78" spans="2:3">
      <c r="B78" s="67" t="s">
        <v>261</v>
      </c>
      <c r="C78" s="63">
        <v>2700</v>
      </c>
    </row>
    <row r="79" spans="2:3">
      <c r="B79" s="67" t="s">
        <v>262</v>
      </c>
      <c r="C79" s="63">
        <v>1022733.33</v>
      </c>
    </row>
    <row r="80" spans="2:3">
      <c r="B80" s="67" t="s">
        <v>263</v>
      </c>
      <c r="C80" s="63">
        <v>9280</v>
      </c>
    </row>
    <row r="81" spans="1:9">
      <c r="B81" s="67" t="s">
        <v>264</v>
      </c>
      <c r="C81" s="63">
        <v>284446.90000000002</v>
      </c>
    </row>
    <row r="82" spans="1:9">
      <c r="B82" s="67" t="s">
        <v>265</v>
      </c>
      <c r="C82" s="63">
        <v>587411.6</v>
      </c>
    </row>
    <row r="83" spans="1:9">
      <c r="B83" s="67" t="s">
        <v>266</v>
      </c>
      <c r="C83" s="63">
        <v>51500</v>
      </c>
    </row>
    <row r="84" spans="1:9">
      <c r="B84" s="67" t="s">
        <v>267</v>
      </c>
      <c r="C84" s="63">
        <v>1245749.33</v>
      </c>
    </row>
    <row r="85" spans="1:9">
      <c r="B85" s="67" t="s">
        <v>268</v>
      </c>
      <c r="C85" s="63">
        <v>5082350</v>
      </c>
    </row>
    <row r="86" spans="1:9">
      <c r="B86" s="67" t="s">
        <v>269</v>
      </c>
      <c r="C86" s="63">
        <v>559758</v>
      </c>
    </row>
    <row r="87" spans="1:9">
      <c r="B87" s="67" t="s">
        <v>270</v>
      </c>
      <c r="C87" s="63">
        <v>4077168</v>
      </c>
    </row>
    <row r="88" spans="1:9">
      <c r="B88" s="67" t="s">
        <v>271</v>
      </c>
      <c r="C88" s="63">
        <v>162500</v>
      </c>
    </row>
    <row r="89" spans="1:9">
      <c r="B89" s="67" t="s">
        <v>272</v>
      </c>
      <c r="C89" s="63">
        <v>211932</v>
      </c>
    </row>
    <row r="90" spans="1:9">
      <c r="B90" s="67" t="s">
        <v>273</v>
      </c>
      <c r="C90" s="63">
        <v>41220</v>
      </c>
      <c r="I90" s="52"/>
    </row>
    <row r="91" spans="1:9">
      <c r="B91" s="67" t="s">
        <v>274</v>
      </c>
      <c r="C91" s="63">
        <v>206030</v>
      </c>
      <c r="I91" s="52"/>
    </row>
    <row r="92" spans="1:9">
      <c r="B92" s="67" t="s">
        <v>275</v>
      </c>
      <c r="C92" s="63">
        <v>119708.13</v>
      </c>
      <c r="I92" s="52"/>
    </row>
    <row r="93" spans="1:9">
      <c r="B93" s="67" t="s">
        <v>276</v>
      </c>
      <c r="C93" s="63">
        <v>1032447.86</v>
      </c>
    </row>
    <row r="94" spans="1:9">
      <c r="B94" s="67" t="s">
        <v>277</v>
      </c>
      <c r="C94" s="63">
        <v>881446.93</v>
      </c>
    </row>
    <row r="95" spans="1:9" s="61" customFormat="1">
      <c r="A95" s="60"/>
      <c r="B95" s="71"/>
      <c r="C95" s="64">
        <f>SUM(C65:C94)</f>
        <v>116998853.21999998</v>
      </c>
      <c r="G95" s="62"/>
    </row>
    <row r="97" spans="2:5">
      <c r="B97" s="70" t="s">
        <v>232</v>
      </c>
    </row>
    <row r="98" spans="2:5">
      <c r="B98" s="70" t="s">
        <v>233</v>
      </c>
      <c r="C98" s="49" t="e">
        <f>'Te ardhura e shpenzime'!#REF!</f>
        <v>#REF!</v>
      </c>
    </row>
    <row r="99" spans="2:5">
      <c r="B99" s="67" t="s">
        <v>222</v>
      </c>
      <c r="C99" s="63">
        <f>C93+C94</f>
        <v>1913894.79</v>
      </c>
    </row>
    <row r="100" spans="2:5">
      <c r="B100" s="67" t="s">
        <v>212</v>
      </c>
      <c r="C100" s="63">
        <f>C92</f>
        <v>119708.13</v>
      </c>
    </row>
    <row r="101" spans="2:5">
      <c r="B101" s="67" t="s">
        <v>224</v>
      </c>
      <c r="C101" s="51" t="e">
        <f>SUM(C98:C100)</f>
        <v>#REF!</v>
      </c>
    </row>
    <row r="102" spans="2:5">
      <c r="B102" s="67" t="s">
        <v>234</v>
      </c>
      <c r="C102" s="49">
        <v>-7486688</v>
      </c>
    </row>
    <row r="103" spans="2:5">
      <c r="B103" s="67" t="s">
        <v>279</v>
      </c>
      <c r="C103" s="49" t="e">
        <f>C101+C102</f>
        <v>#REF!</v>
      </c>
    </row>
    <row r="104" spans="2:5">
      <c r="B104" s="67" t="s">
        <v>280</v>
      </c>
      <c r="C104" s="49" t="e">
        <f>C103*0.1</f>
        <v>#REF!</v>
      </c>
    </row>
    <row r="105" spans="2:5">
      <c r="B105" s="67" t="s">
        <v>281</v>
      </c>
      <c r="C105" s="49">
        <v>1160000</v>
      </c>
    </row>
    <row r="106" spans="2:5">
      <c r="B106" s="67" t="s">
        <v>282</v>
      </c>
      <c r="C106" s="49" t="e">
        <f>C105-C104</f>
        <v>#REF!</v>
      </c>
    </row>
    <row r="107" spans="2:5">
      <c r="B107" s="67"/>
    </row>
    <row r="108" spans="2:5">
      <c r="B108" s="76" t="s">
        <v>244</v>
      </c>
      <c r="D108" s="77" t="s">
        <v>188</v>
      </c>
    </row>
    <row r="109" spans="2:5">
      <c r="B109" s="45" t="s">
        <v>278</v>
      </c>
      <c r="D109" s="46" t="s">
        <v>243</v>
      </c>
    </row>
    <row r="110" spans="2:5">
      <c r="B110" s="45" t="s">
        <v>245</v>
      </c>
      <c r="D110" s="46" t="s">
        <v>246</v>
      </c>
    </row>
    <row r="111" spans="2:5">
      <c r="E111" s="77"/>
    </row>
  </sheetData>
  <mergeCells count="8">
    <mergeCell ref="B11:H11"/>
    <mergeCell ref="B4:H4"/>
    <mergeCell ref="B5:H5"/>
    <mergeCell ref="B6:H6"/>
    <mergeCell ref="B7:H7"/>
    <mergeCell ref="B8:H8"/>
    <mergeCell ref="B9:H9"/>
    <mergeCell ref="B10:H10"/>
  </mergeCells>
  <pageMargins left="0.11" right="0.11" top="0.08" bottom="0.11" header="0.08" footer="0.08"/>
  <pageSetup scale="90" orientation="portrait" r:id="rId1"/>
  <headerFooter alignWithMargins="0">
    <oddHeader>&amp;CD L Administrim</oddHeader>
  </headerFooter>
  <ignoredErrors>
    <ignoredError sqref="G38:G43 A31 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Kapaku</vt:lpstr>
      <vt:lpstr>Aktivet e detajuara</vt:lpstr>
      <vt:lpstr>Te ardhura e shpenzime</vt:lpstr>
      <vt:lpstr>Fluksi 2</vt:lpstr>
      <vt:lpstr>Kapitali </vt:lpstr>
      <vt:lpstr>Sheet1</vt:lpstr>
      <vt:lpstr>Shenime  2013</vt:lpstr>
      <vt:lpstr>Shenime </vt:lpstr>
      <vt:lpstr>'Aktivet e detajuara'!Print_Area</vt:lpstr>
      <vt:lpstr>'Fluksi 2'!Print_Area</vt:lpstr>
      <vt:lpstr>Kapaku!Print_Area</vt:lpstr>
      <vt:lpstr>'Shenime '!Print_Area</vt:lpstr>
      <vt:lpstr>'Shenime  2013'!Print_Area</vt:lpstr>
      <vt:lpstr>'Te ardhura e shpenzime'!Print_Area</vt:lpstr>
    </vt:vector>
  </TitlesOfParts>
  <Company>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Acer</cp:lastModifiedBy>
  <cp:lastPrinted>2014-03-29T15:08:18Z</cp:lastPrinted>
  <dcterms:created xsi:type="dcterms:W3CDTF">2001-01-12T15:48:55Z</dcterms:created>
  <dcterms:modified xsi:type="dcterms:W3CDTF">2014-11-28T13:14:03Z</dcterms:modified>
</cp:coreProperties>
</file>