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7115" windowHeight="9720" tabRatio="788" activeTab="5"/>
  </bookViews>
  <sheets>
    <sheet name="BILANCI 2013" sheetId="1" r:id="rId1"/>
    <sheet name="TE ARDHURA SHPENZIME 2013" sheetId="2" r:id="rId2"/>
    <sheet name="LEVIZJA KAPITALIT" sheetId="4" r:id="rId3"/>
    <sheet name="CASH FLOW" sheetId="5" r:id="rId4"/>
    <sheet name="PASQYA AAM " sheetId="6" r:id="rId5"/>
    <sheet name="PASQYRA NR 1.2" sheetId="7" r:id="rId6"/>
    <sheet name="TVSH" sheetId="11" state="hidden" r:id="rId7"/>
    <sheet name="PASQYRA NR 3" sheetId="8" r:id="rId8"/>
    <sheet name="Sig.Shoq." sheetId="12" state="hidden" r:id="rId9"/>
    <sheet name="Fitim Humbja F5" sheetId="13" state="hidden" r:id="rId10"/>
    <sheet name="Bilanci 31.12.11" sheetId="14" state="hidden" r:id="rId11"/>
    <sheet name="Amortizimi" sheetId="15" r:id="rId12"/>
    <sheet name="Shitje Ap." sheetId="16" state="hidden" r:id="rId13"/>
    <sheet name="Bilanci 01.01.2011" sheetId="3" state="hidden" r:id="rId14"/>
    <sheet name="per notat" sheetId="18" r:id="rId15"/>
    <sheet name="Sheet1" sheetId="17" state="hidden" r:id="rId16"/>
    <sheet name="Sheet2" sheetId="19" state="hidden" r:id="rId17"/>
    <sheet name="Sheet3" sheetId="20" r:id="rId18"/>
  </sheets>
  <externalReferences>
    <externalReference r:id="rId19"/>
    <externalReference r:id="rId20"/>
  </externalReferences>
  <definedNames>
    <definedName name="_xlnm.Print_Area" localSheetId="3">'CASH FLOW'!$A$2:$F$29</definedName>
    <definedName name="_xlnm.Print_Area" localSheetId="9">'Fitim Humbja F5'!$A$1:$E$48</definedName>
    <definedName name="_xlnm.Print_Area" localSheetId="2">'LEVIZJA KAPITALIT'!$A$1:$G$13</definedName>
    <definedName name="_xlnm.Print_Area" localSheetId="4">'PASQYA AAM '!$A$1:$F$35</definedName>
    <definedName name="_xlnm.Print_Area" localSheetId="6">TVSH!$A$1:$M$30</definedName>
  </definedNames>
  <calcPr calcId="125725"/>
</workbook>
</file>

<file path=xl/calcChain.xml><?xml version="1.0" encoding="utf-8"?>
<calcChain xmlns="http://schemas.openxmlformats.org/spreadsheetml/2006/main">
  <c r="J8" i="7"/>
  <c r="E27" i="18"/>
  <c r="E25"/>
  <c r="E24"/>
  <c r="B26"/>
  <c r="B29" s="1"/>
  <c r="B25"/>
  <c r="B23"/>
  <c r="E23" s="1"/>
  <c r="C166"/>
  <c r="C167"/>
  <c r="C165"/>
  <c r="C163"/>
  <c r="D11" i="2"/>
  <c r="C164" i="18"/>
  <c r="C168"/>
  <c r="C169"/>
  <c r="C170"/>
  <c r="C171"/>
  <c r="C162"/>
  <c r="C161"/>
  <c r="D17" i="5"/>
  <c r="D23"/>
  <c r="D8"/>
  <c r="C172" i="18" l="1"/>
  <c r="D91" i="1" l="1"/>
  <c r="D78"/>
  <c r="D37"/>
  <c r="C221" i="18"/>
  <c r="C220"/>
  <c r="D15" i="1"/>
  <c r="B221" i="18"/>
  <c r="B220"/>
  <c r="B218"/>
  <c r="B217"/>
  <c r="C218"/>
  <c r="C217"/>
  <c r="B222"/>
  <c r="D7" i="2"/>
  <c r="B201" i="18"/>
  <c r="I44" i="7"/>
  <c r="F8" i="4"/>
  <c r="B202" i="18"/>
  <c r="C193"/>
  <c r="C192"/>
  <c r="C191"/>
  <c r="B193"/>
  <c r="B192"/>
  <c r="B191"/>
  <c r="B161"/>
  <c r="B162"/>
  <c r="B171"/>
  <c r="B170"/>
  <c r="B169"/>
  <c r="B168"/>
  <c r="B166"/>
  <c r="B164"/>
  <c r="C111"/>
  <c r="B116"/>
  <c r="B115"/>
  <c r="C117"/>
  <c r="C116"/>
  <c r="C115"/>
  <c r="B33"/>
  <c r="C33"/>
  <c r="D26"/>
  <c r="C26"/>
  <c r="E26" s="1"/>
  <c r="C99"/>
  <c r="B71"/>
  <c r="C71"/>
  <c r="C17"/>
  <c r="B16"/>
  <c r="C15"/>
  <c r="C5"/>
  <c r="I22" i="7"/>
  <c r="I48"/>
  <c r="F10" i="6"/>
  <c r="D8"/>
  <c r="D20" i="5"/>
  <c r="B172" i="18" l="1"/>
  <c r="B205"/>
  <c r="B207" s="1"/>
  <c r="B208" s="1"/>
  <c r="D29" i="2" s="1"/>
  <c r="B118" i="18" s="1"/>
  <c r="B119" s="1"/>
  <c r="D12" i="5" s="1"/>
  <c r="C194" i="18"/>
  <c r="C219"/>
  <c r="C216"/>
  <c r="C119"/>
  <c r="C120" s="1"/>
  <c r="B219"/>
  <c r="B216"/>
  <c r="B194"/>
  <c r="D31" i="2" l="1"/>
  <c r="D10" i="5" s="1"/>
  <c r="D76" i="1"/>
  <c r="D9" i="5" s="1"/>
  <c r="C223" i="18"/>
  <c r="C225" s="1"/>
  <c r="B223"/>
  <c r="B225" s="1"/>
  <c r="G8" i="4"/>
  <c r="D16" i="2"/>
  <c r="D49"/>
  <c r="D23"/>
  <c r="D24"/>
  <c r="D21" s="1"/>
  <c r="D69"/>
  <c r="D68"/>
  <c r="D60"/>
  <c r="D63"/>
  <c r="C13" i="4"/>
  <c r="D13"/>
  <c r="E13"/>
  <c r="B13"/>
  <c r="E8"/>
  <c r="D75" i="1"/>
  <c r="D72"/>
  <c r="D43"/>
  <c r="D28"/>
  <c r="E15"/>
  <c r="D14"/>
  <c r="D12"/>
  <c r="D8"/>
  <c r="D110" l="1"/>
  <c r="D112" s="1"/>
  <c r="B120" i="18"/>
  <c r="D13" i="5"/>
  <c r="B99" i="18"/>
  <c r="D79" i="1"/>
  <c r="B111" i="18"/>
  <c r="H8" i="4"/>
  <c r="G8" i="15"/>
  <c r="F8"/>
  <c r="D9"/>
  <c r="C13"/>
  <c r="F13" s="1"/>
  <c r="C7"/>
  <c r="F7" s="1"/>
  <c r="C6"/>
  <c r="F6" s="1"/>
  <c r="C5"/>
  <c r="F5" s="1"/>
  <c r="E11" i="2"/>
  <c r="E68"/>
  <c r="E63"/>
  <c r="E60"/>
  <c r="E49"/>
  <c r="E46"/>
  <c r="E23"/>
  <c r="E24"/>
  <c r="E13"/>
  <c r="E14"/>
  <c r="E16"/>
  <c r="E6"/>
  <c r="E7"/>
  <c r="E103" i="1"/>
  <c r="E107"/>
  <c r="E74"/>
  <c r="F74"/>
  <c r="E75"/>
  <c r="F75"/>
  <c r="E76"/>
  <c r="F76"/>
  <c r="E78"/>
  <c r="F78"/>
  <c r="E48"/>
  <c r="E46" s="1"/>
  <c r="E40"/>
  <c r="E42"/>
  <c r="E43"/>
  <c r="E37"/>
  <c r="E38" s="1"/>
  <c r="E28"/>
  <c r="E14"/>
  <c r="C9" i="18" s="1"/>
  <c r="E8" i="1"/>
  <c r="I74" i="7"/>
  <c r="I66"/>
  <c r="I62" s="1"/>
  <c r="I61"/>
  <c r="I59"/>
  <c r="I57"/>
  <c r="I55"/>
  <c r="I53"/>
  <c r="I50"/>
  <c r="I45"/>
  <c r="I43"/>
  <c r="I41"/>
  <c r="J42"/>
  <c r="J36"/>
  <c r="J67" s="1"/>
  <c r="I8"/>
  <c r="J24"/>
  <c r="C28" i="6"/>
  <c r="F28" s="1"/>
  <c r="D29"/>
  <c r="A9"/>
  <c r="C11"/>
  <c r="E13" i="5"/>
  <c r="E26"/>
  <c r="D13" i="8"/>
  <c r="D14" s="1"/>
  <c r="D45" s="1"/>
  <c r="D6" i="2"/>
  <c r="D46"/>
  <c r="D48" i="1"/>
  <c r="D46" s="1"/>
  <c r="D50" s="1"/>
  <c r="D42"/>
  <c r="D40"/>
  <c r="D26" i="5" s="1"/>
  <c r="B9" i="18"/>
  <c r="B5"/>
  <c r="D38" i="1"/>
  <c r="C186" i="18"/>
  <c r="B186"/>
  <c r="C185"/>
  <c r="B185"/>
  <c r="C184"/>
  <c r="B184"/>
  <c r="C183"/>
  <c r="B183"/>
  <c r="C182"/>
  <c r="B182"/>
  <c r="C181"/>
  <c r="B181"/>
  <c r="C180"/>
  <c r="B180"/>
  <c r="C179"/>
  <c r="B179"/>
  <c r="C178"/>
  <c r="B178"/>
  <c r="C156"/>
  <c r="C157" s="1"/>
  <c r="B156"/>
  <c r="B155"/>
  <c r="C149"/>
  <c r="C150" s="1"/>
  <c r="B149"/>
  <c r="B150" s="1"/>
  <c r="C143"/>
  <c r="C144" s="1"/>
  <c r="C145" s="1"/>
  <c r="B143"/>
  <c r="B144" s="1"/>
  <c r="B145" s="1"/>
  <c r="C139"/>
  <c r="C140" s="1"/>
  <c r="B138"/>
  <c r="B139" s="1"/>
  <c r="B140" s="1"/>
  <c r="B127"/>
  <c r="B126"/>
  <c r="B125"/>
  <c r="C124"/>
  <c r="C128" s="1"/>
  <c r="B124"/>
  <c r="C107"/>
  <c r="B107"/>
  <c r="C94"/>
  <c r="B94"/>
  <c r="B95" s="1"/>
  <c r="C87"/>
  <c r="B87"/>
  <c r="B88" s="1"/>
  <c r="B45"/>
  <c r="B44"/>
  <c r="B43"/>
  <c r="B37"/>
  <c r="B36"/>
  <c r="D14" i="2"/>
  <c r="D13"/>
  <c r="D109" i="1"/>
  <c r="D107"/>
  <c r="D103"/>
  <c r="D95"/>
  <c r="D74"/>
  <c r="D25"/>
  <c r="I36" i="7"/>
  <c r="C25" i="3"/>
  <c r="C34"/>
  <c r="C35" s="1"/>
  <c r="E10" i="14"/>
  <c r="D9" i="13"/>
  <c r="D12"/>
  <c r="D14" s="1"/>
  <c r="D16" s="1"/>
  <c r="D42" s="1"/>
  <c r="D27" i="14"/>
  <c r="D28"/>
  <c r="F13" i="5"/>
  <c r="F20"/>
  <c r="F27" s="1"/>
  <c r="F29" s="1"/>
  <c r="F26"/>
  <c r="D42" i="14"/>
  <c r="D59"/>
  <c r="E16"/>
  <c r="D52"/>
  <c r="E25" i="1"/>
  <c r="O90" i="16"/>
  <c r="D73" i="14"/>
  <c r="C24" i="13"/>
  <c r="C33"/>
  <c r="C37"/>
  <c r="C40"/>
  <c r="C41"/>
  <c r="D64" i="14"/>
  <c r="D48"/>
  <c r="D40"/>
  <c r="D37"/>
  <c r="D38" s="1"/>
  <c r="F12" i="2"/>
  <c r="F17" s="1"/>
  <c r="F21"/>
  <c r="F79" i="1"/>
  <c r="F83" s="1"/>
  <c r="F90"/>
  <c r="F95" s="1"/>
  <c r="F112"/>
  <c r="F12"/>
  <c r="F18"/>
  <c r="F25"/>
  <c r="F38"/>
  <c r="F54" s="1"/>
  <c r="F44"/>
  <c r="F50"/>
  <c r="D55" i="8"/>
  <c r="F8" i="6"/>
  <c r="F9"/>
  <c r="D11"/>
  <c r="E11"/>
  <c r="F18"/>
  <c r="E31"/>
  <c r="K12" i="11"/>
  <c r="K13"/>
  <c r="K14"/>
  <c r="K15"/>
  <c r="K16"/>
  <c r="K17"/>
  <c r="K18"/>
  <c r="K19"/>
  <c r="K20"/>
  <c r="K21"/>
  <c r="K22"/>
  <c r="K11"/>
  <c r="F12"/>
  <c r="F13"/>
  <c r="F14"/>
  <c r="F15"/>
  <c r="F16"/>
  <c r="F17"/>
  <c r="F18"/>
  <c r="F19"/>
  <c r="F20"/>
  <c r="F21"/>
  <c r="F22"/>
  <c r="F11"/>
  <c r="F23" s="1"/>
  <c r="K23" i="12"/>
  <c r="J23"/>
  <c r="I23"/>
  <c r="H23"/>
  <c r="G23"/>
  <c r="F23"/>
  <c r="E11"/>
  <c r="E12"/>
  <c r="E13"/>
  <c r="E14"/>
  <c r="E15"/>
  <c r="E16"/>
  <c r="E17"/>
  <c r="E18"/>
  <c r="E19"/>
  <c r="E20"/>
  <c r="E21"/>
  <c r="E22"/>
  <c r="E23"/>
  <c r="D23"/>
  <c r="C23"/>
  <c r="M23" i="11"/>
  <c r="K23"/>
  <c r="J23"/>
  <c r="I23"/>
  <c r="H20"/>
  <c r="H21"/>
  <c r="H23" s="1"/>
  <c r="G23"/>
  <c r="E23"/>
  <c r="D23"/>
  <c r="D25" s="1"/>
  <c r="D30" s="1"/>
  <c r="C23"/>
  <c r="L21"/>
  <c r="L22" s="1"/>
  <c r="G7" i="15" l="1"/>
  <c r="C20" i="6"/>
  <c r="D28" i="18"/>
  <c r="D29" s="1"/>
  <c r="C28"/>
  <c r="C19" i="6"/>
  <c r="C21" s="1"/>
  <c r="F9" i="4"/>
  <c r="F13" s="1"/>
  <c r="G13" s="1"/>
  <c r="H13" s="1"/>
  <c r="B46" i="18"/>
  <c r="D46" s="1"/>
  <c r="F11" i="6"/>
  <c r="E27" i="5"/>
  <c r="E29" s="1"/>
  <c r="D28" s="1"/>
  <c r="C187" i="18"/>
  <c r="C188" s="1"/>
  <c r="B128"/>
  <c r="E12" i="2"/>
  <c r="E69"/>
  <c r="E71" s="1"/>
  <c r="E73" s="1"/>
  <c r="F9" i="15"/>
  <c r="F15" s="1"/>
  <c r="F97" i="1"/>
  <c r="F114" s="1"/>
  <c r="C9" i="15"/>
  <c r="B157" i="18"/>
  <c r="B187"/>
  <c r="B188" s="1"/>
  <c r="G6" i="15"/>
  <c r="G5"/>
  <c r="G9" s="1"/>
  <c r="F20" i="6"/>
  <c r="C30" s="1"/>
  <c r="E44" i="1"/>
  <c r="D44"/>
  <c r="D18"/>
  <c r="D29" s="1"/>
  <c r="E50"/>
  <c r="F29"/>
  <c r="B18" i="18"/>
  <c r="E21" i="2"/>
  <c r="E17"/>
  <c r="E79" i="1"/>
  <c r="E83" s="1"/>
  <c r="E97" s="1"/>
  <c r="E112"/>
  <c r="E12"/>
  <c r="D27" i="5"/>
  <c r="D12" i="2"/>
  <c r="D17" s="1"/>
  <c r="I24" i="7"/>
  <c r="F27" i="2"/>
  <c r="I42" i="7"/>
  <c r="D71" i="2"/>
  <c r="I46" i="7"/>
  <c r="F56" i="1"/>
  <c r="D65" i="14"/>
  <c r="D44" i="13"/>
  <c r="D46" s="1"/>
  <c r="D31" i="6"/>
  <c r="I73" i="7"/>
  <c r="D83" i="1"/>
  <c r="D97" s="1"/>
  <c r="L11" i="11"/>
  <c r="L12" s="1"/>
  <c r="L13" s="1"/>
  <c r="L14" s="1"/>
  <c r="C31" i="6" l="1"/>
  <c r="F30"/>
  <c r="F31" s="1"/>
  <c r="G31" s="1"/>
  <c r="E28" i="18"/>
  <c r="C29"/>
  <c r="E29" s="1"/>
  <c r="D54" i="1"/>
  <c r="D56" s="1"/>
  <c r="E54"/>
  <c r="F19" i="6"/>
  <c r="F21" s="1"/>
  <c r="D27" i="2"/>
  <c r="E27"/>
  <c r="E114" i="1"/>
  <c r="F29" i="2"/>
  <c r="F31" s="1"/>
  <c r="I67" i="7"/>
  <c r="D73" i="2" l="1"/>
  <c r="E31"/>
  <c r="D114" i="1"/>
  <c r="D115" s="1"/>
  <c r="D29" i="5" l="1"/>
  <c r="D31" s="1"/>
  <c r="C18" i="18"/>
  <c r="E18" i="1"/>
  <c r="E29" l="1"/>
  <c r="E56" l="1"/>
  <c r="E116" l="1"/>
  <c r="E115"/>
</calcChain>
</file>

<file path=xl/comments1.xml><?xml version="1.0" encoding="utf-8"?>
<comments xmlns="http://schemas.openxmlformats.org/spreadsheetml/2006/main">
  <authors>
    <author xml:space="preserve"> 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E mbartur nga muaji dhjetor i viti 2010, nese eshte e zbritshme-e kreditueshme p.sh. shkruaje -50.000, nese eshte tvsh per tu paguar shkruaje +50.000 leek.
</t>
        </r>
      </text>
    </comment>
  </commentList>
</comments>
</file>

<file path=xl/sharedStrings.xml><?xml version="1.0" encoding="utf-8"?>
<sst xmlns="http://schemas.openxmlformats.org/spreadsheetml/2006/main" count="1492" uniqueCount="830">
  <si>
    <t>Zëri i Bilancit</t>
  </si>
  <si>
    <t>Shenime</t>
  </si>
  <si>
    <t>Viti Ushtrimor</t>
  </si>
  <si>
    <t>A</t>
  </si>
  <si>
    <t>AKTIVET</t>
  </si>
  <si>
    <t>I</t>
  </si>
  <si>
    <t>Aktivet Afatshkurtra</t>
  </si>
  <si>
    <t>Mjete monetare</t>
  </si>
  <si>
    <t>Dervativë dhe aktive financiare të mbajtura për tregtim</t>
  </si>
  <si>
    <t>a)</t>
  </si>
  <si>
    <t>Derivativët</t>
  </si>
  <si>
    <t>b)</t>
  </si>
  <si>
    <t>Aktivet e mbajtura për tregtim</t>
  </si>
  <si>
    <t>Totali</t>
  </si>
  <si>
    <t>Aktive të tjera financiare afatshkurtra</t>
  </si>
  <si>
    <t>Llogari / Kërkesa te arkëtueshme</t>
  </si>
  <si>
    <t>Llogari / Kërkesa të tjera të arkëtueshme</t>
  </si>
  <si>
    <t>c)</t>
  </si>
  <si>
    <t>d)</t>
  </si>
  <si>
    <t>Investime të tjera financiare</t>
  </si>
  <si>
    <t>Inventari</t>
  </si>
  <si>
    <t>Lëndët e para</t>
  </si>
  <si>
    <t xml:space="preserve">Produkte të gatshme  </t>
  </si>
  <si>
    <t>Mallra per rishitje</t>
  </si>
  <si>
    <t>e)</t>
  </si>
  <si>
    <t>Parapagesa për furnizime</t>
  </si>
  <si>
    <t>Aktivet biologjike afatshkurtra</t>
  </si>
  <si>
    <t xml:space="preserve">Aktivet afatshkurtra të mbajtura për shitje </t>
  </si>
  <si>
    <t>Parapagimet dhe shpenzimet e shtyra</t>
  </si>
  <si>
    <t>AKTIVET TOTALE  AFATSHKURTRA</t>
  </si>
  <si>
    <t>II</t>
  </si>
  <si>
    <t>Aktivet Afatgjata</t>
  </si>
  <si>
    <t>Investimet financiare afatgjata</t>
  </si>
  <si>
    <t>Aksione dhe pjesmarrje të tjera në njësi te kontrolluara    (vetëm për pasqyrat financiare të pakonsoliduara)</t>
  </si>
  <si>
    <t>Aksione dhe investime të tjera në pjesëmarrje</t>
  </si>
  <si>
    <t>Aksione dhe letra të tjera me vlerë</t>
  </si>
  <si>
    <t>Llogari / Kërkesa te arkëtueshme afatgjata</t>
  </si>
  <si>
    <t>Aktive afatgjata materiale</t>
  </si>
  <si>
    <t>Toka</t>
  </si>
  <si>
    <t>Ndertesa (minus amortizimi)</t>
  </si>
  <si>
    <t>Makineri dhe paisje (minus amortizmi)</t>
  </si>
  <si>
    <t>Aktive të tjera afatgjata materiale ( me vlere kontabel)</t>
  </si>
  <si>
    <t xml:space="preserve">Aktive biologjike afatgjata </t>
  </si>
  <si>
    <t>Aktivet afatgjata jomateriale</t>
  </si>
  <si>
    <t>Emri i mirë</t>
  </si>
  <si>
    <t>Shpenzimet e zhvillimit</t>
  </si>
  <si>
    <t>Aktive të tjera afatgjata jomateriale</t>
  </si>
  <si>
    <t>Kapitali aksionar i papaguar</t>
  </si>
  <si>
    <t>Aktive të tjera afatgjata (në proces)</t>
  </si>
  <si>
    <t>TOTALI AKTIVEVE AFATGJATA</t>
  </si>
  <si>
    <t xml:space="preserve">TOTALI AKTIVEVE </t>
  </si>
  <si>
    <t>B</t>
  </si>
  <si>
    <t>PASIVET DHE KAPITALI</t>
  </si>
  <si>
    <t>Pasivet Afatshkurtra</t>
  </si>
  <si>
    <t>Dervativët</t>
  </si>
  <si>
    <t>Huamarrjet</t>
  </si>
  <si>
    <t>Huat dhe obligacionet afatshkurtra</t>
  </si>
  <si>
    <t>Kthimet / ripagesat e huave afatgjata</t>
  </si>
  <si>
    <t>Bono të konvertueshme</t>
  </si>
  <si>
    <t>Huat dhe parapagimet</t>
  </si>
  <si>
    <t>Te pagueshme ndaj furnitorëve</t>
  </si>
  <si>
    <t>Te pagueshme ndaj punonjësve</t>
  </si>
  <si>
    <t>Detyrimet tatimore</t>
  </si>
  <si>
    <t>Hua të tjera</t>
  </si>
  <si>
    <t>Parapagimet e arkëtuara</t>
  </si>
  <si>
    <t>Grandet dhe të ardhurat e shtyra</t>
  </si>
  <si>
    <t>Provizionet afatshkurtra</t>
  </si>
  <si>
    <t>TOTALI I PASIVEVE  AFATSHKURTRA</t>
  </si>
  <si>
    <t>Pasivet Afatgjata</t>
  </si>
  <si>
    <t>Huat afatgjata</t>
  </si>
  <si>
    <t>Hua , bono dhe detyrime nga qeraja financiare</t>
  </si>
  <si>
    <t>Bonot e konvertueshme</t>
  </si>
  <si>
    <t>Huamarrje të tjera afatgjata</t>
  </si>
  <si>
    <t>Provizionet afatgjata</t>
  </si>
  <si>
    <t>Grandet dhe të ardhurat të shtyra</t>
  </si>
  <si>
    <t>TOTALI I PASIVEVE  AFATGJATA</t>
  </si>
  <si>
    <t xml:space="preserve">TOTALI I PASIVEVE </t>
  </si>
  <si>
    <t>III</t>
  </si>
  <si>
    <t>Kapitali</t>
  </si>
  <si>
    <t>Aksionet e pakicës (vetem per pasq.fin.të kosoliduara)</t>
  </si>
  <si>
    <t>Kapitali që i përket aksionerëve të shoqërise mëmë (përdoret vetem per pasq.fin.të kosoliduara)</t>
  </si>
  <si>
    <t>Kapitali aksionar</t>
  </si>
  <si>
    <t>Primi i aksionit</t>
  </si>
  <si>
    <t>Njësite ose aksionet e thesarit ( negative)</t>
  </si>
  <si>
    <t>Rezerva statusore</t>
  </si>
  <si>
    <t>Rezerva ligjore</t>
  </si>
  <si>
    <t>Rezerva të tjera</t>
  </si>
  <si>
    <t>Fitimet e pashpërndara</t>
  </si>
  <si>
    <t>Fitimi (humbja) e vitit financiar</t>
  </si>
  <si>
    <t>TOTALI I KAPITALIT</t>
  </si>
  <si>
    <t>TOTALI I PASIVEVE DHE  KAPITALIT</t>
  </si>
  <si>
    <t>ne leke</t>
  </si>
  <si>
    <t>N.r.</t>
  </si>
  <si>
    <t>P Ë R SH K R I M I</t>
  </si>
  <si>
    <t>Të ardhura të tjera nga veprimtaritë shfrytëzimit</t>
  </si>
  <si>
    <t>Ndryshimet në inventarin e p.gatshme dhe p. proces</t>
  </si>
  <si>
    <t>Puna e kryer nga njësia ekonomike raportuese për qëllimet e veta dhe e kapitalizuar</t>
  </si>
  <si>
    <t xml:space="preserve">Mallra , lëndët e para dhe shërbimet </t>
  </si>
  <si>
    <t>Shpenzime të tjera  nga veprimtaritë e shfrytëzimit</t>
  </si>
  <si>
    <t>Shpenzime të personelit</t>
  </si>
  <si>
    <t>Pagat</t>
  </si>
  <si>
    <t>Shpenzimet e sigurimeve shoqërore</t>
  </si>
  <si>
    <t>Shpenzimet për pensionet</t>
  </si>
  <si>
    <t>Rënia në vlerë (zhvlerësimi) dhe amortizimi</t>
  </si>
  <si>
    <t>Fitimi (humbja) nga veprimtaritë e shfrytëzimit</t>
  </si>
  <si>
    <t>Të ardhurat dhe shpenzimet financiare nga njësite e kontrolluara</t>
  </si>
  <si>
    <t>Të ardhurat dhe shpenzimet financiare nga pjesmarrjet</t>
  </si>
  <si>
    <t xml:space="preserve">Të ardhurat dhe shpenzimet financiare </t>
  </si>
  <si>
    <t>3/a</t>
  </si>
  <si>
    <t>Të ardhurat dhe shpenzimet financiare nga investime të tjera financiare afatgjata</t>
  </si>
  <si>
    <t>3/b</t>
  </si>
  <si>
    <t>Të ardhurat dhe shpenzimet nga interesi</t>
  </si>
  <si>
    <t>3/c</t>
  </si>
  <si>
    <t>Fitimet (humbjet) nga kursi i këmbimit</t>
  </si>
  <si>
    <t>3/d</t>
  </si>
  <si>
    <t xml:space="preserve">Të ardhurat dhe shpenzime të tjera financiare </t>
  </si>
  <si>
    <t>Shpenzimet e tatimit mbi fitimin 10 %</t>
  </si>
  <si>
    <t>Pjesa e fitimit neto për aksionarët e shoqërise mëmë</t>
  </si>
  <si>
    <t>Pjesa e fitimit neto për aksionarët e pakicës</t>
  </si>
  <si>
    <t>Viti Para-ardhës</t>
  </si>
  <si>
    <t>Paratë e arkëtuara nga klientët</t>
  </si>
  <si>
    <t>Paratë e paguara ndaj furnitorëve dhe punonjësve</t>
  </si>
  <si>
    <t>Paratë e ardhura nga veprimtaritë</t>
  </si>
  <si>
    <t>Blerja e kompanise se kontrolluar X së kontrolluar  minus paratë e arkëtuara</t>
  </si>
  <si>
    <t>C</t>
  </si>
  <si>
    <t>b) ne një pasqyrë të  pakonsoliduar</t>
  </si>
  <si>
    <t xml:space="preserve"> Ne leke</t>
  </si>
  <si>
    <t>Nr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</si>
  <si>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</si>
  <si>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</si>
  <si>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</si>
  <si>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</si>
  <si>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</si>
  <si>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</si>
  <si>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</si>
  <si>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</si>
  <si>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</si>
  <si>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</si>
  <si>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</si>
  <si>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</si>
  <si>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</si>
  <si>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</si>
  <si>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</si>
  <si>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</si>
  <si>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</si>
  <si>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Shitjet gjithsej (a + b +c 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</si>
  <si>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</si>
  <si>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</si>
  <si>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</si>
  <si>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</si>
  <si>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</si>
  <si>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</si>
  <si>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</si>
  <si>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</si>
  <si>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Komisione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</si>
  <si>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</si>
  <si>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</si>
  <si>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</si>
  <si>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</si>
  <si>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</si>
  <si>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</si>
  <si>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</si>
  <si>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</si>
  <si>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</si>
  <si>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</si>
  <si>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</si>
  <si>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</si>
  <si>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</si>
  <si>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</si>
  <si>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</si>
  <si>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</si>
  <si>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</si>
  <si>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</si>
  <si>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</si>
  <si>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</si>
  <si>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</si>
  <si>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</si>
  <si>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</si>
  <si>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</si>
  <si>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</si>
  <si>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</si>
  <si>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</si>
  <si>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</si>
  <si>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</si>
  <si>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</si>
  <si>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</si>
  <si>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</si>
  <si>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</si>
  <si>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</si>
  <si>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Mirembajtje dhe riparime</t>
  </si>
  <si>
    <t>Shpenzime për Siguracione</t>
  </si>
  <si>
    <t>f)</t>
  </si>
  <si>
    <t>Kerkim studime</t>
  </si>
  <si>
    <t>g)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</si>
  <si>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</si>
  <si>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</si>
  <si>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</si>
  <si>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</si>
  <si>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</si>
  <si>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</si>
  <si>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</si>
  <si>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</si>
  <si>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</si>
  <si>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</si>
  <si>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</si>
  <si>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</si>
  <si>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</si>
  <si>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</si>
  <si>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</si>
  <si>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</si>
  <si>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</si>
  <si>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</si>
  <si>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</si>
  <si>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</si>
  <si>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</si>
  <si>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</si>
  <si>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</si>
  <si>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</si>
  <si>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</si>
  <si>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</si>
  <si>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</si>
  <si>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</si>
  <si>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</si>
  <si>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r>
      <t xml:space="preserve"> </t>
    </r>
    <r>
      <rPr>
        <sz val="8"/>
        <rFont val="Arial"/>
        <family val="2"/>
      </rPr>
      <t>Ndryshimet e gjëndjeve të Mallrave (+/-)</t>
    </r>
  </si>
  <si>
    <r>
      <t xml:space="preserve"> </t>
    </r>
    <r>
      <rPr>
        <sz val="8"/>
        <rFont val="Arial"/>
        <family val="2"/>
      </rPr>
      <t>Pagat e personelit</t>
    </r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</si>
  <si>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</si>
  <si>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</si>
  <si>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</si>
  <si>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</si>
  <si>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</si>
  <si>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</si>
  <si>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</si>
  <si>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</si>
  <si>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</si>
  <si>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</si>
  <si>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</si>
  <si>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</si>
  <si>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</si>
  <si>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</si>
  <si>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</si>
  <si>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</si>
  <si>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</si>
  <si>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</si>
  <si>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</si>
  <si>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</si>
  <si>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</si>
  <si>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</si>
  <si>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</si>
  <si>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</si>
  <si>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</si>
  <si>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</si>
  <si>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</si>
  <si>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</si>
  <si>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</si>
  <si>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</si>
  <si>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</si>
  <si>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</si>
  <si>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</si>
  <si>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</si>
  <si>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</si>
  <si>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</si>
  <si>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</si>
  <si>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</si>
  <si>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</si>
  <si>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</si>
  <si>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</si>
  <si>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</si>
  <si>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</si>
  <si>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</si>
  <si>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</si>
  <si>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</si>
  <si>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</si>
  <si>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</si>
  <si>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</si>
  <si>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</si>
  <si>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</si>
  <si>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</si>
  <si>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</si>
  <si>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</si>
  <si>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</si>
  <si>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r>
      <t xml:space="preserve">Shenim: </t>
    </r>
    <r>
      <rPr>
        <sz val="10"/>
        <rFont val="Arial"/>
        <family val="2"/>
      </rPr>
      <t>Kjo pasqyre plotesohet edhe on-line.</t>
    </r>
  </si>
  <si>
    <t>Shpnzime  të tjera</t>
  </si>
  <si>
    <r>
      <t xml:space="preserve">NIPTI  </t>
    </r>
    <r>
      <rPr>
        <b/>
        <i/>
        <u/>
        <sz val="10"/>
        <rFont val="Arial"/>
        <family val="2"/>
      </rPr>
      <t>J81426006C</t>
    </r>
  </si>
  <si>
    <t>leke</t>
  </si>
  <si>
    <r>
      <t xml:space="preserve">NIPTI </t>
    </r>
    <r>
      <rPr>
        <b/>
        <i/>
        <u/>
        <sz val="10"/>
        <rFont val="Arial"/>
        <family val="2"/>
      </rPr>
      <t>J81426006C</t>
    </r>
  </si>
  <si>
    <t>llogari</t>
  </si>
  <si>
    <t>pershkrim</t>
  </si>
  <si>
    <t>aktiv</t>
  </si>
  <si>
    <t>pasiv</t>
  </si>
  <si>
    <t>Pasiv</t>
  </si>
  <si>
    <t>101</t>
  </si>
  <si>
    <t>Kapitali(themeltar/individual)</t>
  </si>
  <si>
    <t>1061</t>
  </si>
  <si>
    <t>107</t>
  </si>
  <si>
    <t>Fitime e humbje te mbartura</t>
  </si>
  <si>
    <t>121</t>
  </si>
  <si>
    <t>Fitime dhe Humbje</t>
  </si>
  <si>
    <t>121Z</t>
  </si>
  <si>
    <t xml:space="preserve">HUMBJE/FITIM </t>
  </si>
  <si>
    <t>401</t>
  </si>
  <si>
    <t>Furnitore</t>
  </si>
  <si>
    <t>481</t>
  </si>
  <si>
    <t>Shpen per tu shpernd disa usht</t>
  </si>
  <si>
    <t>Aktiv</t>
  </si>
  <si>
    <t>201</t>
  </si>
  <si>
    <t>Shpz.nisje e zgjerimi</t>
  </si>
  <si>
    <t>211</t>
  </si>
  <si>
    <t>212</t>
  </si>
  <si>
    <t>2126</t>
  </si>
  <si>
    <t>Vepra te infrastruktures</t>
  </si>
  <si>
    <t>213</t>
  </si>
  <si>
    <t>Inst.teknike,mak,pajisje,instr</t>
  </si>
  <si>
    <t>215</t>
  </si>
  <si>
    <t>216</t>
  </si>
  <si>
    <t>Ambalazh i paluajtshem dhe i rikthyeshem</t>
  </si>
  <si>
    <t>2181</t>
  </si>
  <si>
    <t>Mobilje dhe orendi</t>
  </si>
  <si>
    <t>2182</t>
  </si>
  <si>
    <t>Pajisje zyre dhe informatike</t>
  </si>
  <si>
    <t>28120</t>
  </si>
  <si>
    <t>Amor.vepra te infrastruktures</t>
  </si>
  <si>
    <t>2814</t>
  </si>
  <si>
    <t>Amor.pajisjet informatike</t>
  </si>
  <si>
    <t>2816</t>
  </si>
  <si>
    <t>Amor.ambalazhet e paluajtshme dhe kthyeshme</t>
  </si>
  <si>
    <t>2812</t>
  </si>
  <si>
    <t>Amor.ndertime</t>
  </si>
  <si>
    <t>2813</t>
  </si>
  <si>
    <t>Amor.inst.tek,mak-pajisje,inst</t>
  </si>
  <si>
    <t>2815</t>
  </si>
  <si>
    <t>Amor.mjete transporti</t>
  </si>
  <si>
    <t>2818</t>
  </si>
  <si>
    <t>Amor.tjera AQ te trup.</t>
  </si>
  <si>
    <t>2819</t>
  </si>
  <si>
    <t>Amor.instrumente dhe vegla</t>
  </si>
  <si>
    <t>327</t>
  </si>
  <si>
    <t>Inventar i imet</t>
  </si>
  <si>
    <t>Shuma</t>
  </si>
  <si>
    <t>409</t>
  </si>
  <si>
    <t>parapag.,pag.porosi</t>
  </si>
  <si>
    <t>411</t>
  </si>
  <si>
    <t>Kliente</t>
  </si>
  <si>
    <t>421</t>
  </si>
  <si>
    <t>Paga e shperblime</t>
  </si>
  <si>
    <t>431</t>
  </si>
  <si>
    <t>Sigurime shoqerore</t>
  </si>
  <si>
    <t>442</t>
  </si>
  <si>
    <t>Tat.e taksa te ndalura ..</t>
  </si>
  <si>
    <t>444</t>
  </si>
  <si>
    <t>Tatim mbi fitimin</t>
  </si>
  <si>
    <t>4451</t>
  </si>
  <si>
    <t>TVSH blerje</t>
  </si>
  <si>
    <t>455</t>
  </si>
  <si>
    <t>Ort.:Llogari rrjedhese</t>
  </si>
  <si>
    <t>467</t>
  </si>
  <si>
    <t>Debitore&amp;Kreditore te tjere</t>
  </si>
  <si>
    <t>467002</t>
  </si>
  <si>
    <t>Lorena Shpk</t>
  </si>
  <si>
    <t>467003</t>
  </si>
  <si>
    <t>Mane TCI</t>
  </si>
  <si>
    <t>467004</t>
  </si>
  <si>
    <t>Bengasi Shpk</t>
  </si>
  <si>
    <t>467005</t>
  </si>
  <si>
    <t>Neptun Shpk</t>
  </si>
  <si>
    <t>5121</t>
  </si>
  <si>
    <t>Llg ne leke</t>
  </si>
  <si>
    <t>51241</t>
  </si>
  <si>
    <t>Banka EUR</t>
  </si>
  <si>
    <t>5311</t>
  </si>
  <si>
    <t>Arka ne lek</t>
  </si>
  <si>
    <t>53141</t>
  </si>
  <si>
    <t>Arka ne EUR</t>
  </si>
  <si>
    <t>shpenzime</t>
  </si>
  <si>
    <t>ardhura</t>
  </si>
  <si>
    <t>ARDHURA</t>
  </si>
  <si>
    <t>701</t>
  </si>
  <si>
    <t>Shitje produkt i gatshem</t>
  </si>
  <si>
    <t>705</t>
  </si>
  <si>
    <t>Shitje mallra</t>
  </si>
  <si>
    <t>707</t>
  </si>
  <si>
    <t>Shitje materiale e furnitura</t>
  </si>
  <si>
    <t>7081</t>
  </si>
  <si>
    <t>Qira</t>
  </si>
  <si>
    <t>758</t>
  </si>
  <si>
    <t>Te ndryshme</t>
  </si>
  <si>
    <t>767</t>
  </si>
  <si>
    <t>Te ardhura nga interesat</t>
  </si>
  <si>
    <t>SHPENZIME</t>
  </si>
  <si>
    <t>383</t>
  </si>
  <si>
    <t>Shpenzime plotesuese makineri</t>
  </si>
  <si>
    <t>6031</t>
  </si>
  <si>
    <t>Ndrysh.gjend.mater.para</t>
  </si>
  <si>
    <t>6032</t>
  </si>
  <si>
    <t>Ndrysh.gjend.mater.tjera</t>
  </si>
  <si>
    <t>6035</t>
  </si>
  <si>
    <t>Ndrysh.gjend.mallra</t>
  </si>
  <si>
    <t>604</t>
  </si>
  <si>
    <t>Bl.energji,avull,uje</t>
  </si>
  <si>
    <t>606</t>
  </si>
  <si>
    <t>Bl.pastokueshme, mater..</t>
  </si>
  <si>
    <t>615</t>
  </si>
  <si>
    <t>618</t>
  </si>
  <si>
    <t>624</t>
  </si>
  <si>
    <t>Reklame, publicitet</t>
  </si>
  <si>
    <t>626</t>
  </si>
  <si>
    <t>Shpz.postare e telekom.</t>
  </si>
  <si>
    <t>628</t>
  </si>
  <si>
    <t>Sherbime bankare</t>
  </si>
  <si>
    <t>638</t>
  </si>
  <si>
    <t>Te tjera tatime e taksa</t>
  </si>
  <si>
    <t>658</t>
  </si>
  <si>
    <t>Te tjera shpz. rrjedhese</t>
  </si>
  <si>
    <t>641</t>
  </si>
  <si>
    <t>Pagat e personelit</t>
  </si>
  <si>
    <t>644</t>
  </si>
  <si>
    <t>Kuota sig.shoq.e perkrah.shoq.</t>
  </si>
  <si>
    <t>Fitimi - Humbje</t>
  </si>
  <si>
    <t>``ALCRED`` SHPK</t>
  </si>
  <si>
    <t>NIPT : J81426006C</t>
  </si>
  <si>
    <t>Adresa:Yzberisht,Tirane</t>
  </si>
  <si>
    <t>TVSH, TATIM FITIMI    VITI 2011</t>
  </si>
  <si>
    <t>Nr.</t>
  </si>
  <si>
    <t>Muaji</t>
  </si>
  <si>
    <t>EKSPORT</t>
  </si>
  <si>
    <t>Shitje Brenda Vendit</t>
  </si>
  <si>
    <t>Importe</t>
  </si>
  <si>
    <t>Blerje Brenda Vendit</t>
  </si>
  <si>
    <t>Teprica / PAGIM</t>
  </si>
  <si>
    <t xml:space="preserve"> Tatim Fitimi</t>
  </si>
  <si>
    <t>Sh.pa TVSH</t>
  </si>
  <si>
    <t>Vl. Tatuesh</t>
  </si>
  <si>
    <t>TVSH</t>
  </si>
  <si>
    <t>Bl.paTVSH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</si>
  <si>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</si>
  <si>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</si>
  <si>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</si>
  <si>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</si>
  <si>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</si>
  <si>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</si>
  <si>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</si>
  <si>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</si>
  <si>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</si>
  <si>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</si>
  <si>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</si>
  <si>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</si>
  <si>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Financa 5</t>
  </si>
  <si>
    <t>Diferenca</t>
  </si>
  <si>
    <t>NIPT :</t>
  </si>
  <si>
    <t>J81426006C</t>
  </si>
  <si>
    <t xml:space="preserve">Adresa: </t>
  </si>
  <si>
    <t>Yzberisht,Tirane</t>
  </si>
  <si>
    <t>Permbledhje e listepagesave viti 2010</t>
  </si>
  <si>
    <t>NR</t>
  </si>
  <si>
    <t xml:space="preserve">Muaji </t>
  </si>
  <si>
    <t xml:space="preserve"> Paga  bruto ne  leke</t>
  </si>
  <si>
    <t>Kontribute per sigurimet shoqerore ne leke</t>
  </si>
  <si>
    <t>17) Kontribute per sigurimet shendetesore gjithsej ne leke</t>
  </si>
  <si>
    <t xml:space="preserve">18) Paga bruto mbi te cilen llogaritet Tatimi mbi te ardhurat nga punesimi  </t>
  </si>
  <si>
    <t>19) Tatimi mbi te ardhurat nga punesimi ne leke</t>
  </si>
  <si>
    <t>11) Gjithsej</t>
  </si>
  <si>
    <t>12) Mbi te cilen llogariten kontributet</t>
  </si>
  <si>
    <t xml:space="preserve">13) Gjithsej = (14+15+16)    </t>
  </si>
  <si>
    <t>Nga keto:</t>
  </si>
  <si>
    <t xml:space="preserve">16) Kontribut shtese </t>
  </si>
  <si>
    <t>14) Punedhenesi</t>
  </si>
  <si>
    <t>15) Punemaresi</t>
  </si>
  <si>
    <t>Nendor</t>
  </si>
  <si>
    <t>TOTALI</t>
  </si>
  <si>
    <t>ok</t>
  </si>
  <si>
    <t>1/2 Ok</t>
  </si>
  <si>
    <t>Materiale te para</t>
  </si>
  <si>
    <t>Alcred Bilanci 01.01.2011</t>
  </si>
  <si>
    <t>311</t>
  </si>
  <si>
    <t>342</t>
  </si>
  <si>
    <t>Produkte te gatshme</t>
  </si>
  <si>
    <t>351</t>
  </si>
  <si>
    <t>Mallra grupi I</t>
  </si>
  <si>
    <t>4551</t>
  </si>
  <si>
    <t>Neptun</t>
  </si>
  <si>
    <t>Firma  ALCRED sh.p.k.  Bilanci dt.31.12.2011</t>
  </si>
  <si>
    <t>Humbje nga konvertimi</t>
  </si>
  <si>
    <t>N/R</t>
  </si>
  <si>
    <t>Amortizimi</t>
  </si>
  <si>
    <t>Vlefta Neto</t>
  </si>
  <si>
    <t>Te tjera</t>
  </si>
  <si>
    <t>Shp. Nisjes e zgjerimit</t>
  </si>
  <si>
    <t>Instalime, makineri , paisje</t>
  </si>
  <si>
    <t>Paisje Zyre informatike</t>
  </si>
  <si>
    <t>% Amo</t>
  </si>
  <si>
    <t>Amortizimi shp.te parapaguara</t>
  </si>
  <si>
    <t>Shitje Apartamente</t>
  </si>
  <si>
    <t>Tatimi</t>
  </si>
  <si>
    <t>Fitimi ne Bilanc</t>
  </si>
  <si>
    <t>Totali shpenzimeve</t>
  </si>
  <si>
    <t xml:space="preserve">Parapagimi </t>
  </si>
  <si>
    <t xml:space="preserve">Ambalazh i paluajtshem </t>
  </si>
  <si>
    <t xml:space="preserve">Amor.ambalazhet e paluajtshme </t>
  </si>
  <si>
    <t xml:space="preserve">Amortizimi shp.te nisjes </t>
  </si>
  <si>
    <t>Totali A Q</t>
  </si>
  <si>
    <t>Amor.Mobilje orendi</t>
  </si>
  <si>
    <t>Vlefta neto e A.Q.</t>
  </si>
  <si>
    <t xml:space="preserve">Shitjet me tvsh </t>
  </si>
  <si>
    <t>Te Ardhura te tjera Venndim gjykate</t>
  </si>
  <si>
    <t>Shitjet pa tvsh te deklaruara</t>
  </si>
  <si>
    <t>Aktivet e Q, per shitje me Vl, Neto</t>
  </si>
  <si>
    <t>Shitje MANE TCI sh.p.k.</t>
  </si>
  <si>
    <t>Tvsh</t>
  </si>
  <si>
    <t>Shitje per skrap.</t>
  </si>
  <si>
    <t xml:space="preserve">Cmimi I shitjes </t>
  </si>
  <si>
    <t>Veprime ne vitin 2012</t>
  </si>
  <si>
    <t>Llog.</t>
  </si>
  <si>
    <t>Vl. Aktiveve te asgjesuara</t>
  </si>
  <si>
    <t>Sip. Fizike</t>
  </si>
  <si>
    <t>Sip.Ndertimi</t>
  </si>
  <si>
    <t>1+1</t>
  </si>
  <si>
    <t>2+1</t>
  </si>
  <si>
    <t>SEKSIONI</t>
  </si>
  <si>
    <t xml:space="preserve">Kati </t>
  </si>
  <si>
    <t>Shkalla</t>
  </si>
  <si>
    <t>Alba Mihali</t>
  </si>
  <si>
    <t>Shitur?
Po/Jo</t>
  </si>
  <si>
    <t>Po</t>
  </si>
  <si>
    <t># Njësisë</t>
  </si>
  <si>
    <t>Modeli pagesës:</t>
  </si>
  <si>
    <t>I --- 30-30-40</t>
  </si>
  <si>
    <t>II --- 60-20-20</t>
  </si>
  <si>
    <t>III --- 90-10</t>
  </si>
  <si>
    <t>Mod. Pag.</t>
  </si>
  <si>
    <t>Data e nënshkrimit të kontratës</t>
  </si>
  <si>
    <t>Shuma Totale</t>
  </si>
  <si>
    <t>Klienti:
Emër+Mbiemër</t>
  </si>
  <si>
    <t>Apart. #</t>
  </si>
  <si>
    <t>Lloji i Ap.</t>
  </si>
  <si>
    <t>Sip. Verandë</t>
  </si>
  <si>
    <t>Sip. 
e 
Perbashkët</t>
  </si>
  <si>
    <t>GODINE BANIMI DHE SHERBIMESH 2, 7 DHE 9 KATE ME 1 KAT PARKIMI NENTOKE, KOMUNA YZBERISHT</t>
  </si>
  <si>
    <t>DYQ.</t>
  </si>
  <si>
    <t>1,2</t>
  </si>
  <si>
    <t>Nr.dyqanit</t>
  </si>
  <si>
    <t>Lavdosh Dule</t>
  </si>
  <si>
    <t>Sip Totale</t>
  </si>
  <si>
    <t>Halit Kurti</t>
  </si>
  <si>
    <t>Besnik Dashi</t>
  </si>
  <si>
    <t>Trendeline Saliasi</t>
  </si>
  <si>
    <t>Eris Kasmi</t>
  </si>
  <si>
    <t>Nertila Kosova</t>
  </si>
  <si>
    <t>Erjon Piperku</t>
  </si>
  <si>
    <t>Eliona Meli</t>
  </si>
  <si>
    <t>Igli Pira</t>
  </si>
  <si>
    <t>Mikel Luarasi</t>
  </si>
  <si>
    <t xml:space="preserve">Idajet Faslliu </t>
  </si>
  <si>
    <t>Erald Malaj</t>
  </si>
  <si>
    <t>Gentiani (Ap+Garazh)</t>
  </si>
  <si>
    <t>Albana Makashi</t>
  </si>
  <si>
    <t xml:space="preserve">Flori Cenga </t>
  </si>
  <si>
    <t>Violeta Frasheri</t>
  </si>
  <si>
    <t>Sokol Lami</t>
  </si>
  <si>
    <t>Lirika Paja</t>
  </si>
  <si>
    <t xml:space="preserve">Naim Mertiri </t>
  </si>
  <si>
    <t xml:space="preserve">Hamit Dulaj </t>
  </si>
  <si>
    <t xml:space="preserve">Niazi Dulaj </t>
  </si>
  <si>
    <t>Banush Nasufi</t>
  </si>
  <si>
    <t xml:space="preserve">Adil Mertiri </t>
  </si>
  <si>
    <t>Gjoleke Rodha</t>
  </si>
  <si>
    <t>Nase-Anife Lalaj</t>
  </si>
  <si>
    <t>Floresh Brinja (Erioni)</t>
  </si>
  <si>
    <t>Aleksandra Kasmi</t>
  </si>
  <si>
    <t>Naim Mertiri</t>
  </si>
  <si>
    <t>Vladimir Bidollari (iliri Kashar)</t>
  </si>
  <si>
    <t>Lumja-Xheri Hajdarkola</t>
  </si>
  <si>
    <t>Lumja-Serxho Hajdarkola</t>
  </si>
  <si>
    <t>Alban Tarrelli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</si>
  <si>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</si>
  <si>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</si>
  <si>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</si>
  <si>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</si>
  <si>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</si>
  <si>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</si>
  <si>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</si>
  <si>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</si>
  <si>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</si>
  <si>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</si>
  <si>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</si>
  <si>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shitur</t>
  </si>
  <si>
    <t>A13</t>
  </si>
  <si>
    <t>A14</t>
  </si>
  <si>
    <t>A15</t>
  </si>
  <si>
    <t>A18</t>
  </si>
  <si>
    <t>A19</t>
  </si>
  <si>
    <t>A20</t>
  </si>
  <si>
    <t>A21</t>
  </si>
  <si>
    <t>A22</t>
  </si>
  <si>
    <t>Garazh</t>
  </si>
  <si>
    <t>Hamit Dulaj</t>
  </si>
  <si>
    <t>Gentian Makashi</t>
  </si>
  <si>
    <t>Vilma-Garden Line</t>
  </si>
  <si>
    <t>Dyqani jone qe I kalon kompanise Lorena, shkembehet me Lorena 3</t>
  </si>
  <si>
    <t>Gazmend-Ervenila Xhaferraj</t>
  </si>
  <si>
    <t>Besnik Jahja</t>
  </si>
  <si>
    <t>Arjeta Gerguri</t>
  </si>
  <si>
    <t>Anelita Hoxha</t>
  </si>
  <si>
    <t>Jo</t>
  </si>
  <si>
    <t>Grand Total</t>
  </si>
  <si>
    <t>Rudin Dura&amp;Monika Shehaj</t>
  </si>
  <si>
    <t>Mehmet Hoxha-Alban Tarrelli</t>
  </si>
  <si>
    <t>Behije Geshtenja</t>
  </si>
  <si>
    <t>Blendi Meshi (Meshi B)</t>
  </si>
  <si>
    <t>Marina Vrapi</t>
  </si>
  <si>
    <t>ÇMIMI M2</t>
  </si>
  <si>
    <r>
      <t>Çmimi M</t>
    </r>
    <r>
      <rPr>
        <b/>
        <vertAlign val="superscript"/>
        <sz val="11"/>
        <color indexed="8"/>
        <rFont val="Calibri"/>
        <family val="2"/>
      </rPr>
      <t>2</t>
    </r>
  </si>
  <si>
    <t>Firma  ALCRED sh.p.k.   F - H  Viti  2011</t>
  </si>
  <si>
    <t>tvsh e transferejm te Firma Mane TCI sh.p.k.</t>
  </si>
  <si>
    <t>Rudin Duro</t>
  </si>
  <si>
    <t>Prodhim në proces ( Inventar I Imet ne perdorim)</t>
  </si>
  <si>
    <t>Paisje Informatike</t>
  </si>
  <si>
    <t>paisje Informatike</t>
  </si>
  <si>
    <t>Totali  Amortizimit</t>
  </si>
  <si>
    <t xml:space="preserve">Shuma   </t>
  </si>
  <si>
    <t>Totali te ardhurave pa tvsh</t>
  </si>
  <si>
    <t>Shuma e Amortizimit</t>
  </si>
  <si>
    <t>Vlefta Teo</t>
  </si>
  <si>
    <t>Shitjet neto</t>
  </si>
  <si>
    <t>Viti 2012</t>
  </si>
  <si>
    <t>KODPK</t>
  </si>
  <si>
    <t>PERSHKRIM</t>
  </si>
  <si>
    <t>AKTIVPASIV</t>
  </si>
  <si>
    <t>DBKRMB</t>
  </si>
  <si>
    <t>P</t>
  </si>
  <si>
    <t>TVSH shitje</t>
  </si>
  <si>
    <t>Llg dogane</t>
  </si>
  <si>
    <t>Te ardhura te periudhave te ardheshme</t>
  </si>
  <si>
    <t>Amor.te tjera</t>
  </si>
  <si>
    <t>Debit.kreditore te brendshem</t>
  </si>
  <si>
    <t>Debitor Kreditor</t>
  </si>
  <si>
    <t>Skenderbej shpk</t>
  </si>
  <si>
    <t>Banka USD</t>
  </si>
  <si>
    <t>Arka ne USD</t>
  </si>
  <si>
    <t>Xhirime te brendshme</t>
  </si>
  <si>
    <t>Provizore per celjen etj</t>
  </si>
  <si>
    <t>Lorena Shpk &amp; Bengasi</t>
  </si>
  <si>
    <t>467002-4</t>
  </si>
  <si>
    <t>Te ardh.nga shitja AQ</t>
  </si>
  <si>
    <t>Nentrajtime te pergjithshme</t>
  </si>
  <si>
    <t>Transporte per blerje</t>
  </si>
  <si>
    <t>Vlera kont. e AQ te shitura</t>
  </si>
  <si>
    <t>Amort.AQ</t>
  </si>
  <si>
    <t>Amortizim i invetarit te imet</t>
  </si>
  <si>
    <t>Kuota e shpenzimeve per tu shperndare</t>
  </si>
  <si>
    <t xml:space="preserve">Instrumente të tjera borxhi </t>
  </si>
  <si>
    <t>Mjete Monetare</t>
  </si>
  <si>
    <t>31.12.2011</t>
  </si>
  <si>
    <t>31.12.2010</t>
  </si>
  <si>
    <t>31.12.2012</t>
  </si>
  <si>
    <t>Tatim Fitimi</t>
  </si>
  <si>
    <t>Total Llogari / Kërkesa të tjera të arkëtueshme</t>
  </si>
  <si>
    <t>Aktive Afatgjata Materiale</t>
  </si>
  <si>
    <t>Instalime Tekninke dhe Pajisje</t>
  </si>
  <si>
    <t>Total</t>
  </si>
  <si>
    <t>Tirana Logistic Park</t>
  </si>
  <si>
    <t>Live &amp; Home</t>
  </si>
  <si>
    <t>EBG shpk</t>
  </si>
  <si>
    <t>Cosmopolitan shpk</t>
  </si>
  <si>
    <t>Tirana East Gate</t>
  </si>
  <si>
    <t>CE 2 Debt Collection</t>
  </si>
  <si>
    <t>MZ Fashion</t>
  </si>
  <si>
    <t>Bookstore</t>
  </si>
  <si>
    <t>Fin-AL</t>
  </si>
  <si>
    <t xml:space="preserve"> Llogari rrjedhese ne banke</t>
  </si>
  <si>
    <t>a) Llogari rrjedhese ne Leke</t>
  </si>
  <si>
    <t>Leke</t>
  </si>
  <si>
    <t>Banka Intesa Sanpaolo</t>
  </si>
  <si>
    <t>Banka Kombetare E Greqise</t>
  </si>
  <si>
    <t>Raiffeisen Bank Lek</t>
  </si>
  <si>
    <t>b) Llogari rrjedhese ne EUR</t>
  </si>
  <si>
    <t>Euro</t>
  </si>
  <si>
    <t>Ekuivalenca ne Leke</t>
  </si>
  <si>
    <t>Banka Intesa Sanpaolo EUR</t>
  </si>
  <si>
    <t>Banka Kombetare Tregetare</t>
  </si>
  <si>
    <t>NBG Loan</t>
  </si>
  <si>
    <t>Raiffeisen Bank EUR</t>
  </si>
  <si>
    <t>Tirana Bak EUR</t>
  </si>
  <si>
    <t>Union Bank Eur</t>
  </si>
  <si>
    <t>Veneto Bank</t>
  </si>
  <si>
    <t>Shpenzime te periudhave te ardhshme</t>
  </si>
  <si>
    <t>ALCRED</t>
  </si>
  <si>
    <t>AFG</t>
  </si>
  <si>
    <t>ICT1</t>
  </si>
  <si>
    <t>MZF</t>
  </si>
  <si>
    <t>ICT13</t>
  </si>
  <si>
    <t>Euromedia DOO</t>
  </si>
  <si>
    <t>ICT18</t>
  </si>
  <si>
    <t>Albanian Midstream Pipeline</t>
  </si>
  <si>
    <t>ICT2</t>
  </si>
  <si>
    <t>RFZ Building</t>
  </si>
  <si>
    <t>ICT4</t>
  </si>
  <si>
    <t>ACREM</t>
  </si>
  <si>
    <t>ICT6</t>
  </si>
  <si>
    <t>BookStore</t>
  </si>
  <si>
    <t>ICT7</t>
  </si>
  <si>
    <t>Kid Zone</t>
  </si>
  <si>
    <t>ICT8</t>
  </si>
  <si>
    <t>Plus Communication</t>
  </si>
  <si>
    <t>Final</t>
  </si>
  <si>
    <t>ICT24</t>
  </si>
  <si>
    <t>Balfin Finance B.V</t>
  </si>
  <si>
    <t>AlbaTrade</t>
  </si>
  <si>
    <t>Sigurime Shoqerore dhe te Ngjashme</t>
  </si>
  <si>
    <t>Hua Ervin Gjikola per kuotat e blera AFG</t>
  </si>
  <si>
    <t>Alcred</t>
  </si>
  <si>
    <t>Hua Afatgjate/Neptun</t>
  </si>
  <si>
    <t>Hua Afatgjate/Banka Kombetare e Greqise</t>
  </si>
  <si>
    <t>Hua Afatgjate/Alba Trade</t>
  </si>
  <si>
    <t>Hua Afatgjate/Banka Union</t>
  </si>
  <si>
    <t>Hua Afatgjate/Banka Veneto</t>
  </si>
  <si>
    <t>Qera Financiare</t>
  </si>
  <si>
    <t>Kontribut nga ortaku Samir Mane</t>
  </si>
  <si>
    <t>Sherbim Konsulence</t>
  </si>
  <si>
    <t>Te ardhura nga qerate</t>
  </si>
  <si>
    <t>Te ardhura nga shitja e AQT</t>
  </si>
  <si>
    <t>Shpenzime noteriale ligjore</t>
  </si>
  <si>
    <t>Te ardhura nga dividentet</t>
  </si>
  <si>
    <t>Fitimi nga kembimet valutore</t>
  </si>
  <si>
    <t>Te ardhura financiare te tjera</t>
  </si>
  <si>
    <t>Shpenzime financiare nga shoqerite e kontrolluara</t>
  </si>
  <si>
    <t>Humbje nga shoqerite e kontrolluara</t>
  </si>
  <si>
    <t>Shpenzime per komisione BG, LC</t>
  </si>
  <si>
    <t>Shpenzime per interesa</t>
  </si>
  <si>
    <t>Humbje nga kembimet dhe perkthimet valutore</t>
  </si>
  <si>
    <t xml:space="preserve">Rezultati tatimor                                  </t>
  </si>
  <si>
    <t xml:space="preserve"> Fitimi para tatimit </t>
  </si>
  <si>
    <t xml:space="preserve"> Shpenzime te pazbritshme </t>
  </si>
  <si>
    <t xml:space="preserve"> Sherbime per makinen </t>
  </si>
  <si>
    <t xml:space="preserve"> Te tjera shpz. rrjedhese </t>
  </si>
  <si>
    <t xml:space="preserve"> Fitimi tatimor i ushtrimit </t>
  </si>
  <si>
    <t xml:space="preserve"> Humbje te mbartura </t>
  </si>
  <si>
    <t xml:space="preserve"> Fitimi i tatueshem i ushtrimit </t>
  </si>
  <si>
    <t xml:space="preserve"> Tatim fitimi </t>
  </si>
  <si>
    <t>Total mjete monetare</t>
  </si>
  <si>
    <t>Llogari kerkesa te arketueshme</t>
  </si>
  <si>
    <t>Total Llogaria kliente</t>
  </si>
  <si>
    <t>Paradhenie personeli</t>
  </si>
  <si>
    <t>Te ardhura nga shitja e apartamnenteve</t>
  </si>
  <si>
    <t>Kosto blerje apartamnete</t>
  </si>
  <si>
    <t>Viti Paraardhes</t>
  </si>
  <si>
    <t xml:space="preserve">Fitimi  neto i vitit financiar  </t>
  </si>
  <si>
    <t xml:space="preserve">Dividendët e paguar </t>
  </si>
  <si>
    <t xml:space="preserve">Rritje e rezervës kapitalit </t>
  </si>
  <si>
    <t xml:space="preserve">Emetimi i aksioneve </t>
  </si>
  <si>
    <t xml:space="preserve">Kapitali aksionar  </t>
  </si>
  <si>
    <t xml:space="preserve"> Primi i aksionit  </t>
  </si>
  <si>
    <t xml:space="preserve">Aksione të thesarit </t>
  </si>
  <si>
    <t xml:space="preserve">  Rezerva  statusore dhe ligjore  </t>
  </si>
  <si>
    <t xml:space="preserve">Fitim i pashpërndarë   </t>
  </si>
  <si>
    <t xml:space="preserve"> Totali i Kapitaleve të veta </t>
  </si>
  <si>
    <t>Pozicioni më 31 dhjetor 2012</t>
  </si>
  <si>
    <t xml:space="preserve">Sipas metodës direkte </t>
  </si>
  <si>
    <t>Fluksi parave nga veprimtarite e shfrytezimit</t>
  </si>
  <si>
    <t xml:space="preserve">Interesi i paguar </t>
  </si>
  <si>
    <t xml:space="preserve">Tatim fitimi i paguar </t>
  </si>
  <si>
    <t xml:space="preserve">Blerja e  aktiveve afatgjata materiale </t>
  </si>
  <si>
    <t xml:space="preserve">Të ardhura nga shitja e paisjeve </t>
  </si>
  <si>
    <t xml:space="preserve">Interesi i arkëtuar </t>
  </si>
  <si>
    <t xml:space="preserve">Dividendët e arkëtuar </t>
  </si>
  <si>
    <r>
      <t>Paraja  neto,  e përdorur në aktivitetet e investuese</t>
    </r>
    <r>
      <rPr>
        <sz val="12"/>
        <rFont val="Book Antiqua"/>
        <family val="1"/>
      </rPr>
      <t/>
    </r>
  </si>
  <si>
    <t>Fluksi i parave nga aktivitetet  financiare</t>
  </si>
  <si>
    <t>Te ardhura nga emetimi i kapitalit aksionar</t>
  </si>
  <si>
    <t xml:space="preserve">Te ardhura nga huamarrje afatgjata </t>
  </si>
  <si>
    <t xml:space="preserve">Pagesat e detyrimeve të qirasë financiare </t>
  </si>
  <si>
    <t xml:space="preserve">Dividendë të paguar </t>
  </si>
  <si>
    <t>Me page nga 66.501 deri ne 91.475 leke</t>
  </si>
  <si>
    <t>Me page me te larte se 91.475 leke</t>
  </si>
  <si>
    <t>Kërkesa te arkëtueshme afatgjata</t>
  </si>
  <si>
    <t>Shpenzimet e Zhvillimit</t>
  </si>
  <si>
    <t>Shpenzime per nisje dhe zgjerim</t>
  </si>
  <si>
    <t>Parapagime te arketuara</t>
  </si>
  <si>
    <t xml:space="preserve">Shuma </t>
  </si>
  <si>
    <t>F I T I M I</t>
  </si>
  <si>
    <t>Tatimi  10%</t>
  </si>
  <si>
    <t>Viti 2013</t>
  </si>
  <si>
    <t>A.Q. 01.01.2013</t>
  </si>
  <si>
    <t>Shpenzimet per tu shperndare</t>
  </si>
  <si>
    <t>Pasqyra e  Amortizimit  viti  2013</t>
  </si>
  <si>
    <t xml:space="preserve">Paisje Zyre informatike </t>
  </si>
  <si>
    <t>Bilanci Kontabël  31 Dhjetor  2013</t>
  </si>
  <si>
    <t>" Alcred Food Processing CO  " SH.P.K</t>
  </si>
  <si>
    <t>Shoqeria  " Alcred Food Processing CO " sh.p.k.</t>
  </si>
  <si>
    <t>2.  Pasqyra e të ardhurave dhe shpenzimeve. Periudha 1 Janar - 31 Dhjetor 2013</t>
  </si>
  <si>
    <t>Fitim - Humbja Janar - Dhjetor 2013</t>
  </si>
  <si>
    <t>TVSH Zbritshme</t>
  </si>
  <si>
    <t>Ardhura nga konvertimi</t>
  </si>
  <si>
    <t>Pozicioni më 31 dhjetor 2013</t>
  </si>
  <si>
    <t>4.PASQYRA E NDRYSHIMEVE NË KAPITAL PËR VITIN QË MBYLLET MË  31 DHJETOR 2013</t>
  </si>
  <si>
    <t xml:space="preserve">   3.a.  Pasqyra e  fluksit te parasë për vitin ushtrimor te mbyllur me 31 Dhjetor 2013</t>
  </si>
  <si>
    <t>"Alcred Food Processing CO "SH.P.K</t>
  </si>
  <si>
    <t>Shoqeria  "Alcred Food Processing CO" sh.p.k.</t>
  </si>
  <si>
    <t>Aktivet Afatgjata Materiale  me vlere fillestare   2013</t>
  </si>
  <si>
    <t>Shoqeria Alcred Food Processing CO</t>
  </si>
  <si>
    <t>Amortizimi viti 2013</t>
  </si>
  <si>
    <t>Amortizimi A.A.Materiale   2013</t>
  </si>
  <si>
    <t>Vlera Kontabel Neto e A.A.Materiale  2013</t>
  </si>
  <si>
    <t>Shoqeria  Alcred Food Processing CO</t>
  </si>
  <si>
    <t>Shoqeria Alcred Food Processing CO  sh.p.k</t>
  </si>
  <si>
    <t>31.12.2013</t>
  </si>
  <si>
    <t>TVSH e rimbursueshme</t>
  </si>
  <si>
    <t>31.12.20112</t>
  </si>
  <si>
    <t>31.12.20113</t>
  </si>
  <si>
    <t>Balanca ne 01 Janar 2013</t>
  </si>
  <si>
    <t>Balanca ne 31 Dhjetor 2013</t>
  </si>
  <si>
    <t>Ndryshimi i vitit 2013</t>
  </si>
  <si>
    <t>Vlera e mbetur ne 31 Dhjetor 2013</t>
  </si>
  <si>
    <t>Te ardhura dhe shpenzime nga interesi</t>
  </si>
  <si>
    <t>I. Para ne dore</t>
  </si>
  <si>
    <t>Ne monedhe vendase</t>
  </si>
  <si>
    <t>Ne monedhe te huaj</t>
  </si>
  <si>
    <t>II. Llogari ne banke</t>
  </si>
  <si>
    <t>Depozite afatshkurter</t>
  </si>
  <si>
    <t>Total mjete monetare (I+II)</t>
  </si>
  <si>
    <t>Shteti – Tatim mbi te ardhurat personale</t>
  </si>
  <si>
    <t>Tatim fitimi i vitit</t>
  </si>
  <si>
    <r>
      <t>Paraja neto nga veprimtaritë e shfrytëzimit</t>
    </r>
    <r>
      <rPr>
        <sz val="11"/>
        <color indexed="10"/>
        <rFont val="Calibri"/>
        <family val="2"/>
        <scheme val="minor"/>
      </rPr>
      <t xml:space="preserve"> </t>
    </r>
  </si>
  <si>
    <r>
      <t>Fluksi i parave  nga veprimtarite e investuese</t>
    </r>
    <r>
      <rPr>
        <sz val="11"/>
        <rFont val="Calibri"/>
        <family val="2"/>
        <scheme val="minor"/>
      </rPr>
      <t xml:space="preserve"> </t>
    </r>
  </si>
  <si>
    <r>
      <t>Para neto e përdorur në veprimtaritë financiare</t>
    </r>
    <r>
      <rPr>
        <sz val="11"/>
        <rFont val="Calibri"/>
        <family val="2"/>
        <scheme val="minor"/>
      </rPr>
      <t xml:space="preserve"> </t>
    </r>
  </si>
  <si>
    <r>
      <t>Rritja / rënia neto e mjeteve monetare</t>
    </r>
    <r>
      <rPr>
        <sz val="11"/>
        <rFont val="Calibri"/>
        <family val="2"/>
        <scheme val="minor"/>
      </rPr>
      <t xml:space="preserve"> </t>
    </r>
  </si>
  <si>
    <r>
      <t>Mjete monetare ne fillim te periudhes kontabel</t>
    </r>
    <r>
      <rPr>
        <sz val="11"/>
        <rFont val="Calibri"/>
        <family val="2"/>
        <scheme val="minor"/>
      </rPr>
      <t xml:space="preserve"> </t>
    </r>
  </si>
  <si>
    <r>
      <t>Mjete monetare ne fund te periudhes kontabel</t>
    </r>
    <r>
      <rPr>
        <sz val="11"/>
        <color indexed="10"/>
        <rFont val="Calibri"/>
        <family val="2"/>
        <scheme val="minor"/>
      </rPr>
      <t xml:space="preserve"> </t>
    </r>
  </si>
  <si>
    <t>Fitimi para tatimit</t>
  </si>
  <si>
    <t>Fitimi neto i vitit financiar</t>
  </si>
  <si>
    <t>Kosto takuese e njesive te shitura</t>
  </si>
  <si>
    <t>Shpenzime utilitare</t>
  </si>
  <si>
    <t>Vlera kont. e AQ te dala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</si>
</sst>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-* #,##0.00_L_e_k_-;\-* #,##0.00_L_e_k_-;_-* &quot;-&quot;??_L_e_k_-;_-@_-"/>
    <numFmt numFmtId="167" formatCode="_-* #,##0_-;\-* #,##0_-;_-* &quot;-&quot;??_-;_-@_-"/>
    <numFmt numFmtId="168" formatCode="_([$€-2]\ * #,##0_);_([$€-2]\ * \(#,##0\);_([$€-2]\ * &quot;-&quot;??_);_(@_)"/>
    <numFmt numFmtId="169" formatCode="_([$€-2]\ * #,##0.00_);_([$€-2]\ * \(#,##0.00\);_([$€-2]\ * &quot;-&quot;??_);_(@_)"/>
    <numFmt numFmtId="170" formatCode="0.0"/>
  </numFmts>
  <fonts count="9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Book Antiqua"/>
      <family val="1"/>
    </font>
    <font>
      <b/>
      <sz val="12"/>
      <color indexed="8"/>
      <name val="Book Antiqua"/>
      <family val="1"/>
    </font>
    <font>
      <sz val="9"/>
      <name val="Arial"/>
      <family val="2"/>
    </font>
    <font>
      <sz val="12"/>
      <color indexed="8"/>
      <name val="Book Antiqua"/>
      <family val="1"/>
    </font>
    <font>
      <b/>
      <sz val="10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  <font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Cambria"/>
      <family val="1"/>
    </font>
    <font>
      <sz val="12"/>
      <color indexed="10"/>
      <name val="Cambria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59"/>
      <name val="Calibri"/>
      <family val="2"/>
    </font>
    <font>
      <b/>
      <vertAlign val="superscript"/>
      <sz val="11"/>
      <color indexed="8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63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9"/>
      </right>
      <top style="thin">
        <color indexed="31"/>
      </top>
      <bottom style="thin">
        <color indexed="31"/>
      </bottom>
      <diagonal/>
    </border>
    <border>
      <left style="thin">
        <color indexed="9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26" fillId="3" borderId="0" applyNumberFormat="0" applyBorder="0" applyAlignment="0" applyProtection="0"/>
    <xf numFmtId="0" fontId="27" fillId="20" borderId="1" applyNumberFormat="0" applyAlignment="0" applyProtection="0"/>
    <xf numFmtId="0" fontId="28" fillId="21" borderId="2" applyNumberFormat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7" borderId="1" applyNumberFormat="0" applyAlignment="0" applyProtection="0"/>
    <xf numFmtId="0" fontId="35" fillId="0" borderId="6" applyNumberFormat="0" applyFill="0" applyAlignment="0" applyProtection="0"/>
    <xf numFmtId="0" fontId="36" fillId="22" borderId="0" applyNumberFormat="0" applyBorder="0" applyAlignment="0" applyProtection="0"/>
    <xf numFmtId="0" fontId="61" fillId="0" borderId="0"/>
    <xf numFmtId="0" fontId="15" fillId="0" borderId="0"/>
    <xf numFmtId="0" fontId="61" fillId="0" borderId="0"/>
    <xf numFmtId="0" fontId="15" fillId="0" borderId="0"/>
    <xf numFmtId="0" fontId="15" fillId="0" borderId="0"/>
    <xf numFmtId="0" fontId="19" fillId="0" borderId="0"/>
    <xf numFmtId="0" fontId="24" fillId="0" borderId="0"/>
    <xf numFmtId="0" fontId="19" fillId="0" borderId="0"/>
    <xf numFmtId="0" fontId="2" fillId="23" borderId="7" applyNumberFormat="0" applyFont="0" applyAlignment="0" applyProtection="0"/>
    <xf numFmtId="0" fontId="37" fillId="20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</cellStyleXfs>
  <cellXfs count="748">
    <xf numFmtId="0" fontId="0" fillId="0" borderId="0" xfId="0"/>
    <xf numFmtId="0" fontId="6" fillId="0" borderId="0" xfId="0" applyFont="1"/>
    <xf numFmtId="0" fontId="0" fillId="0" borderId="15" xfId="0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164" fontId="0" fillId="0" borderId="15" xfId="28" applyNumberFormat="1" applyFont="1" applyBorder="1"/>
    <xf numFmtId="0" fontId="0" fillId="0" borderId="24" xfId="0" applyBorder="1"/>
    <xf numFmtId="0" fontId="0" fillId="0" borderId="25" xfId="0" applyBorder="1"/>
    <xf numFmtId="164" fontId="7" fillId="0" borderId="15" xfId="28" applyNumberFormat="1" applyFont="1" applyBorder="1"/>
    <xf numFmtId="164" fontId="0" fillId="0" borderId="0" xfId="0" applyNumberFormat="1"/>
    <xf numFmtId="3" fontId="0" fillId="0" borderId="0" xfId="0" applyNumberFormat="1"/>
    <xf numFmtId="0" fontId="21" fillId="0" borderId="15" xfId="47" applyFont="1" applyBorder="1" applyAlignment="1">
      <alignment horizontal="left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6" fillId="0" borderId="15" xfId="0" applyFont="1" applyBorder="1"/>
    <xf numFmtId="0" fontId="7" fillId="0" borderId="15" xfId="0" applyFont="1" applyBorder="1"/>
    <xf numFmtId="0" fontId="15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2" fillId="0" borderId="0" xfId="32" applyNumberFormat="1" applyFill="1" applyBorder="1"/>
    <xf numFmtId="0" fontId="21" fillId="0" borderId="28" xfId="47" applyFont="1" applyBorder="1" applyAlignment="1">
      <alignment horizontal="left" wrapText="1"/>
    </xf>
    <xf numFmtId="0" fontId="16" fillId="0" borderId="15" xfId="49" applyFont="1" applyFill="1" applyBorder="1" applyAlignment="1">
      <alignment horizontal="left" wrapText="1"/>
    </xf>
    <xf numFmtId="0" fontId="15" fillId="0" borderId="0" xfId="0" applyFont="1"/>
    <xf numFmtId="0" fontId="15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7" fillId="0" borderId="24" xfId="47" applyFont="1" applyBorder="1" applyAlignment="1">
      <alignment horizontal="center"/>
    </xf>
    <xf numFmtId="2" fontId="20" fillId="0" borderId="29" xfId="47" applyNumberFormat="1" applyFont="1" applyBorder="1" applyAlignment="1">
      <alignment horizontal="center" wrapText="1"/>
    </xf>
    <xf numFmtId="0" fontId="21" fillId="0" borderId="30" xfId="47" applyFont="1" applyBorder="1" applyAlignment="1">
      <alignment horizontal="center" vertical="center" wrapText="1"/>
    </xf>
    <xf numFmtId="0" fontId="7" fillId="0" borderId="31" xfId="47" applyFont="1" applyBorder="1" applyAlignment="1">
      <alignment horizontal="center"/>
    </xf>
    <xf numFmtId="0" fontId="7" fillId="0" borderId="28" xfId="47" applyFont="1" applyBorder="1" applyAlignment="1">
      <alignment horizontal="left" wrapText="1"/>
    </xf>
    <xf numFmtId="0" fontId="15" fillId="0" borderId="32" xfId="47" applyFont="1" applyBorder="1" applyAlignment="1">
      <alignment horizontal="center"/>
    </xf>
    <xf numFmtId="0" fontId="15" fillId="0" borderId="33" xfId="47" applyFont="1" applyBorder="1" applyAlignment="1">
      <alignment horizontal="left" wrapText="1"/>
    </xf>
    <xf numFmtId="0" fontId="15" fillId="0" borderId="34" xfId="47" applyFont="1" applyBorder="1" applyAlignment="1">
      <alignment horizontal="center"/>
    </xf>
    <xf numFmtId="0" fontId="17" fillId="0" borderId="33" xfId="47" applyFont="1" applyBorder="1" applyAlignment="1">
      <alignment horizontal="left" wrapText="1"/>
    </xf>
    <xf numFmtId="0" fontId="7" fillId="0" borderId="35" xfId="47" applyFont="1" applyBorder="1" applyAlignment="1">
      <alignment horizontal="center"/>
    </xf>
    <xf numFmtId="0" fontId="7" fillId="0" borderId="33" xfId="47" applyFont="1" applyBorder="1" applyAlignment="1">
      <alignment horizontal="left" wrapText="1"/>
    </xf>
    <xf numFmtId="0" fontId="7" fillId="0" borderId="36" xfId="47" applyFont="1" applyBorder="1" applyAlignment="1">
      <alignment horizontal="left" wrapText="1"/>
    </xf>
    <xf numFmtId="0" fontId="15" fillId="0" borderId="25" xfId="47" applyFont="1" applyBorder="1" applyAlignment="1">
      <alignment horizontal="left" wrapText="1"/>
    </xf>
    <xf numFmtId="0" fontId="15" fillId="0" borderId="37" xfId="47" applyFont="1" applyBorder="1" applyAlignment="1">
      <alignment horizontal="center"/>
    </xf>
    <xf numFmtId="0" fontId="15" fillId="0" borderId="38" xfId="47" applyFont="1" applyBorder="1" applyAlignment="1">
      <alignment horizontal="left" wrapText="1"/>
    </xf>
    <xf numFmtId="0" fontId="7" fillId="0" borderId="35" xfId="47" applyFont="1" applyBorder="1" applyAlignment="1">
      <alignment horizontal="center" vertical="center"/>
    </xf>
    <xf numFmtId="0" fontId="7" fillId="0" borderId="34" xfId="47" applyFont="1" applyBorder="1" applyAlignment="1">
      <alignment horizontal="center" vertical="center"/>
    </xf>
    <xf numFmtId="0" fontId="15" fillId="0" borderId="33" xfId="47" applyFont="1" applyBorder="1" applyAlignment="1">
      <alignment horizontal="center" wrapText="1"/>
    </xf>
    <xf numFmtId="0" fontId="7" fillId="0" borderId="32" xfId="47" applyFont="1" applyBorder="1" applyAlignment="1">
      <alignment horizontal="center"/>
    </xf>
    <xf numFmtId="0" fontId="13" fillId="0" borderId="15" xfId="47" applyFont="1" applyBorder="1" applyAlignment="1">
      <alignment horizontal="left" wrapText="1"/>
    </xf>
    <xf numFmtId="0" fontId="7" fillId="0" borderId="15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7" fillId="0" borderId="34" xfId="47" applyFont="1" applyBorder="1" applyAlignment="1">
      <alignment horizontal="center"/>
    </xf>
    <xf numFmtId="0" fontId="7" fillId="0" borderId="15" xfId="47" applyFont="1" applyBorder="1" applyAlignment="1">
      <alignment horizontal="left" wrapText="1"/>
    </xf>
    <xf numFmtId="0" fontId="7" fillId="0" borderId="37" xfId="47" applyFont="1" applyBorder="1" applyAlignment="1">
      <alignment horizontal="center"/>
    </xf>
    <xf numFmtId="0" fontId="7" fillId="0" borderId="25" xfId="47" applyFont="1" applyBorder="1" applyAlignment="1">
      <alignment horizontal="left" wrapText="1"/>
    </xf>
    <xf numFmtId="0" fontId="7" fillId="0" borderId="39" xfId="47" applyFont="1" applyBorder="1" applyAlignment="1">
      <alignment horizontal="center"/>
    </xf>
    <xf numFmtId="0" fontId="7" fillId="0" borderId="0" xfId="47" applyFont="1" applyBorder="1" applyAlignment="1">
      <alignment horizontal="center"/>
    </xf>
    <xf numFmtId="0" fontId="7" fillId="0" borderId="0" xfId="47" applyFont="1" applyBorder="1" applyAlignment="1">
      <alignment horizontal="left" wrapText="1"/>
    </xf>
    <xf numFmtId="0" fontId="7" fillId="0" borderId="0" xfId="47" applyFont="1" applyBorder="1" applyAlignment="1">
      <alignment horizontal="left"/>
    </xf>
    <xf numFmtId="0" fontId="16" fillId="0" borderId="24" xfId="47" applyFont="1" applyBorder="1"/>
    <xf numFmtId="2" fontId="20" fillId="0" borderId="24" xfId="47" applyNumberFormat="1" applyFont="1" applyBorder="1" applyAlignment="1">
      <alignment horizontal="center" wrapText="1"/>
    </xf>
    <xf numFmtId="0" fontId="21" fillId="0" borderId="24" xfId="47" applyFont="1" applyBorder="1" applyAlignment="1">
      <alignment horizontal="center" vertical="center" wrapText="1"/>
    </xf>
    <xf numFmtId="0" fontId="21" fillId="0" borderId="40" xfId="47" applyFont="1" applyBorder="1" applyAlignment="1">
      <alignment horizontal="center"/>
    </xf>
    <xf numFmtId="0" fontId="16" fillId="0" borderId="35" xfId="47" applyFont="1" applyBorder="1" applyAlignment="1">
      <alignment horizontal="left"/>
    </xf>
    <xf numFmtId="0" fontId="21" fillId="0" borderId="15" xfId="47" applyFont="1" applyBorder="1" applyAlignment="1">
      <alignment horizontal="left"/>
    </xf>
    <xf numFmtId="0" fontId="16" fillId="0" borderId="15" xfId="47" applyFont="1" applyBorder="1" applyAlignment="1">
      <alignment horizontal="left" wrapText="1"/>
    </xf>
    <xf numFmtId="0" fontId="21" fillId="0" borderId="35" xfId="47" applyFont="1" applyBorder="1" applyAlignment="1">
      <alignment horizontal="center"/>
    </xf>
    <xf numFmtId="0" fontId="16" fillId="0" borderId="35" xfId="47" applyFont="1" applyBorder="1" applyAlignment="1">
      <alignment horizontal="center"/>
    </xf>
    <xf numFmtId="0" fontId="16" fillId="0" borderId="15" xfId="47" applyFont="1" applyBorder="1" applyAlignment="1">
      <alignment horizontal="left"/>
    </xf>
    <xf numFmtId="0" fontId="16" fillId="0" borderId="35" xfId="47" applyFont="1" applyFill="1" applyBorder="1" applyAlignment="1">
      <alignment horizontal="center"/>
    </xf>
    <xf numFmtId="0" fontId="16" fillId="0" borderId="41" xfId="0" applyFont="1" applyBorder="1"/>
    <xf numFmtId="0" fontId="21" fillId="0" borderId="0" xfId="0" applyFont="1" applyBorder="1"/>
    <xf numFmtId="0" fontId="16" fillId="0" borderId="0" xfId="0" applyFont="1" applyBorder="1"/>
    <xf numFmtId="0" fontId="21" fillId="0" borderId="25" xfId="47" applyFont="1" applyBorder="1" applyAlignment="1">
      <alignment horizontal="center" vertical="center" wrapText="1"/>
    </xf>
    <xf numFmtId="0" fontId="21" fillId="0" borderId="42" xfId="47" applyFont="1" applyBorder="1" applyAlignment="1">
      <alignment horizontal="center" vertical="center" wrapText="1"/>
    </xf>
    <xf numFmtId="0" fontId="21" fillId="0" borderId="35" xfId="47" applyFont="1" applyBorder="1"/>
    <xf numFmtId="0" fontId="16" fillId="0" borderId="35" xfId="0" applyFont="1" applyBorder="1"/>
    <xf numFmtId="0" fontId="16" fillId="0" borderId="35" xfId="47" applyFont="1" applyBorder="1"/>
    <xf numFmtId="0" fontId="16" fillId="0" borderId="39" xfId="47" applyFont="1" applyBorder="1"/>
    <xf numFmtId="0" fontId="21" fillId="0" borderId="36" xfId="47" applyFont="1" applyBorder="1" applyAlignment="1">
      <alignment horizontal="left"/>
    </xf>
    <xf numFmtId="0" fontId="16" fillId="0" borderId="36" xfId="47" applyFont="1" applyBorder="1" applyAlignment="1">
      <alignment horizontal="left"/>
    </xf>
    <xf numFmtId="0" fontId="15" fillId="0" borderId="15" xfId="0" applyFont="1" applyBorder="1"/>
    <xf numFmtId="0" fontId="15" fillId="0" borderId="30" xfId="0" applyFont="1" applyFill="1" applyBorder="1"/>
    <xf numFmtId="0" fontId="0" fillId="0" borderId="15" xfId="0" applyFill="1" applyBorder="1"/>
    <xf numFmtId="0" fontId="7" fillId="0" borderId="24" xfId="0" applyFont="1" applyBorder="1"/>
    <xf numFmtId="0" fontId="0" fillId="0" borderId="43" xfId="0" applyBorder="1"/>
    <xf numFmtId="0" fontId="0" fillId="0" borderId="33" xfId="0" applyBorder="1"/>
    <xf numFmtId="0" fontId="15" fillId="0" borderId="24" xfId="0" applyFont="1" applyBorder="1"/>
    <xf numFmtId="0" fontId="7" fillId="0" borderId="43" xfId="0" applyFont="1" applyBorder="1"/>
    <xf numFmtId="0" fontId="7" fillId="0" borderId="33" xfId="0" applyFont="1" applyBorder="1"/>
    <xf numFmtId="164" fontId="7" fillId="0" borderId="28" xfId="28" applyNumberFormat="1" applyFont="1" applyBorder="1" applyAlignment="1">
      <alignment horizontal="left"/>
    </xf>
    <xf numFmtId="164" fontId="7" fillId="0" borderId="15" xfId="28" applyNumberFormat="1" applyFont="1" applyBorder="1" applyAlignment="1">
      <alignment horizontal="left"/>
    </xf>
    <xf numFmtId="164" fontId="7" fillId="0" borderId="36" xfId="28" applyNumberFormat="1" applyFont="1" applyBorder="1" applyAlignment="1">
      <alignment horizontal="left"/>
    </xf>
    <xf numFmtId="164" fontId="15" fillId="0" borderId="15" xfId="28" applyNumberFormat="1" applyFont="1" applyBorder="1" applyAlignment="1">
      <alignment horizontal="left"/>
    </xf>
    <xf numFmtId="164" fontId="16" fillId="0" borderId="15" xfId="28" applyNumberFormat="1" applyFont="1" applyBorder="1" applyAlignment="1">
      <alignment horizontal="left"/>
    </xf>
    <xf numFmtId="164" fontId="16" fillId="0" borderId="15" xfId="28" applyNumberFormat="1" applyFont="1" applyBorder="1" applyAlignment="1">
      <alignment horizontal="left" wrapText="1"/>
    </xf>
    <xf numFmtId="164" fontId="21" fillId="0" borderId="15" xfId="28" applyNumberFormat="1" applyFont="1" applyBorder="1" applyAlignment="1">
      <alignment horizontal="left"/>
    </xf>
    <xf numFmtId="164" fontId="21" fillId="0" borderId="28" xfId="28" applyNumberFormat="1" applyFont="1" applyBorder="1" applyAlignment="1">
      <alignment horizontal="left"/>
    </xf>
    <xf numFmtId="164" fontId="15" fillId="0" borderId="15" xfId="28" applyNumberFormat="1" applyFont="1" applyBorder="1"/>
    <xf numFmtId="164" fontId="0" fillId="0" borderId="0" xfId="28" applyNumberFormat="1" applyFont="1"/>
    <xf numFmtId="164" fontId="21" fillId="0" borderId="36" xfId="28" applyNumberFormat="1" applyFont="1" applyBorder="1" applyAlignment="1">
      <alignment horizontal="left"/>
    </xf>
    <xf numFmtId="0" fontId="18" fillId="0" borderId="0" xfId="0" applyFont="1"/>
    <xf numFmtId="0" fontId="41" fillId="0" borderId="15" xfId="0" applyFont="1" applyBorder="1"/>
    <xf numFmtId="0" fontId="41" fillId="0" borderId="15" xfId="0" applyFont="1" applyBorder="1" applyAlignment="1">
      <alignment horizontal="center"/>
    </xf>
    <xf numFmtId="0" fontId="42" fillId="0" borderId="15" xfId="0" applyFont="1" applyBorder="1"/>
    <xf numFmtId="0" fontId="10" fillId="0" borderId="15" xfId="0" applyFont="1" applyBorder="1"/>
    <xf numFmtId="3" fontId="10" fillId="0" borderId="15" xfId="0" applyNumberFormat="1" applyFont="1" applyBorder="1"/>
    <xf numFmtId="0" fontId="43" fillId="0" borderId="15" xfId="0" applyFont="1" applyBorder="1"/>
    <xf numFmtId="3" fontId="43" fillId="0" borderId="15" xfId="0" applyNumberFormat="1" applyFont="1" applyBorder="1"/>
    <xf numFmtId="3" fontId="18" fillId="0" borderId="15" xfId="0" applyNumberFormat="1" applyFont="1" applyBorder="1"/>
    <xf numFmtId="3" fontId="41" fillId="0" borderId="15" xfId="0" applyNumberFormat="1" applyFont="1" applyBorder="1"/>
    <xf numFmtId="3" fontId="42" fillId="0" borderId="15" xfId="0" applyNumberFormat="1" applyFont="1" applyBorder="1"/>
    <xf numFmtId="0" fontId="18" fillId="0" borderId="15" xfId="0" applyFont="1" applyBorder="1"/>
    <xf numFmtId="3" fontId="18" fillId="0" borderId="0" xfId="0" applyNumberFormat="1" applyFont="1"/>
    <xf numFmtId="3" fontId="7" fillId="0" borderId="0" xfId="0" applyNumberFormat="1" applyFont="1"/>
    <xf numFmtId="3" fontId="45" fillId="0" borderId="15" xfId="0" applyNumberFormat="1" applyFont="1" applyBorder="1"/>
    <xf numFmtId="0" fontId="46" fillId="0" borderId="15" xfId="0" applyFont="1" applyBorder="1"/>
    <xf numFmtId="0" fontId="18" fillId="0" borderId="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vertical="center"/>
    </xf>
    <xf numFmtId="0" fontId="18" fillId="0" borderId="5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/>
    </xf>
    <xf numFmtId="0" fontId="18" fillId="0" borderId="36" xfId="0" applyFont="1" applyBorder="1"/>
    <xf numFmtId="0" fontId="18" fillId="0" borderId="52" xfId="0" applyFont="1" applyBorder="1" applyAlignment="1">
      <alignment vertical="center"/>
    </xf>
    <xf numFmtId="0" fontId="47" fillId="0" borderId="37" xfId="0" applyFont="1" applyBorder="1"/>
    <xf numFmtId="164" fontId="48" fillId="0" borderId="25" xfId="28" applyNumberFormat="1" applyFont="1" applyBorder="1"/>
    <xf numFmtId="0" fontId="47" fillId="0" borderId="25" xfId="0" applyFont="1" applyBorder="1"/>
    <xf numFmtId="164" fontId="47" fillId="0" borderId="15" xfId="28" applyNumberFormat="1" applyFont="1" applyBorder="1"/>
    <xf numFmtId="0" fontId="47" fillId="0" borderId="42" xfId="0" applyFont="1" applyBorder="1"/>
    <xf numFmtId="0" fontId="47" fillId="0" borderId="35" xfId="0" applyFont="1" applyBorder="1"/>
    <xf numFmtId="0" fontId="47" fillId="0" borderId="15" xfId="0" applyFont="1" applyBorder="1"/>
    <xf numFmtId="164" fontId="47" fillId="0" borderId="53" xfId="28" applyNumberFormat="1" applyFont="1" applyBorder="1"/>
    <xf numFmtId="0" fontId="47" fillId="0" borderId="35" xfId="0" applyFont="1" applyFill="1" applyBorder="1"/>
    <xf numFmtId="0" fontId="47" fillId="0" borderId="15" xfId="0" applyFont="1" applyFill="1" applyBorder="1"/>
    <xf numFmtId="164" fontId="47" fillId="0" borderId="15" xfId="28" applyNumberFormat="1" applyFont="1" applyFill="1" applyBorder="1"/>
    <xf numFmtId="164" fontId="47" fillId="0" borderId="53" xfId="28" applyNumberFormat="1" applyFont="1" applyFill="1" applyBorder="1"/>
    <xf numFmtId="164" fontId="47" fillId="0" borderId="15" xfId="0" applyNumberFormat="1" applyFont="1" applyBorder="1"/>
    <xf numFmtId="0" fontId="47" fillId="0" borderId="32" xfId="0" applyFont="1" applyFill="1" applyBorder="1"/>
    <xf numFmtId="0" fontId="47" fillId="0" borderId="24" xfId="0" applyFont="1" applyFill="1" applyBorder="1"/>
    <xf numFmtId="164" fontId="47" fillId="0" borderId="24" xfId="28" applyNumberFormat="1" applyFont="1" applyFill="1" applyBorder="1"/>
    <xf numFmtId="164" fontId="47" fillId="0" borderId="24" xfId="0" applyNumberFormat="1" applyFont="1" applyBorder="1"/>
    <xf numFmtId="164" fontId="47" fillId="0" borderId="24" xfId="28" applyNumberFormat="1" applyFont="1" applyBorder="1"/>
    <xf numFmtId="164" fontId="47" fillId="0" borderId="54" xfId="28" applyNumberFormat="1" applyFont="1" applyBorder="1"/>
    <xf numFmtId="0" fontId="18" fillId="0" borderId="26" xfId="0" applyFont="1" applyBorder="1"/>
    <xf numFmtId="0" fontId="18" fillId="0" borderId="27" xfId="0" applyFont="1" applyBorder="1"/>
    <xf numFmtId="164" fontId="18" fillId="0" borderId="55" xfId="0" applyNumberFormat="1" applyFont="1" applyBorder="1"/>
    <xf numFmtId="164" fontId="18" fillId="0" borderId="56" xfId="28" applyNumberFormat="1" applyFont="1" applyBorder="1"/>
    <xf numFmtId="164" fontId="18" fillId="0" borderId="27" xfId="0" applyNumberFormat="1" applyFont="1" applyBorder="1"/>
    <xf numFmtId="164" fontId="18" fillId="0" borderId="55" xfId="28" applyNumberFormat="1" applyFont="1" applyBorder="1"/>
    <xf numFmtId="164" fontId="10" fillId="0" borderId="0" xfId="28" applyNumberFormat="1" applyFont="1"/>
    <xf numFmtId="164" fontId="18" fillId="0" borderId="0" xfId="28" applyNumberFormat="1" applyFont="1"/>
    <xf numFmtId="164" fontId="10" fillId="0" borderId="0" xfId="0" applyNumberFormat="1" applyFont="1"/>
    <xf numFmtId="0" fontId="6" fillId="0" borderId="35" xfId="43" applyFont="1" applyFill="1" applyBorder="1" applyAlignment="1">
      <alignment horizontal="center"/>
    </xf>
    <xf numFmtId="0" fontId="6" fillId="0" borderId="57" xfId="43" applyFont="1" applyFill="1" applyBorder="1" applyAlignment="1">
      <alignment horizontal="left"/>
    </xf>
    <xf numFmtId="167" fontId="6" fillId="0" borderId="15" xfId="30" applyNumberFormat="1" applyFont="1" applyFill="1" applyBorder="1" applyAlignment="1">
      <alignment horizontal="center"/>
    </xf>
    <xf numFmtId="164" fontId="6" fillId="0" borderId="15" xfId="43" applyNumberFormat="1" applyFont="1" applyFill="1" applyBorder="1" applyAlignment="1">
      <alignment horizontal="center"/>
    </xf>
    <xf numFmtId="0" fontId="6" fillId="0" borderId="15" xfId="43" applyFont="1" applyFill="1" applyBorder="1" applyAlignment="1">
      <alignment horizontal="center"/>
    </xf>
    <xf numFmtId="167" fontId="6" fillId="0" borderId="15" xfId="43" applyNumberFormat="1" applyFont="1" applyFill="1" applyBorder="1" applyAlignment="1">
      <alignment horizontal="center"/>
    </xf>
    <xf numFmtId="164" fontId="6" fillId="0" borderId="53" xfId="43" applyNumberFormat="1" applyFont="1" applyFill="1" applyBorder="1" applyAlignment="1">
      <alignment horizontal="center"/>
    </xf>
    <xf numFmtId="164" fontId="6" fillId="0" borderId="25" xfId="43" applyNumberFormat="1" applyFont="1" applyFill="1" applyBorder="1" applyAlignment="1">
      <alignment horizontal="center"/>
    </xf>
    <xf numFmtId="0" fontId="6" fillId="0" borderId="25" xfId="43" applyFont="1" applyFill="1" applyBorder="1" applyAlignment="1">
      <alignment horizontal="center"/>
    </xf>
    <xf numFmtId="167" fontId="6" fillId="0" borderId="25" xfId="43" applyNumberFormat="1" applyFont="1" applyFill="1" applyBorder="1" applyAlignment="1">
      <alignment horizontal="center"/>
    </xf>
    <xf numFmtId="164" fontId="6" fillId="0" borderId="42" xfId="43" applyNumberFormat="1" applyFont="1" applyFill="1" applyBorder="1" applyAlignment="1">
      <alignment horizontal="center"/>
    </xf>
    <xf numFmtId="0" fontId="6" fillId="0" borderId="43" xfId="43" applyFont="1" applyFill="1" applyBorder="1" applyAlignment="1">
      <alignment horizontal="left"/>
    </xf>
    <xf numFmtId="0" fontId="6" fillId="0" borderId="32" xfId="43" applyFont="1" applyFill="1" applyBorder="1" applyAlignment="1">
      <alignment horizontal="center"/>
    </xf>
    <xf numFmtId="0" fontId="6" fillId="0" borderId="58" xfId="43" applyFont="1" applyFill="1" applyBorder="1" applyAlignment="1">
      <alignment horizontal="left"/>
    </xf>
    <xf numFmtId="0" fontId="4" fillId="0" borderId="26" xfId="43" applyFont="1" applyFill="1" applyBorder="1" applyAlignment="1">
      <alignment horizontal="center"/>
    </xf>
    <xf numFmtId="0" fontId="4" fillId="0" borderId="59" xfId="43" applyFont="1" applyFill="1" applyBorder="1"/>
    <xf numFmtId="164" fontId="4" fillId="0" borderId="27" xfId="28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/>
    <xf numFmtId="0" fontId="51" fillId="0" borderId="0" xfId="0" applyFont="1"/>
    <xf numFmtId="0" fontId="41" fillId="0" borderId="0" xfId="0" applyFont="1"/>
    <xf numFmtId="0" fontId="51" fillId="0" borderId="15" xfId="0" applyFont="1" applyBorder="1"/>
    <xf numFmtId="3" fontId="51" fillId="0" borderId="15" xfId="0" applyNumberFormat="1" applyFont="1" applyBorder="1"/>
    <xf numFmtId="3" fontId="52" fillId="0" borderId="15" xfId="0" applyNumberFormat="1" applyFont="1" applyBorder="1"/>
    <xf numFmtId="0" fontId="52" fillId="0" borderId="15" xfId="0" applyFont="1" applyBorder="1"/>
    <xf numFmtId="0" fontId="43" fillId="0" borderId="15" xfId="0" applyFont="1" applyFill="1" applyBorder="1"/>
    <xf numFmtId="3" fontId="43" fillId="0" borderId="15" xfId="0" applyNumberFormat="1" applyFont="1" applyFill="1" applyBorder="1"/>
    <xf numFmtId="0" fontId="43" fillId="0" borderId="15" xfId="0" applyFont="1" applyBorder="1" applyAlignment="1">
      <alignment horizontal="left"/>
    </xf>
    <xf numFmtId="9" fontId="18" fillId="0" borderId="15" xfId="28" applyNumberFormat="1" applyFont="1" applyBorder="1"/>
    <xf numFmtId="0" fontId="43" fillId="0" borderId="15" xfId="0" applyFont="1" applyFill="1" applyBorder="1" applyAlignment="1">
      <alignment horizontal="left"/>
    </xf>
    <xf numFmtId="3" fontId="41" fillId="0" borderId="15" xfId="0" applyNumberFormat="1" applyFont="1" applyFill="1" applyBorder="1"/>
    <xf numFmtId="0" fontId="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4" fillId="0" borderId="60" xfId="48" applyFill="1" applyBorder="1"/>
    <xf numFmtId="0" fontId="24" fillId="0" borderId="60" xfId="48" applyFill="1" applyBorder="1" applyAlignment="1">
      <alignment horizontal="center"/>
    </xf>
    <xf numFmtId="15" fontId="24" fillId="0" borderId="60" xfId="48" applyNumberFormat="1" applyFill="1" applyBorder="1" applyAlignment="1">
      <alignment horizontal="center"/>
    </xf>
    <xf numFmtId="0" fontId="39" fillId="26" borderId="61" xfId="48" applyFont="1" applyFill="1" applyBorder="1" applyAlignment="1">
      <alignment horizontal="center" vertical="center" textRotation="90"/>
    </xf>
    <xf numFmtId="0" fontId="39" fillId="27" borderId="61" xfId="48" applyFont="1" applyFill="1" applyBorder="1" applyAlignment="1">
      <alignment horizontal="center" vertical="center" textRotation="90" wrapText="1"/>
    </xf>
    <xf numFmtId="0" fontId="39" fillId="27" borderId="61" xfId="48" applyFont="1" applyFill="1" applyBorder="1" applyAlignment="1">
      <alignment horizontal="center" vertical="center" textRotation="90"/>
    </xf>
    <xf numFmtId="0" fontId="39" fillId="28" borderId="61" xfId="48" applyFont="1" applyFill="1" applyBorder="1" applyAlignment="1">
      <alignment horizontal="center" vertical="center" textRotation="90" wrapText="1"/>
    </xf>
    <xf numFmtId="0" fontId="39" fillId="28" borderId="61" xfId="48" applyFont="1" applyFill="1" applyBorder="1" applyAlignment="1">
      <alignment horizontal="center" vertical="center" textRotation="90"/>
    </xf>
    <xf numFmtId="15" fontId="39" fillId="28" borderId="61" xfId="48" applyNumberFormat="1" applyFont="1" applyFill="1" applyBorder="1" applyAlignment="1">
      <alignment horizontal="center" vertical="center" textRotation="90" wrapText="1"/>
    </xf>
    <xf numFmtId="0" fontId="24" fillId="0" borderId="62" xfId="48" applyFill="1" applyBorder="1" applyAlignment="1">
      <alignment horizontal="center"/>
    </xf>
    <xf numFmtId="0" fontId="39" fillId="0" borderId="62" xfId="48" applyFont="1" applyFill="1" applyBorder="1" applyAlignment="1">
      <alignment horizontal="center"/>
    </xf>
    <xf numFmtId="2" fontId="24" fillId="0" borderId="62" xfId="48" applyNumberFormat="1" applyFill="1" applyBorder="1"/>
    <xf numFmtId="2" fontId="24" fillId="0" borderId="62" xfId="48" applyNumberFormat="1" applyFill="1" applyBorder="1" applyAlignment="1">
      <alignment horizontal="center"/>
    </xf>
    <xf numFmtId="0" fontId="24" fillId="0" borderId="62" xfId="48" applyFill="1" applyBorder="1"/>
    <xf numFmtId="168" fontId="24" fillId="0" borderId="62" xfId="48" applyNumberFormat="1" applyFill="1" applyBorder="1"/>
    <xf numFmtId="169" fontId="24" fillId="0" borderId="62" xfId="48" applyNumberFormat="1" applyFill="1" applyBorder="1"/>
    <xf numFmtId="15" fontId="24" fillId="0" borderId="62" xfId="48" applyNumberFormat="1" applyFill="1" applyBorder="1" applyAlignment="1">
      <alignment horizontal="center"/>
    </xf>
    <xf numFmtId="0" fontId="55" fillId="0" borderId="62" xfId="48" applyFont="1" applyFill="1" applyBorder="1"/>
    <xf numFmtId="0" fontId="55" fillId="0" borderId="60" xfId="48" applyFont="1" applyFill="1" applyBorder="1"/>
    <xf numFmtId="0" fontId="56" fillId="0" borderId="62" xfId="48" applyFont="1" applyFill="1" applyBorder="1" applyAlignment="1">
      <alignment horizontal="center"/>
    </xf>
    <xf numFmtId="0" fontId="57" fillId="0" borderId="62" xfId="48" applyFont="1" applyFill="1" applyBorder="1" applyAlignment="1">
      <alignment horizontal="center"/>
    </xf>
    <xf numFmtId="2" fontId="57" fillId="0" borderId="62" xfId="48" applyNumberFormat="1" applyFont="1" applyFill="1" applyBorder="1"/>
    <xf numFmtId="0" fontId="57" fillId="0" borderId="62" xfId="48" applyFont="1" applyFill="1" applyBorder="1" applyAlignment="1">
      <alignment horizontal="right"/>
    </xf>
    <xf numFmtId="2" fontId="57" fillId="0" borderId="62" xfId="48" applyNumberFormat="1" applyFont="1" applyFill="1" applyBorder="1" applyAlignment="1">
      <alignment horizontal="right"/>
    </xf>
    <xf numFmtId="0" fontId="57" fillId="0" borderId="62" xfId="48" applyFont="1" applyFill="1" applyBorder="1"/>
    <xf numFmtId="0" fontId="55" fillId="0" borderId="62" xfId="48" applyFont="1" applyFill="1" applyBorder="1" applyAlignment="1">
      <alignment horizontal="center"/>
    </xf>
    <xf numFmtId="0" fontId="58" fillId="0" borderId="62" xfId="48" applyFont="1" applyFill="1" applyBorder="1" applyAlignment="1">
      <alignment horizontal="center"/>
    </xf>
    <xf numFmtId="2" fontId="55" fillId="0" borderId="62" xfId="48" applyNumberFormat="1" applyFont="1" applyFill="1" applyBorder="1"/>
    <xf numFmtId="2" fontId="55" fillId="0" borderId="62" xfId="48" applyNumberFormat="1" applyFont="1" applyFill="1" applyBorder="1" applyAlignment="1">
      <alignment horizontal="center"/>
    </xf>
    <xf numFmtId="168" fontId="55" fillId="0" borderId="62" xfId="48" applyNumberFormat="1" applyFont="1" applyFill="1" applyBorder="1"/>
    <xf numFmtId="169" fontId="55" fillId="0" borderId="62" xfId="48" applyNumberFormat="1" applyFont="1" applyFill="1" applyBorder="1"/>
    <xf numFmtId="15" fontId="55" fillId="0" borderId="62" xfId="48" applyNumberFormat="1" applyFont="1" applyFill="1" applyBorder="1" applyAlignment="1">
      <alignment horizontal="center"/>
    </xf>
    <xf numFmtId="0" fontId="24" fillId="0" borderId="63" xfId="48" applyFill="1" applyBorder="1" applyAlignment="1">
      <alignment horizontal="center"/>
    </xf>
    <xf numFmtId="0" fontId="39" fillId="0" borderId="63" xfId="48" applyFont="1" applyFill="1" applyBorder="1" applyAlignment="1">
      <alignment horizontal="center"/>
    </xf>
    <xf numFmtId="0" fontId="24" fillId="0" borderId="63" xfId="48" applyFill="1" applyBorder="1"/>
    <xf numFmtId="0" fontId="24" fillId="0" borderId="64" xfId="48" applyFill="1" applyBorder="1" applyAlignment="1">
      <alignment horizontal="center"/>
    </xf>
    <xf numFmtId="0" fontId="39" fillId="0" borderId="64" xfId="48" applyFont="1" applyFill="1" applyBorder="1" applyAlignment="1">
      <alignment horizontal="center"/>
    </xf>
    <xf numFmtId="0" fontId="24" fillId="0" borderId="64" xfId="48" applyFill="1" applyBorder="1"/>
    <xf numFmtId="2" fontId="24" fillId="0" borderId="65" xfId="48" applyNumberFormat="1" applyFill="1" applyBorder="1" applyAlignment="1">
      <alignment horizontal="center"/>
    </xf>
    <xf numFmtId="0" fontId="24" fillId="0" borderId="66" xfId="48" applyFill="1" applyBorder="1" applyAlignment="1">
      <alignment horizontal="center"/>
    </xf>
    <xf numFmtId="0" fontId="24" fillId="29" borderId="66" xfId="48" applyFill="1" applyBorder="1" applyAlignment="1">
      <alignment horizontal="left"/>
    </xf>
    <xf numFmtId="0" fontId="24" fillId="29" borderId="64" xfId="48" applyFill="1" applyBorder="1" applyAlignment="1">
      <alignment horizontal="center"/>
    </xf>
    <xf numFmtId="0" fontId="39" fillId="29" borderId="64" xfId="48" applyFont="1" applyFill="1" applyBorder="1" applyAlignment="1">
      <alignment horizontal="center"/>
    </xf>
    <xf numFmtId="0" fontId="24" fillId="29" borderId="64" xfId="48" applyFill="1" applyBorder="1"/>
    <xf numFmtId="2" fontId="40" fillId="29" borderId="64" xfId="48" applyNumberFormat="1" applyFont="1" applyFill="1" applyBorder="1"/>
    <xf numFmtId="2" fontId="24" fillId="29" borderId="65" xfId="48" applyNumberFormat="1" applyFill="1" applyBorder="1" applyAlignment="1">
      <alignment horizontal="center"/>
    </xf>
    <xf numFmtId="0" fontId="55" fillId="29" borderId="62" xfId="48" applyFont="1" applyFill="1" applyBorder="1"/>
    <xf numFmtId="0" fontId="24" fillId="29" borderId="62" xfId="48" applyFill="1" applyBorder="1" applyAlignment="1">
      <alignment horizontal="center"/>
    </xf>
    <xf numFmtId="168" fontId="24" fillId="29" borderId="62" xfId="48" applyNumberFormat="1" applyFill="1" applyBorder="1"/>
    <xf numFmtId="164" fontId="39" fillId="29" borderId="60" xfId="28" applyNumberFormat="1" applyFont="1" applyFill="1" applyBorder="1"/>
    <xf numFmtId="15" fontId="24" fillId="29" borderId="62" xfId="48" applyNumberFormat="1" applyFill="1" applyBorder="1" applyAlignment="1">
      <alignment horizontal="center"/>
    </xf>
    <xf numFmtId="0" fontId="59" fillId="27" borderId="64" xfId="48" applyFont="1" applyFill="1" applyBorder="1" applyAlignment="1">
      <alignment horizontal="center"/>
    </xf>
    <xf numFmtId="0" fontId="24" fillId="27" borderId="64" xfId="48" applyFill="1" applyBorder="1" applyAlignment="1">
      <alignment horizontal="center"/>
    </xf>
    <xf numFmtId="0" fontId="24" fillId="27" borderId="0" xfId="48" applyFill="1" applyBorder="1" applyAlignment="1">
      <alignment horizontal="center"/>
    </xf>
    <xf numFmtId="0" fontId="24" fillId="0" borderId="0" xfId="48" applyFill="1" applyBorder="1"/>
    <xf numFmtId="0" fontId="40" fillId="0" borderId="0" xfId="48" applyFont="1" applyFill="1" applyBorder="1"/>
    <xf numFmtId="2" fontId="24" fillId="0" borderId="0" xfId="48" applyNumberFormat="1" applyFill="1" applyBorder="1" applyAlignment="1">
      <alignment horizontal="center"/>
    </xf>
    <xf numFmtId="0" fontId="24" fillId="0" borderId="0" xfId="48" applyFill="1" applyBorder="1" applyAlignment="1">
      <alignment horizontal="center"/>
    </xf>
    <xf numFmtId="169" fontId="24" fillId="0" borderId="0" xfId="48" applyNumberFormat="1" applyFill="1" applyBorder="1"/>
    <xf numFmtId="15" fontId="24" fillId="0" borderId="0" xfId="48" applyNumberFormat="1" applyFill="1" applyBorder="1" applyAlignment="1">
      <alignment horizontal="center"/>
    </xf>
    <xf numFmtId="0" fontId="24" fillId="30" borderId="0" xfId="48" applyFont="1" applyFill="1" applyBorder="1"/>
    <xf numFmtId="0" fontId="24" fillId="30" borderId="0" xfId="48" applyFill="1" applyBorder="1"/>
    <xf numFmtId="0" fontId="24" fillId="30" borderId="0" xfId="48" applyFill="1" applyBorder="1" applyAlignment="1">
      <alignment horizontal="center"/>
    </xf>
    <xf numFmtId="0" fontId="24" fillId="29" borderId="61" xfId="48" applyFill="1" applyBorder="1"/>
    <xf numFmtId="0" fontId="24" fillId="29" borderId="61" xfId="48" applyFill="1" applyBorder="1" applyAlignment="1">
      <alignment horizontal="center"/>
    </xf>
    <xf numFmtId="169" fontId="39" fillId="29" borderId="61" xfId="48" applyNumberFormat="1" applyFont="1" applyFill="1" applyBorder="1"/>
    <xf numFmtId="15" fontId="24" fillId="29" borderId="61" xfId="48" applyNumberFormat="1" applyFill="1" applyBorder="1" applyAlignment="1">
      <alignment horizontal="center"/>
    </xf>
    <xf numFmtId="0" fontId="24" fillId="0" borderId="0" xfId="48" applyBorder="1" applyAlignment="1">
      <alignment horizontal="center"/>
    </xf>
    <xf numFmtId="0" fontId="24" fillId="0" borderId="0" xfId="48" applyBorder="1"/>
    <xf numFmtId="0" fontId="24" fillId="27" borderId="67" xfId="48" applyFill="1" applyBorder="1" applyAlignment="1">
      <alignment horizontal="center"/>
    </xf>
    <xf numFmtId="0" fontId="24" fillId="0" borderId="67" xfId="48" applyFill="1" applyBorder="1"/>
    <xf numFmtId="0" fontId="24" fillId="0" borderId="67" xfId="48" applyFill="1" applyBorder="1" applyAlignment="1">
      <alignment horizontal="center"/>
    </xf>
    <xf numFmtId="164" fontId="24" fillId="0" borderId="67" xfId="48" applyNumberFormat="1" applyFill="1" applyBorder="1"/>
    <xf numFmtId="15" fontId="24" fillId="0" borderId="67" xfId="48" applyNumberFormat="1" applyFill="1" applyBorder="1" applyAlignment="1">
      <alignment horizontal="center"/>
    </xf>
    <xf numFmtId="43" fontId="24" fillId="0" borderId="67" xfId="28" applyFont="1" applyFill="1" applyBorder="1" applyAlignment="1">
      <alignment horizontal="center"/>
    </xf>
    <xf numFmtId="169" fontId="24" fillId="0" borderId="67" xfId="48" applyNumberFormat="1" applyFill="1" applyBorder="1" applyAlignment="1">
      <alignment horizontal="center"/>
    </xf>
    <xf numFmtId="0" fontId="24" fillId="27" borderId="68" xfId="48" applyFill="1" applyBorder="1" applyAlignment="1">
      <alignment horizontal="center"/>
    </xf>
    <xf numFmtId="0" fontId="24" fillId="0" borderId="69" xfId="48" applyFill="1" applyBorder="1"/>
    <xf numFmtId="0" fontId="24" fillId="29" borderId="70" xfId="48" applyFill="1" applyBorder="1"/>
    <xf numFmtId="0" fontId="24" fillId="29" borderId="70" xfId="48" applyFill="1" applyBorder="1" applyAlignment="1">
      <alignment horizontal="center"/>
    </xf>
    <xf numFmtId="169" fontId="39" fillId="29" borderId="70" xfId="48" applyNumberFormat="1" applyFont="1" applyFill="1" applyBorder="1"/>
    <xf numFmtId="15" fontId="24" fillId="29" borderId="70" xfId="48" applyNumberFormat="1" applyFill="1" applyBorder="1" applyAlignment="1">
      <alignment horizontal="center"/>
    </xf>
    <xf numFmtId="0" fontId="39" fillId="0" borderId="71" xfId="48" applyFont="1" applyFill="1" applyBorder="1"/>
    <xf numFmtId="0" fontId="39" fillId="0" borderId="71" xfId="48" applyFont="1" applyFill="1" applyBorder="1" applyAlignment="1">
      <alignment horizontal="center"/>
    </xf>
    <xf numFmtId="43" fontId="39" fillId="0" borderId="71" xfId="48" applyNumberFormat="1" applyFont="1" applyFill="1" applyBorder="1"/>
    <xf numFmtId="0" fontId="24" fillId="0" borderId="70" xfId="48" applyFill="1" applyBorder="1"/>
    <xf numFmtId="0" fontId="24" fillId="0" borderId="70" xfId="48" applyFill="1" applyBorder="1" applyAlignment="1">
      <alignment horizontal="center"/>
    </xf>
    <xf numFmtId="3" fontId="44" fillId="0" borderId="15" xfId="0" applyNumberFormat="1" applyFont="1" applyBorder="1"/>
    <xf numFmtId="0" fontId="41" fillId="0" borderId="0" xfId="0" applyFont="1" applyBorder="1"/>
    <xf numFmtId="3" fontId="10" fillId="0" borderId="0" xfId="0" applyNumberFormat="1" applyFont="1" applyBorder="1"/>
    <xf numFmtId="3" fontId="18" fillId="0" borderId="0" xfId="0" applyNumberFormat="1" applyFont="1" applyBorder="1"/>
    <xf numFmtId="3" fontId="45" fillId="0" borderId="0" xfId="0" applyNumberFormat="1" applyFont="1" applyBorder="1"/>
    <xf numFmtId="3" fontId="42" fillId="0" borderId="0" xfId="0" applyNumberFormat="1" applyFont="1" applyBorder="1"/>
    <xf numFmtId="0" fontId="10" fillId="0" borderId="0" xfId="0" applyFont="1" applyBorder="1"/>
    <xf numFmtId="3" fontId="10" fillId="0" borderId="15" xfId="0" applyNumberFormat="1" applyFont="1" applyFill="1" applyBorder="1"/>
    <xf numFmtId="3" fontId="10" fillId="0" borderId="0" xfId="0" applyNumberFormat="1" applyFont="1" applyFill="1" applyBorder="1"/>
    <xf numFmtId="0" fontId="41" fillId="0" borderId="15" xfId="0" applyFont="1" applyFill="1" applyBorder="1"/>
    <xf numFmtId="3" fontId="18" fillId="0" borderId="15" xfId="0" applyNumberFormat="1" applyFont="1" applyFill="1" applyBorder="1"/>
    <xf numFmtId="0" fontId="62" fillId="0" borderId="0" xfId="0" applyFont="1" applyBorder="1"/>
    <xf numFmtId="0" fontId="63" fillId="0" borderId="0" xfId="0" applyFont="1" applyBorder="1"/>
    <xf numFmtId="3" fontId="63" fillId="0" borderId="0" xfId="0" applyNumberFormat="1" applyFont="1" applyBorder="1"/>
    <xf numFmtId="3" fontId="62" fillId="0" borderId="0" xfId="0" applyNumberFormat="1" applyFont="1" applyBorder="1"/>
    <xf numFmtId="0" fontId="64" fillId="0" borderId="15" xfId="43" applyFont="1" applyFill="1" applyBorder="1" applyAlignment="1">
      <alignment horizontal="left" vertical="center" wrapText="1"/>
    </xf>
    <xf numFmtId="0" fontId="65" fillId="0" borderId="15" xfId="43" applyFont="1" applyFill="1" applyBorder="1" applyAlignment="1">
      <alignment horizontal="center" vertical="center" wrapText="1"/>
    </xf>
    <xf numFmtId="0" fontId="65" fillId="0" borderId="33" xfId="43" applyFont="1" applyFill="1" applyBorder="1" applyAlignment="1">
      <alignment horizontal="center" vertical="center" wrapText="1"/>
    </xf>
    <xf numFmtId="0" fontId="65" fillId="0" borderId="30" xfId="43" applyFont="1" applyFill="1" applyBorder="1"/>
    <xf numFmtId="164" fontId="65" fillId="0" borderId="30" xfId="30" applyNumberFormat="1" applyFont="1" applyFill="1" applyBorder="1"/>
    <xf numFmtId="164" fontId="65" fillId="0" borderId="29" xfId="30" applyNumberFormat="1" applyFont="1" applyFill="1" applyBorder="1"/>
    <xf numFmtId="0" fontId="66" fillId="0" borderId="30" xfId="43" applyFont="1" applyFill="1" applyBorder="1"/>
    <xf numFmtId="164" fontId="66" fillId="0" borderId="30" xfId="30" applyNumberFormat="1" applyFont="1" applyFill="1" applyBorder="1"/>
    <xf numFmtId="164" fontId="66" fillId="0" borderId="29" xfId="30" applyNumberFormat="1" applyFont="1" applyFill="1" applyBorder="1"/>
    <xf numFmtId="0" fontId="65" fillId="0" borderId="75" xfId="43" applyFont="1" applyFill="1" applyBorder="1"/>
    <xf numFmtId="164" fontId="65" fillId="0" borderId="75" xfId="30" applyNumberFormat="1" applyFont="1" applyFill="1" applyBorder="1"/>
    <xf numFmtId="164" fontId="65" fillId="0" borderId="76" xfId="30" applyNumberFormat="1" applyFont="1" applyFill="1" applyBorder="1"/>
    <xf numFmtId="0" fontId="67" fillId="0" borderId="0" xfId="44" applyFont="1" applyFill="1" applyBorder="1"/>
    <xf numFmtId="164" fontId="67" fillId="0" borderId="0" xfId="44" applyNumberFormat="1" applyFont="1"/>
    <xf numFmtId="164" fontId="67" fillId="0" borderId="77" xfId="44" applyNumberFormat="1" applyFont="1" applyBorder="1"/>
    <xf numFmtId="0" fontId="68" fillId="0" borderId="0" xfId="42" applyFont="1"/>
    <xf numFmtId="164" fontId="11" fillId="0" borderId="15" xfId="28" applyNumberFormat="1" applyFont="1" applyBorder="1" applyAlignment="1"/>
    <xf numFmtId="3" fontId="11" fillId="0" borderId="15" xfId="32" applyNumberFormat="1" applyFont="1" applyBorder="1"/>
    <xf numFmtId="164" fontId="11" fillId="0" borderId="15" xfId="28" applyNumberFormat="1" applyFont="1" applyBorder="1"/>
    <xf numFmtId="0" fontId="60" fillId="0" borderId="27" xfId="0" applyFont="1" applyBorder="1" applyAlignment="1">
      <alignment vertical="center"/>
    </xf>
    <xf numFmtId="3" fontId="60" fillId="0" borderId="27" xfId="32" applyNumberFormat="1" applyFont="1" applyBorder="1" applyAlignment="1">
      <alignment vertical="center"/>
    </xf>
    <xf numFmtId="3" fontId="60" fillId="0" borderId="55" xfId="32" applyNumberFormat="1" applyFont="1" applyBorder="1" applyAlignment="1">
      <alignment vertical="center"/>
    </xf>
    <xf numFmtId="0" fontId="5" fillId="0" borderId="24" xfId="0" applyFont="1" applyBorder="1" applyAlignment="1">
      <alignment horizontal="center"/>
    </xf>
    <xf numFmtId="14" fontId="5" fillId="0" borderId="25" xfId="0" applyNumberFormat="1" applyFont="1" applyBorder="1" applyAlignment="1">
      <alignment horizontal="center"/>
    </xf>
    <xf numFmtId="0" fontId="69" fillId="0" borderId="0" xfId="42" applyFont="1"/>
    <xf numFmtId="164" fontId="69" fillId="0" borderId="0" xfId="28" applyNumberFormat="1" applyFont="1"/>
    <xf numFmtId="164" fontId="69" fillId="0" borderId="0" xfId="28" applyNumberFormat="1" applyFont="1" applyFill="1"/>
    <xf numFmtId="0" fontId="69" fillId="0" borderId="0" xfId="42" applyFont="1" applyAlignment="1">
      <alignment horizontal="right"/>
    </xf>
    <xf numFmtId="0" fontId="69" fillId="0" borderId="0" xfId="0" applyFont="1"/>
    <xf numFmtId="0" fontId="64" fillId="0" borderId="0" xfId="0" applyFont="1"/>
    <xf numFmtId="0" fontId="70" fillId="0" borderId="0" xfId="0" applyFont="1"/>
    <xf numFmtId="0" fontId="70" fillId="0" borderId="15" xfId="0" applyFont="1" applyBorder="1"/>
    <xf numFmtId="164" fontId="70" fillId="0" borderId="15" xfId="28" applyNumberFormat="1" applyFont="1" applyFill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71" fillId="0" borderId="15" xfId="0" applyFont="1" applyBorder="1"/>
    <xf numFmtId="164" fontId="71" fillId="0" borderId="15" xfId="28" applyNumberFormat="1" applyFont="1" applyFill="1" applyBorder="1"/>
    <xf numFmtId="9" fontId="71" fillId="0" borderId="15" xfId="28" applyNumberFormat="1" applyFont="1" applyBorder="1"/>
    <xf numFmtId="164" fontId="71" fillId="0" borderId="15" xfId="0" applyNumberFormat="1" applyFont="1" applyBorder="1"/>
    <xf numFmtId="164" fontId="69" fillId="0" borderId="0" xfId="0" applyNumberFormat="1" applyFont="1"/>
    <xf numFmtId="164" fontId="70" fillId="0" borderId="15" xfId="28" applyNumberFormat="1" applyFont="1" applyFill="1" applyBorder="1"/>
    <xf numFmtId="43" fontId="70" fillId="0" borderId="15" xfId="28" applyFont="1" applyBorder="1"/>
    <xf numFmtId="164" fontId="70" fillId="0" borderId="15" xfId="0" applyNumberFormat="1" applyFont="1" applyBorder="1"/>
    <xf numFmtId="0" fontId="70" fillId="0" borderId="0" xfId="0" applyFont="1" applyBorder="1"/>
    <xf numFmtId="164" fontId="70" fillId="0" borderId="0" xfId="28" applyNumberFormat="1" applyFont="1" applyFill="1" applyBorder="1"/>
    <xf numFmtId="43" fontId="70" fillId="0" borderId="0" xfId="28" applyFont="1" applyBorder="1"/>
    <xf numFmtId="164" fontId="70" fillId="0" borderId="0" xfId="0" applyNumberFormat="1" applyFont="1" applyBorder="1"/>
    <xf numFmtId="0" fontId="69" fillId="0" borderId="0" xfId="0" applyFont="1" applyBorder="1"/>
    <xf numFmtId="0" fontId="71" fillId="0" borderId="0" xfId="0" applyFont="1" applyBorder="1"/>
    <xf numFmtId="164" fontId="71" fillId="0" borderId="0" xfId="28" applyNumberFormat="1" applyFont="1" applyFill="1" applyBorder="1"/>
    <xf numFmtId="43" fontId="71" fillId="0" borderId="0" xfId="28" applyFont="1" applyBorder="1"/>
    <xf numFmtId="164" fontId="71" fillId="0" borderId="0" xfId="0" applyNumberFormat="1" applyFont="1" applyBorder="1"/>
    <xf numFmtId="164" fontId="69" fillId="0" borderId="15" xfId="28" applyNumberFormat="1" applyFont="1" applyFill="1" applyBorder="1"/>
    <xf numFmtId="9" fontId="69" fillId="0" borderId="15" xfId="28" applyNumberFormat="1" applyFont="1" applyBorder="1"/>
    <xf numFmtId="164" fontId="69" fillId="0" borderId="15" xfId="28" applyNumberFormat="1" applyFont="1" applyBorder="1"/>
    <xf numFmtId="0" fontId="69" fillId="0" borderId="82" xfId="0" applyFont="1" applyBorder="1"/>
    <xf numFmtId="164" fontId="69" fillId="0" borderId="82" xfId="28" applyNumberFormat="1" applyFont="1" applyBorder="1"/>
    <xf numFmtId="43" fontId="69" fillId="0" borderId="82" xfId="28" applyFont="1" applyBorder="1"/>
    <xf numFmtId="0" fontId="64" fillId="0" borderId="15" xfId="0" applyFont="1" applyBorder="1"/>
    <xf numFmtId="164" fontId="64" fillId="0" borderId="15" xfId="28" applyNumberFormat="1" applyFont="1" applyBorder="1"/>
    <xf numFmtId="43" fontId="64" fillId="0" borderId="15" xfId="28" applyFont="1" applyBorder="1"/>
    <xf numFmtId="0" fontId="67" fillId="0" borderId="72" xfId="43" applyFont="1" applyBorder="1" applyAlignment="1">
      <alignment horizontal="left" vertical="center" wrapText="1"/>
    </xf>
    <xf numFmtId="0" fontId="67" fillId="0" borderId="72" xfId="43" applyFont="1" applyBorder="1" applyAlignment="1">
      <alignment horizontal="right" vertical="center"/>
    </xf>
    <xf numFmtId="0" fontId="72" fillId="0" borderId="0" xfId="43" applyFont="1"/>
    <xf numFmtId="0" fontId="72" fillId="0" borderId="82" xfId="43" applyFont="1" applyBorder="1"/>
    <xf numFmtId="0" fontId="72" fillId="0" borderId="74" xfId="43" applyFont="1" applyBorder="1"/>
    <xf numFmtId="0" fontId="73" fillId="0" borderId="0" xfId="43" applyFont="1" applyAlignment="1">
      <alignment wrapText="1"/>
    </xf>
    <xf numFmtId="164" fontId="67" fillId="0" borderId="0" xfId="30" applyNumberFormat="1" applyFont="1"/>
    <xf numFmtId="164" fontId="67" fillId="0" borderId="74" xfId="43" applyNumberFormat="1" applyFont="1" applyBorder="1"/>
    <xf numFmtId="0" fontId="67" fillId="0" borderId="72" xfId="43" applyFont="1" applyBorder="1"/>
    <xf numFmtId="164" fontId="67" fillId="0" borderId="74" xfId="30" applyNumberFormat="1" applyFont="1" applyBorder="1"/>
    <xf numFmtId="3" fontId="64" fillId="0" borderId="74" xfId="43" applyNumberFormat="1" applyFont="1" applyBorder="1"/>
    <xf numFmtId="0" fontId="69" fillId="0" borderId="0" xfId="43" applyFont="1"/>
    <xf numFmtId="0" fontId="72" fillId="0" borderId="74" xfId="43" applyFont="1" applyBorder="1" applyAlignment="1">
      <alignment wrapText="1"/>
    </xf>
    <xf numFmtId="3" fontId="73" fillId="0" borderId="74" xfId="43" applyNumberFormat="1" applyFont="1" applyBorder="1" applyAlignment="1"/>
    <xf numFmtId="0" fontId="65" fillId="0" borderId="99" xfId="43" applyFont="1" applyFill="1" applyBorder="1" applyAlignment="1">
      <alignment horizontal="center" vertical="center" wrapText="1"/>
    </xf>
    <xf numFmtId="0" fontId="65" fillId="0" borderId="0" xfId="43" applyFont="1" applyFill="1" applyBorder="1" applyAlignment="1">
      <alignment horizontal="center" vertical="center" wrapText="1"/>
    </xf>
    <xf numFmtId="164" fontId="65" fillId="0" borderId="99" xfId="30" applyNumberFormat="1" applyFont="1" applyFill="1" applyBorder="1"/>
    <xf numFmtId="164" fontId="65" fillId="0" borderId="0" xfId="30" applyNumberFormat="1" applyFont="1" applyFill="1" applyBorder="1"/>
    <xf numFmtId="164" fontId="66" fillId="0" borderId="99" xfId="30" applyNumberFormat="1" applyFont="1" applyFill="1" applyBorder="1"/>
    <xf numFmtId="164" fontId="66" fillId="0" borderId="0" xfId="30" applyNumberFormat="1" applyFont="1" applyFill="1" applyBorder="1"/>
    <xf numFmtId="164" fontId="65" fillId="0" borderId="99" xfId="30" applyNumberFormat="1" applyFont="1" applyFill="1" applyBorder="1" applyAlignment="1">
      <alignment horizontal="center"/>
    </xf>
    <xf numFmtId="0" fontId="73" fillId="0" borderId="77" xfId="44" applyFont="1" applyBorder="1"/>
    <xf numFmtId="0" fontId="72" fillId="0" borderId="0" xfId="43" applyFont="1" applyAlignment="1"/>
    <xf numFmtId="3" fontId="72" fillId="0" borderId="0" xfId="43" applyNumberFormat="1" applyFont="1" applyAlignment="1">
      <alignment horizontal="right"/>
    </xf>
    <xf numFmtId="164" fontId="67" fillId="0" borderId="74" xfId="29" applyNumberFormat="1" applyFont="1" applyBorder="1"/>
    <xf numFmtId="164" fontId="69" fillId="0" borderId="0" xfId="30" applyNumberFormat="1" applyFont="1"/>
    <xf numFmtId="0" fontId="73" fillId="0" borderId="73" xfId="43" applyFont="1" applyBorder="1"/>
    <xf numFmtId="0" fontId="73" fillId="0" borderId="0" xfId="43" applyFont="1"/>
    <xf numFmtId="3" fontId="73" fillId="0" borderId="0" xfId="43" applyNumberFormat="1" applyFont="1" applyAlignment="1">
      <alignment horizontal="right"/>
    </xf>
    <xf numFmtId="0" fontId="73" fillId="0" borderId="10" xfId="43" applyFont="1" applyBorder="1"/>
    <xf numFmtId="3" fontId="73" fillId="0" borderId="10" xfId="43" applyNumberFormat="1" applyFont="1" applyBorder="1" applyAlignment="1">
      <alignment horizontal="right"/>
    </xf>
    <xf numFmtId="0" fontId="73" fillId="0" borderId="73" xfId="43" applyFont="1" applyBorder="1" applyAlignment="1">
      <alignment horizontal="right"/>
    </xf>
    <xf numFmtId="0" fontId="73" fillId="0" borderId="0" xfId="0" applyFont="1"/>
    <xf numFmtId="164" fontId="67" fillId="0" borderId="0" xfId="0" applyNumberFormat="1" applyFont="1"/>
    <xf numFmtId="3" fontId="73" fillId="0" borderId="0" xfId="0" applyNumberFormat="1" applyFont="1" applyBorder="1"/>
    <xf numFmtId="0" fontId="72" fillId="0" borderId="0" xfId="0" applyFont="1"/>
    <xf numFmtId="3" fontId="72" fillId="0" borderId="0" xfId="0" applyNumberFormat="1" applyFont="1"/>
    <xf numFmtId="164" fontId="67" fillId="0" borderId="0" xfId="28" applyNumberFormat="1" applyFont="1"/>
    <xf numFmtId="3" fontId="73" fillId="0" borderId="0" xfId="0" applyNumberFormat="1" applyFont="1"/>
    <xf numFmtId="0" fontId="73" fillId="0" borderId="73" xfId="0" applyFont="1" applyBorder="1"/>
    <xf numFmtId="3" fontId="73" fillId="0" borderId="73" xfId="0" applyNumberFormat="1" applyFont="1" applyBorder="1"/>
    <xf numFmtId="0" fontId="74" fillId="0" borderId="0" xfId="0" applyFont="1" applyAlignment="1">
      <alignment wrapText="1"/>
    </xf>
    <xf numFmtId="0" fontId="75" fillId="0" borderId="10" xfId="0" applyFont="1" applyBorder="1" applyAlignment="1">
      <alignment wrapText="1"/>
    </xf>
    <xf numFmtId="0" fontId="66" fillId="0" borderId="0" xfId="0" applyFont="1"/>
    <xf numFmtId="0" fontId="76" fillId="0" borderId="11" xfId="0" applyFont="1" applyBorder="1" applyAlignment="1">
      <alignment wrapText="1"/>
    </xf>
    <xf numFmtId="0" fontId="76" fillId="0" borderId="12" xfId="0" applyFont="1" applyBorder="1" applyAlignment="1">
      <alignment wrapText="1"/>
    </xf>
    <xf numFmtId="0" fontId="76" fillId="0" borderId="13" xfId="0" applyFont="1" applyBorder="1" applyAlignment="1">
      <alignment wrapText="1"/>
    </xf>
    <xf numFmtId="0" fontId="76" fillId="0" borderId="14" xfId="0" applyFont="1" applyBorder="1" applyAlignment="1">
      <alignment wrapText="1"/>
    </xf>
    <xf numFmtId="0" fontId="76" fillId="0" borderId="11" xfId="0" applyFont="1" applyBorder="1" applyAlignment="1">
      <alignment horizontal="center" wrapText="1"/>
    </xf>
    <xf numFmtId="0" fontId="77" fillId="0" borderId="12" xfId="0" applyFont="1" applyBorder="1" applyAlignment="1">
      <alignment horizontal="center" wrapText="1"/>
    </xf>
    <xf numFmtId="164" fontId="76" fillId="0" borderId="0" xfId="0" applyNumberFormat="1" applyFont="1" applyBorder="1" applyAlignment="1">
      <alignment wrapText="1"/>
    </xf>
    <xf numFmtId="164" fontId="76" fillId="0" borderId="15" xfId="28" applyNumberFormat="1" applyFont="1" applyBorder="1" applyAlignment="1">
      <alignment wrapText="1"/>
    </xf>
    <xf numFmtId="3" fontId="76" fillId="0" borderId="15" xfId="0" applyNumberFormat="1" applyFont="1" applyBorder="1" applyAlignment="1">
      <alignment wrapText="1"/>
    </xf>
    <xf numFmtId="0" fontId="76" fillId="0" borderId="15" xfId="0" applyFont="1" applyBorder="1" applyAlignment="1">
      <alignment horizontal="center" wrapText="1"/>
    </xf>
    <xf numFmtId="0" fontId="78" fillId="0" borderId="15" xfId="0" applyFont="1" applyBorder="1" applyAlignment="1">
      <alignment wrapText="1"/>
    </xf>
    <xf numFmtId="0" fontId="76" fillId="0" borderId="15" xfId="0" applyFont="1" applyBorder="1" applyAlignment="1">
      <alignment wrapText="1"/>
    </xf>
    <xf numFmtId="0" fontId="77" fillId="0" borderId="15" xfId="0" applyFont="1" applyBorder="1" applyAlignment="1">
      <alignment wrapText="1"/>
    </xf>
    <xf numFmtId="164" fontId="74" fillId="0" borderId="15" xfId="0" applyNumberFormat="1" applyFont="1" applyFill="1" applyBorder="1" applyAlignment="1">
      <alignment horizontal="center" wrapText="1"/>
    </xf>
    <xf numFmtId="164" fontId="74" fillId="0" borderId="15" xfId="28" applyNumberFormat="1" applyFont="1" applyFill="1" applyBorder="1" applyAlignment="1">
      <alignment horizontal="center" wrapText="1"/>
    </xf>
    <xf numFmtId="0" fontId="74" fillId="0" borderId="15" xfId="0" applyFont="1" applyBorder="1" applyAlignment="1">
      <alignment horizontal="center" wrapText="1"/>
    </xf>
    <xf numFmtId="164" fontId="74" fillId="0" borderId="15" xfId="28" applyNumberFormat="1" applyFont="1" applyBorder="1" applyAlignment="1">
      <alignment wrapText="1"/>
    </xf>
    <xf numFmtId="0" fontId="74" fillId="0" borderId="15" xfId="0" applyFont="1" applyBorder="1" applyAlignment="1">
      <alignment wrapText="1"/>
    </xf>
    <xf numFmtId="0" fontId="74" fillId="24" borderId="15" xfId="0" applyFont="1" applyFill="1" applyBorder="1" applyAlignment="1">
      <alignment horizontal="center" wrapText="1"/>
    </xf>
    <xf numFmtId="0" fontId="79" fillId="24" borderId="15" xfId="0" applyFont="1" applyFill="1" applyBorder="1" applyAlignment="1">
      <alignment wrapText="1"/>
    </xf>
    <xf numFmtId="0" fontId="76" fillId="24" borderId="15" xfId="0" applyFont="1" applyFill="1" applyBorder="1" applyAlignment="1">
      <alignment horizontal="center" wrapText="1"/>
    </xf>
    <xf numFmtId="164" fontId="76" fillId="24" borderId="15" xfId="0" applyNumberFormat="1" applyFont="1" applyFill="1" applyBorder="1" applyAlignment="1">
      <alignment horizontal="center" wrapText="1"/>
    </xf>
    <xf numFmtId="164" fontId="76" fillId="24" borderId="15" xfId="28" applyNumberFormat="1" applyFont="1" applyFill="1" applyBorder="1" applyAlignment="1">
      <alignment wrapText="1"/>
    </xf>
    <xf numFmtId="3" fontId="74" fillId="0" borderId="15" xfId="0" applyNumberFormat="1" applyFont="1" applyBorder="1" applyAlignment="1">
      <alignment wrapText="1"/>
    </xf>
    <xf numFmtId="164" fontId="76" fillId="0" borderId="15" xfId="28" applyNumberFormat="1" applyFont="1" applyBorder="1" applyAlignment="1">
      <alignment horizontal="center" wrapText="1"/>
    </xf>
    <xf numFmtId="0" fontId="80" fillId="24" borderId="15" xfId="0" applyFont="1" applyFill="1" applyBorder="1" applyAlignment="1">
      <alignment horizontal="center" wrapText="1"/>
    </xf>
    <xf numFmtId="164" fontId="76" fillId="0" borderId="15" xfId="0" applyNumberFormat="1" applyFont="1" applyBorder="1" applyAlignment="1">
      <alignment horizontal="center" wrapText="1"/>
    </xf>
    <xf numFmtId="0" fontId="80" fillId="0" borderId="15" xfId="0" applyFont="1" applyBorder="1" applyAlignment="1">
      <alignment horizontal="center" wrapText="1"/>
    </xf>
    <xf numFmtId="0" fontId="77" fillId="24" borderId="15" xfId="0" applyFont="1" applyFill="1" applyBorder="1" applyAlignment="1">
      <alignment wrapText="1"/>
    </xf>
    <xf numFmtId="164" fontId="76" fillId="24" borderId="15" xfId="0" applyNumberFormat="1" applyFont="1" applyFill="1" applyBorder="1" applyAlignment="1">
      <alignment wrapText="1"/>
    </xf>
    <xf numFmtId="164" fontId="76" fillId="24" borderId="15" xfId="28" applyNumberFormat="1" applyFont="1" applyFill="1" applyBorder="1" applyAlignment="1">
      <alignment horizontal="center" wrapText="1"/>
    </xf>
    <xf numFmtId="164" fontId="81" fillId="24" borderId="15" xfId="28" applyNumberFormat="1" applyFont="1" applyFill="1" applyBorder="1" applyAlignment="1">
      <alignment wrapText="1"/>
    </xf>
    <xf numFmtId="0" fontId="76" fillId="0" borderId="15" xfId="0" applyFont="1" applyFill="1" applyBorder="1" applyAlignment="1">
      <alignment horizontal="center" wrapText="1"/>
    </xf>
    <xf numFmtId="164" fontId="76" fillId="0" borderId="15" xfId="28" applyNumberFormat="1" applyFont="1" applyFill="1" applyBorder="1" applyAlignment="1">
      <alignment horizontal="center" wrapText="1"/>
    </xf>
    <xf numFmtId="164" fontId="80" fillId="24" borderId="15" xfId="28" applyNumberFormat="1" applyFont="1" applyFill="1" applyBorder="1" applyAlignment="1">
      <alignment wrapText="1"/>
    </xf>
    <xf numFmtId="164" fontId="74" fillId="0" borderId="15" xfId="28" applyNumberFormat="1" applyFont="1" applyBorder="1" applyAlignment="1">
      <alignment horizontal="center" wrapText="1"/>
    </xf>
    <xf numFmtId="0" fontId="74" fillId="0" borderId="0" xfId="0" applyFont="1" applyBorder="1" applyAlignment="1">
      <alignment wrapText="1"/>
    </xf>
    <xf numFmtId="0" fontId="78" fillId="0" borderId="0" xfId="0" applyFont="1" applyBorder="1"/>
    <xf numFmtId="164" fontId="78" fillId="0" borderId="0" xfId="28" applyNumberFormat="1" applyFont="1" applyBorder="1"/>
    <xf numFmtId="0" fontId="80" fillId="0" borderId="15" xfId="0" applyFont="1" applyBorder="1" applyAlignment="1">
      <alignment wrapText="1"/>
    </xf>
    <xf numFmtId="0" fontId="74" fillId="24" borderId="15" xfId="0" applyFont="1" applyFill="1" applyBorder="1" applyAlignment="1">
      <alignment wrapText="1"/>
    </xf>
    <xf numFmtId="164" fontId="74" fillId="24" borderId="15" xfId="28" applyNumberFormat="1" applyFont="1" applyFill="1" applyBorder="1" applyAlignment="1">
      <alignment wrapText="1"/>
    </xf>
    <xf numFmtId="164" fontId="66" fillId="0" borderId="0" xfId="0" applyNumberFormat="1" applyFont="1"/>
    <xf numFmtId="0" fontId="80" fillId="24" borderId="15" xfId="0" applyFont="1" applyFill="1" applyBorder="1" applyAlignment="1">
      <alignment wrapText="1"/>
    </xf>
    <xf numFmtId="0" fontId="76" fillId="24" borderId="15" xfId="0" applyFont="1" applyFill="1" applyBorder="1" applyAlignment="1">
      <alignment wrapText="1"/>
    </xf>
    <xf numFmtId="164" fontId="80" fillId="25" borderId="15" xfId="28" applyNumberFormat="1" applyFont="1" applyFill="1" applyBorder="1" applyAlignment="1">
      <alignment wrapText="1"/>
    </xf>
    <xf numFmtId="164" fontId="74" fillId="0" borderId="15" xfId="0" applyNumberFormat="1" applyFont="1" applyBorder="1" applyAlignment="1">
      <alignment horizontal="center" wrapText="1"/>
    </xf>
    <xf numFmtId="164" fontId="74" fillId="0" borderId="0" xfId="0" applyNumberFormat="1" applyFont="1" applyAlignment="1">
      <alignment wrapText="1"/>
    </xf>
    <xf numFmtId="164" fontId="74" fillId="0" borderId="0" xfId="28" applyNumberFormat="1" applyFont="1" applyAlignment="1">
      <alignment wrapText="1"/>
    </xf>
    <xf numFmtId="0" fontId="65" fillId="0" borderId="0" xfId="0" applyFont="1"/>
    <xf numFmtId="164" fontId="82" fillId="0" borderId="0" xfId="0" applyNumberFormat="1" applyFont="1"/>
    <xf numFmtId="164" fontId="82" fillId="0" borderId="0" xfId="28" applyNumberFormat="1" applyFont="1"/>
    <xf numFmtId="164" fontId="66" fillId="0" borderId="0" xfId="28" applyNumberFormat="1" applyFont="1"/>
    <xf numFmtId="164" fontId="83" fillId="0" borderId="0" xfId="28" applyNumberFormat="1" applyFont="1"/>
    <xf numFmtId="164" fontId="65" fillId="0" borderId="0" xfId="28" applyNumberFormat="1" applyFont="1"/>
    <xf numFmtId="0" fontId="83" fillId="0" borderId="0" xfId="0" applyFont="1"/>
    <xf numFmtId="0" fontId="84" fillId="0" borderId="0" xfId="0" applyFont="1"/>
    <xf numFmtId="0" fontId="75" fillId="0" borderId="0" xfId="0" applyFont="1"/>
    <xf numFmtId="0" fontId="75" fillId="0" borderId="0" xfId="0" applyFont="1" applyAlignment="1">
      <alignment horizontal="center"/>
    </xf>
    <xf numFmtId="0" fontId="75" fillId="0" borderId="11" xfId="0" applyFont="1" applyBorder="1" applyAlignment="1">
      <alignment horizontal="center"/>
    </xf>
    <xf numFmtId="0" fontId="75" fillId="0" borderId="16" xfId="0" applyFont="1" applyBorder="1" applyAlignment="1">
      <alignment horizontal="center"/>
    </xf>
    <xf numFmtId="0" fontId="75" fillId="0" borderId="17" xfId="0" applyFont="1" applyBorder="1" applyAlignment="1">
      <alignment horizontal="center"/>
    </xf>
    <xf numFmtId="3" fontId="65" fillId="0" borderId="33" xfId="0" applyNumberFormat="1" applyFont="1" applyBorder="1"/>
    <xf numFmtId="0" fontId="75" fillId="0" borderId="19" xfId="0" applyFont="1" applyBorder="1" applyAlignment="1">
      <alignment horizontal="center"/>
    </xf>
    <xf numFmtId="0" fontId="84" fillId="0" borderId="19" xfId="0" applyFont="1" applyBorder="1" applyAlignment="1">
      <alignment wrapText="1"/>
    </xf>
    <xf numFmtId="164" fontId="65" fillId="0" borderId="20" xfId="28" applyNumberFormat="1" applyFont="1" applyBorder="1"/>
    <xf numFmtId="164" fontId="65" fillId="0" borderId="33" xfId="28" applyNumberFormat="1" applyFont="1" applyBorder="1"/>
    <xf numFmtId="0" fontId="84" fillId="0" borderId="19" xfId="0" applyFont="1" applyBorder="1"/>
    <xf numFmtId="0" fontId="66" fillId="0" borderId="33" xfId="0" applyFont="1" applyBorder="1"/>
    <xf numFmtId="0" fontId="84" fillId="0" borderId="19" xfId="0" applyFont="1" applyBorder="1" applyAlignment="1">
      <alignment horizontal="center"/>
    </xf>
    <xf numFmtId="164" fontId="66" fillId="0" borderId="33" xfId="28" applyNumberFormat="1" applyFont="1" applyBorder="1"/>
    <xf numFmtId="3" fontId="66" fillId="0" borderId="44" xfId="0" applyNumberFormat="1" applyFont="1" applyBorder="1"/>
    <xf numFmtId="0" fontId="75" fillId="24" borderId="19" xfId="0" applyFont="1" applyFill="1" applyBorder="1" applyAlignment="1">
      <alignment horizontal="center"/>
    </xf>
    <xf numFmtId="0" fontId="75" fillId="24" borderId="19" xfId="0" applyFont="1" applyFill="1" applyBorder="1" applyAlignment="1">
      <alignment wrapText="1"/>
    </xf>
    <xf numFmtId="3" fontId="75" fillId="24" borderId="20" xfId="0" applyNumberFormat="1" applyFont="1" applyFill="1" applyBorder="1"/>
    <xf numFmtId="3" fontId="75" fillId="24" borderId="33" xfId="0" applyNumberFormat="1" applyFont="1" applyFill="1" applyBorder="1"/>
    <xf numFmtId="0" fontId="66" fillId="0" borderId="47" xfId="0" applyFont="1" applyBorder="1"/>
    <xf numFmtId="0" fontId="66" fillId="0" borderId="38" xfId="0" applyFont="1" applyBorder="1"/>
    <xf numFmtId="0" fontId="66" fillId="0" borderId="20" xfId="0" applyFont="1" applyBorder="1"/>
    <xf numFmtId="165" fontId="65" fillId="0" borderId="33" xfId="28" applyNumberFormat="1" applyFont="1" applyBorder="1"/>
    <xf numFmtId="0" fontId="66" fillId="0" borderId="44" xfId="0" applyFont="1" applyBorder="1"/>
    <xf numFmtId="43" fontId="66" fillId="0" borderId="20" xfId="0" applyNumberFormat="1" applyFont="1" applyBorder="1"/>
    <xf numFmtId="164" fontId="75" fillId="24" borderId="33" xfId="28" applyNumberFormat="1" applyFont="1" applyFill="1" applyBorder="1"/>
    <xf numFmtId="0" fontId="66" fillId="0" borderId="48" xfId="0" applyFont="1" applyBorder="1"/>
    <xf numFmtId="0" fontId="84" fillId="0" borderId="16" xfId="0" applyFont="1" applyBorder="1"/>
    <xf numFmtId="0" fontId="84" fillId="0" borderId="0" xfId="0" applyFont="1" applyBorder="1"/>
    <xf numFmtId="0" fontId="66" fillId="0" borderId="15" xfId="0" applyFont="1" applyBorder="1" applyAlignment="1">
      <alignment horizontal="left"/>
    </xf>
    <xf numFmtId="0" fontId="66" fillId="0" borderId="15" xfId="0" applyFont="1" applyBorder="1"/>
    <xf numFmtId="0" fontId="69" fillId="0" borderId="15" xfId="42" applyFont="1" applyBorder="1" applyAlignment="1">
      <alignment horizontal="left"/>
    </xf>
    <xf numFmtId="0" fontId="69" fillId="0" borderId="15" xfId="42" applyFont="1" applyBorder="1"/>
    <xf numFmtId="0" fontId="64" fillId="0" borderId="15" xfId="42" applyFont="1" applyBorder="1" applyAlignment="1">
      <alignment horizontal="left"/>
    </xf>
    <xf numFmtId="0" fontId="64" fillId="0" borderId="15" xfId="42" applyFont="1" applyBorder="1"/>
    <xf numFmtId="0" fontId="65" fillId="0" borderId="15" xfId="0" applyFont="1" applyBorder="1"/>
    <xf numFmtId="164" fontId="65" fillId="0" borderId="15" xfId="28" applyNumberFormat="1" applyFont="1" applyBorder="1"/>
    <xf numFmtId="0" fontId="64" fillId="0" borderId="15" xfId="42" applyFont="1" applyFill="1" applyBorder="1"/>
    <xf numFmtId="164" fontId="65" fillId="0" borderId="15" xfId="0" applyNumberFormat="1" applyFont="1" applyBorder="1"/>
    <xf numFmtId="0" fontId="86" fillId="0" borderId="0" xfId="0" applyFont="1"/>
    <xf numFmtId="0" fontId="70" fillId="0" borderId="21" xfId="0" applyFont="1" applyBorder="1"/>
    <xf numFmtId="0" fontId="69" fillId="0" borderId="22" xfId="0" applyFont="1" applyBorder="1" applyAlignment="1">
      <alignment horizontal="center" wrapText="1"/>
    </xf>
    <xf numFmtId="0" fontId="69" fillId="0" borderId="23" xfId="0" applyFont="1" applyBorder="1" applyAlignment="1">
      <alignment horizontal="center" wrapText="1"/>
    </xf>
    <xf numFmtId="0" fontId="69" fillId="0" borderId="21" xfId="0" applyFont="1" applyBorder="1" applyAlignment="1">
      <alignment horizontal="center" wrapText="1"/>
    </xf>
    <xf numFmtId="0" fontId="71" fillId="0" borderId="16" xfId="0" applyFont="1" applyBorder="1" applyAlignment="1">
      <alignment horizontal="center" wrapText="1"/>
    </xf>
    <xf numFmtId="0" fontId="71" fillId="0" borderId="11" xfId="0" applyFont="1" applyBorder="1" applyAlignment="1">
      <alignment horizontal="center" wrapText="1"/>
    </xf>
    <xf numFmtId="0" fontId="71" fillId="0" borderId="22" xfId="0" applyFont="1" applyBorder="1" applyAlignment="1">
      <alignment horizontal="center" wrapText="1"/>
    </xf>
    <xf numFmtId="0" fontId="70" fillId="0" borderId="26" xfId="0" applyFont="1" applyBorder="1" applyAlignment="1">
      <alignment wrapText="1"/>
    </xf>
    <xf numFmtId="164" fontId="70" fillId="0" borderId="27" xfId="28" applyNumberFormat="1" applyFont="1" applyBorder="1"/>
    <xf numFmtId="164" fontId="70" fillId="0" borderId="27" xfId="28" applyNumberFormat="1" applyFont="1" applyBorder="1" applyAlignment="1">
      <alignment wrapText="1"/>
    </xf>
    <xf numFmtId="164" fontId="70" fillId="0" borderId="55" xfId="28" applyNumberFormat="1" applyFont="1" applyBorder="1"/>
    <xf numFmtId="3" fontId="69" fillId="0" borderId="0" xfId="0" applyNumberFormat="1" applyFont="1"/>
    <xf numFmtId="0" fontId="69" fillId="0" borderId="37" xfId="0" applyFont="1" applyBorder="1" applyAlignment="1">
      <alignment wrapText="1"/>
    </xf>
    <xf numFmtId="164" fontId="87" fillId="0" borderId="53" xfId="28" applyNumberFormat="1" applyFont="1" applyBorder="1"/>
    <xf numFmtId="0" fontId="69" fillId="0" borderId="35" xfId="0" applyFont="1" applyBorder="1" applyAlignment="1">
      <alignment wrapText="1"/>
    </xf>
    <xf numFmtId="164" fontId="70" fillId="0" borderId="15" xfId="28" applyNumberFormat="1" applyFont="1" applyBorder="1"/>
    <xf numFmtId="0" fontId="71" fillId="0" borderId="35" xfId="0" applyFont="1" applyBorder="1" applyAlignment="1">
      <alignment wrapText="1"/>
    </xf>
    <xf numFmtId="164" fontId="71" fillId="0" borderId="15" xfId="28" applyNumberFormat="1" applyFont="1" applyBorder="1"/>
    <xf numFmtId="0" fontId="71" fillId="0" borderId="32" xfId="0" applyFont="1" applyBorder="1" applyAlignment="1">
      <alignment wrapText="1"/>
    </xf>
    <xf numFmtId="164" fontId="69" fillId="0" borderId="24" xfId="28" applyNumberFormat="1" applyFont="1" applyBorder="1"/>
    <xf numFmtId="164" fontId="87" fillId="0" borderId="54" xfId="28" applyNumberFormat="1" applyFont="1" applyBorder="1"/>
    <xf numFmtId="0" fontId="64" fillId="0" borderId="22" xfId="0" applyNumberFormat="1" applyFont="1" applyBorder="1" applyAlignment="1">
      <alignment vertical="justify" wrapText="1"/>
    </xf>
    <xf numFmtId="0" fontId="64" fillId="0" borderId="22" xfId="0" applyNumberFormat="1" applyFont="1" applyBorder="1" applyAlignment="1">
      <alignment horizontal="center" vertical="justify" wrapText="1"/>
    </xf>
    <xf numFmtId="0" fontId="64" fillId="0" borderId="45" xfId="28" applyNumberFormat="1" applyFont="1" applyBorder="1" applyAlignment="1">
      <alignment horizontal="center" vertical="justify" wrapText="1"/>
    </xf>
    <xf numFmtId="0" fontId="64" fillId="0" borderId="45" xfId="0" applyNumberFormat="1" applyFont="1" applyFill="1" applyBorder="1" applyAlignment="1">
      <alignment horizontal="left" vertical="justify" wrapText="1"/>
    </xf>
    <xf numFmtId="0" fontId="69" fillId="0" borderId="45" xfId="28" applyNumberFormat="1" applyFont="1" applyBorder="1" applyAlignment="1">
      <alignment horizontal="left" vertical="justify" wrapText="1"/>
    </xf>
    <xf numFmtId="0" fontId="69" fillId="0" borderId="40" xfId="28" applyNumberFormat="1" applyFont="1" applyBorder="1" applyAlignment="1">
      <alignment horizontal="left" vertical="justify" wrapText="1"/>
    </xf>
    <xf numFmtId="0" fontId="69" fillId="0" borderId="81" xfId="28" applyNumberFormat="1" applyFont="1" applyBorder="1" applyAlignment="1">
      <alignment horizontal="left" vertical="justify" wrapText="1"/>
    </xf>
    <xf numFmtId="0" fontId="69" fillId="0" borderId="79" xfId="28" applyNumberFormat="1" applyFont="1" applyBorder="1" applyAlignment="1">
      <alignment horizontal="left" vertical="justify" wrapText="1"/>
    </xf>
    <xf numFmtId="0" fontId="69" fillId="0" borderId="20" xfId="28" applyNumberFormat="1" applyFont="1" applyBorder="1" applyAlignment="1">
      <alignment horizontal="center" vertical="justify" wrapText="1"/>
    </xf>
    <xf numFmtId="0" fontId="69" fillId="0" borderId="20" xfId="0" applyNumberFormat="1" applyFont="1" applyFill="1" applyBorder="1" applyAlignment="1">
      <alignment horizontal="left" vertical="justify" wrapText="1"/>
    </xf>
    <xf numFmtId="0" fontId="69" fillId="0" borderId="20" xfId="28" applyNumberFormat="1" applyFont="1" applyBorder="1" applyAlignment="1">
      <alignment horizontal="left" vertical="justify" wrapText="1"/>
    </xf>
    <xf numFmtId="164" fontId="69" fillId="0" borderId="35" xfId="28" applyNumberFormat="1" applyFont="1" applyBorder="1" applyAlignment="1">
      <alignment horizontal="left" vertical="justify" wrapText="1"/>
    </xf>
    <xf numFmtId="164" fontId="69" fillId="0" borderId="53" xfId="28" applyNumberFormat="1" applyFont="1" applyFill="1" applyBorder="1" applyAlignment="1">
      <alignment horizontal="left" vertical="justify" wrapText="1"/>
    </xf>
    <xf numFmtId="164" fontId="69" fillId="0" borderId="79" xfId="28" applyNumberFormat="1" applyFont="1" applyFill="1" applyBorder="1" applyAlignment="1">
      <alignment horizontal="left" vertical="justify" wrapText="1"/>
    </xf>
    <xf numFmtId="164" fontId="1" fillId="0" borderId="53" xfId="28" applyNumberFormat="1" applyFont="1" applyFill="1" applyBorder="1" applyAlignment="1">
      <alignment horizontal="left" vertical="justify" wrapText="1"/>
    </xf>
    <xf numFmtId="164" fontId="86" fillId="0" borderId="79" xfId="28" applyNumberFormat="1" applyFont="1" applyFill="1" applyBorder="1" applyAlignment="1">
      <alignment horizontal="left" vertical="justify" wrapText="1"/>
    </xf>
    <xf numFmtId="0" fontId="88" fillId="0" borderId="20" xfId="0" applyNumberFormat="1" applyFont="1" applyFill="1" applyBorder="1" applyAlignment="1">
      <alignment horizontal="left" vertical="justify" wrapText="1"/>
    </xf>
    <xf numFmtId="164" fontId="69" fillId="24" borderId="53" xfId="28" applyNumberFormat="1" applyFont="1" applyFill="1" applyBorder="1" applyAlignment="1">
      <alignment horizontal="left" vertical="justify" wrapText="1"/>
    </xf>
    <xf numFmtId="164" fontId="69" fillId="24" borderId="79" xfId="28" applyNumberFormat="1" applyFont="1" applyFill="1" applyBorder="1" applyAlignment="1">
      <alignment horizontal="left" vertical="justify" wrapText="1"/>
    </xf>
    <xf numFmtId="0" fontId="64" fillId="0" borderId="20" xfId="28" applyNumberFormat="1" applyFont="1" applyBorder="1" applyAlignment="1">
      <alignment horizontal="center" vertical="justify" wrapText="1"/>
    </xf>
    <xf numFmtId="0" fontId="64" fillId="0" borderId="20" xfId="0" applyNumberFormat="1" applyFont="1" applyFill="1" applyBorder="1" applyAlignment="1">
      <alignment horizontal="left" vertical="justify" wrapText="1"/>
    </xf>
    <xf numFmtId="164" fontId="69" fillId="0" borderId="79" xfId="28" applyNumberFormat="1" applyFont="1" applyBorder="1" applyAlignment="1">
      <alignment horizontal="left" vertical="justify" wrapText="1"/>
    </xf>
    <xf numFmtId="0" fontId="69" fillId="0" borderId="35" xfId="28" applyNumberFormat="1" applyFont="1" applyBorder="1" applyAlignment="1">
      <alignment horizontal="left" vertical="justify" wrapText="1"/>
    </xf>
    <xf numFmtId="164" fontId="69" fillId="0" borderId="53" xfId="28" applyNumberFormat="1" applyFont="1" applyBorder="1" applyAlignment="1">
      <alignment horizontal="left" vertical="justify" wrapText="1"/>
    </xf>
    <xf numFmtId="0" fontId="69" fillId="0" borderId="48" xfId="28" applyNumberFormat="1" applyFont="1" applyBorder="1" applyAlignment="1">
      <alignment horizontal="left" vertical="justify" wrapText="1"/>
    </xf>
    <xf numFmtId="0" fontId="64" fillId="0" borderId="48" xfId="0" applyNumberFormat="1" applyFont="1" applyFill="1" applyBorder="1" applyAlignment="1">
      <alignment horizontal="left" vertical="justify" wrapText="1"/>
    </xf>
    <xf numFmtId="0" fontId="64" fillId="0" borderId="48" xfId="28" applyNumberFormat="1" applyFont="1" applyBorder="1" applyAlignment="1">
      <alignment horizontal="center" vertical="justify" wrapText="1"/>
    </xf>
    <xf numFmtId="164" fontId="69" fillId="24" borderId="78" xfId="28" applyNumberFormat="1" applyFont="1" applyFill="1" applyBorder="1" applyAlignment="1">
      <alignment horizontal="left" vertical="justify" wrapText="1"/>
    </xf>
    <xf numFmtId="164" fontId="69" fillId="24" borderId="80" xfId="28" applyNumberFormat="1" applyFont="1" applyFill="1" applyBorder="1" applyAlignment="1">
      <alignment horizontal="left" vertical="justify" wrapText="1"/>
    </xf>
    <xf numFmtId="0" fontId="69" fillId="0" borderId="0" xfId="28" applyNumberFormat="1" applyFont="1" applyBorder="1" applyAlignment="1">
      <alignment horizontal="left" vertical="justify" wrapText="1"/>
    </xf>
    <xf numFmtId="0" fontId="71" fillId="0" borderId="0" xfId="0" applyNumberFormat="1" applyFont="1" applyAlignment="1">
      <alignment horizontal="left" vertical="center"/>
    </xf>
    <xf numFmtId="164" fontId="71" fillId="0" borderId="0" xfId="28" applyNumberFormat="1" applyFont="1" applyAlignment="1">
      <alignment horizontal="left" vertical="center"/>
    </xf>
    <xf numFmtId="0" fontId="75" fillId="0" borderId="19" xfId="0" applyFont="1" applyBorder="1"/>
    <xf numFmtId="0" fontId="75" fillId="24" borderId="19" xfId="0" applyFont="1" applyFill="1" applyBorder="1"/>
    <xf numFmtId="170" fontId="75" fillId="0" borderId="19" xfId="0" applyNumberFormat="1" applyFont="1" applyBorder="1" applyAlignment="1">
      <alignment horizontal="center"/>
    </xf>
    <xf numFmtId="0" fontId="75" fillId="0" borderId="16" xfId="0" applyFont="1" applyBorder="1"/>
    <xf numFmtId="0" fontId="70" fillId="0" borderId="18" xfId="0" applyFont="1" applyBorder="1" applyAlignment="1">
      <alignment horizontal="center"/>
    </xf>
    <xf numFmtId="0" fontId="71" fillId="0" borderId="18" xfId="0" applyFont="1" applyBorder="1" applyAlignment="1">
      <alignment wrapText="1"/>
    </xf>
    <xf numFmtId="3" fontId="64" fillId="0" borderId="45" xfId="0" applyNumberFormat="1" applyFont="1" applyBorder="1"/>
    <xf numFmtId="0" fontId="70" fillId="0" borderId="19" xfId="0" applyFont="1" applyBorder="1" applyAlignment="1">
      <alignment horizontal="center"/>
    </xf>
    <xf numFmtId="0" fontId="71" fillId="0" borderId="19" xfId="0" applyFont="1" applyBorder="1" applyAlignment="1">
      <alignment wrapText="1"/>
    </xf>
    <xf numFmtId="164" fontId="64" fillId="0" borderId="20" xfId="28" applyNumberFormat="1" applyFont="1" applyBorder="1"/>
    <xf numFmtId="0" fontId="70" fillId="0" borderId="19" xfId="0" applyFont="1" applyBorder="1"/>
    <xf numFmtId="0" fontId="71" fillId="0" borderId="19" xfId="0" applyFont="1" applyBorder="1" applyAlignment="1">
      <alignment horizontal="center"/>
    </xf>
    <xf numFmtId="0" fontId="89" fillId="0" borderId="19" xfId="0" applyFont="1" applyBorder="1" applyAlignment="1">
      <alignment wrapText="1"/>
    </xf>
    <xf numFmtId="164" fontId="69" fillId="0" borderId="20" xfId="28" applyNumberFormat="1" applyFont="1" applyBorder="1"/>
    <xf numFmtId="164" fontId="64" fillId="0" borderId="46" xfId="28" applyNumberFormat="1" applyFont="1" applyBorder="1"/>
    <xf numFmtId="0" fontId="69" fillId="0" borderId="47" xfId="0" applyFont="1" applyBorder="1"/>
    <xf numFmtId="0" fontId="69" fillId="0" borderId="20" xfId="0" applyFont="1" applyBorder="1"/>
    <xf numFmtId="0" fontId="69" fillId="0" borderId="46" xfId="0" applyFont="1" applyBorder="1"/>
    <xf numFmtId="0" fontId="75" fillId="0" borderId="0" xfId="0" applyFont="1" applyBorder="1" applyAlignment="1">
      <alignment horizontal="center"/>
    </xf>
    <xf numFmtId="164" fontId="75" fillId="24" borderId="48" xfId="28" applyNumberFormat="1" applyFont="1" applyFill="1" applyBorder="1"/>
    <xf numFmtId="0" fontId="69" fillId="0" borderId="0" xfId="42" applyFont="1" applyBorder="1"/>
    <xf numFmtId="0" fontId="1" fillId="0" borderId="0" xfId="43" applyFont="1" applyBorder="1" applyAlignment="1">
      <alignment horizontal="left" vertical="center" wrapText="1"/>
    </xf>
    <xf numFmtId="0" fontId="1" fillId="0" borderId="72" xfId="43" applyFont="1" applyBorder="1"/>
    <xf numFmtId="0" fontId="1" fillId="0" borderId="72" xfId="43" applyFont="1" applyBorder="1" applyAlignment="1">
      <alignment horizontal="right"/>
    </xf>
    <xf numFmtId="0" fontId="66" fillId="0" borderId="0" xfId="43" applyFont="1"/>
    <xf numFmtId="164" fontId="1" fillId="0" borderId="74" xfId="43" applyNumberFormat="1" applyFont="1" applyBorder="1"/>
    <xf numFmtId="0" fontId="90" fillId="0" borderId="0" xfId="43" applyFont="1"/>
    <xf numFmtId="164" fontId="90" fillId="0" borderId="0" xfId="43" applyNumberFormat="1" applyFont="1"/>
    <xf numFmtId="0" fontId="91" fillId="0" borderId="0" xfId="43" applyFont="1" applyAlignment="1">
      <alignment wrapText="1"/>
    </xf>
    <xf numFmtId="164" fontId="92" fillId="0" borderId="0" xfId="30" applyNumberFormat="1" applyFont="1"/>
    <xf numFmtId="164" fontId="1" fillId="0" borderId="0" xfId="43" applyNumberFormat="1" applyFont="1"/>
    <xf numFmtId="164" fontId="1" fillId="0" borderId="82" xfId="43" applyNumberFormat="1" applyFont="1" applyBorder="1"/>
    <xf numFmtId="164" fontId="66" fillId="0" borderId="0" xfId="43" applyNumberFormat="1" applyFont="1"/>
    <xf numFmtId="0" fontId="92" fillId="0" borderId="72" xfId="45" applyFont="1" applyBorder="1" applyAlignment="1">
      <alignment horizontal="center" vertical="center" wrapText="1"/>
    </xf>
    <xf numFmtId="0" fontId="92" fillId="0" borderId="72" xfId="45" applyFont="1" applyBorder="1" applyAlignment="1">
      <alignment horizontal="right" vertical="center"/>
    </xf>
    <xf numFmtId="0" fontId="1" fillId="0" borderId="0" xfId="44" applyFont="1"/>
    <xf numFmtId="164" fontId="1" fillId="0" borderId="0" xfId="29" applyNumberFormat="1" applyFont="1" applyFill="1"/>
    <xf numFmtId="0" fontId="1" fillId="0" borderId="73" xfId="44" applyFont="1" applyBorder="1"/>
    <xf numFmtId="164" fontId="1" fillId="0" borderId="73" xfId="29" applyNumberFormat="1" applyFont="1" applyFill="1" applyBorder="1"/>
    <xf numFmtId="43" fontId="66" fillId="0" borderId="0" xfId="43" applyNumberFormat="1" applyFont="1"/>
    <xf numFmtId="0" fontId="91" fillId="0" borderId="73" xfId="44" applyFont="1" applyBorder="1"/>
    <xf numFmtId="0" fontId="73" fillId="0" borderId="73" xfId="44" applyFont="1" applyBorder="1" applyAlignment="1">
      <alignment horizontal="right"/>
    </xf>
    <xf numFmtId="0" fontId="92" fillId="0" borderId="0" xfId="44" applyFont="1"/>
    <xf numFmtId="0" fontId="92" fillId="0" borderId="0" xfId="44" applyFont="1" applyAlignment="1">
      <alignment horizontal="right"/>
    </xf>
    <xf numFmtId="0" fontId="90" fillId="0" borderId="0" xfId="44" applyFont="1"/>
    <xf numFmtId="164" fontId="90" fillId="0" borderId="0" xfId="29" applyNumberFormat="1" applyFont="1"/>
    <xf numFmtId="0" fontId="92" fillId="0" borderId="73" xfId="44" applyFont="1" applyBorder="1" applyAlignment="1">
      <alignment vertical="center"/>
    </xf>
    <xf numFmtId="0" fontId="92" fillId="0" borderId="73" xfId="44" applyFont="1" applyBorder="1" applyAlignment="1">
      <alignment horizontal="right" vertical="center"/>
    </xf>
    <xf numFmtId="0" fontId="92" fillId="0" borderId="73" xfId="44" applyFont="1" applyBorder="1" applyAlignment="1">
      <alignment horizontal="center" wrapText="1"/>
    </xf>
    <xf numFmtId="0" fontId="1" fillId="0" borderId="77" xfId="44" applyFont="1" applyBorder="1"/>
    <xf numFmtId="0" fontId="1" fillId="0" borderId="72" xfId="43" applyFont="1" applyBorder="1" applyAlignment="1">
      <alignment horizontal="right" vertical="center"/>
    </xf>
    <xf numFmtId="0" fontId="92" fillId="0" borderId="72" xfId="43" applyFont="1" applyBorder="1" applyAlignment="1">
      <alignment horizontal="left" vertical="center" wrapText="1"/>
    </xf>
    <xf numFmtId="0" fontId="92" fillId="0" borderId="72" xfId="43" applyFont="1" applyBorder="1" applyAlignment="1">
      <alignment horizontal="right" vertical="center"/>
    </xf>
    <xf numFmtId="164" fontId="1" fillId="0" borderId="0" xfId="29" applyNumberFormat="1" applyFont="1"/>
    <xf numFmtId="0" fontId="66" fillId="0" borderId="0" xfId="43" applyFont="1" applyAlignment="1">
      <alignment wrapText="1"/>
    </xf>
    <xf numFmtId="3" fontId="66" fillId="0" borderId="0" xfId="43" applyNumberFormat="1" applyFont="1"/>
    <xf numFmtId="164" fontId="1" fillId="0" borderId="0" xfId="44" applyNumberFormat="1" applyFont="1"/>
    <xf numFmtId="0" fontId="90" fillId="0" borderId="72" xfId="43" applyFont="1" applyBorder="1" applyAlignment="1">
      <alignment horizontal="right" vertical="center"/>
    </xf>
    <xf numFmtId="0" fontId="90" fillId="0" borderId="74" xfId="43" applyFont="1" applyBorder="1" applyAlignment="1">
      <alignment horizontal="left" vertical="center" wrapText="1"/>
    </xf>
    <xf numFmtId="3" fontId="93" fillId="0" borderId="0" xfId="43" applyNumberFormat="1" applyFont="1" applyAlignment="1"/>
    <xf numFmtId="3" fontId="93" fillId="0" borderId="0" xfId="43" applyNumberFormat="1" applyFont="1" applyAlignment="1">
      <alignment horizontal="right"/>
    </xf>
    <xf numFmtId="0" fontId="93" fillId="0" borderId="0" xfId="43" applyFont="1" applyAlignment="1">
      <alignment horizontal="center"/>
    </xf>
    <xf numFmtId="164" fontId="69" fillId="0" borderId="0" xfId="43" applyNumberFormat="1" applyFont="1"/>
    <xf numFmtId="0" fontId="69" fillId="0" borderId="0" xfId="43" applyFont="1" applyAlignment="1"/>
    <xf numFmtId="0" fontId="85" fillId="0" borderId="0" xfId="43" applyFont="1" applyAlignment="1">
      <alignment wrapText="1"/>
    </xf>
    <xf numFmtId="0" fontId="93" fillId="0" borderId="0" xfId="43" applyFont="1"/>
    <xf numFmtId="0" fontId="94" fillId="0" borderId="0" xfId="43" applyFont="1" applyAlignment="1"/>
    <xf numFmtId="3" fontId="93" fillId="0" borderId="0" xfId="43" applyNumberFormat="1" applyFont="1" applyAlignment="1">
      <alignment horizontal="right" wrapText="1"/>
    </xf>
    <xf numFmtId="0" fontId="90" fillId="0" borderId="0" xfId="43" applyFont="1" applyBorder="1" applyAlignment="1">
      <alignment horizontal="left" vertical="center" wrapText="1"/>
    </xf>
    <xf numFmtId="0" fontId="92" fillId="0" borderId="0" xfId="43" applyFont="1" applyBorder="1" applyAlignment="1">
      <alignment horizontal="right" vertical="center"/>
    </xf>
    <xf numFmtId="164" fontId="1" fillId="0" borderId="0" xfId="28" applyNumberFormat="1" applyFont="1" applyBorder="1" applyAlignment="1">
      <alignment horizontal="right" vertical="center" wrapText="1"/>
    </xf>
    <xf numFmtId="164" fontId="1" fillId="0" borderId="0" xfId="28" applyNumberFormat="1" applyFont="1"/>
    <xf numFmtId="0" fontId="1" fillId="0" borderId="0" xfId="42" applyFont="1"/>
    <xf numFmtId="164" fontId="66" fillId="0" borderId="0" xfId="30" applyNumberFormat="1" applyFont="1"/>
    <xf numFmtId="0" fontId="66" fillId="0" borderId="0" xfId="43" applyFont="1" applyFill="1"/>
    <xf numFmtId="0" fontId="1" fillId="0" borderId="72" xfId="0" applyFont="1" applyBorder="1"/>
    <xf numFmtId="0" fontId="1" fillId="0" borderId="72" xfId="0" applyFont="1" applyBorder="1" applyAlignment="1">
      <alignment horizontal="right"/>
    </xf>
    <xf numFmtId="0" fontId="64" fillId="0" borderId="15" xfId="43" applyFont="1" applyFill="1" applyBorder="1" applyAlignment="1">
      <alignment horizontal="center" vertical="center" wrapText="1"/>
    </xf>
    <xf numFmtId="164" fontId="65" fillId="0" borderId="30" xfId="28" applyNumberFormat="1" applyFont="1" applyFill="1" applyBorder="1"/>
    <xf numFmtId="164" fontId="66" fillId="0" borderId="30" xfId="28" applyNumberFormat="1" applyFont="1" applyFill="1" applyBorder="1"/>
    <xf numFmtId="164" fontId="65" fillId="0" borderId="75" xfId="28" applyNumberFormat="1" applyFont="1" applyFill="1" applyBorder="1"/>
    <xf numFmtId="0" fontId="76" fillId="0" borderId="11" xfId="0" applyFont="1" applyBorder="1" applyAlignment="1">
      <alignment horizontal="center" wrapText="1"/>
    </xf>
    <xf numFmtId="0" fontId="76" fillId="0" borderId="13" xfId="0" applyFont="1" applyBorder="1" applyAlignment="1">
      <alignment horizontal="center" wrapText="1"/>
    </xf>
    <xf numFmtId="164" fontId="76" fillId="0" borderId="11" xfId="28" applyNumberFormat="1" applyFont="1" applyBorder="1" applyAlignment="1">
      <alignment horizontal="center" wrapText="1"/>
    </xf>
    <xf numFmtId="164" fontId="76" fillId="0" borderId="13" xfId="28" applyNumberFormat="1" applyFont="1" applyBorder="1" applyAlignment="1">
      <alignment horizontal="center" wrapText="1"/>
    </xf>
    <xf numFmtId="0" fontId="75" fillId="0" borderId="10" xfId="0" applyFont="1" applyBorder="1" applyAlignment="1">
      <alignment wrapText="1"/>
    </xf>
    <xf numFmtId="0" fontId="74" fillId="0" borderId="0" xfId="0" applyFont="1" applyBorder="1" applyAlignment="1">
      <alignment horizontal="center" wrapText="1"/>
    </xf>
    <xf numFmtId="0" fontId="76" fillId="0" borderId="17" xfId="0" applyFont="1" applyBorder="1" applyAlignment="1">
      <alignment horizontal="center" wrapText="1"/>
    </xf>
    <xf numFmtId="164" fontId="76" fillId="0" borderId="17" xfId="28" applyNumberFormat="1" applyFont="1" applyBorder="1" applyAlignment="1">
      <alignment horizontal="center" wrapText="1"/>
    </xf>
    <xf numFmtId="0" fontId="76" fillId="0" borderId="47" xfId="0" applyFont="1" applyBorder="1" applyAlignment="1">
      <alignment horizontal="center" wrapText="1"/>
    </xf>
    <xf numFmtId="0" fontId="75" fillId="0" borderId="11" xfId="0" applyFont="1" applyBorder="1" applyAlignment="1">
      <alignment horizontal="center"/>
    </xf>
    <xf numFmtId="0" fontId="75" fillId="0" borderId="13" xfId="0" applyFont="1" applyBorder="1" applyAlignment="1">
      <alignment horizontal="center"/>
    </xf>
    <xf numFmtId="0" fontId="75" fillId="0" borderId="10" xfId="0" applyFont="1" applyBorder="1"/>
    <xf numFmtId="0" fontId="75" fillId="0" borderId="17" xfId="0" applyFont="1" applyBorder="1" applyAlignment="1">
      <alignment horizontal="center"/>
    </xf>
    <xf numFmtId="0" fontId="64" fillId="0" borderId="0" xfId="0" applyFont="1"/>
    <xf numFmtId="0" fontId="69" fillId="0" borderId="0" xfId="0" applyFont="1"/>
    <xf numFmtId="0" fontId="86" fillId="0" borderId="0" xfId="0" applyFont="1"/>
    <xf numFmtId="0" fontId="70" fillId="0" borderId="90" xfId="0" applyNumberFormat="1" applyFont="1" applyBorder="1" applyAlignment="1">
      <alignment horizontal="center" vertical="center"/>
    </xf>
    <xf numFmtId="0" fontId="70" fillId="0" borderId="12" xfId="0" applyNumberFormat="1" applyFont="1" applyBorder="1" applyAlignment="1">
      <alignment horizontal="center" vertical="center"/>
    </xf>
    <xf numFmtId="0" fontId="70" fillId="0" borderId="11" xfId="0" applyNumberFormat="1" applyFont="1" applyBorder="1" applyAlignment="1">
      <alignment horizontal="center" vertical="center" wrapText="1"/>
    </xf>
    <xf numFmtId="0" fontId="70" fillId="0" borderId="13" xfId="0" applyNumberFormat="1" applyFont="1" applyBorder="1" applyAlignment="1">
      <alignment horizontal="center" vertical="center" wrapText="1"/>
    </xf>
    <xf numFmtId="0" fontId="64" fillId="0" borderId="18" xfId="0" applyNumberFormat="1" applyFont="1" applyBorder="1" applyAlignment="1">
      <alignment horizontal="center" vertical="justify" wrapText="1"/>
    </xf>
    <xf numFmtId="0" fontId="64" fillId="0" borderId="23" xfId="0" applyNumberFormat="1" applyFont="1" applyBorder="1" applyAlignment="1">
      <alignment horizontal="center" vertical="justify" wrapText="1"/>
    </xf>
    <xf numFmtId="0" fontId="64" fillId="0" borderId="22" xfId="0" applyNumberFormat="1" applyFont="1" applyBorder="1" applyAlignment="1">
      <alignment horizontal="center" vertical="justify" wrapText="1"/>
    </xf>
    <xf numFmtId="0" fontId="64" fillId="0" borderId="18" xfId="0" applyNumberFormat="1" applyFont="1" applyBorder="1" applyAlignment="1">
      <alignment horizontal="left" vertical="justify" wrapText="1"/>
    </xf>
    <xf numFmtId="0" fontId="64" fillId="0" borderId="23" xfId="0" applyNumberFormat="1" applyFont="1" applyBorder="1" applyAlignment="1">
      <alignment horizontal="left" vertical="justify" wrapText="1"/>
    </xf>
    <xf numFmtId="0" fontId="64" fillId="0" borderId="22" xfId="0" applyNumberFormat="1" applyFont="1" applyBorder="1" applyAlignment="1">
      <alignment horizontal="left" vertical="justify" wrapText="1"/>
    </xf>
    <xf numFmtId="0" fontId="70" fillId="0" borderId="11" xfId="0" applyNumberFormat="1" applyFont="1" applyBorder="1" applyAlignment="1">
      <alignment horizontal="center" vertical="center"/>
    </xf>
    <xf numFmtId="0" fontId="70" fillId="0" borderId="1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wrapText="1"/>
    </xf>
    <xf numFmtId="0" fontId="5" fillId="0" borderId="84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5" fillId="0" borderId="57" xfId="0" applyFont="1" applyBorder="1" applyAlignment="1">
      <alignment horizontal="center" wrapText="1"/>
    </xf>
    <xf numFmtId="0" fontId="5" fillId="0" borderId="72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164" fontId="11" fillId="0" borderId="43" xfId="28" applyNumberFormat="1" applyFont="1" applyBorder="1" applyAlignment="1">
      <alignment horizontal="center"/>
    </xf>
    <xf numFmtId="164" fontId="11" fillId="0" borderId="82" xfId="28" applyNumberFormat="1" applyFont="1" applyBorder="1" applyAlignment="1">
      <alignment horizontal="center"/>
    </xf>
    <xf numFmtId="164" fontId="11" fillId="0" borderId="33" xfId="28" applyNumberFormat="1" applyFont="1" applyBorder="1" applyAlignment="1">
      <alignment horizontal="center"/>
    </xf>
    <xf numFmtId="3" fontId="60" fillId="0" borderId="59" xfId="32" applyNumberFormat="1" applyFont="1" applyBorder="1" applyAlignment="1">
      <alignment horizontal="center" vertical="center" wrapText="1"/>
    </xf>
    <xf numFmtId="3" fontId="60" fillId="0" borderId="23" xfId="32" applyNumberFormat="1" applyFont="1" applyBorder="1" applyAlignment="1">
      <alignment horizontal="center" vertical="center" wrapText="1"/>
    </xf>
    <xf numFmtId="3" fontId="60" fillId="0" borderId="56" xfId="32" applyNumberFormat="1" applyFont="1" applyBorder="1" applyAlignment="1">
      <alignment horizontal="center" vertical="center" wrapText="1"/>
    </xf>
    <xf numFmtId="164" fontId="11" fillId="0" borderId="43" xfId="28" applyNumberFormat="1" applyFont="1" applyBorder="1" applyAlignment="1">
      <alignment horizontal="center" wrapText="1"/>
    </xf>
    <xf numFmtId="164" fontId="11" fillId="0" borderId="82" xfId="28" applyNumberFormat="1" applyFont="1" applyBorder="1" applyAlignment="1">
      <alignment horizontal="center" wrapText="1"/>
    </xf>
    <xf numFmtId="164" fontId="11" fillId="0" borderId="33" xfId="28" applyNumberFormat="1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2" fontId="7" fillId="0" borderId="43" xfId="47" applyNumberFormat="1" applyFont="1" applyBorder="1" applyAlignment="1">
      <alignment horizontal="center" wrapText="1"/>
    </xf>
    <xf numFmtId="2" fontId="7" fillId="0" borderId="82" xfId="47" applyNumberFormat="1" applyFont="1" applyBorder="1" applyAlignment="1">
      <alignment horizontal="center" wrapText="1"/>
    </xf>
    <xf numFmtId="2" fontId="7" fillId="0" borderId="33" xfId="47" applyNumberFormat="1" applyFont="1" applyBorder="1" applyAlignment="1">
      <alignment horizontal="center" wrapText="1"/>
    </xf>
    <xf numFmtId="2" fontId="20" fillId="0" borderId="0" xfId="47" applyNumberFormat="1" applyFont="1" applyBorder="1" applyAlignment="1">
      <alignment horizontal="center" wrapText="1"/>
    </xf>
    <xf numFmtId="2" fontId="20" fillId="0" borderId="29" xfId="47" applyNumberFormat="1" applyFont="1" applyBorder="1" applyAlignment="1">
      <alignment horizontal="center" wrapText="1"/>
    </xf>
    <xf numFmtId="0" fontId="7" fillId="0" borderId="83" xfId="47" applyFont="1" applyBorder="1" applyAlignment="1">
      <alignment horizontal="left" wrapText="1"/>
    </xf>
    <xf numFmtId="0" fontId="7" fillId="0" borderId="28" xfId="47" applyFont="1" applyBorder="1" applyAlignment="1">
      <alignment horizontal="left" wrapText="1"/>
    </xf>
    <xf numFmtId="0" fontId="15" fillId="0" borderId="82" xfId="47" applyFont="1" applyBorder="1" applyAlignment="1">
      <alignment horizontal="left" wrapText="1"/>
    </xf>
    <xf numFmtId="0" fontId="15" fillId="0" borderId="33" xfId="47" applyFont="1" applyBorder="1" applyAlignment="1">
      <alignment horizontal="left" wrapText="1"/>
    </xf>
    <xf numFmtId="0" fontId="7" fillId="0" borderId="82" xfId="47" applyFont="1" applyBorder="1" applyAlignment="1">
      <alignment horizontal="left" wrapText="1"/>
    </xf>
    <xf numFmtId="0" fontId="7" fillId="0" borderId="33" xfId="47" applyFont="1" applyBorder="1" applyAlignment="1">
      <alignment horizontal="left" wrapText="1"/>
    </xf>
    <xf numFmtId="0" fontId="15" fillId="0" borderId="82" xfId="47" applyFont="1" applyBorder="1" applyAlignment="1">
      <alignment horizontal="center" wrapText="1"/>
    </xf>
    <xf numFmtId="0" fontId="15" fillId="0" borderId="33" xfId="47" applyFont="1" applyBorder="1" applyAlignment="1">
      <alignment horizontal="center" wrapText="1"/>
    </xf>
    <xf numFmtId="0" fontId="17" fillId="0" borderId="33" xfId="47" applyFont="1" applyBorder="1" applyAlignment="1">
      <alignment horizontal="left" wrapText="1"/>
    </xf>
    <xf numFmtId="0" fontId="17" fillId="0" borderId="15" xfId="47" applyFont="1" applyBorder="1" applyAlignment="1">
      <alignment horizontal="left" wrapText="1"/>
    </xf>
    <xf numFmtId="0" fontId="7" fillId="0" borderId="15" xfId="47" applyFont="1" applyBorder="1" applyAlignment="1">
      <alignment horizontal="left" wrapText="1"/>
    </xf>
    <xf numFmtId="0" fontId="7" fillId="0" borderId="36" xfId="47" applyFont="1" applyBorder="1" applyAlignment="1">
      <alignment horizontal="left" wrapText="1"/>
    </xf>
    <xf numFmtId="0" fontId="20" fillId="0" borderId="58" xfId="47" applyFont="1" applyBorder="1" applyAlignment="1">
      <alignment horizontal="center" wrapText="1"/>
    </xf>
    <xf numFmtId="0" fontId="20" fillId="0" borderId="84" xfId="47" applyFont="1" applyBorder="1" applyAlignment="1">
      <alignment horizontal="center" wrapText="1"/>
    </xf>
    <xf numFmtId="0" fontId="20" fillId="0" borderId="44" xfId="47" applyFont="1" applyBorder="1" applyAlignment="1">
      <alignment horizontal="center" wrapText="1"/>
    </xf>
    <xf numFmtId="0" fontId="21" fillId="0" borderId="83" xfId="47" applyFont="1" applyBorder="1" applyAlignment="1">
      <alignment horizontal="left" wrapText="1"/>
    </xf>
    <xf numFmtId="0" fontId="21" fillId="0" borderId="28" xfId="47" applyFont="1" applyBorder="1" applyAlignment="1">
      <alignment horizontal="left" wrapText="1"/>
    </xf>
    <xf numFmtId="0" fontId="16" fillId="0" borderId="15" xfId="49" applyFont="1" applyFill="1" applyBorder="1" applyAlignment="1">
      <alignment horizontal="left" wrapText="1"/>
    </xf>
    <xf numFmtId="0" fontId="21" fillId="0" borderId="15" xfId="49" applyFont="1" applyFill="1" applyBorder="1" applyAlignment="1">
      <alignment horizontal="left" wrapText="1"/>
    </xf>
    <xf numFmtId="0" fontId="21" fillId="0" borderId="15" xfId="47" applyFont="1" applyBorder="1" applyAlignment="1">
      <alignment horizontal="left" wrapText="1"/>
    </xf>
    <xf numFmtId="0" fontId="16" fillId="0" borderId="15" xfId="47" applyFont="1" applyBorder="1" applyAlignment="1">
      <alignment horizontal="left" wrapText="1"/>
    </xf>
    <xf numFmtId="0" fontId="16" fillId="0" borderId="15" xfId="47" applyFont="1" applyBorder="1" applyAlignment="1">
      <alignment horizontal="left"/>
    </xf>
    <xf numFmtId="0" fontId="22" fillId="0" borderId="15" xfId="49" applyFont="1" applyFill="1" applyBorder="1" applyAlignment="1">
      <alignment horizontal="left" wrapText="1"/>
    </xf>
    <xf numFmtId="0" fontId="22" fillId="0" borderId="36" xfId="47" applyFont="1" applyBorder="1" applyAlignment="1">
      <alignment horizontal="left"/>
    </xf>
    <xf numFmtId="0" fontId="21" fillId="0" borderId="15" xfId="47" applyFont="1" applyBorder="1" applyAlignment="1">
      <alignment horizontal="left"/>
    </xf>
    <xf numFmtId="0" fontId="22" fillId="0" borderId="15" xfId="47" applyFont="1" applyBorder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/>
    </xf>
    <xf numFmtId="0" fontId="18" fillId="0" borderId="88" xfId="0" applyFont="1" applyBorder="1" applyAlignment="1">
      <alignment horizontal="center"/>
    </xf>
    <xf numFmtId="0" fontId="18" fillId="0" borderId="83" xfId="0" applyFont="1" applyBorder="1" applyAlignment="1">
      <alignment horizontal="center"/>
    </xf>
    <xf numFmtId="0" fontId="4" fillId="0" borderId="18" xfId="43" applyFont="1" applyFill="1" applyBorder="1" applyAlignment="1">
      <alignment horizontal="center"/>
    </xf>
    <xf numFmtId="0" fontId="4" fillId="0" borderId="23" xfId="43" applyFont="1" applyFill="1" applyBorder="1" applyAlignment="1">
      <alignment horizontal="center"/>
    </xf>
    <xf numFmtId="0" fontId="4" fillId="0" borderId="22" xfId="43" applyFont="1" applyFill="1" applyBorder="1" applyAlignment="1">
      <alignment horizontal="center"/>
    </xf>
    <xf numFmtId="0" fontId="6" fillId="0" borderId="31" xfId="43" applyFont="1" applyFill="1" applyBorder="1" applyAlignment="1">
      <alignment horizontal="center"/>
    </xf>
    <xf numFmtId="0" fontId="6" fillId="0" borderId="34" xfId="43" applyFont="1" applyFill="1" applyBorder="1" applyAlignment="1">
      <alignment horizontal="center"/>
    </xf>
    <xf numFmtId="0" fontId="6" fillId="0" borderId="37" xfId="43" applyFont="1" applyFill="1" applyBorder="1" applyAlignment="1">
      <alignment horizontal="center"/>
    </xf>
    <xf numFmtId="0" fontId="6" fillId="0" borderId="86" xfId="43" applyFont="1" applyFill="1" applyBorder="1" applyAlignment="1">
      <alignment horizontal="center" wrapText="1"/>
    </xf>
    <xf numFmtId="0" fontId="6" fillId="0" borderId="30" xfId="43" applyFont="1" applyFill="1" applyBorder="1" applyAlignment="1">
      <alignment horizontal="center" wrapText="1"/>
    </xf>
    <xf numFmtId="0" fontId="6" fillId="0" borderId="25" xfId="43" applyFont="1" applyFill="1" applyBorder="1" applyAlignment="1">
      <alignment horizontal="center" wrapText="1"/>
    </xf>
    <xf numFmtId="0" fontId="6" fillId="0" borderId="87" xfId="43" applyFont="1" applyFill="1" applyBorder="1" applyAlignment="1">
      <alignment horizontal="left" vertical="center" wrapText="1"/>
    </xf>
    <xf numFmtId="0" fontId="6" fillId="0" borderId="83" xfId="43" applyFont="1" applyFill="1" applyBorder="1" applyAlignment="1">
      <alignment horizontal="left" vertical="center" wrapText="1"/>
    </xf>
    <xf numFmtId="0" fontId="6" fillId="0" borderId="87" xfId="43" applyFont="1" applyFill="1" applyBorder="1" applyAlignment="1">
      <alignment horizontal="center" vertical="center" wrapText="1"/>
    </xf>
    <xf numFmtId="0" fontId="6" fillId="0" borderId="88" xfId="43" applyFont="1" applyFill="1" applyBorder="1" applyAlignment="1">
      <alignment horizontal="center" vertical="center" wrapText="1"/>
    </xf>
    <xf numFmtId="0" fontId="6" fillId="0" borderId="83" xfId="43" applyFont="1" applyFill="1" applyBorder="1" applyAlignment="1">
      <alignment horizontal="center" vertical="center" wrapText="1"/>
    </xf>
    <xf numFmtId="0" fontId="6" fillId="0" borderId="86" xfId="43" applyFont="1" applyFill="1" applyBorder="1" applyAlignment="1">
      <alignment horizontal="center" vertical="center" wrapText="1"/>
    </xf>
    <xf numFmtId="0" fontId="6" fillId="0" borderId="30" xfId="43" applyFont="1" applyFill="1" applyBorder="1" applyAlignment="1">
      <alignment horizontal="center" vertical="center" wrapText="1"/>
    </xf>
    <xf numFmtId="0" fontId="6" fillId="0" borderId="25" xfId="43" applyFont="1" applyFill="1" applyBorder="1" applyAlignment="1">
      <alignment horizontal="center" vertical="center" wrapText="1"/>
    </xf>
    <xf numFmtId="0" fontId="6" fillId="0" borderId="86" xfId="43" applyFont="1" applyFill="1" applyBorder="1" applyAlignment="1">
      <alignment horizontal="center" vertical="center" textRotation="90" wrapText="1"/>
    </xf>
    <xf numFmtId="0" fontId="6" fillId="0" borderId="30" xfId="43" applyFont="1" applyFill="1" applyBorder="1" applyAlignment="1">
      <alignment horizontal="center" vertical="center" textRotation="90" wrapText="1"/>
    </xf>
    <xf numFmtId="0" fontId="6" fillId="0" borderId="25" xfId="43" applyFont="1" applyFill="1" applyBorder="1" applyAlignment="1">
      <alignment horizontal="center" vertical="center" textRotation="90" wrapText="1"/>
    </xf>
    <xf numFmtId="0" fontId="6" fillId="0" borderId="50" xfId="43" applyFont="1" applyFill="1" applyBorder="1" applyAlignment="1">
      <alignment horizontal="center" vertical="center" wrapText="1"/>
    </xf>
    <xf numFmtId="0" fontId="6" fillId="0" borderId="89" xfId="43" applyFont="1" applyFill="1" applyBorder="1" applyAlignment="1">
      <alignment horizontal="center" vertical="center" wrapText="1"/>
    </xf>
    <xf numFmtId="0" fontId="6" fillId="0" borderId="42" xfId="43" applyFont="1" applyFill="1" applyBorder="1" applyAlignment="1">
      <alignment horizontal="center" vertical="center" wrapText="1"/>
    </xf>
    <xf numFmtId="0" fontId="6" fillId="0" borderId="24" xfId="43" applyFont="1" applyFill="1" applyBorder="1" applyAlignment="1">
      <alignment horizontal="center" vertical="center"/>
    </xf>
    <xf numFmtId="0" fontId="6" fillId="0" borderId="30" xfId="43" applyFont="1" applyFill="1" applyBorder="1" applyAlignment="1">
      <alignment horizontal="center" vertical="center"/>
    </xf>
    <xf numFmtId="0" fontId="6" fillId="0" borderId="25" xfId="43" applyFont="1" applyFill="1" applyBorder="1" applyAlignment="1">
      <alignment horizontal="center" vertical="center"/>
    </xf>
    <xf numFmtId="0" fontId="6" fillId="0" borderId="24" xfId="43" applyFont="1" applyFill="1" applyBorder="1" applyAlignment="1">
      <alignment horizontal="center" vertical="center" wrapText="1"/>
    </xf>
    <xf numFmtId="0" fontId="6" fillId="0" borderId="43" xfId="43" applyFont="1" applyFill="1" applyBorder="1" applyAlignment="1">
      <alignment horizontal="center" vertical="center" wrapText="1"/>
    </xf>
    <xf numFmtId="0" fontId="6" fillId="0" borderId="33" xfId="43" applyFont="1" applyFill="1" applyBorder="1" applyAlignment="1">
      <alignment horizontal="center" vertical="center" wrapText="1"/>
    </xf>
    <xf numFmtId="0" fontId="6" fillId="0" borderId="24" xfId="43" applyFont="1" applyFill="1" applyBorder="1" applyAlignment="1">
      <alignment horizontal="center" vertical="center" textRotation="90" wrapText="1"/>
    </xf>
    <xf numFmtId="0" fontId="53" fillId="0" borderId="91" xfId="48" applyFont="1" applyFill="1" applyBorder="1" applyAlignment="1">
      <alignment horizontal="center" vertical="center" wrapText="1"/>
    </xf>
    <xf numFmtId="0" fontId="53" fillId="0" borderId="92" xfId="48" applyFont="1" applyFill="1" applyBorder="1" applyAlignment="1">
      <alignment horizontal="center" vertical="center" wrapText="1"/>
    </xf>
    <xf numFmtId="0" fontId="53" fillId="0" borderId="93" xfId="48" applyFont="1" applyFill="1" applyBorder="1" applyAlignment="1">
      <alignment horizontal="center" vertical="center" wrapText="1"/>
    </xf>
    <xf numFmtId="0" fontId="53" fillId="0" borderId="94" xfId="48" applyFont="1" applyFill="1" applyBorder="1" applyAlignment="1">
      <alignment horizontal="center" vertical="center" wrapText="1"/>
    </xf>
    <xf numFmtId="0" fontId="53" fillId="0" borderId="0" xfId="48" applyFont="1" applyFill="1" applyBorder="1" applyAlignment="1">
      <alignment horizontal="center" vertical="center" wrapText="1"/>
    </xf>
    <xf numFmtId="0" fontId="53" fillId="0" borderId="95" xfId="48" applyFont="1" applyFill="1" applyBorder="1" applyAlignment="1">
      <alignment horizontal="center" vertical="center" wrapText="1"/>
    </xf>
    <xf numFmtId="0" fontId="53" fillId="0" borderId="96" xfId="48" applyFont="1" applyFill="1" applyBorder="1" applyAlignment="1">
      <alignment horizontal="center" vertical="center" wrapText="1"/>
    </xf>
    <xf numFmtId="0" fontId="53" fillId="0" borderId="97" xfId="48" applyFont="1" applyFill="1" applyBorder="1" applyAlignment="1">
      <alignment horizontal="center" vertical="center" wrapText="1"/>
    </xf>
    <xf numFmtId="0" fontId="53" fillId="0" borderId="98" xfId="48" applyFont="1" applyFill="1" applyBorder="1" applyAlignment="1">
      <alignment horizontal="center" vertical="center" wrapText="1"/>
    </xf>
    <xf numFmtId="164" fontId="7" fillId="31" borderId="15" xfId="28" applyNumberFormat="1" applyFont="1" applyFill="1" applyBorder="1" applyAlignment="1">
      <alignment horizontal="left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_21.Aktivet Afatgjata Materiale  09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rmal 3 2" xfId="44"/>
    <cellStyle name="Normal 4" xfId="45"/>
    <cellStyle name="Normal 5" xfId="46"/>
    <cellStyle name="Normal_asn_2009 Propozimet" xfId="47"/>
    <cellStyle name="Normal_Sheet1" xfId="48"/>
    <cellStyle name="Normal_Sheet2" xfId="49"/>
    <cellStyle name="Note" xfId="50" builtinId="10" customBuiltin="1"/>
    <cellStyle name="Output" xfId="51" builtinId="21" customBuiltin="1"/>
    <cellStyle name="Title" xfId="52" builtinId="15" customBuiltin="1"/>
    <cellStyle name="Total" xfId="53" builtinId="25" customBuiltin="1"/>
    <cellStyle name="Warning Text" xfId="5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net%20aktuale/Balfin/Fiskali/PF_Balfin_2012_28.03.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sterjo/AppData/Local/Microsoft/Windows/Temporary%20Internet%20Files/Content.Outlook/CJDWH9Z9/Balfin_Statutory%202013%2023%2003%20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ci"/>
      <sheetName val="Fitim-Hmbje"/>
      <sheetName val="CF"/>
      <sheetName val="levizja kapitalit "/>
      <sheetName val="Aktivi &amp; Pasivi"/>
      <sheetName val="467"/>
      <sheetName val="List"/>
      <sheetName val="Aktive afat gjata materiale"/>
      <sheetName val="Aneks statistikor 1"/>
      <sheetName val="Inve automjet"/>
      <sheetName val="ListPages"/>
      <sheetName val="Permbledhese per Tatim Fitimin"/>
    </sheetNames>
    <sheetDataSet>
      <sheetData sheetId="0">
        <row r="34">
          <cell r="E34">
            <v>1103764052.9099998</v>
          </cell>
        </row>
        <row r="35">
          <cell r="E35">
            <v>1556317747.0599999</v>
          </cell>
        </row>
        <row r="91">
          <cell r="E91">
            <v>1267561660.2030001</v>
          </cell>
          <cell r="F91">
            <v>1076419653.1200001</v>
          </cell>
        </row>
        <row r="94">
          <cell r="E94">
            <v>696945440.03999996</v>
          </cell>
          <cell r="F94">
            <v>569059130.51999998</v>
          </cell>
        </row>
        <row r="197">
          <cell r="E197">
            <v>696945440.03999996</v>
          </cell>
          <cell r="F197">
            <v>569059130.51999998</v>
          </cell>
        </row>
        <row r="198">
          <cell r="E198">
            <v>403410.39779999899</v>
          </cell>
        </row>
        <row r="200">
          <cell r="F200">
            <v>62683112</v>
          </cell>
        </row>
      </sheetData>
      <sheetData sheetId="1">
        <row r="5">
          <cell r="F5">
            <v>30968305.850000001</v>
          </cell>
          <cell r="G5">
            <v>238324596.24000001</v>
          </cell>
        </row>
        <row r="6">
          <cell r="G6">
            <v>58333</v>
          </cell>
        </row>
        <row r="20">
          <cell r="F20">
            <v>132499954.92980002</v>
          </cell>
          <cell r="G20">
            <v>143554005.69999999</v>
          </cell>
        </row>
        <row r="40">
          <cell r="C40" t="str">
            <v>Shitje sherbimesh</v>
          </cell>
          <cell r="E40">
            <v>17420054.120000001</v>
          </cell>
          <cell r="F40">
            <v>30968305.850000001</v>
          </cell>
          <cell r="G40">
            <v>238324596.24000001</v>
          </cell>
        </row>
        <row r="41">
          <cell r="C41" t="str">
            <v>Te ardhura nga qerate</v>
          </cell>
          <cell r="E41">
            <v>217039.2</v>
          </cell>
          <cell r="F41">
            <v>109236.4</v>
          </cell>
        </row>
        <row r="42">
          <cell r="C42" t="str">
            <v>Shitja e AQT</v>
          </cell>
          <cell r="E42">
            <v>0</v>
          </cell>
          <cell r="F42">
            <v>316667</v>
          </cell>
          <cell r="G42">
            <v>58333</v>
          </cell>
        </row>
        <row r="43">
          <cell r="C43" t="str">
            <v>Te ardhura nga dividentet</v>
          </cell>
          <cell r="E43">
            <v>127451498</v>
          </cell>
          <cell r="F43">
            <v>20226583</v>
          </cell>
          <cell r="G43">
            <v>7494699</v>
          </cell>
        </row>
        <row r="45">
          <cell r="C45" t="str">
            <v>Fitimi nga kembimet valutore</v>
          </cell>
          <cell r="E45">
            <v>4521630.68</v>
          </cell>
          <cell r="F45">
            <v>5969582.2400000002</v>
          </cell>
          <cell r="G45">
            <v>13037971.210000001</v>
          </cell>
        </row>
        <row r="46">
          <cell r="C46" t="str">
            <v>Te ardhura nga interesat</v>
          </cell>
          <cell r="E46">
            <v>26339377.66</v>
          </cell>
          <cell r="F46">
            <v>203296637.84</v>
          </cell>
          <cell r="G46">
            <v>111555950.44</v>
          </cell>
        </row>
        <row r="47">
          <cell r="C47" t="str">
            <v>Te ardhura financiare te tjera</v>
          </cell>
          <cell r="E47">
            <v>0</v>
          </cell>
          <cell r="F47">
            <v>14504375.810000001</v>
          </cell>
          <cell r="G47">
            <v>39303830</v>
          </cell>
        </row>
        <row r="48">
          <cell r="E48">
            <v>175949599.66</v>
          </cell>
          <cell r="F48">
            <v>275391388.13999999</v>
          </cell>
          <cell r="G48">
            <v>409775379.88999999</v>
          </cell>
        </row>
        <row r="49">
          <cell r="C49" t="str">
            <v>Blerje energji/uje/avull</v>
          </cell>
          <cell r="E49">
            <v>994336.69</v>
          </cell>
          <cell r="F49">
            <v>640739.76</v>
          </cell>
          <cell r="G49">
            <v>724301.4</v>
          </cell>
        </row>
        <row r="50">
          <cell r="C50" t="str">
            <v>Pastrim</v>
          </cell>
          <cell r="E50">
            <v>13846</v>
          </cell>
          <cell r="G50">
            <v>28000</v>
          </cell>
        </row>
        <row r="51">
          <cell r="C51" t="str">
            <v>Shpenzime garancie</v>
          </cell>
          <cell r="E51">
            <v>400285.06</v>
          </cell>
        </row>
        <row r="52">
          <cell r="C52" t="str">
            <v>Shpenzime noteriale ligjore</v>
          </cell>
          <cell r="E52">
            <v>795871.37</v>
          </cell>
          <cell r="F52">
            <v>1049715.855</v>
          </cell>
          <cell r="G52">
            <v>4383451.41</v>
          </cell>
        </row>
        <row r="53">
          <cell r="C53" t="str">
            <v>Qera</v>
          </cell>
          <cell r="E53">
            <v>15422821.029999999</v>
          </cell>
          <cell r="F53">
            <v>15557495.8016</v>
          </cell>
          <cell r="G53">
            <v>13332709.050000001</v>
          </cell>
        </row>
        <row r="54">
          <cell r="C54" t="str">
            <v>Ambjente te perbashketa</v>
          </cell>
          <cell r="E54">
            <v>1483426.36</v>
          </cell>
          <cell r="F54">
            <v>1457549.8864</v>
          </cell>
          <cell r="G54">
            <v>1225177.68</v>
          </cell>
        </row>
        <row r="55">
          <cell r="C55" t="str">
            <v>Mirembajtje dhe riparime</v>
          </cell>
          <cell r="E55">
            <v>326900.45</v>
          </cell>
          <cell r="F55">
            <v>432138.5</v>
          </cell>
          <cell r="G55">
            <v>99422</v>
          </cell>
        </row>
        <row r="57">
          <cell r="C57" t="str">
            <v>Kerkime dhe studime</v>
          </cell>
          <cell r="G57">
            <v>3338690.09</v>
          </cell>
        </row>
        <row r="58">
          <cell r="C58" t="str">
            <v>Shpenzime te tjera per sherbime</v>
          </cell>
          <cell r="E58">
            <v>6674213.6699999999</v>
          </cell>
          <cell r="F58">
            <v>55516498.828599997</v>
          </cell>
          <cell r="G58">
            <v>171999482.88</v>
          </cell>
        </row>
        <row r="59">
          <cell r="C59" t="str">
            <v>Sigurime te tjera</v>
          </cell>
          <cell r="E59">
            <v>104777.88</v>
          </cell>
          <cell r="F59">
            <v>91921</v>
          </cell>
          <cell r="G59">
            <v>24720</v>
          </cell>
        </row>
        <row r="60">
          <cell r="C60" t="str">
            <v>Personeli jashte njesise</v>
          </cell>
          <cell r="E60">
            <v>0</v>
          </cell>
          <cell r="F60">
            <v>20000</v>
          </cell>
        </row>
        <row r="61">
          <cell r="C61" t="str">
            <v xml:space="preserve">Shpenzime per licenca </v>
          </cell>
          <cell r="E61">
            <v>6500</v>
          </cell>
        </row>
        <row r="62">
          <cell r="C62" t="str">
            <v>Shpenzime marketingu</v>
          </cell>
          <cell r="E62">
            <v>0</v>
          </cell>
          <cell r="F62">
            <v>25420</v>
          </cell>
        </row>
        <row r="63">
          <cell r="C63" t="str">
            <v>Transferime, udhetime dieta</v>
          </cell>
          <cell r="E63">
            <v>1673496.12</v>
          </cell>
          <cell r="F63">
            <v>1804672.44</v>
          </cell>
          <cell r="G63">
            <v>2772368.56</v>
          </cell>
        </row>
        <row r="64">
          <cell r="C64" t="str">
            <v>Shpenzime postare dhe telekomunikacion</v>
          </cell>
          <cell r="E64">
            <v>9914157.2899999991</v>
          </cell>
          <cell r="F64">
            <v>8444517.6489818003</v>
          </cell>
          <cell r="G64">
            <v>7262509.1500000004</v>
          </cell>
        </row>
        <row r="65">
          <cell r="C65" t="str">
            <v>Per sigurim dhe taksa</v>
          </cell>
          <cell r="E65">
            <v>11241.63</v>
          </cell>
          <cell r="G65">
            <v>230811</v>
          </cell>
        </row>
        <row r="66">
          <cell r="C66" t="str">
            <v>Per lavazh dhe parkim</v>
          </cell>
          <cell r="G66">
            <v>4880</v>
          </cell>
        </row>
        <row r="67">
          <cell r="C67" t="str">
            <v>Per rimbursim personeli</v>
          </cell>
          <cell r="G67">
            <v>11900</v>
          </cell>
        </row>
        <row r="68">
          <cell r="C68" t="str">
            <v>Per karburant</v>
          </cell>
          <cell r="E68">
            <v>2899270</v>
          </cell>
          <cell r="F68">
            <v>1729738</v>
          </cell>
          <cell r="G68">
            <v>2034925.94</v>
          </cell>
        </row>
        <row r="69">
          <cell r="C69" t="str">
            <v>Per riparim makinash</v>
          </cell>
          <cell r="E69">
            <v>454666.14</v>
          </cell>
          <cell r="F69">
            <v>500827.31</v>
          </cell>
          <cell r="G69">
            <v>710827</v>
          </cell>
        </row>
        <row r="70">
          <cell r="C70" t="str">
            <v>Shpenzime per sherbime bankare</v>
          </cell>
          <cell r="E70">
            <v>205258.38</v>
          </cell>
          <cell r="F70">
            <v>407134.2561</v>
          </cell>
          <cell r="G70">
            <v>1917153.69</v>
          </cell>
        </row>
        <row r="71">
          <cell r="C71" t="str">
            <v>Taksa, tarifa doganore</v>
          </cell>
          <cell r="E71">
            <v>0</v>
          </cell>
          <cell r="F71">
            <v>1974</v>
          </cell>
        </row>
        <row r="72">
          <cell r="C72" t="str">
            <v>Taksa dhe tarifa vendore</v>
          </cell>
          <cell r="E72">
            <v>37120</v>
          </cell>
          <cell r="F72">
            <v>37120</v>
          </cell>
          <cell r="G72">
            <v>60474</v>
          </cell>
        </row>
        <row r="73">
          <cell r="C73" t="str">
            <v>Tatime te tjera</v>
          </cell>
          <cell r="E73">
            <v>0</v>
          </cell>
          <cell r="F73">
            <v>3135.4</v>
          </cell>
          <cell r="G73">
            <v>600</v>
          </cell>
        </row>
        <row r="74">
          <cell r="C74" t="str">
            <v>Pagat e shperblimet e personelit</v>
          </cell>
          <cell r="E74">
            <v>55142780</v>
          </cell>
          <cell r="F74">
            <v>50140545.5</v>
          </cell>
          <cell r="G74">
            <v>61554286.799999997</v>
          </cell>
        </row>
        <row r="75">
          <cell r="C75" t="str">
            <v>Sigurimet shoqerore dhe shendetsore</v>
          </cell>
          <cell r="E75">
            <v>4273003</v>
          </cell>
          <cell r="F75">
            <v>3710963.5</v>
          </cell>
          <cell r="G75">
            <v>3626999</v>
          </cell>
        </row>
        <row r="76">
          <cell r="C76" t="str">
            <v>Shpernzime te tjera per personelin</v>
          </cell>
          <cell r="E76">
            <v>322359.59999999998</v>
          </cell>
          <cell r="G76">
            <v>12045025.83</v>
          </cell>
        </row>
        <row r="77">
          <cell r="C77" t="str">
            <v>vlera e AQT te shitura</v>
          </cell>
          <cell r="E77">
            <v>0</v>
          </cell>
          <cell r="F77">
            <v>608605.80000000005</v>
          </cell>
          <cell r="G77">
            <v>102500.01</v>
          </cell>
        </row>
        <row r="78">
          <cell r="C78" t="str">
            <v>Shpenzime per pritje dhurata, Sponsorizime</v>
          </cell>
          <cell r="E78">
            <v>2662855.75</v>
          </cell>
          <cell r="F78">
            <v>596373</v>
          </cell>
          <cell r="G78">
            <v>2223895.12</v>
          </cell>
        </row>
        <row r="79">
          <cell r="C79" t="str">
            <v>Blerje/Shpenzime te tjera per kancelari</v>
          </cell>
          <cell r="E79">
            <v>579337.13</v>
          </cell>
          <cell r="F79">
            <v>483256.04</v>
          </cell>
          <cell r="G79">
            <v>340022.5</v>
          </cell>
        </row>
        <row r="80">
          <cell r="C80" t="str">
            <v>Shpenzime te tjera per zyre</v>
          </cell>
          <cell r="E80">
            <v>633203.32999999996</v>
          </cell>
          <cell r="F80">
            <v>644510</v>
          </cell>
          <cell r="G80">
            <v>660549</v>
          </cell>
        </row>
        <row r="81">
          <cell r="C81" t="str">
            <v>Gjoba dhe demshperblime</v>
          </cell>
          <cell r="E81">
            <v>0.48</v>
          </cell>
          <cell r="F81">
            <v>2865.0834</v>
          </cell>
          <cell r="G81">
            <v>75025.600000000006</v>
          </cell>
        </row>
        <row r="82">
          <cell r="C82" t="str">
            <v>Shpenzime te tjera</v>
          </cell>
          <cell r="E82">
            <v>118049.57</v>
          </cell>
          <cell r="F82">
            <v>67.94</v>
          </cell>
          <cell r="G82">
            <v>1842143.8</v>
          </cell>
        </row>
        <row r="83">
          <cell r="C83" t="str">
            <v>Shpenzime financiare nga shoqerite e kontrolluara</v>
          </cell>
          <cell r="E83">
            <v>16362062.83</v>
          </cell>
          <cell r="F83">
            <v>43343142.719999999</v>
          </cell>
          <cell r="G83">
            <v>14027411.220000001</v>
          </cell>
        </row>
        <row r="84">
          <cell r="C84" t="str">
            <v>Humbje nga shoqerite e kontrolluara</v>
          </cell>
          <cell r="E84">
            <v>0</v>
          </cell>
          <cell r="F84">
            <v>44222960</v>
          </cell>
        </row>
        <row r="85">
          <cell r="C85" t="str">
            <v>Shpenzime per komisione BG, LC</v>
          </cell>
          <cell r="E85">
            <v>0</v>
          </cell>
          <cell r="F85">
            <v>693250</v>
          </cell>
          <cell r="G85">
            <v>3345107.94</v>
          </cell>
        </row>
        <row r="86">
          <cell r="C86" t="str">
            <v>Shpenzime per interesa</v>
          </cell>
          <cell r="E86">
            <v>19178713.5</v>
          </cell>
          <cell r="F86">
            <v>23177615.830200002</v>
          </cell>
          <cell r="G86">
            <v>9536984.9900000002</v>
          </cell>
        </row>
        <row r="87">
          <cell r="C87" t="str">
            <v>Humbje nga kembimet dhe perkthimet valutore</v>
          </cell>
          <cell r="E87">
            <v>160017.31</v>
          </cell>
          <cell r="F87">
            <v>60255.41</v>
          </cell>
          <cell r="G87">
            <v>928940.8</v>
          </cell>
        </row>
        <row r="88">
          <cell r="C88" t="str">
            <v>Amortizim Instalime dhe makineri</v>
          </cell>
          <cell r="E88">
            <v>619320</v>
          </cell>
          <cell r="F88">
            <v>773966.1</v>
          </cell>
          <cell r="G88">
            <v>639152</v>
          </cell>
        </row>
        <row r="89">
          <cell r="C89" t="str">
            <v>Amortizim mjete transporti</v>
          </cell>
          <cell r="E89">
            <v>1130750</v>
          </cell>
          <cell r="F89">
            <v>797795.96</v>
          </cell>
          <cell r="G89">
            <v>781888</v>
          </cell>
        </row>
        <row r="90">
          <cell r="C90" t="str">
            <v>Amortizim pajisje zyre dhe informatike</v>
          </cell>
          <cell r="E90">
            <v>3152429</v>
          </cell>
          <cell r="F90">
            <v>2263230</v>
          </cell>
          <cell r="G90">
            <v>2136201</v>
          </cell>
        </row>
        <row r="91">
          <cell r="C91" t="str">
            <v>Amortizime te tjera</v>
          </cell>
          <cell r="E91">
            <v>1570330</v>
          </cell>
          <cell r="F91">
            <v>1673908</v>
          </cell>
          <cell r="G91">
            <v>1856611</v>
          </cell>
        </row>
        <row r="92">
          <cell r="C92" t="str">
            <v>Amortizim I inventarit te imet</v>
          </cell>
          <cell r="E92">
            <v>42642</v>
          </cell>
          <cell r="F92">
            <v>189969</v>
          </cell>
          <cell r="G92">
            <v>171341</v>
          </cell>
        </row>
        <row r="93">
          <cell r="C93" t="str">
            <v xml:space="preserve">Zhvleresime  </v>
          </cell>
          <cell r="F93">
            <v>16551.29</v>
          </cell>
        </row>
        <row r="94">
          <cell r="C94" t="str">
            <v>Tatime mbi fitimet</v>
          </cell>
          <cell r="G94">
            <v>9370846.3000000007</v>
          </cell>
        </row>
      </sheetData>
      <sheetData sheetId="2"/>
      <sheetData sheetId="3"/>
      <sheetData sheetId="4"/>
      <sheetData sheetId="5">
        <row r="12">
          <cell r="J12">
            <v>-65581458.389999896</v>
          </cell>
        </row>
        <row r="16">
          <cell r="J16">
            <v>-55344680</v>
          </cell>
        </row>
        <row r="17">
          <cell r="J17">
            <v>-1945020</v>
          </cell>
        </row>
        <row r="18">
          <cell r="J18">
            <v>-62683112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ilanci"/>
      <sheetName val="Fitim-Hmbje"/>
      <sheetName val="List"/>
      <sheetName val="Permbledhese per Tatim Fitimin"/>
      <sheetName val="shenime per alben"/>
      <sheetName val="Bilanc 2013"/>
      <sheetName val="Fitim-Hmbje 2013"/>
      <sheetName val="Llogaria 486"/>
      <sheetName val="levizja kapitalit "/>
      <sheetName val="CF"/>
      <sheetName val="Listepagesa"/>
      <sheetName val="Interesa Mane tci"/>
      <sheetName val="467"/>
      <sheetName val="Aksione"/>
      <sheetName val="Aktive afat gjata materiale"/>
      <sheetName val="Aneks statistikor 1"/>
      <sheetName val="Inve automjet"/>
      <sheetName val="Shenime per nota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1"/>
  <sheetViews>
    <sheetView view="pageBreakPreview" topLeftCell="A22" zoomScaleNormal="100" zoomScaleSheetLayoutView="100" workbookViewId="0">
      <selection activeCell="D44" sqref="D44"/>
    </sheetView>
  </sheetViews>
  <sheetFormatPr defaultRowHeight="12.75"/>
  <cols>
    <col min="1" max="1" width="13.7109375" style="390" customWidth="1"/>
    <col min="2" max="2" width="48" style="390" customWidth="1"/>
    <col min="3" max="3" width="9.85546875" style="390" customWidth="1"/>
    <col min="4" max="4" width="17.140625" style="390" customWidth="1"/>
    <col min="5" max="5" width="16.42578125" style="443" customWidth="1"/>
    <col min="6" max="6" width="19.7109375" style="390" hidden="1" customWidth="1"/>
    <col min="7" max="16384" width="9.140625" style="390"/>
  </cols>
  <sheetData>
    <row r="1" spans="1:6" ht="16.5" thickBot="1">
      <c r="A1" s="388"/>
      <c r="B1" s="389" t="s">
        <v>783</v>
      </c>
      <c r="C1" s="626" t="s">
        <v>784</v>
      </c>
      <c r="D1" s="626"/>
      <c r="E1" s="626"/>
      <c r="F1" s="626"/>
    </row>
    <row r="2" spans="1:6">
      <c r="A2" s="391"/>
      <c r="B2" s="392" t="s">
        <v>0</v>
      </c>
      <c r="C2" s="392" t="s">
        <v>1</v>
      </c>
      <c r="D2" s="622" t="s">
        <v>778</v>
      </c>
      <c r="E2" s="624" t="s">
        <v>622</v>
      </c>
      <c r="F2" s="622" t="s">
        <v>144</v>
      </c>
    </row>
    <row r="3" spans="1:6" ht="13.5" thickBot="1">
      <c r="A3" s="393"/>
      <c r="B3" s="394"/>
      <c r="C3" s="394"/>
      <c r="D3" s="623"/>
      <c r="E3" s="625"/>
      <c r="F3" s="623"/>
    </row>
    <row r="4" spans="1:6">
      <c r="A4" s="395" t="s">
        <v>3</v>
      </c>
      <c r="B4" s="396" t="s">
        <v>4</v>
      </c>
      <c r="C4" s="392"/>
      <c r="D4" s="397"/>
      <c r="E4" s="398"/>
      <c r="F4" s="399">
        <v>1096484110</v>
      </c>
    </row>
    <row r="5" spans="1:6">
      <c r="A5" s="400"/>
      <c r="B5" s="401"/>
      <c r="C5" s="402"/>
      <c r="D5" s="402"/>
      <c r="E5" s="398"/>
      <c r="F5" s="402"/>
    </row>
    <row r="6" spans="1:6">
      <c r="A6" s="400" t="s">
        <v>5</v>
      </c>
      <c r="B6" s="403" t="s">
        <v>6</v>
      </c>
      <c r="C6" s="402"/>
      <c r="D6" s="402"/>
      <c r="E6" s="398"/>
      <c r="F6" s="402"/>
    </row>
    <row r="7" spans="1:6">
      <c r="A7" s="400"/>
      <c r="B7" s="401"/>
      <c r="C7" s="402"/>
      <c r="D7" s="402"/>
      <c r="E7" s="398"/>
      <c r="F7" s="402"/>
    </row>
    <row r="8" spans="1:6">
      <c r="A8" s="400">
        <v>1</v>
      </c>
      <c r="B8" s="403" t="s">
        <v>7</v>
      </c>
      <c r="C8" s="400">
        <v>3</v>
      </c>
      <c r="D8" s="404">
        <f>D172+D173+D175+D176</f>
        <v>7407665.2799999993</v>
      </c>
      <c r="E8" s="405">
        <f>E172+E173+E175+E176</f>
        <v>14848549.482539997</v>
      </c>
      <c r="F8" s="399">
        <v>18760234</v>
      </c>
    </row>
    <row r="9" spans="1:6">
      <c r="A9" s="400">
        <v>2</v>
      </c>
      <c r="B9" s="403" t="s">
        <v>8</v>
      </c>
      <c r="C9" s="400"/>
      <c r="D9" s="400"/>
      <c r="E9" s="398"/>
      <c r="F9" s="402"/>
    </row>
    <row r="10" spans="1:6">
      <c r="A10" s="406" t="s">
        <v>9</v>
      </c>
      <c r="B10" s="401" t="s">
        <v>10</v>
      </c>
      <c r="C10" s="400"/>
      <c r="D10" s="400"/>
      <c r="E10" s="407"/>
      <c r="F10" s="408"/>
    </row>
    <row r="11" spans="1:6">
      <c r="A11" s="406" t="s">
        <v>11</v>
      </c>
      <c r="B11" s="401" t="s">
        <v>12</v>
      </c>
      <c r="C11" s="400"/>
      <c r="D11" s="400"/>
      <c r="E11" s="407"/>
      <c r="F11" s="408"/>
    </row>
    <row r="12" spans="1:6">
      <c r="A12" s="409"/>
      <c r="B12" s="410" t="s">
        <v>13</v>
      </c>
      <c r="C12" s="411"/>
      <c r="D12" s="412">
        <f>SUM(D8:D11)</f>
        <v>7407665.2799999993</v>
      </c>
      <c r="E12" s="413">
        <f>SUM(E8:E11)</f>
        <v>14848549.482539997</v>
      </c>
      <c r="F12" s="413">
        <f>SUM(F8:F11)</f>
        <v>18760234</v>
      </c>
    </row>
    <row r="13" spans="1:6">
      <c r="A13" s="400">
        <v>3</v>
      </c>
      <c r="B13" s="403" t="s">
        <v>14</v>
      </c>
      <c r="C13" s="400">
        <v>4</v>
      </c>
      <c r="D13" s="400"/>
      <c r="E13" s="398"/>
      <c r="F13" s="402"/>
    </row>
    <row r="14" spans="1:6">
      <c r="A14" s="406" t="s">
        <v>9</v>
      </c>
      <c r="B14" s="401" t="s">
        <v>15</v>
      </c>
      <c r="C14" s="400">
        <v>4.0999999999999996</v>
      </c>
      <c r="D14" s="404">
        <f>D157</f>
        <v>73612409.879999995</v>
      </c>
      <c r="E14" s="405">
        <f>E157</f>
        <v>86078090.632806897</v>
      </c>
      <c r="F14" s="414"/>
    </row>
    <row r="15" spans="1:6">
      <c r="A15" s="406" t="s">
        <v>11</v>
      </c>
      <c r="B15" s="401" t="s">
        <v>16</v>
      </c>
      <c r="C15" s="400">
        <v>4.2</v>
      </c>
      <c r="D15" s="404">
        <f>D133</f>
        <v>819048.43</v>
      </c>
      <c r="E15" s="405">
        <f>5709353-'TE ARDHURA SHPENZIME 2013'!E29+1</f>
        <v>4605682</v>
      </c>
      <c r="F15" s="414">
        <v>3095431</v>
      </c>
    </row>
    <row r="16" spans="1:6">
      <c r="A16" s="406" t="s">
        <v>17</v>
      </c>
      <c r="B16" s="401" t="s">
        <v>648</v>
      </c>
      <c r="C16" s="400"/>
      <c r="D16" s="400"/>
      <c r="E16" s="415"/>
      <c r="F16" s="414"/>
    </row>
    <row r="17" spans="1:6">
      <c r="A17" s="406" t="s">
        <v>18</v>
      </c>
      <c r="B17" s="401" t="s">
        <v>19</v>
      </c>
      <c r="C17" s="400"/>
      <c r="D17" s="400"/>
      <c r="E17" s="407"/>
      <c r="F17" s="408"/>
    </row>
    <row r="18" spans="1:6">
      <c r="A18" s="416"/>
      <c r="B18" s="410" t="s">
        <v>13</v>
      </c>
      <c r="C18" s="411"/>
      <c r="D18" s="412">
        <f>SUM(D14:D17)</f>
        <v>74431458.310000002</v>
      </c>
      <c r="E18" s="413">
        <f>SUM(E14:E17)</f>
        <v>90683772.632806897</v>
      </c>
      <c r="F18" s="413">
        <f>SUM(F14:F17)</f>
        <v>3095431</v>
      </c>
    </row>
    <row r="19" spans="1:6">
      <c r="A19" s="400">
        <v>4</v>
      </c>
      <c r="B19" s="403" t="s">
        <v>20</v>
      </c>
      <c r="C19" s="400"/>
      <c r="D19" s="400"/>
      <c r="E19" s="398"/>
      <c r="F19" s="402"/>
    </row>
    <row r="20" spans="1:6">
      <c r="A20" s="406" t="s">
        <v>9</v>
      </c>
      <c r="B20" s="401" t="s">
        <v>21</v>
      </c>
      <c r="C20" s="400"/>
      <c r="D20" s="400"/>
      <c r="E20" s="407"/>
      <c r="F20" s="414">
        <v>6286984</v>
      </c>
    </row>
    <row r="21" spans="1:6">
      <c r="A21" s="406" t="s">
        <v>11</v>
      </c>
      <c r="B21" s="401" t="s">
        <v>613</v>
      </c>
      <c r="C21" s="400"/>
      <c r="D21" s="417">
        <v>0</v>
      </c>
      <c r="E21" s="415">
        <v>0</v>
      </c>
      <c r="F21" s="408"/>
    </row>
    <row r="22" spans="1:6">
      <c r="A22" s="406" t="s">
        <v>17</v>
      </c>
      <c r="B22" s="401" t="s">
        <v>22</v>
      </c>
      <c r="C22" s="400"/>
      <c r="D22" s="417"/>
      <c r="E22" s="407"/>
      <c r="F22" s="414">
        <v>10426236</v>
      </c>
    </row>
    <row r="23" spans="1:6">
      <c r="A23" s="406" t="s">
        <v>18</v>
      </c>
      <c r="B23" s="401" t="s">
        <v>23</v>
      </c>
      <c r="C23" s="400"/>
      <c r="D23" s="417"/>
      <c r="E23" s="407"/>
      <c r="F23" s="414">
        <v>2293745</v>
      </c>
    </row>
    <row r="24" spans="1:6">
      <c r="A24" s="418" t="s">
        <v>24</v>
      </c>
      <c r="B24" s="401" t="s">
        <v>25</v>
      </c>
      <c r="C24" s="400"/>
      <c r="D24" s="400"/>
      <c r="E24" s="407"/>
      <c r="F24" s="407"/>
    </row>
    <row r="25" spans="1:6">
      <c r="A25" s="416"/>
      <c r="B25" s="410" t="s">
        <v>13</v>
      </c>
      <c r="C25" s="411"/>
      <c r="D25" s="412">
        <f>SUM(D21:D24)</f>
        <v>0</v>
      </c>
      <c r="E25" s="413">
        <f>SUM(E20:E24)</f>
        <v>0</v>
      </c>
      <c r="F25" s="413">
        <f>SUM(F20:F24)</f>
        <v>19006965</v>
      </c>
    </row>
    <row r="26" spans="1:6">
      <c r="A26" s="400">
        <v>5</v>
      </c>
      <c r="B26" s="403" t="s">
        <v>26</v>
      </c>
      <c r="C26" s="400"/>
      <c r="D26" s="400"/>
      <c r="E26" s="398"/>
      <c r="F26" s="402"/>
    </row>
    <row r="27" spans="1:6">
      <c r="A27" s="400">
        <v>6</v>
      </c>
      <c r="B27" s="403" t="s">
        <v>27</v>
      </c>
      <c r="C27" s="400"/>
      <c r="D27" s="400"/>
      <c r="E27" s="398"/>
      <c r="F27" s="402"/>
    </row>
    <row r="28" spans="1:6">
      <c r="A28" s="400">
        <v>7</v>
      </c>
      <c r="B28" s="403" t="s">
        <v>28</v>
      </c>
      <c r="C28" s="400">
        <v>5</v>
      </c>
      <c r="D28" s="404">
        <f>-D135</f>
        <v>10480609.970000001</v>
      </c>
      <c r="E28" s="405">
        <f>-E135</f>
        <v>12330128.970000001</v>
      </c>
      <c r="F28" s="399">
        <v>17065922</v>
      </c>
    </row>
    <row r="29" spans="1:6">
      <c r="A29" s="411"/>
      <c r="B29" s="419" t="s">
        <v>29</v>
      </c>
      <c r="C29" s="411"/>
      <c r="D29" s="412">
        <f>D18+D25+D28+D12</f>
        <v>92319733.560000002</v>
      </c>
      <c r="E29" s="413">
        <f>E12+E18+E25+E28</f>
        <v>117862451.08534689</v>
      </c>
      <c r="F29" s="420">
        <f>F12+F18+F25+F28</f>
        <v>57928552</v>
      </c>
    </row>
    <row r="30" spans="1:6">
      <c r="A30" s="406"/>
      <c r="B30" s="401"/>
      <c r="C30" s="400"/>
      <c r="D30" s="400"/>
      <c r="E30" s="407"/>
      <c r="F30" s="408"/>
    </row>
    <row r="31" spans="1:6">
      <c r="A31" s="400" t="s">
        <v>30</v>
      </c>
      <c r="B31" s="403" t="s">
        <v>31</v>
      </c>
      <c r="C31" s="400"/>
      <c r="D31" s="400"/>
      <c r="E31" s="407"/>
      <c r="F31" s="408"/>
    </row>
    <row r="32" spans="1:6">
      <c r="A32" s="406"/>
      <c r="B32" s="401"/>
      <c r="C32" s="400"/>
      <c r="D32" s="400"/>
      <c r="E32" s="407"/>
      <c r="F32" s="408"/>
    </row>
    <row r="33" spans="1:6">
      <c r="A33" s="400">
        <v>1</v>
      </c>
      <c r="B33" s="403" t="s">
        <v>32</v>
      </c>
      <c r="C33" s="400">
        <v>6</v>
      </c>
      <c r="D33" s="400"/>
      <c r="E33" s="398"/>
      <c r="F33" s="402"/>
    </row>
    <row r="34" spans="1:6" ht="24">
      <c r="A34" s="406" t="s">
        <v>9</v>
      </c>
      <c r="B34" s="401" t="s">
        <v>33</v>
      </c>
      <c r="C34" s="400"/>
      <c r="D34" s="417"/>
      <c r="E34" s="407"/>
      <c r="F34" s="408"/>
    </row>
    <row r="35" spans="1:6">
      <c r="A35" s="406" t="s">
        <v>11</v>
      </c>
      <c r="B35" s="401" t="s">
        <v>34</v>
      </c>
      <c r="C35" s="400"/>
      <c r="D35" s="417"/>
      <c r="E35" s="407"/>
      <c r="F35" s="408"/>
    </row>
    <row r="36" spans="1:6">
      <c r="A36" s="406" t="s">
        <v>17</v>
      </c>
      <c r="B36" s="401" t="s">
        <v>35</v>
      </c>
      <c r="C36" s="400"/>
      <c r="D36" s="417"/>
      <c r="E36" s="407"/>
      <c r="F36" s="408"/>
    </row>
    <row r="37" spans="1:6">
      <c r="A37" s="418" t="s">
        <v>18</v>
      </c>
      <c r="B37" s="401" t="s">
        <v>36</v>
      </c>
      <c r="C37" s="400">
        <v>6.1</v>
      </c>
      <c r="D37" s="404">
        <f>D162+D169+D171+D170</f>
        <v>944601704.43000007</v>
      </c>
      <c r="E37" s="405">
        <f>E162+E169+E171+E170+E166+E163</f>
        <v>662032734.03999996</v>
      </c>
      <c r="F37" s="407">
        <v>60384127</v>
      </c>
    </row>
    <row r="38" spans="1:6">
      <c r="A38" s="416"/>
      <c r="B38" s="410" t="s">
        <v>13</v>
      </c>
      <c r="C38" s="411"/>
      <c r="D38" s="421">
        <f>SUM(D34:D37)</f>
        <v>944601704.43000007</v>
      </c>
      <c r="E38" s="421">
        <f>SUM(E37)</f>
        <v>662032734.03999996</v>
      </c>
      <c r="F38" s="422">
        <f>SUM(F34:F37)</f>
        <v>60384127</v>
      </c>
    </row>
    <row r="39" spans="1:6">
      <c r="A39" s="400">
        <v>2</v>
      </c>
      <c r="B39" s="403" t="s">
        <v>37</v>
      </c>
      <c r="C39" s="400"/>
      <c r="D39" s="400"/>
      <c r="E39" s="398"/>
      <c r="F39" s="402"/>
    </row>
    <row r="40" spans="1:6">
      <c r="A40" s="406" t="s">
        <v>9</v>
      </c>
      <c r="B40" s="401" t="s">
        <v>38</v>
      </c>
      <c r="C40" s="400"/>
      <c r="D40" s="404">
        <f>D138</f>
        <v>414814278.88</v>
      </c>
      <c r="E40" s="405">
        <f>E138</f>
        <v>754018939</v>
      </c>
      <c r="F40" s="407">
        <v>754018939</v>
      </c>
    </row>
    <row r="41" spans="1:6">
      <c r="A41" s="406" t="s">
        <v>11</v>
      </c>
      <c r="B41" s="401" t="s">
        <v>39</v>
      </c>
      <c r="C41" s="400"/>
      <c r="D41" s="423"/>
      <c r="E41" s="424"/>
      <c r="F41" s="407">
        <v>166946443</v>
      </c>
    </row>
    <row r="42" spans="1:6">
      <c r="A42" s="406" t="s">
        <v>17</v>
      </c>
      <c r="B42" s="401" t="s">
        <v>40</v>
      </c>
      <c r="C42" s="400"/>
      <c r="D42" s="404">
        <f>(D141+D143)-(D126+D128)</f>
        <v>0</v>
      </c>
      <c r="E42" s="405">
        <f>(E141+E143)-(E126+E128)</f>
        <v>26145673.969999999</v>
      </c>
      <c r="F42" s="407">
        <v>49875795</v>
      </c>
    </row>
    <row r="43" spans="1:6">
      <c r="A43" s="418" t="s">
        <v>18</v>
      </c>
      <c r="B43" s="401" t="s">
        <v>41</v>
      </c>
      <c r="C43" s="400"/>
      <c r="D43" s="404">
        <f>D145+D148</f>
        <v>121306</v>
      </c>
      <c r="E43" s="405">
        <f>E145-E148</f>
        <v>128408</v>
      </c>
      <c r="F43" s="407">
        <v>6202017</v>
      </c>
    </row>
    <row r="44" spans="1:6">
      <c r="A44" s="416"/>
      <c r="B44" s="410" t="s">
        <v>13</v>
      </c>
      <c r="C44" s="411">
        <v>7</v>
      </c>
      <c r="D44" s="412">
        <f>SUM(D40:D43)</f>
        <v>414935584.88</v>
      </c>
      <c r="E44" s="412">
        <f>SUM(E40:E43)</f>
        <v>780293020.97000003</v>
      </c>
      <c r="F44" s="425">
        <f>SUM(F40:F43)</f>
        <v>977043194</v>
      </c>
    </row>
    <row r="45" spans="1:6">
      <c r="A45" s="400">
        <v>3</v>
      </c>
      <c r="B45" s="403" t="s">
        <v>42</v>
      </c>
      <c r="C45" s="400">
        <v>8</v>
      </c>
      <c r="D45" s="417">
        <v>0</v>
      </c>
      <c r="E45" s="415"/>
      <c r="F45" s="398"/>
    </row>
    <row r="46" spans="1:6">
      <c r="A46" s="400">
        <v>4</v>
      </c>
      <c r="B46" s="403" t="s">
        <v>43</v>
      </c>
      <c r="C46" s="400"/>
      <c r="D46" s="405">
        <f>SUM(D47:D49)</f>
        <v>733636</v>
      </c>
      <c r="E46" s="405">
        <f>SUM(E47:E49)</f>
        <v>863101</v>
      </c>
      <c r="F46" s="407">
        <v>1128237</v>
      </c>
    </row>
    <row r="47" spans="1:6">
      <c r="A47" s="406" t="s">
        <v>9</v>
      </c>
      <c r="B47" s="401" t="s">
        <v>44</v>
      </c>
      <c r="C47" s="400"/>
      <c r="D47" s="415"/>
      <c r="E47" s="415"/>
      <c r="F47" s="407"/>
    </row>
    <row r="48" spans="1:6">
      <c r="A48" s="406" t="s">
        <v>11</v>
      </c>
      <c r="B48" s="401" t="s">
        <v>45</v>
      </c>
      <c r="C48" s="400">
        <v>8.1</v>
      </c>
      <c r="D48" s="426">
        <f>D137</f>
        <v>733636</v>
      </c>
      <c r="E48" s="426">
        <f>E137</f>
        <v>863101</v>
      </c>
      <c r="F48" s="407">
        <v>1128237</v>
      </c>
    </row>
    <row r="49" spans="1:6">
      <c r="A49" s="406" t="s">
        <v>17</v>
      </c>
      <c r="B49" s="401" t="s">
        <v>46</v>
      </c>
      <c r="C49" s="400"/>
      <c r="D49" s="415"/>
      <c r="E49" s="415"/>
      <c r="F49" s="407"/>
    </row>
    <row r="50" spans="1:6">
      <c r="A50" s="416"/>
      <c r="B50" s="410" t="s">
        <v>13</v>
      </c>
      <c r="C50" s="411"/>
      <c r="D50" s="421">
        <f>D45+D46</f>
        <v>733636</v>
      </c>
      <c r="E50" s="425">
        <f>SUM(E48:E49)</f>
        <v>863101</v>
      </c>
      <c r="F50" s="425">
        <f>SUM(F48:F49)</f>
        <v>1128237</v>
      </c>
    </row>
    <row r="51" spans="1:6">
      <c r="A51" s="400">
        <v>5</v>
      </c>
      <c r="B51" s="403" t="s">
        <v>47</v>
      </c>
      <c r="C51" s="400"/>
      <c r="D51" s="400"/>
      <c r="E51" s="398"/>
      <c r="F51" s="398"/>
    </row>
    <row r="52" spans="1:6">
      <c r="A52" s="400">
        <v>6</v>
      </c>
      <c r="B52" s="403" t="s">
        <v>48</v>
      </c>
      <c r="C52" s="400"/>
      <c r="D52" s="400"/>
      <c r="E52" s="398"/>
      <c r="F52" s="398"/>
    </row>
    <row r="53" spans="1:6">
      <c r="A53" s="406"/>
      <c r="B53" s="401"/>
      <c r="C53" s="400"/>
      <c r="D53" s="400"/>
      <c r="E53" s="407"/>
      <c r="F53" s="407"/>
    </row>
    <row r="54" spans="1:6">
      <c r="A54" s="411"/>
      <c r="B54" s="419" t="s">
        <v>49</v>
      </c>
      <c r="C54" s="411"/>
      <c r="D54" s="412">
        <f>D38+D44+D50</f>
        <v>1360270925.3099999</v>
      </c>
      <c r="E54" s="413">
        <f>E38+E44+E50</f>
        <v>1443188856.01</v>
      </c>
      <c r="F54" s="413">
        <f>F38+F44+F50</f>
        <v>1038555558</v>
      </c>
    </row>
    <row r="55" spans="1:6">
      <c r="A55" s="406"/>
      <c r="B55" s="401"/>
      <c r="C55" s="400"/>
      <c r="D55" s="400"/>
      <c r="E55" s="407"/>
      <c r="F55" s="408"/>
    </row>
    <row r="56" spans="1:6">
      <c r="A56" s="411"/>
      <c r="B56" s="419" t="s">
        <v>50</v>
      </c>
      <c r="C56" s="411"/>
      <c r="D56" s="412">
        <f>D29+D54</f>
        <v>1452590658.8699999</v>
      </c>
      <c r="E56" s="413">
        <f>E29+E54</f>
        <v>1561051307.0953469</v>
      </c>
      <c r="F56" s="420">
        <f>F29+F54</f>
        <v>1096484110</v>
      </c>
    </row>
    <row r="57" spans="1:6">
      <c r="A57" s="406"/>
      <c r="B57" s="401"/>
      <c r="C57" s="400"/>
      <c r="D57" s="400"/>
      <c r="E57" s="407"/>
      <c r="F57" s="408"/>
    </row>
    <row r="58" spans="1:6">
      <c r="A58" s="427"/>
      <c r="B58" s="627"/>
      <c r="C58" s="627"/>
      <c r="D58" s="627"/>
      <c r="E58" s="627"/>
      <c r="F58" s="427"/>
    </row>
    <row r="59" spans="1:6">
      <c r="A59" s="428"/>
      <c r="B59" s="428"/>
      <c r="C59" s="428"/>
      <c r="D59" s="428"/>
      <c r="E59" s="429"/>
      <c r="F59" s="428"/>
    </row>
    <row r="60" spans="1:6" ht="15" customHeight="1" thickBot="1">
      <c r="A60" s="388"/>
      <c r="B60" s="389" t="s">
        <v>783</v>
      </c>
      <c r="C60" s="626" t="s">
        <v>784</v>
      </c>
      <c r="D60" s="626"/>
      <c r="E60" s="626"/>
      <c r="F60" s="626"/>
    </row>
    <row r="61" spans="1:6">
      <c r="A61" s="622"/>
      <c r="B61" s="622" t="s">
        <v>0</v>
      </c>
      <c r="C61" s="622" t="s">
        <v>1</v>
      </c>
      <c r="D61" s="622">
        <v>2013</v>
      </c>
      <c r="E61" s="624">
        <v>2012</v>
      </c>
      <c r="F61" s="622">
        <v>2010</v>
      </c>
    </row>
    <row r="62" spans="1:6">
      <c r="A62" s="628"/>
      <c r="B62" s="628"/>
      <c r="C62" s="628"/>
      <c r="D62" s="630"/>
      <c r="E62" s="629"/>
      <c r="F62" s="628"/>
    </row>
    <row r="63" spans="1:6">
      <c r="A63" s="400" t="s">
        <v>51</v>
      </c>
      <c r="B63" s="402" t="s">
        <v>52</v>
      </c>
      <c r="C63" s="400"/>
      <c r="D63" s="400"/>
      <c r="E63" s="398"/>
      <c r="F63" s="399">
        <v>1096484110</v>
      </c>
    </row>
    <row r="64" spans="1:6">
      <c r="A64" s="400"/>
      <c r="B64" s="402"/>
      <c r="C64" s="400"/>
      <c r="D64" s="400"/>
      <c r="E64" s="398"/>
      <c r="F64" s="402"/>
    </row>
    <row r="65" spans="1:8">
      <c r="A65" s="400" t="s">
        <v>5</v>
      </c>
      <c r="B65" s="402" t="s">
        <v>53</v>
      </c>
      <c r="C65" s="400"/>
      <c r="D65" s="400"/>
      <c r="E65" s="398"/>
      <c r="F65" s="402"/>
    </row>
    <row r="66" spans="1:8">
      <c r="A66" s="400"/>
      <c r="B66" s="402"/>
      <c r="C66" s="400"/>
      <c r="D66" s="400"/>
      <c r="E66" s="398"/>
      <c r="F66" s="402"/>
    </row>
    <row r="67" spans="1:8">
      <c r="A67" s="400">
        <v>1</v>
      </c>
      <c r="B67" s="402" t="s">
        <v>54</v>
      </c>
      <c r="C67" s="400"/>
      <c r="D67" s="415">
        <v>0</v>
      </c>
      <c r="E67" s="415">
        <v>0</v>
      </c>
      <c r="F67" s="402"/>
    </row>
    <row r="68" spans="1:8">
      <c r="A68" s="400">
        <v>2</v>
      </c>
      <c r="B68" s="402" t="s">
        <v>55</v>
      </c>
      <c r="C68" s="400"/>
      <c r="D68" s="415">
        <v>0</v>
      </c>
      <c r="E68" s="415">
        <v>0</v>
      </c>
      <c r="F68" s="399"/>
    </row>
    <row r="69" spans="1:8">
      <c r="A69" s="406" t="s">
        <v>9</v>
      </c>
      <c r="B69" s="430" t="s">
        <v>56</v>
      </c>
      <c r="C69" s="400"/>
      <c r="D69" s="400"/>
      <c r="E69" s="407"/>
      <c r="F69" s="414"/>
    </row>
    <row r="70" spans="1:8">
      <c r="A70" s="406" t="s">
        <v>11</v>
      </c>
      <c r="B70" s="430" t="s">
        <v>57</v>
      </c>
      <c r="C70" s="400"/>
      <c r="D70" s="400"/>
      <c r="E70" s="407"/>
      <c r="F70" s="408"/>
    </row>
    <row r="71" spans="1:8">
      <c r="A71" s="406" t="s">
        <v>17</v>
      </c>
      <c r="B71" s="430" t="s">
        <v>58</v>
      </c>
      <c r="C71" s="400"/>
      <c r="D71" s="400"/>
      <c r="E71" s="407"/>
      <c r="F71" s="408"/>
    </row>
    <row r="72" spans="1:8">
      <c r="A72" s="409"/>
      <c r="B72" s="431" t="s">
        <v>13</v>
      </c>
      <c r="C72" s="411"/>
      <c r="D72" s="412">
        <f>SUM(D67:D71)</f>
        <v>0</v>
      </c>
      <c r="E72" s="432">
        <v>0</v>
      </c>
      <c r="F72" s="432"/>
    </row>
    <row r="73" spans="1:8">
      <c r="A73" s="400">
        <v>3</v>
      </c>
      <c r="B73" s="402" t="s">
        <v>59</v>
      </c>
      <c r="C73" s="400">
        <v>9</v>
      </c>
      <c r="D73" s="400"/>
      <c r="E73" s="398"/>
      <c r="F73" s="399"/>
    </row>
    <row r="74" spans="1:8">
      <c r="A74" s="406" t="s">
        <v>9</v>
      </c>
      <c r="B74" s="430" t="s">
        <v>60</v>
      </c>
      <c r="C74" s="400">
        <v>9.1</v>
      </c>
      <c r="D74" s="404">
        <f>D129</f>
        <v>85336.18</v>
      </c>
      <c r="E74" s="405">
        <f t="shared" ref="E74:F74" si="0">E129</f>
        <v>203950</v>
      </c>
      <c r="F74" s="404">
        <f t="shared" si="0"/>
        <v>0</v>
      </c>
      <c r="H74" s="433"/>
    </row>
    <row r="75" spans="1:8">
      <c r="A75" s="406" t="s">
        <v>11</v>
      </c>
      <c r="B75" s="430" t="s">
        <v>61</v>
      </c>
      <c r="C75" s="400">
        <v>9.1999999999999993</v>
      </c>
      <c r="D75" s="404">
        <f>D158</f>
        <v>961757</v>
      </c>
      <c r="E75" s="405">
        <f t="shared" ref="E75:F75" si="1">-E158</f>
        <v>97757</v>
      </c>
      <c r="F75" s="404">
        <f t="shared" si="1"/>
        <v>0</v>
      </c>
    </row>
    <row r="76" spans="1:8">
      <c r="A76" s="406" t="s">
        <v>17</v>
      </c>
      <c r="B76" s="430" t="s">
        <v>62</v>
      </c>
      <c r="C76" s="400">
        <v>9.3000000000000007</v>
      </c>
      <c r="D76" s="404">
        <f>D130+D132-D160+'TE ARDHURA SHPENZIME 2013'!D29+'BILANCI 2013'!D131</f>
        <v>24795436.088000014</v>
      </c>
      <c r="E76" s="405">
        <f t="shared" ref="E76:F76" si="2">E130+E132-E160</f>
        <v>2044104</v>
      </c>
      <c r="F76" s="404">
        <f t="shared" si="2"/>
        <v>0</v>
      </c>
    </row>
    <row r="77" spans="1:8">
      <c r="A77" s="406" t="s">
        <v>18</v>
      </c>
      <c r="B77" s="430" t="s">
        <v>63</v>
      </c>
      <c r="C77" s="400"/>
      <c r="D77" s="423"/>
      <c r="E77" s="424"/>
      <c r="F77" s="423"/>
    </row>
    <row r="78" spans="1:8">
      <c r="A78" s="406" t="s">
        <v>24</v>
      </c>
      <c r="B78" s="430" t="s">
        <v>64</v>
      </c>
      <c r="C78" s="400">
        <v>9.4</v>
      </c>
      <c r="D78" s="404">
        <f>-(D156+D166)</f>
        <v>270611454.86000001</v>
      </c>
      <c r="E78" s="405">
        <f t="shared" ref="E78:F78" si="3">-E156</f>
        <v>717578059.66999996</v>
      </c>
      <c r="F78" s="404">
        <f t="shared" si="3"/>
        <v>0</v>
      </c>
    </row>
    <row r="79" spans="1:8">
      <c r="A79" s="416"/>
      <c r="B79" s="434" t="s">
        <v>13</v>
      </c>
      <c r="C79" s="411"/>
      <c r="D79" s="412">
        <f>SUM(D74:D78)</f>
        <v>296453984.12800002</v>
      </c>
      <c r="E79" s="425">
        <f>SUM(E74:E78)</f>
        <v>719923870.66999996</v>
      </c>
      <c r="F79" s="425">
        <f>SUM(F74:F78)</f>
        <v>0</v>
      </c>
    </row>
    <row r="80" spans="1:8">
      <c r="A80" s="400">
        <v>4</v>
      </c>
      <c r="B80" s="402" t="s">
        <v>65</v>
      </c>
      <c r="C80" s="400"/>
      <c r="D80" s="400"/>
      <c r="E80" s="398"/>
      <c r="F80" s="402"/>
    </row>
    <row r="81" spans="1:6">
      <c r="A81" s="400">
        <v>5</v>
      </c>
      <c r="B81" s="402" t="s">
        <v>66</v>
      </c>
      <c r="C81" s="400"/>
      <c r="D81" s="400"/>
      <c r="E81" s="398"/>
      <c r="F81" s="402"/>
    </row>
    <row r="82" spans="1:6">
      <c r="A82" s="406"/>
      <c r="B82" s="430"/>
      <c r="C82" s="400"/>
      <c r="D82" s="400"/>
      <c r="E82" s="407"/>
      <c r="F82" s="408"/>
    </row>
    <row r="83" spans="1:6">
      <c r="A83" s="411"/>
      <c r="B83" s="435" t="s">
        <v>67</v>
      </c>
      <c r="C83" s="411"/>
      <c r="D83" s="412">
        <f>D72+D79</f>
        <v>296453984.12800002</v>
      </c>
      <c r="E83" s="413">
        <f>SUM(E79:E82)</f>
        <v>719923870.66999996</v>
      </c>
      <c r="F83" s="413">
        <f>SUM(F79:F82)</f>
        <v>0</v>
      </c>
    </row>
    <row r="84" spans="1:6">
      <c r="A84" s="406"/>
      <c r="B84" s="430"/>
      <c r="C84" s="400"/>
      <c r="D84" s="400"/>
      <c r="E84" s="407"/>
      <c r="F84" s="408"/>
    </row>
    <row r="85" spans="1:6">
      <c r="A85" s="400" t="s">
        <v>30</v>
      </c>
      <c r="B85" s="402" t="s">
        <v>68</v>
      </c>
      <c r="C85" s="400"/>
      <c r="D85" s="400"/>
      <c r="E85" s="407"/>
      <c r="F85" s="408"/>
    </row>
    <row r="86" spans="1:6">
      <c r="A86" s="406"/>
      <c r="B86" s="408"/>
      <c r="C86" s="400"/>
      <c r="D86" s="400"/>
      <c r="E86" s="407"/>
      <c r="F86" s="408"/>
    </row>
    <row r="87" spans="1:6">
      <c r="A87" s="400">
        <v>1</v>
      </c>
      <c r="B87" s="402" t="s">
        <v>69</v>
      </c>
      <c r="C87" s="400"/>
      <c r="D87" s="400"/>
      <c r="E87" s="407"/>
      <c r="F87" s="414">
        <v>7031195</v>
      </c>
    </row>
    <row r="88" spans="1:6">
      <c r="A88" s="406" t="s">
        <v>9</v>
      </c>
      <c r="B88" s="430" t="s">
        <v>70</v>
      </c>
      <c r="C88" s="400"/>
      <c r="D88" s="400"/>
      <c r="E88" s="407"/>
      <c r="F88" s="408"/>
    </row>
    <row r="89" spans="1:6">
      <c r="A89" s="406" t="s">
        <v>11</v>
      </c>
      <c r="B89" s="430" t="s">
        <v>71</v>
      </c>
      <c r="C89" s="400"/>
      <c r="D89" s="400"/>
      <c r="E89" s="436"/>
      <c r="F89" s="436"/>
    </row>
    <row r="90" spans="1:6">
      <c r="A90" s="416"/>
      <c r="B90" s="434" t="s">
        <v>13</v>
      </c>
      <c r="C90" s="411"/>
      <c r="D90" s="421">
        <v>0</v>
      </c>
      <c r="E90" s="425">
        <v>0</v>
      </c>
      <c r="F90" s="425">
        <f>SUM(F87:F89)</f>
        <v>7031195</v>
      </c>
    </row>
    <row r="91" spans="1:6">
      <c r="A91" s="400">
        <v>2</v>
      </c>
      <c r="B91" s="402" t="s">
        <v>72</v>
      </c>
      <c r="C91" s="400"/>
      <c r="D91" s="417">
        <f>-D163</f>
        <v>70751270.069999993</v>
      </c>
      <c r="E91" s="407"/>
      <c r="F91" s="414"/>
    </row>
    <row r="92" spans="1:6">
      <c r="A92" s="400">
        <v>3</v>
      </c>
      <c r="B92" s="402" t="s">
        <v>73</v>
      </c>
      <c r="C92" s="400"/>
      <c r="D92" s="400"/>
      <c r="E92" s="398"/>
      <c r="F92" s="402"/>
    </row>
    <row r="93" spans="1:6">
      <c r="A93" s="400">
        <v>4</v>
      </c>
      <c r="B93" s="402" t="s">
        <v>74</v>
      </c>
      <c r="C93" s="400"/>
      <c r="D93" s="400"/>
      <c r="E93" s="398"/>
      <c r="F93" s="402"/>
    </row>
    <row r="94" spans="1:6">
      <c r="A94" s="406"/>
      <c r="B94" s="430"/>
      <c r="C94" s="400"/>
      <c r="D94" s="400"/>
      <c r="E94" s="407"/>
      <c r="F94" s="408"/>
    </row>
    <row r="95" spans="1:6">
      <c r="A95" s="411"/>
      <c r="B95" s="435" t="s">
        <v>75</v>
      </c>
      <c r="C95" s="411"/>
      <c r="D95" s="421">
        <f>SUM(D90:D94)</f>
        <v>70751270.069999993</v>
      </c>
      <c r="E95" s="413">
        <v>0</v>
      </c>
      <c r="F95" s="420">
        <f>SUM(F90:F94)</f>
        <v>7031195</v>
      </c>
    </row>
    <row r="96" spans="1:6">
      <c r="A96" s="406"/>
      <c r="B96" s="430"/>
      <c r="C96" s="400"/>
      <c r="D96" s="400"/>
      <c r="E96" s="407"/>
      <c r="F96" s="408"/>
    </row>
    <row r="97" spans="1:6">
      <c r="A97" s="411"/>
      <c r="B97" s="435" t="s">
        <v>76</v>
      </c>
      <c r="C97" s="411"/>
      <c r="D97" s="412">
        <f>D83+D95</f>
        <v>367205254.19800001</v>
      </c>
      <c r="E97" s="413">
        <f>E83+E95</f>
        <v>719923870.66999996</v>
      </c>
      <c r="F97" s="413">
        <f>F83+F95</f>
        <v>7031195</v>
      </c>
    </row>
    <row r="98" spans="1:6">
      <c r="A98" s="406"/>
      <c r="B98" s="430"/>
      <c r="C98" s="400"/>
      <c r="D98" s="400"/>
      <c r="E98" s="407"/>
      <c r="F98" s="408"/>
    </row>
    <row r="99" spans="1:6">
      <c r="A99" s="400" t="s">
        <v>77</v>
      </c>
      <c r="B99" s="402" t="s">
        <v>78</v>
      </c>
      <c r="C99" s="400"/>
      <c r="D99" s="400"/>
      <c r="E99" s="407"/>
      <c r="F99" s="408"/>
    </row>
    <row r="100" spans="1:6">
      <c r="A100" s="406"/>
      <c r="B100" s="408"/>
      <c r="C100" s="400"/>
      <c r="D100" s="400"/>
      <c r="E100" s="407"/>
      <c r="F100" s="408"/>
    </row>
    <row r="101" spans="1:6">
      <c r="A101" s="400">
        <v>1</v>
      </c>
      <c r="B101" s="402" t="s">
        <v>79</v>
      </c>
      <c r="C101" s="400"/>
      <c r="D101" s="400"/>
      <c r="E101" s="398"/>
      <c r="F101" s="402"/>
    </row>
    <row r="102" spans="1:6" ht="24">
      <c r="A102" s="400">
        <v>2</v>
      </c>
      <c r="B102" s="402" t="s">
        <v>80</v>
      </c>
      <c r="C102" s="400"/>
      <c r="D102" s="400"/>
      <c r="E102" s="398"/>
      <c r="F102" s="402"/>
    </row>
    <row r="103" spans="1:6">
      <c r="A103" s="400">
        <v>3</v>
      </c>
      <c r="B103" s="402" t="s">
        <v>81</v>
      </c>
      <c r="C103" s="400">
        <v>10</v>
      </c>
      <c r="D103" s="417">
        <f>D120</f>
        <v>906928519</v>
      </c>
      <c r="E103" s="415">
        <f>E120</f>
        <v>906928519</v>
      </c>
      <c r="F103" s="399">
        <v>906928519</v>
      </c>
    </row>
    <row r="104" spans="1:6">
      <c r="A104" s="400">
        <v>4</v>
      </c>
      <c r="B104" s="402" t="s">
        <v>82</v>
      </c>
      <c r="C104" s="400"/>
      <c r="D104" s="400"/>
      <c r="E104" s="415"/>
      <c r="F104" s="402"/>
    </row>
    <row r="105" spans="1:6">
      <c r="A105" s="400">
        <v>5</v>
      </c>
      <c r="B105" s="402" t="s">
        <v>83</v>
      </c>
      <c r="C105" s="400"/>
      <c r="D105" s="400"/>
      <c r="E105" s="415"/>
      <c r="F105" s="402"/>
    </row>
    <row r="106" spans="1:6">
      <c r="A106" s="400">
        <v>6</v>
      </c>
      <c r="B106" s="402" t="s">
        <v>84</v>
      </c>
      <c r="C106" s="400"/>
      <c r="D106" s="400"/>
      <c r="E106" s="415"/>
      <c r="F106" s="402"/>
    </row>
    <row r="107" spans="1:6">
      <c r="A107" s="400">
        <v>7</v>
      </c>
      <c r="B107" s="402" t="s">
        <v>85</v>
      </c>
      <c r="C107" s="400"/>
      <c r="D107" s="437">
        <f>D121</f>
        <v>135205</v>
      </c>
      <c r="E107" s="426">
        <f>E121</f>
        <v>135205</v>
      </c>
      <c r="F107" s="399">
        <v>135205</v>
      </c>
    </row>
    <row r="108" spans="1:6">
      <c r="A108" s="400">
        <v>8</v>
      </c>
      <c r="B108" s="402" t="s">
        <v>86</v>
      </c>
      <c r="C108" s="400"/>
      <c r="D108" s="406"/>
      <c r="E108" s="426"/>
      <c r="F108" s="399"/>
    </row>
    <row r="109" spans="1:6">
      <c r="A109" s="400">
        <v>9</v>
      </c>
      <c r="B109" s="402" t="s">
        <v>87</v>
      </c>
      <c r="C109" s="400"/>
      <c r="D109" s="437">
        <f>D122+D123</f>
        <v>-65936287.130000003</v>
      </c>
      <c r="E109" s="426">
        <v>-75595622</v>
      </c>
      <c r="F109" s="399">
        <v>-79740653</v>
      </c>
    </row>
    <row r="110" spans="1:6">
      <c r="A110" s="400">
        <v>10</v>
      </c>
      <c r="B110" s="402" t="s">
        <v>88</v>
      </c>
      <c r="C110" s="400">
        <v>10.1</v>
      </c>
      <c r="D110" s="417">
        <f>'TE ARDHURA SHPENZIME 2013'!D31</f>
        <v>244257967.79200011</v>
      </c>
      <c r="E110" s="415">
        <v>9659333.9400000088</v>
      </c>
      <c r="F110" s="399">
        <v>2018451</v>
      </c>
    </row>
    <row r="111" spans="1:6">
      <c r="A111" s="406"/>
      <c r="B111" s="408"/>
      <c r="C111" s="400"/>
      <c r="D111" s="400"/>
      <c r="E111" s="407"/>
      <c r="F111" s="408"/>
    </row>
    <row r="112" spans="1:6">
      <c r="A112" s="411"/>
      <c r="B112" s="435" t="s">
        <v>89</v>
      </c>
      <c r="C112" s="411"/>
      <c r="D112" s="412">
        <f>SUM(D103:D111)</f>
        <v>1085385404.6620002</v>
      </c>
      <c r="E112" s="413">
        <f>SUM(E103:E111)</f>
        <v>841127435.94000006</v>
      </c>
      <c r="F112" s="413">
        <f>SUM(F103:F111)</f>
        <v>829341522</v>
      </c>
    </row>
    <row r="113" spans="1:6">
      <c r="A113" s="406"/>
      <c r="B113" s="408"/>
      <c r="C113" s="400"/>
      <c r="D113" s="400"/>
      <c r="E113" s="407"/>
      <c r="F113" s="408"/>
    </row>
    <row r="114" spans="1:6">
      <c r="A114" s="411"/>
      <c r="B114" s="435" t="s">
        <v>90</v>
      </c>
      <c r="C114" s="411"/>
      <c r="D114" s="412">
        <f>D97+D112</f>
        <v>1452590658.8600001</v>
      </c>
      <c r="E114" s="413">
        <f>E97+E112</f>
        <v>1561051306.6100001</v>
      </c>
      <c r="F114" s="413">
        <f>F97+F112</f>
        <v>836372717</v>
      </c>
    </row>
    <row r="115" spans="1:6">
      <c r="A115" s="388"/>
      <c r="B115" s="388"/>
      <c r="C115" s="388"/>
      <c r="D115" s="438">
        <f>D114-D56</f>
        <v>-9.9997520446777344E-3</v>
      </c>
      <c r="E115" s="439">
        <f>E114-E56</f>
        <v>-0.48534679412841797</v>
      </c>
      <c r="F115" s="388"/>
    </row>
    <row r="116" spans="1:6">
      <c r="A116" s="440"/>
      <c r="B116" s="440"/>
      <c r="C116" s="440"/>
      <c r="D116" s="441"/>
      <c r="E116" s="442">
        <f>E114-E56</f>
        <v>-0.48534679412841797</v>
      </c>
    </row>
    <row r="117" spans="1:6">
      <c r="D117" s="433"/>
    </row>
    <row r="119" spans="1:6" ht="15">
      <c r="A119" s="301" t="s">
        <v>623</v>
      </c>
      <c r="B119" s="301" t="s">
        <v>624</v>
      </c>
      <c r="C119" s="301" t="s">
        <v>625</v>
      </c>
      <c r="D119" s="301" t="s">
        <v>626</v>
      </c>
      <c r="E119" s="444"/>
    </row>
    <row r="120" spans="1:6" ht="15">
      <c r="A120" s="310">
        <v>101</v>
      </c>
      <c r="B120" s="310" t="s">
        <v>291</v>
      </c>
      <c r="C120" s="310" t="s">
        <v>627</v>
      </c>
      <c r="D120" s="311">
        <v>906928519</v>
      </c>
      <c r="E120" s="443">
        <v>906928519</v>
      </c>
    </row>
    <row r="121" spans="1:6" ht="15">
      <c r="A121" s="310">
        <v>1061</v>
      </c>
      <c r="B121" s="310" t="s">
        <v>85</v>
      </c>
      <c r="C121" s="310" t="s">
        <v>627</v>
      </c>
      <c r="D121" s="311">
        <v>135205</v>
      </c>
      <c r="E121" s="443">
        <v>135205</v>
      </c>
    </row>
    <row r="122" spans="1:6" ht="13.5" customHeight="1">
      <c r="A122" s="310">
        <v>107</v>
      </c>
      <c r="B122" s="310" t="s">
        <v>294</v>
      </c>
      <c r="C122" s="310" t="s">
        <v>627</v>
      </c>
      <c r="D122" s="311">
        <v>-65936287.130000003</v>
      </c>
      <c r="E122" s="443">
        <v>-61001981</v>
      </c>
    </row>
    <row r="123" spans="1:6" ht="15">
      <c r="A123" s="310">
        <v>121</v>
      </c>
      <c r="B123" s="310" t="s">
        <v>296</v>
      </c>
      <c r="C123" s="310" t="s">
        <v>627</v>
      </c>
      <c r="D123" s="311">
        <v>0</v>
      </c>
      <c r="E123" s="443">
        <v>-14593641</v>
      </c>
    </row>
    <row r="124" spans="1:6" ht="15">
      <c r="A124" s="310" t="s">
        <v>297</v>
      </c>
      <c r="B124" s="310" t="s">
        <v>298</v>
      </c>
      <c r="C124" s="310" t="s">
        <v>627</v>
      </c>
      <c r="D124" s="311">
        <v>271406389.88</v>
      </c>
      <c r="E124" s="443">
        <v>10763005.68</v>
      </c>
    </row>
    <row r="125" spans="1:6" ht="15">
      <c r="A125" s="310">
        <v>2812</v>
      </c>
      <c r="B125" s="310" t="s">
        <v>326</v>
      </c>
      <c r="C125" s="310" t="s">
        <v>627</v>
      </c>
      <c r="D125" s="311">
        <v>0</v>
      </c>
      <c r="E125" s="445">
        <v>0</v>
      </c>
    </row>
    <row r="126" spans="1:6" ht="15">
      <c r="A126" s="310">
        <v>2813</v>
      </c>
      <c r="B126" s="310" t="s">
        <v>328</v>
      </c>
      <c r="C126" s="310" t="s">
        <v>627</v>
      </c>
      <c r="D126" s="311">
        <v>0</v>
      </c>
      <c r="E126" s="445">
        <v>0</v>
      </c>
    </row>
    <row r="127" spans="1:6" ht="15">
      <c r="A127" s="310">
        <v>2815</v>
      </c>
      <c r="B127" s="310" t="s">
        <v>330</v>
      </c>
      <c r="C127" s="310" t="s">
        <v>627</v>
      </c>
      <c r="D127" s="311">
        <v>0</v>
      </c>
      <c r="E127" s="445">
        <v>0</v>
      </c>
    </row>
    <row r="128" spans="1:6" ht="15">
      <c r="A128" s="310">
        <v>2818</v>
      </c>
      <c r="B128" s="310" t="s">
        <v>332</v>
      </c>
      <c r="C128" s="310" t="s">
        <v>627</v>
      </c>
      <c r="D128" s="311">
        <v>0</v>
      </c>
      <c r="E128" s="443">
        <v>0</v>
      </c>
    </row>
    <row r="129" spans="1:5" ht="15">
      <c r="A129" s="310">
        <v>401</v>
      </c>
      <c r="B129" s="310" t="s">
        <v>300</v>
      </c>
      <c r="C129" s="310" t="s">
        <v>627</v>
      </c>
      <c r="D129" s="311">
        <v>85336.18</v>
      </c>
      <c r="E129" s="443">
        <v>203950</v>
      </c>
    </row>
    <row r="130" spans="1:5" ht="15">
      <c r="A130" s="310">
        <v>442</v>
      </c>
      <c r="B130" s="310" t="s">
        <v>347</v>
      </c>
      <c r="C130" s="310" t="s">
        <v>627</v>
      </c>
      <c r="D130" s="311">
        <v>19573</v>
      </c>
      <c r="E130" s="443">
        <v>18583</v>
      </c>
    </row>
    <row r="131" spans="1:5" ht="15">
      <c r="A131" s="310">
        <v>444</v>
      </c>
      <c r="B131" s="310" t="s">
        <v>349</v>
      </c>
      <c r="C131" s="310" t="s">
        <v>627</v>
      </c>
      <c r="D131" s="311">
        <v>-2399100</v>
      </c>
      <c r="E131" s="443">
        <v>-2902772</v>
      </c>
    </row>
    <row r="132" spans="1:5" ht="15">
      <c r="A132" s="310">
        <v>4452</v>
      </c>
      <c r="B132" s="310" t="s">
        <v>628</v>
      </c>
      <c r="C132" s="310" t="s">
        <v>627</v>
      </c>
      <c r="D132" s="311">
        <v>0</v>
      </c>
      <c r="E132" s="443">
        <v>2000000</v>
      </c>
    </row>
    <row r="133" spans="1:5" ht="15">
      <c r="A133" s="310">
        <v>4455</v>
      </c>
      <c r="B133" s="310" t="s">
        <v>788</v>
      </c>
      <c r="C133" s="310" t="s">
        <v>3</v>
      </c>
      <c r="D133" s="311">
        <v>819048.43</v>
      </c>
    </row>
    <row r="134" spans="1:5" ht="15">
      <c r="A134" s="310">
        <v>449</v>
      </c>
      <c r="B134" s="310" t="s">
        <v>629</v>
      </c>
      <c r="C134" s="310" t="s">
        <v>627</v>
      </c>
      <c r="D134" s="311">
        <v>0</v>
      </c>
      <c r="E134" s="443">
        <v>0</v>
      </c>
    </row>
    <row r="135" spans="1:5" ht="15">
      <c r="A135" s="310">
        <v>481</v>
      </c>
      <c r="B135" s="310" t="s">
        <v>302</v>
      </c>
      <c r="C135" s="310" t="s">
        <v>627</v>
      </c>
      <c r="D135" s="311">
        <v>-10480609.970000001</v>
      </c>
      <c r="E135" s="443">
        <v>-12330128.970000001</v>
      </c>
    </row>
    <row r="136" spans="1:5" ht="15">
      <c r="A136" s="310">
        <v>487</v>
      </c>
      <c r="B136" s="310" t="s">
        <v>630</v>
      </c>
      <c r="C136" s="310" t="s">
        <v>627</v>
      </c>
      <c r="D136" s="311">
        <v>0</v>
      </c>
      <c r="E136" s="443">
        <v>0</v>
      </c>
    </row>
    <row r="137" spans="1:5" ht="15">
      <c r="A137" s="310">
        <v>201</v>
      </c>
      <c r="B137" s="310" t="s">
        <v>305</v>
      </c>
      <c r="C137" s="310" t="s">
        <v>3</v>
      </c>
      <c r="D137" s="311">
        <v>733636</v>
      </c>
      <c r="E137" s="443">
        <v>863101</v>
      </c>
    </row>
    <row r="138" spans="1:5" ht="15">
      <c r="A138" s="310">
        <v>211</v>
      </c>
      <c r="B138" s="310" t="s">
        <v>38</v>
      </c>
      <c r="C138" s="310" t="s">
        <v>3</v>
      </c>
      <c r="D138" s="311">
        <v>414814278.88</v>
      </c>
      <c r="E138" s="443">
        <v>754018939</v>
      </c>
    </row>
    <row r="139" spans="1:5" ht="15">
      <c r="A139" s="310">
        <v>212</v>
      </c>
      <c r="B139" s="310" t="s">
        <v>132</v>
      </c>
      <c r="C139" s="310" t="s">
        <v>3</v>
      </c>
      <c r="D139" s="311">
        <v>0</v>
      </c>
      <c r="E139" s="443">
        <v>34592932</v>
      </c>
    </row>
    <row r="140" spans="1:5" ht="15">
      <c r="A140" s="310">
        <v>2126</v>
      </c>
      <c r="B140" s="310" t="s">
        <v>309</v>
      </c>
      <c r="C140" s="310" t="s">
        <v>3</v>
      </c>
      <c r="D140" s="311">
        <v>0</v>
      </c>
      <c r="E140" s="443">
        <v>-34592932</v>
      </c>
    </row>
    <row r="141" spans="1:5" ht="15">
      <c r="A141" s="310">
        <v>213</v>
      </c>
      <c r="B141" s="310" t="s">
        <v>311</v>
      </c>
      <c r="C141" s="310" t="s">
        <v>3</v>
      </c>
      <c r="D141" s="311">
        <v>0</v>
      </c>
      <c r="E141" s="443">
        <v>26145673.969999999</v>
      </c>
    </row>
    <row r="142" spans="1:5" ht="15">
      <c r="A142" s="310">
        <v>215</v>
      </c>
      <c r="B142" s="310" t="s">
        <v>134</v>
      </c>
      <c r="C142" s="310" t="s">
        <v>3</v>
      </c>
      <c r="D142" s="311">
        <v>0</v>
      </c>
      <c r="E142" s="443">
        <v>0</v>
      </c>
    </row>
    <row r="143" spans="1:5" ht="15">
      <c r="A143" s="310">
        <v>216</v>
      </c>
      <c r="B143" s="310" t="s">
        <v>314</v>
      </c>
      <c r="C143" s="310" t="s">
        <v>3</v>
      </c>
      <c r="D143" s="311">
        <v>0</v>
      </c>
      <c r="E143" s="443">
        <v>0</v>
      </c>
    </row>
    <row r="144" spans="1:5" ht="15">
      <c r="A144" s="310">
        <v>2181</v>
      </c>
      <c r="B144" s="310" t="s">
        <v>316</v>
      </c>
      <c r="C144" s="310" t="s">
        <v>3</v>
      </c>
      <c r="D144" s="311">
        <v>0</v>
      </c>
      <c r="E144" s="443">
        <v>0</v>
      </c>
    </row>
    <row r="145" spans="1:5" ht="15">
      <c r="A145" s="310">
        <v>2182</v>
      </c>
      <c r="B145" s="310" t="s">
        <v>318</v>
      </c>
      <c r="C145" s="310" t="s">
        <v>3</v>
      </c>
      <c r="D145" s="312">
        <v>158408</v>
      </c>
      <c r="E145" s="443">
        <v>128408</v>
      </c>
    </row>
    <row r="146" spans="1:5" ht="15">
      <c r="A146" s="310">
        <v>2183</v>
      </c>
      <c r="B146" s="310" t="s">
        <v>484</v>
      </c>
      <c r="C146" s="310" t="s">
        <v>3</v>
      </c>
      <c r="D146" s="312">
        <v>0</v>
      </c>
      <c r="E146" s="443">
        <v>0</v>
      </c>
    </row>
    <row r="147" spans="1:5" ht="15">
      <c r="A147" s="310">
        <v>28120</v>
      </c>
      <c r="B147" s="310" t="s">
        <v>320</v>
      </c>
      <c r="C147" s="310" t="s">
        <v>3</v>
      </c>
      <c r="D147" s="312">
        <v>0</v>
      </c>
      <c r="E147" s="443">
        <v>0</v>
      </c>
    </row>
    <row r="148" spans="1:5" ht="15">
      <c r="A148" s="310">
        <v>2814</v>
      </c>
      <c r="B148" s="310" t="s">
        <v>322</v>
      </c>
      <c r="C148" s="310" t="s">
        <v>3</v>
      </c>
      <c r="D148" s="312">
        <v>-37102</v>
      </c>
      <c r="E148" s="443">
        <v>0</v>
      </c>
    </row>
    <row r="149" spans="1:5" ht="15">
      <c r="A149" s="310">
        <v>2816</v>
      </c>
      <c r="B149" s="310" t="s">
        <v>324</v>
      </c>
      <c r="C149" s="310" t="s">
        <v>627</v>
      </c>
      <c r="D149" s="312">
        <v>0</v>
      </c>
      <c r="E149" s="443">
        <v>0</v>
      </c>
    </row>
    <row r="150" spans="1:5" ht="15">
      <c r="A150" s="310">
        <v>2819</v>
      </c>
      <c r="B150" s="310" t="s">
        <v>334</v>
      </c>
      <c r="C150" s="310" t="s">
        <v>3</v>
      </c>
      <c r="D150" s="311">
        <v>0</v>
      </c>
      <c r="E150" s="443">
        <v>0</v>
      </c>
    </row>
    <row r="151" spans="1:5" ht="15">
      <c r="A151" s="310">
        <v>28191</v>
      </c>
      <c r="B151" s="310" t="s">
        <v>631</v>
      </c>
      <c r="C151" s="310" t="s">
        <v>3</v>
      </c>
      <c r="D151" s="311">
        <v>0</v>
      </c>
      <c r="E151" s="443">
        <v>0</v>
      </c>
    </row>
    <row r="152" spans="1:5" ht="15">
      <c r="A152" s="310">
        <v>311</v>
      </c>
      <c r="B152" s="310" t="s">
        <v>470</v>
      </c>
      <c r="C152" s="310" t="s">
        <v>3</v>
      </c>
      <c r="D152" s="311">
        <v>0</v>
      </c>
      <c r="E152" s="443">
        <v>0</v>
      </c>
    </row>
    <row r="153" spans="1:5" ht="15">
      <c r="A153" s="310">
        <v>327</v>
      </c>
      <c r="B153" s="310" t="s">
        <v>336</v>
      </c>
      <c r="C153" s="310" t="s">
        <v>3</v>
      </c>
      <c r="D153" s="311">
        <v>0</v>
      </c>
      <c r="E153" s="443">
        <v>0</v>
      </c>
    </row>
    <row r="154" spans="1:5" ht="15">
      <c r="A154" s="310">
        <v>342</v>
      </c>
      <c r="B154" s="310" t="s">
        <v>474</v>
      </c>
      <c r="C154" s="310" t="s">
        <v>3</v>
      </c>
      <c r="D154" s="311">
        <v>0</v>
      </c>
      <c r="E154" s="443">
        <v>0</v>
      </c>
    </row>
    <row r="155" spans="1:5" ht="15">
      <c r="A155" s="310">
        <v>351</v>
      </c>
      <c r="B155" s="310" t="s">
        <v>476</v>
      </c>
      <c r="C155" s="310" t="s">
        <v>3</v>
      </c>
      <c r="D155" s="311">
        <v>0</v>
      </c>
      <c r="E155" s="443">
        <v>0</v>
      </c>
    </row>
    <row r="156" spans="1:5" ht="15">
      <c r="A156" s="310">
        <v>409</v>
      </c>
      <c r="B156" s="310" t="s">
        <v>339</v>
      </c>
      <c r="C156" s="310" t="s">
        <v>3</v>
      </c>
      <c r="D156" s="311">
        <v>-269951454.86000001</v>
      </c>
      <c r="E156" s="443">
        <v>-717578059.66999996</v>
      </c>
    </row>
    <row r="157" spans="1:5" ht="15">
      <c r="A157" s="310">
        <v>411</v>
      </c>
      <c r="B157" s="310" t="s">
        <v>341</v>
      </c>
      <c r="C157" s="310" t="s">
        <v>3</v>
      </c>
      <c r="D157" s="311">
        <v>73612409.879999995</v>
      </c>
      <c r="E157" s="443">
        <v>86078090.632806897</v>
      </c>
    </row>
    <row r="158" spans="1:5" ht="15">
      <c r="A158" s="310">
        <v>421</v>
      </c>
      <c r="B158" s="310" t="s">
        <v>343</v>
      </c>
      <c r="C158" s="310" t="s">
        <v>627</v>
      </c>
      <c r="D158" s="311">
        <v>961757</v>
      </c>
      <c r="E158" s="443">
        <v>-97757</v>
      </c>
    </row>
    <row r="159" spans="1:5" ht="15">
      <c r="A159" s="310">
        <v>423</v>
      </c>
      <c r="B159" s="310" t="s">
        <v>740</v>
      </c>
      <c r="C159" s="310"/>
      <c r="D159" s="311">
        <v>0</v>
      </c>
      <c r="E159" s="443">
        <v>51115</v>
      </c>
    </row>
    <row r="160" spans="1:5" ht="15">
      <c r="A160" s="310">
        <v>431</v>
      </c>
      <c r="B160" s="310" t="s">
        <v>345</v>
      </c>
      <c r="C160" s="310" t="s">
        <v>3</v>
      </c>
      <c r="D160" s="311">
        <v>-26541</v>
      </c>
      <c r="E160" s="443">
        <v>-25521</v>
      </c>
    </row>
    <row r="161" spans="1:5" ht="15">
      <c r="A161" s="310">
        <v>4451</v>
      </c>
      <c r="B161" s="310" t="s">
        <v>351</v>
      </c>
      <c r="C161" s="310" t="s">
        <v>3</v>
      </c>
      <c r="D161" s="311">
        <v>0</v>
      </c>
      <c r="E161" s="443">
        <v>2755465.92</v>
      </c>
    </row>
    <row r="162" spans="1:5" ht="15">
      <c r="A162" s="310">
        <v>455</v>
      </c>
      <c r="B162" s="310" t="s">
        <v>353</v>
      </c>
      <c r="C162" s="310" t="s">
        <v>3</v>
      </c>
      <c r="D162" s="311">
        <v>822977012</v>
      </c>
      <c r="E162" s="443">
        <v>401031003</v>
      </c>
    </row>
    <row r="163" spans="1:5" ht="15">
      <c r="A163" s="310">
        <v>4551</v>
      </c>
      <c r="B163" s="310" t="s">
        <v>478</v>
      </c>
      <c r="C163" s="310" t="s">
        <v>3</v>
      </c>
      <c r="D163" s="311">
        <v>-70751270.069999993</v>
      </c>
      <c r="E163" s="443">
        <v>-70751270.069999993</v>
      </c>
    </row>
    <row r="164" spans="1:5" ht="15">
      <c r="A164" s="310">
        <v>4552</v>
      </c>
      <c r="B164" s="310"/>
      <c r="C164" s="310" t="s">
        <v>3</v>
      </c>
      <c r="D164" s="311">
        <v>0</v>
      </c>
      <c r="E164" s="443">
        <v>-5.9604644775390599E-8</v>
      </c>
    </row>
    <row r="165" spans="1:5" ht="15">
      <c r="A165" s="310">
        <v>461</v>
      </c>
      <c r="B165" s="310" t="s">
        <v>632</v>
      </c>
      <c r="C165" s="310" t="s">
        <v>3</v>
      </c>
      <c r="D165" s="311">
        <v>0</v>
      </c>
      <c r="E165" s="443">
        <v>0</v>
      </c>
    </row>
    <row r="166" spans="1:5" ht="15">
      <c r="A166" s="310">
        <v>467</v>
      </c>
      <c r="B166" s="310" t="s">
        <v>355</v>
      </c>
      <c r="C166" s="310" t="s">
        <v>3</v>
      </c>
      <c r="D166" s="311">
        <v>-660000</v>
      </c>
      <c r="E166" s="443">
        <v>-3142413</v>
      </c>
    </row>
    <row r="167" spans="1:5" ht="15">
      <c r="A167" s="310">
        <v>467000</v>
      </c>
      <c r="B167" s="310" t="s">
        <v>633</v>
      </c>
      <c r="C167" s="310" t="s">
        <v>3</v>
      </c>
      <c r="D167" s="311">
        <v>0</v>
      </c>
      <c r="E167" s="443">
        <v>4.0927261579781802E-10</v>
      </c>
    </row>
    <row r="168" spans="1:5" ht="15">
      <c r="A168" s="310">
        <v>467001</v>
      </c>
      <c r="B168" s="310" t="s">
        <v>634</v>
      </c>
      <c r="C168" s="310" t="s">
        <v>3</v>
      </c>
      <c r="D168" s="311">
        <v>0</v>
      </c>
      <c r="E168" s="443">
        <v>0</v>
      </c>
    </row>
    <row r="169" spans="1:5" ht="15">
      <c r="A169" s="313" t="s">
        <v>640</v>
      </c>
      <c r="B169" s="310" t="s">
        <v>639</v>
      </c>
      <c r="C169" s="310" t="s">
        <v>3</v>
      </c>
      <c r="D169" s="311">
        <v>0</v>
      </c>
      <c r="E169" s="443">
        <v>72719321.680000007</v>
      </c>
    </row>
    <row r="170" spans="1:5" ht="15">
      <c r="A170" s="310">
        <v>467003</v>
      </c>
      <c r="B170" s="310" t="s">
        <v>359</v>
      </c>
      <c r="C170" s="310" t="s">
        <v>3</v>
      </c>
      <c r="D170" s="311">
        <v>12374800</v>
      </c>
      <c r="E170" s="443">
        <v>12372200</v>
      </c>
    </row>
    <row r="171" spans="1:5" ht="15">
      <c r="A171" s="310">
        <v>467005</v>
      </c>
      <c r="B171" s="310" t="s">
        <v>363</v>
      </c>
      <c r="C171" s="310" t="s">
        <v>3</v>
      </c>
      <c r="D171" s="311">
        <v>109249892.43000001</v>
      </c>
      <c r="E171" s="443">
        <v>249803892.43000001</v>
      </c>
    </row>
    <row r="172" spans="1:5" ht="15">
      <c r="A172" s="310">
        <v>5121</v>
      </c>
      <c r="B172" s="310" t="s">
        <v>365</v>
      </c>
      <c r="C172" s="310" t="s">
        <v>3</v>
      </c>
      <c r="D172" s="311">
        <v>370569.47</v>
      </c>
      <c r="E172" s="443">
        <v>872917.91</v>
      </c>
    </row>
    <row r="173" spans="1:5" ht="15">
      <c r="A173" s="310">
        <v>51241</v>
      </c>
      <c r="B173" s="310" t="s">
        <v>367</v>
      </c>
      <c r="C173" s="310" t="s">
        <v>3</v>
      </c>
      <c r="D173" s="311">
        <v>6778850.7800000003</v>
      </c>
      <c r="E173" s="443">
        <v>13715717.772539999</v>
      </c>
    </row>
    <row r="174" spans="1:5" ht="15">
      <c r="A174" s="310">
        <v>51242</v>
      </c>
      <c r="B174" s="310" t="s">
        <v>635</v>
      </c>
      <c r="C174" s="310" t="s">
        <v>3</v>
      </c>
      <c r="D174" s="311">
        <v>0</v>
      </c>
      <c r="E174" s="443">
        <v>0</v>
      </c>
    </row>
    <row r="175" spans="1:5" ht="15">
      <c r="A175" s="310">
        <v>5311</v>
      </c>
      <c r="B175" s="310" t="s">
        <v>369</v>
      </c>
      <c r="C175" s="310" t="s">
        <v>3</v>
      </c>
      <c r="D175" s="311">
        <v>182116.43</v>
      </c>
      <c r="E175" s="443">
        <v>184116.43</v>
      </c>
    </row>
    <row r="176" spans="1:5" ht="15">
      <c r="A176" s="310">
        <v>53141</v>
      </c>
      <c r="B176" s="310" t="s">
        <v>371</v>
      </c>
      <c r="C176" s="310" t="s">
        <v>3</v>
      </c>
      <c r="D176" s="311">
        <v>76128.600000000006</v>
      </c>
      <c r="E176" s="443">
        <v>75797.369999997798</v>
      </c>
    </row>
    <row r="177" spans="1:5" ht="15">
      <c r="A177" s="310">
        <v>53142</v>
      </c>
      <c r="B177" s="310" t="s">
        <v>636</v>
      </c>
      <c r="C177" s="310" t="s">
        <v>3</v>
      </c>
      <c r="D177" s="311"/>
      <c r="E177" s="443">
        <v>0</v>
      </c>
    </row>
    <row r="178" spans="1:5" ht="15">
      <c r="A178" s="310">
        <v>581</v>
      </c>
      <c r="B178" s="310" t="s">
        <v>637</v>
      </c>
      <c r="C178" s="310" t="s">
        <v>3</v>
      </c>
      <c r="D178" s="311">
        <v>0</v>
      </c>
      <c r="E178" s="443">
        <v>0</v>
      </c>
    </row>
    <row r="179" spans="1:5" ht="15">
      <c r="A179" s="310">
        <v>81</v>
      </c>
      <c r="B179" s="310" t="s">
        <v>638</v>
      </c>
      <c r="C179" s="310" t="s">
        <v>3</v>
      </c>
      <c r="D179" s="311">
        <v>0</v>
      </c>
      <c r="E179" s="443">
        <v>0</v>
      </c>
    </row>
    <row r="180" spans="1:5">
      <c r="A180" s="446"/>
      <c r="B180" s="446"/>
      <c r="C180" s="446"/>
      <c r="D180" s="446"/>
      <c r="E180" s="444"/>
    </row>
    <row r="181" spans="1:5">
      <c r="A181" s="446"/>
      <c r="B181" s="446"/>
      <c r="C181" s="446"/>
      <c r="D181" s="446"/>
      <c r="E181" s="444"/>
    </row>
  </sheetData>
  <mergeCells count="12">
    <mergeCell ref="C60:F60"/>
    <mergeCell ref="A61:A62"/>
    <mergeCell ref="B61:B62"/>
    <mergeCell ref="C61:C62"/>
    <mergeCell ref="E61:E62"/>
    <mergeCell ref="F61:F62"/>
    <mergeCell ref="D61:D62"/>
    <mergeCell ref="D2:D3"/>
    <mergeCell ref="E2:E3"/>
    <mergeCell ref="F2:F3"/>
    <mergeCell ref="C1:F1"/>
    <mergeCell ref="B58:E58"/>
  </mergeCells>
  <phoneticPr fontId="0" type="noConversion"/>
  <pageMargins left="0.75" right="0.75" top="1" bottom="1" header="0.5" footer="0.5"/>
  <pageSetup scale="74" orientation="portrait" r:id="rId1"/>
  <headerFooter alignWithMargins="0"/>
  <rowBreaks count="2" manualBreakCount="2">
    <brk id="58" max="16383" man="1"/>
    <brk id="119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3:F48"/>
  <sheetViews>
    <sheetView topLeftCell="A31" zoomScaleNormal="100" workbookViewId="0">
      <selection activeCell="I24" sqref="I24"/>
    </sheetView>
  </sheetViews>
  <sheetFormatPr defaultRowHeight="12.75"/>
  <cols>
    <col min="2" max="2" width="36.85546875" customWidth="1"/>
    <col min="3" max="3" width="17.140625" customWidth="1"/>
    <col min="4" max="5" width="17.28515625" customWidth="1"/>
    <col min="6" max="6" width="14.28515625" customWidth="1"/>
  </cols>
  <sheetData>
    <row r="3" spans="1:6" ht="15.75">
      <c r="A3" s="100" t="s">
        <v>610</v>
      </c>
      <c r="B3" s="100"/>
    </row>
    <row r="4" spans="1:6" ht="15.75">
      <c r="A4" s="101" t="s">
        <v>285</v>
      </c>
      <c r="B4" s="101" t="s">
        <v>286</v>
      </c>
      <c r="C4" s="101" t="s">
        <v>372</v>
      </c>
      <c r="D4" s="101" t="s">
        <v>373</v>
      </c>
      <c r="E4" s="272"/>
    </row>
    <row r="5" spans="1:6" ht="15.75">
      <c r="A5" s="103" t="s">
        <v>374</v>
      </c>
      <c r="B5" s="104"/>
      <c r="C5" s="105"/>
      <c r="D5" s="105"/>
      <c r="E5" s="273"/>
    </row>
    <row r="6" spans="1:6" ht="15">
      <c r="A6" s="106" t="s">
        <v>375</v>
      </c>
      <c r="B6" s="106" t="s">
        <v>376</v>
      </c>
      <c r="C6" s="105"/>
      <c r="D6" s="105">
        <v>10635000</v>
      </c>
      <c r="E6" s="273"/>
      <c r="F6" s="148"/>
    </row>
    <row r="7" spans="1:6" ht="15">
      <c r="A7" s="106" t="s">
        <v>377</v>
      </c>
      <c r="B7" s="106" t="s">
        <v>378</v>
      </c>
      <c r="C7" s="105"/>
      <c r="D7" s="105">
        <v>2400000</v>
      </c>
      <c r="E7" s="273"/>
      <c r="F7" s="148"/>
    </row>
    <row r="8" spans="1:6" ht="15">
      <c r="A8" s="106" t="s">
        <v>379</v>
      </c>
      <c r="B8" s="106" t="s">
        <v>380</v>
      </c>
      <c r="C8" s="105"/>
      <c r="D8" s="105">
        <v>5200000</v>
      </c>
      <c r="E8" s="273"/>
      <c r="F8" s="148"/>
    </row>
    <row r="9" spans="1:6" ht="15.75">
      <c r="A9" s="106"/>
      <c r="B9" s="101" t="s">
        <v>501</v>
      </c>
      <c r="C9" s="108"/>
      <c r="D9" s="108">
        <f>SUM(D6:D8)</f>
        <v>18235000</v>
      </c>
      <c r="E9" s="274"/>
      <c r="F9" s="148"/>
    </row>
    <row r="10" spans="1:6" ht="15">
      <c r="A10" s="178">
        <v>706</v>
      </c>
      <c r="B10" s="106" t="s">
        <v>490</v>
      </c>
      <c r="C10" s="105"/>
      <c r="D10" s="105">
        <v>190444163</v>
      </c>
      <c r="E10" s="273"/>
      <c r="F10" s="148"/>
    </row>
    <row r="11" spans="1:6" ht="15">
      <c r="A11" s="106" t="s">
        <v>381</v>
      </c>
      <c r="B11" s="106" t="s">
        <v>382</v>
      </c>
      <c r="C11" s="105"/>
      <c r="D11" s="105">
        <v>89862</v>
      </c>
      <c r="E11" s="273"/>
      <c r="F11" s="148"/>
    </row>
    <row r="12" spans="1:6" ht="15.75">
      <c r="A12" s="106"/>
      <c r="B12" s="101" t="s">
        <v>503</v>
      </c>
      <c r="C12" s="108"/>
      <c r="D12" s="108">
        <f>SUM(D10:D11)</f>
        <v>190534025</v>
      </c>
      <c r="E12" s="274"/>
      <c r="F12" s="148"/>
    </row>
    <row r="13" spans="1:6" ht="15">
      <c r="A13" s="106" t="s">
        <v>383</v>
      </c>
      <c r="B13" s="106" t="s">
        <v>502</v>
      </c>
      <c r="C13" s="278"/>
      <c r="D13" s="278">
        <v>16138079</v>
      </c>
      <c r="E13" s="279"/>
      <c r="F13" s="148"/>
    </row>
    <row r="14" spans="1:6" ht="15.75">
      <c r="A14" s="101"/>
      <c r="B14" s="101" t="s">
        <v>618</v>
      </c>
      <c r="C14" s="281"/>
      <c r="D14" s="281">
        <f>SUM(D12:D13)</f>
        <v>206672104</v>
      </c>
      <c r="E14" s="279"/>
      <c r="F14" s="148"/>
    </row>
    <row r="15" spans="1:6" ht="15">
      <c r="A15" s="106" t="s">
        <v>385</v>
      </c>
      <c r="B15" s="106" t="s">
        <v>386</v>
      </c>
      <c r="C15" s="105"/>
      <c r="D15" s="105">
        <v>774.57</v>
      </c>
      <c r="E15" s="273"/>
      <c r="F15" s="148"/>
    </row>
    <row r="16" spans="1:6" ht="15.75">
      <c r="A16" s="104"/>
      <c r="B16" s="104"/>
      <c r="C16" s="105"/>
      <c r="D16" s="114">
        <f>D9+D14+D15</f>
        <v>224907878.56999999</v>
      </c>
      <c r="E16" s="275"/>
      <c r="F16" s="148"/>
    </row>
    <row r="17" spans="1:6" ht="15.75">
      <c r="A17" s="103" t="s">
        <v>387</v>
      </c>
      <c r="B17" s="104"/>
      <c r="C17" s="105"/>
      <c r="D17" s="105"/>
      <c r="E17" s="273"/>
      <c r="F17" s="148"/>
    </row>
    <row r="18" spans="1:6" ht="15">
      <c r="A18" s="106" t="s">
        <v>388</v>
      </c>
      <c r="B18" s="106" t="s">
        <v>389</v>
      </c>
      <c r="C18" s="107">
        <v>0</v>
      </c>
      <c r="D18" s="105"/>
      <c r="E18" s="273"/>
      <c r="F18" s="148"/>
    </row>
    <row r="19" spans="1:6" ht="15">
      <c r="A19" s="106" t="s">
        <v>390</v>
      </c>
      <c r="B19" s="106" t="s">
        <v>391</v>
      </c>
      <c r="C19" s="107">
        <v>4954725</v>
      </c>
      <c r="D19" s="105"/>
      <c r="E19" s="273"/>
    </row>
    <row r="20" spans="1:6" ht="15">
      <c r="A20" s="106" t="s">
        <v>392</v>
      </c>
      <c r="B20" s="106" t="s">
        <v>393</v>
      </c>
      <c r="C20" s="107">
        <v>10426236</v>
      </c>
      <c r="D20" s="105"/>
      <c r="E20" s="273"/>
    </row>
    <row r="21" spans="1:6" ht="15">
      <c r="A21" s="106" t="s">
        <v>394</v>
      </c>
      <c r="B21" s="106" t="s">
        <v>395</v>
      </c>
      <c r="C21" s="107">
        <v>2293745</v>
      </c>
      <c r="D21" s="105"/>
      <c r="E21" s="273"/>
    </row>
    <row r="22" spans="1:6" ht="15">
      <c r="A22" s="106" t="s">
        <v>396</v>
      </c>
      <c r="B22" s="106" t="s">
        <v>397</v>
      </c>
      <c r="C22" s="107">
        <v>369794.47</v>
      </c>
      <c r="D22" s="105"/>
      <c r="E22" s="273"/>
    </row>
    <row r="23" spans="1:6" ht="15">
      <c r="A23" s="106" t="s">
        <v>398</v>
      </c>
      <c r="B23" s="106" t="s">
        <v>399</v>
      </c>
      <c r="C23" s="107">
        <v>11680</v>
      </c>
      <c r="D23" s="105"/>
      <c r="E23" s="273"/>
    </row>
    <row r="24" spans="1:6" ht="15.75">
      <c r="A24" s="106"/>
      <c r="B24" s="101" t="s">
        <v>337</v>
      </c>
      <c r="C24" s="109">
        <f>SUM(C18:C23)</f>
        <v>18056180.469999999</v>
      </c>
      <c r="D24" s="105"/>
      <c r="E24" s="273"/>
    </row>
    <row r="25" spans="1:6" ht="15">
      <c r="A25" s="106" t="s">
        <v>400</v>
      </c>
      <c r="B25" s="106" t="s">
        <v>189</v>
      </c>
      <c r="C25" s="107">
        <v>369618.8</v>
      </c>
      <c r="D25" s="105"/>
      <c r="E25" s="273"/>
    </row>
    <row r="26" spans="1:6" ht="15">
      <c r="A26" s="106" t="s">
        <v>401</v>
      </c>
      <c r="B26" s="106" t="s">
        <v>384</v>
      </c>
      <c r="C26" s="107">
        <v>14568032.26</v>
      </c>
      <c r="D26" s="105"/>
      <c r="E26" s="273"/>
    </row>
    <row r="27" spans="1:6" ht="15">
      <c r="A27" s="106" t="s">
        <v>402</v>
      </c>
      <c r="B27" s="106" t="s">
        <v>403</v>
      </c>
      <c r="C27" s="107">
        <v>2867772</v>
      </c>
      <c r="D27" s="105"/>
      <c r="E27" s="273"/>
    </row>
    <row r="28" spans="1:6" ht="15">
      <c r="A28" s="106" t="s">
        <v>404</v>
      </c>
      <c r="B28" s="106" t="s">
        <v>405</v>
      </c>
      <c r="C28" s="107">
        <v>237958.28</v>
      </c>
      <c r="D28" s="105"/>
      <c r="E28" s="273"/>
    </row>
    <row r="29" spans="1:6" ht="15">
      <c r="A29" s="106" t="s">
        <v>406</v>
      </c>
      <c r="B29" s="106" t="s">
        <v>407</v>
      </c>
      <c r="C29" s="107">
        <v>113302.92</v>
      </c>
      <c r="D29" s="105"/>
      <c r="E29" s="273"/>
    </row>
    <row r="30" spans="1:6" ht="15">
      <c r="A30" s="106" t="s">
        <v>408</v>
      </c>
      <c r="B30" s="106" t="s">
        <v>409</v>
      </c>
      <c r="C30" s="107">
        <v>24957.49</v>
      </c>
      <c r="D30" s="105"/>
      <c r="E30" s="273"/>
    </row>
    <row r="31" spans="1:6" ht="15">
      <c r="A31" s="178">
        <v>666</v>
      </c>
      <c r="B31" s="106" t="s">
        <v>480</v>
      </c>
      <c r="C31" s="107">
        <v>737714</v>
      </c>
      <c r="D31" s="105"/>
      <c r="E31" s="273"/>
    </row>
    <row r="32" spans="1:6" ht="15">
      <c r="A32" s="106" t="s">
        <v>410</v>
      </c>
      <c r="B32" s="106" t="s">
        <v>411</v>
      </c>
      <c r="C32" s="107">
        <v>901299.88</v>
      </c>
      <c r="D32" s="105"/>
      <c r="E32" s="273"/>
    </row>
    <row r="33" spans="1:5" ht="15.75">
      <c r="A33" s="106"/>
      <c r="B33" s="101" t="s">
        <v>337</v>
      </c>
      <c r="C33" s="109">
        <f>SUM(C25:C32)</f>
        <v>19820655.630000003</v>
      </c>
      <c r="D33" s="105"/>
      <c r="E33" s="273"/>
    </row>
    <row r="34" spans="1:5" ht="15.75">
      <c r="A34" s="180">
        <v>652</v>
      </c>
      <c r="B34" s="280" t="s">
        <v>511</v>
      </c>
      <c r="C34" s="181">
        <v>166946443</v>
      </c>
      <c r="D34" s="105"/>
      <c r="E34" s="273"/>
    </row>
    <row r="35" spans="1:5" ht="15">
      <c r="A35" s="106" t="s">
        <v>412</v>
      </c>
      <c r="B35" s="106" t="s">
        <v>413</v>
      </c>
      <c r="C35" s="107">
        <v>2818032</v>
      </c>
      <c r="D35" s="105"/>
      <c r="E35" s="273"/>
    </row>
    <row r="36" spans="1:5" ht="15">
      <c r="A36" s="106" t="s">
        <v>414</v>
      </c>
      <c r="B36" s="106" t="s">
        <v>415</v>
      </c>
      <c r="C36" s="107">
        <v>349295</v>
      </c>
      <c r="D36" s="105"/>
      <c r="E36" s="273"/>
    </row>
    <row r="37" spans="1:5" ht="15.75">
      <c r="A37" s="106"/>
      <c r="B37" s="101" t="s">
        <v>337</v>
      </c>
      <c r="C37" s="109">
        <f>SUM(C35:C36)</f>
        <v>3167327</v>
      </c>
      <c r="D37" s="105"/>
      <c r="E37" s="273"/>
    </row>
    <row r="38" spans="1:5" ht="15">
      <c r="A38" s="178">
        <v>681</v>
      </c>
      <c r="B38" s="106" t="s">
        <v>482</v>
      </c>
      <c r="C38" s="107">
        <v>11328386</v>
      </c>
      <c r="D38" s="105"/>
      <c r="E38" s="273"/>
    </row>
    <row r="39" spans="1:5" ht="15">
      <c r="A39" s="178">
        <v>682</v>
      </c>
      <c r="B39" s="106" t="s">
        <v>489</v>
      </c>
      <c r="C39" s="107">
        <v>3226018</v>
      </c>
      <c r="D39" s="105"/>
      <c r="E39" s="273"/>
    </row>
    <row r="40" spans="1:5" ht="15.75">
      <c r="A40" s="178"/>
      <c r="B40" s="101" t="s">
        <v>337</v>
      </c>
      <c r="C40" s="109">
        <f>SUM(C38:C39)</f>
        <v>14554404</v>
      </c>
      <c r="D40" s="105"/>
      <c r="E40" s="273"/>
    </row>
    <row r="41" spans="1:5" ht="15.75">
      <c r="A41" s="104"/>
      <c r="B41" s="111" t="s">
        <v>493</v>
      </c>
      <c r="C41" s="110">
        <f>C24+C33+C34+C37+C40</f>
        <v>222545010.09999999</v>
      </c>
      <c r="D41" s="105"/>
      <c r="E41" s="273"/>
    </row>
    <row r="42" spans="1:5" ht="15.75">
      <c r="A42" s="115" t="s">
        <v>416</v>
      </c>
      <c r="B42" s="104"/>
      <c r="C42" s="105"/>
      <c r="D42" s="110">
        <f>D16-C41</f>
        <v>2362868.4699999988</v>
      </c>
      <c r="E42" s="276"/>
    </row>
    <row r="43" spans="1:5" ht="15">
      <c r="A43" s="104"/>
      <c r="B43" s="104"/>
      <c r="C43" s="105"/>
      <c r="D43" s="105"/>
      <c r="E43" s="273"/>
    </row>
    <row r="44" spans="1:5" ht="15.75">
      <c r="A44" s="104"/>
      <c r="B44" s="111" t="s">
        <v>491</v>
      </c>
      <c r="C44" s="179">
        <v>0.1</v>
      </c>
      <c r="D44" s="108">
        <f>D42*C44</f>
        <v>236286.84699999989</v>
      </c>
      <c r="E44" s="274"/>
    </row>
    <row r="45" spans="1:5" ht="15.75">
      <c r="A45" s="104"/>
      <c r="B45" s="111" t="s">
        <v>494</v>
      </c>
      <c r="C45" s="108">
        <v>317204</v>
      </c>
      <c r="D45" s="108"/>
      <c r="E45" s="274"/>
    </row>
    <row r="46" spans="1:5" ht="15.75">
      <c r="A46" s="104"/>
      <c r="B46" s="111" t="s">
        <v>492</v>
      </c>
      <c r="C46" s="111"/>
      <c r="D46" s="108">
        <f>D42-D44</f>
        <v>2126581.6229999987</v>
      </c>
      <c r="E46" s="274"/>
    </row>
    <row r="47" spans="1:5" ht="15">
      <c r="A47" s="104"/>
      <c r="B47" s="104"/>
      <c r="C47" s="104"/>
      <c r="D47" s="104"/>
      <c r="E47" s="277"/>
    </row>
    <row r="48" spans="1:5" ht="15">
      <c r="A48" s="104"/>
      <c r="B48" s="104"/>
      <c r="C48" s="104"/>
      <c r="D48" s="104"/>
      <c r="E48" s="277"/>
    </row>
  </sheetData>
  <phoneticPr fontId="11" type="noConversion"/>
  <pageMargins left="0.75" right="0.75" top="1" bottom="1" header="0.5" footer="0.5"/>
  <pageSetup scale="9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80"/>
  <sheetViews>
    <sheetView topLeftCell="B49" zoomScaleNormal="100" workbookViewId="0">
      <selection activeCell="I32" sqref="I32"/>
    </sheetView>
  </sheetViews>
  <sheetFormatPr defaultRowHeight="12.75"/>
  <cols>
    <col min="3" max="3" width="41.28515625" customWidth="1"/>
    <col min="4" max="4" width="16.7109375" customWidth="1"/>
    <col min="5" max="5" width="16" customWidth="1"/>
    <col min="6" max="6" width="12" customWidth="1"/>
  </cols>
  <sheetData>
    <row r="2" spans="2:5" ht="15.75">
      <c r="B2" s="100" t="s">
        <v>479</v>
      </c>
      <c r="C2" s="100"/>
      <c r="D2" s="100"/>
      <c r="E2" s="5"/>
    </row>
    <row r="3" spans="2:5" ht="15.75">
      <c r="B3" s="102" t="s">
        <v>285</v>
      </c>
      <c r="C3" s="102" t="s">
        <v>286</v>
      </c>
      <c r="D3" s="102" t="s">
        <v>287</v>
      </c>
      <c r="E3" s="102" t="s">
        <v>288</v>
      </c>
    </row>
    <row r="4" spans="2:5" ht="15.75">
      <c r="B4" s="103" t="s">
        <v>289</v>
      </c>
      <c r="C4" s="104"/>
      <c r="D4" s="105"/>
      <c r="E4" s="105"/>
    </row>
    <row r="5" spans="2:5" ht="15">
      <c r="B5" s="106" t="s">
        <v>290</v>
      </c>
      <c r="C5" s="106" t="s">
        <v>291</v>
      </c>
      <c r="D5" s="105"/>
      <c r="E5" s="107">
        <v>906928519</v>
      </c>
    </row>
    <row r="6" spans="2:5" ht="15">
      <c r="B6" s="106" t="s">
        <v>292</v>
      </c>
      <c r="C6" s="106" t="s">
        <v>85</v>
      </c>
      <c r="D6" s="105"/>
      <c r="E6" s="107">
        <v>135205</v>
      </c>
    </row>
    <row r="7" spans="2:5" ht="15">
      <c r="B7" s="106"/>
      <c r="C7" s="106"/>
      <c r="D7" s="105"/>
      <c r="E7" s="107"/>
    </row>
    <row r="8" spans="2:5" ht="15">
      <c r="B8" s="106" t="s">
        <v>293</v>
      </c>
      <c r="C8" s="106" t="s">
        <v>294</v>
      </c>
      <c r="D8" s="105"/>
      <c r="E8" s="107">
        <v>-63128562</v>
      </c>
    </row>
    <row r="9" spans="2:5" ht="15">
      <c r="B9" s="106" t="s">
        <v>295</v>
      </c>
      <c r="C9" s="106" t="s">
        <v>296</v>
      </c>
      <c r="D9" s="105"/>
      <c r="E9" s="107">
        <v>-14593641</v>
      </c>
    </row>
    <row r="10" spans="2:5" ht="15.75">
      <c r="B10" s="106"/>
      <c r="C10" s="101" t="s">
        <v>337</v>
      </c>
      <c r="D10" s="108"/>
      <c r="E10" s="109">
        <f>SUM(E8:E9)</f>
        <v>-77722203</v>
      </c>
    </row>
    <row r="11" spans="2:5" ht="15">
      <c r="B11" s="106" t="s">
        <v>297</v>
      </c>
      <c r="C11" s="106" t="s">
        <v>298</v>
      </c>
      <c r="D11" s="105"/>
      <c r="E11" s="177">
        <v>2362867</v>
      </c>
    </row>
    <row r="12" spans="2:5" ht="15">
      <c r="B12" s="106"/>
      <c r="C12" s="106"/>
      <c r="D12" s="105"/>
      <c r="E12" s="177"/>
    </row>
    <row r="13" spans="2:5" ht="15">
      <c r="B13" s="106" t="s">
        <v>299</v>
      </c>
      <c r="C13" s="106" t="s">
        <v>300</v>
      </c>
      <c r="D13" s="105"/>
      <c r="E13" s="107">
        <v>150759.10999999999</v>
      </c>
    </row>
    <row r="14" spans="2:5" ht="15">
      <c r="B14" s="106"/>
      <c r="C14" s="106"/>
      <c r="D14" s="105"/>
      <c r="E14" s="107"/>
    </row>
    <row r="15" spans="2:5" ht="15">
      <c r="B15" s="106" t="s">
        <v>301</v>
      </c>
      <c r="C15" s="106" t="s">
        <v>302</v>
      </c>
      <c r="D15" s="105"/>
      <c r="E15" s="107">
        <v>-14493311</v>
      </c>
    </row>
    <row r="16" spans="2:5" ht="15.75">
      <c r="B16" s="106"/>
      <c r="C16" s="101" t="s">
        <v>337</v>
      </c>
      <c r="D16" s="108"/>
      <c r="E16" s="109">
        <f>SUM(E15:E15)</f>
        <v>-14493311</v>
      </c>
    </row>
    <row r="17" spans="2:5" ht="15.75">
      <c r="B17" s="103" t="s">
        <v>303</v>
      </c>
      <c r="C17" s="104"/>
      <c r="D17" s="105"/>
      <c r="E17" s="105"/>
    </row>
    <row r="18" spans="2:5" ht="15.75">
      <c r="B18" s="106" t="s">
        <v>304</v>
      </c>
      <c r="C18" s="106" t="s">
        <v>305</v>
      </c>
      <c r="D18" s="109">
        <v>1015413</v>
      </c>
      <c r="E18" s="105"/>
    </row>
    <row r="19" spans="2:5" ht="15.75">
      <c r="B19" s="106" t="s">
        <v>306</v>
      </c>
      <c r="C19" s="106" t="s">
        <v>38</v>
      </c>
      <c r="D19" s="109">
        <v>754018939</v>
      </c>
      <c r="E19" s="105"/>
    </row>
    <row r="20" spans="2:5" ht="15">
      <c r="B20" s="106"/>
      <c r="C20" s="106"/>
      <c r="D20" s="107"/>
      <c r="E20" s="105"/>
    </row>
    <row r="21" spans="2:5" ht="15">
      <c r="B21" s="106" t="s">
        <v>310</v>
      </c>
      <c r="C21" s="106" t="s">
        <v>311</v>
      </c>
      <c r="D21" s="107">
        <v>41507435</v>
      </c>
      <c r="E21" s="105"/>
    </row>
    <row r="22" spans="2:5" ht="15">
      <c r="B22" s="106" t="s">
        <v>312</v>
      </c>
      <c r="C22" s="106" t="s">
        <v>134</v>
      </c>
      <c r="D22" s="107">
        <v>9204742</v>
      </c>
      <c r="E22" s="105"/>
    </row>
    <row r="23" spans="2:5" ht="15">
      <c r="B23" s="106" t="s">
        <v>313</v>
      </c>
      <c r="C23" s="106" t="s">
        <v>495</v>
      </c>
      <c r="D23" s="107">
        <v>3361992</v>
      </c>
      <c r="E23" s="105"/>
    </row>
    <row r="24" spans="2:5" ht="15">
      <c r="B24" s="106" t="s">
        <v>315</v>
      </c>
      <c r="C24" s="106" t="s">
        <v>316</v>
      </c>
      <c r="D24" s="107">
        <v>6156366</v>
      </c>
      <c r="E24" s="105"/>
    </row>
    <row r="25" spans="2:5" ht="15">
      <c r="B25" s="106" t="s">
        <v>317</v>
      </c>
      <c r="C25" s="106" t="s">
        <v>318</v>
      </c>
      <c r="D25" s="107">
        <v>1134185.17</v>
      </c>
      <c r="E25" s="105"/>
    </row>
    <row r="26" spans="2:5" ht="15">
      <c r="B26" s="106"/>
      <c r="C26" s="106"/>
      <c r="D26" s="107"/>
      <c r="E26" s="105"/>
    </row>
    <row r="27" spans="2:5" ht="15.75">
      <c r="B27" s="106"/>
      <c r="C27" s="101" t="s">
        <v>337</v>
      </c>
      <c r="D27" s="109">
        <f>SUM(D21:D25)</f>
        <v>61364720.170000002</v>
      </c>
      <c r="E27" s="108"/>
    </row>
    <row r="28" spans="2:5" ht="15.75">
      <c r="B28" s="101"/>
      <c r="C28" s="101" t="s">
        <v>498</v>
      </c>
      <c r="D28" s="109">
        <f>D19+D27</f>
        <v>815383659.16999996</v>
      </c>
      <c r="E28" s="105"/>
    </row>
    <row r="29" spans="2:5" ht="15.75">
      <c r="B29" s="101"/>
      <c r="C29" s="101"/>
      <c r="D29" s="109"/>
      <c r="E29" s="108"/>
    </row>
    <row r="30" spans="2:5" ht="15">
      <c r="B30" s="178">
        <v>2811</v>
      </c>
      <c r="C30" s="106" t="s">
        <v>497</v>
      </c>
      <c r="D30" s="107"/>
      <c r="E30" s="105"/>
    </row>
    <row r="31" spans="2:5" ht="15">
      <c r="B31" s="106" t="s">
        <v>327</v>
      </c>
      <c r="C31" s="106" t="s">
        <v>328</v>
      </c>
      <c r="D31" s="105">
        <v>-8393451</v>
      </c>
      <c r="E31" s="107"/>
    </row>
    <row r="32" spans="2:5" ht="15">
      <c r="B32" s="106" t="s">
        <v>329</v>
      </c>
      <c r="C32" s="106" t="s">
        <v>330</v>
      </c>
      <c r="D32" s="105">
        <v>-1924952</v>
      </c>
      <c r="E32" s="107"/>
    </row>
    <row r="33" spans="2:5" ht="15">
      <c r="B33" s="106" t="s">
        <v>331</v>
      </c>
      <c r="C33" s="106" t="s">
        <v>332</v>
      </c>
      <c r="D33" s="105">
        <v>-3816848</v>
      </c>
      <c r="E33" s="107"/>
    </row>
    <row r="34" spans="2:5" ht="15">
      <c r="B34" s="106" t="s">
        <v>321</v>
      </c>
      <c r="C34" s="106" t="s">
        <v>322</v>
      </c>
      <c r="D34" s="107">
        <v>-278065</v>
      </c>
      <c r="E34" s="105"/>
    </row>
    <row r="35" spans="2:5" ht="15">
      <c r="B35" s="106" t="s">
        <v>323</v>
      </c>
      <c r="C35" s="106" t="s">
        <v>496</v>
      </c>
      <c r="D35" s="107">
        <v>-1889623</v>
      </c>
      <c r="E35" s="105"/>
    </row>
    <row r="36" spans="2:5" ht="15">
      <c r="B36" s="106" t="s">
        <v>333</v>
      </c>
      <c r="C36" s="106" t="s">
        <v>499</v>
      </c>
      <c r="D36" s="107">
        <v>-114625</v>
      </c>
      <c r="E36" s="105"/>
    </row>
    <row r="37" spans="2:5" ht="15.75">
      <c r="B37" s="101"/>
      <c r="C37" s="101"/>
      <c r="D37" s="109">
        <f>SUM(D30:D36)</f>
        <v>-16417564</v>
      </c>
      <c r="E37" s="108"/>
    </row>
    <row r="38" spans="2:5" ht="15.75">
      <c r="B38" s="106"/>
      <c r="C38" s="101" t="s">
        <v>500</v>
      </c>
      <c r="D38" s="109">
        <f>D28+D37</f>
        <v>798966095.16999996</v>
      </c>
      <c r="E38" s="108"/>
    </row>
    <row r="39" spans="2:5" ht="15">
      <c r="B39" s="106" t="s">
        <v>335</v>
      </c>
      <c r="C39" s="106" t="s">
        <v>336</v>
      </c>
      <c r="D39" s="107">
        <v>666129</v>
      </c>
      <c r="E39" s="105"/>
    </row>
    <row r="40" spans="2:5" ht="15.75">
      <c r="B40" s="106"/>
      <c r="C40" s="101" t="s">
        <v>337</v>
      </c>
      <c r="D40" s="109">
        <f>SUM(D39:D39)</f>
        <v>666129</v>
      </c>
      <c r="E40" s="105"/>
    </row>
    <row r="41" spans="2:5" ht="15">
      <c r="B41" s="176" t="s">
        <v>338</v>
      </c>
      <c r="C41" s="176" t="s">
        <v>339</v>
      </c>
      <c r="D41" s="177">
        <v>-444755024</v>
      </c>
      <c r="E41" s="105"/>
    </row>
    <row r="42" spans="2:5" ht="15.75">
      <c r="B42" s="176"/>
      <c r="C42" s="101" t="s">
        <v>337</v>
      </c>
      <c r="D42" s="181">
        <f>SUM(D41:D41)</f>
        <v>-444755024</v>
      </c>
      <c r="E42" s="105"/>
    </row>
    <row r="43" spans="2:5" ht="15.75">
      <c r="B43" s="176" t="s">
        <v>340</v>
      </c>
      <c r="C43" s="176" t="s">
        <v>341</v>
      </c>
      <c r="D43" s="181">
        <v>74523014.709999993</v>
      </c>
      <c r="E43" s="105"/>
    </row>
    <row r="44" spans="2:5" ht="15">
      <c r="B44" s="176"/>
      <c r="C44" s="176"/>
      <c r="D44" s="177"/>
      <c r="E44" s="105"/>
    </row>
    <row r="45" spans="2:5" ht="15">
      <c r="B45" s="106" t="s">
        <v>342</v>
      </c>
      <c r="C45" s="106" t="s">
        <v>343</v>
      </c>
      <c r="D45" s="107">
        <v>-7</v>
      </c>
      <c r="E45" s="105"/>
    </row>
    <row r="46" spans="2:5" ht="15">
      <c r="B46" s="106" t="s">
        <v>344</v>
      </c>
      <c r="C46" s="106" t="s">
        <v>345</v>
      </c>
      <c r="D46" s="107">
        <v>-61290</v>
      </c>
      <c r="E46" s="105"/>
    </row>
    <row r="47" spans="2:5" ht="15">
      <c r="B47" s="106" t="s">
        <v>346</v>
      </c>
      <c r="C47" s="106" t="s">
        <v>347</v>
      </c>
      <c r="D47" s="105">
        <v>-28069</v>
      </c>
      <c r="E47" s="107"/>
    </row>
    <row r="48" spans="2:5" ht="15.75">
      <c r="B48" s="106"/>
      <c r="C48" s="101" t="s">
        <v>337</v>
      </c>
      <c r="D48" s="109">
        <f>SUM(D45:D47)</f>
        <v>-89366</v>
      </c>
      <c r="E48" s="105"/>
    </row>
    <row r="49" spans="2:5" ht="15">
      <c r="B49" s="106" t="s">
        <v>348</v>
      </c>
      <c r="C49" s="106" t="s">
        <v>349</v>
      </c>
      <c r="D49" s="271">
        <v>-236287</v>
      </c>
      <c r="E49" s="105"/>
    </row>
    <row r="50" spans="2:5" ht="15">
      <c r="B50" s="106" t="s">
        <v>348</v>
      </c>
      <c r="C50" s="106" t="s">
        <v>349</v>
      </c>
      <c r="D50" s="105">
        <v>526647</v>
      </c>
      <c r="E50" s="107"/>
    </row>
    <row r="51" spans="2:5" ht="15">
      <c r="B51" s="106" t="s">
        <v>350</v>
      </c>
      <c r="C51" s="106" t="s">
        <v>351</v>
      </c>
      <c r="D51" s="177">
        <v>2543525</v>
      </c>
      <c r="E51" s="105"/>
    </row>
    <row r="52" spans="2:5" ht="15.75">
      <c r="B52" s="106"/>
      <c r="C52" s="101" t="s">
        <v>617</v>
      </c>
      <c r="D52" s="108">
        <f>SUM(D49:D51)</f>
        <v>2833885</v>
      </c>
      <c r="E52" s="107"/>
    </row>
    <row r="53" spans="2:5" ht="15">
      <c r="B53" s="106" t="s">
        <v>352</v>
      </c>
      <c r="C53" s="106" t="s">
        <v>353</v>
      </c>
      <c r="D53" s="271">
        <v>55882120</v>
      </c>
      <c r="E53" s="105"/>
    </row>
    <row r="54" spans="2:5" ht="15">
      <c r="B54" s="106" t="s">
        <v>354</v>
      </c>
      <c r="C54" s="106" t="s">
        <v>355</v>
      </c>
      <c r="D54" s="107">
        <v>12102200</v>
      </c>
      <c r="E54" s="105"/>
    </row>
    <row r="55" spans="2:5" ht="15">
      <c r="B55" s="106" t="s">
        <v>356</v>
      </c>
      <c r="C55" s="106" t="s">
        <v>357</v>
      </c>
      <c r="D55" s="107">
        <v>117202685.8</v>
      </c>
      <c r="E55" s="105"/>
    </row>
    <row r="56" spans="2:5" ht="15">
      <c r="B56" s="106" t="s">
        <v>358</v>
      </c>
      <c r="C56" s="106" t="s">
        <v>359</v>
      </c>
      <c r="D56" s="107">
        <v>-70751270.069999993</v>
      </c>
      <c r="E56" s="105"/>
    </row>
    <row r="57" spans="2:5" ht="15">
      <c r="B57" s="106" t="s">
        <v>360</v>
      </c>
      <c r="C57" s="106" t="s">
        <v>361</v>
      </c>
      <c r="D57" s="107">
        <v>-8426000</v>
      </c>
      <c r="E57" s="105"/>
    </row>
    <row r="58" spans="2:5" ht="15">
      <c r="B58" s="106" t="s">
        <v>362</v>
      </c>
      <c r="C58" s="106" t="s">
        <v>363</v>
      </c>
      <c r="D58" s="107">
        <v>249803892.43000001</v>
      </c>
      <c r="E58" s="105"/>
    </row>
    <row r="59" spans="2:5" ht="15.75">
      <c r="B59" s="106"/>
      <c r="C59" s="101" t="s">
        <v>337</v>
      </c>
      <c r="D59" s="109">
        <f>SUM(D53:D58)</f>
        <v>355813628.16000003</v>
      </c>
      <c r="E59" s="105"/>
    </row>
    <row r="60" spans="2:5" ht="15">
      <c r="B60" s="106" t="s">
        <v>364</v>
      </c>
      <c r="C60" s="106" t="s">
        <v>365</v>
      </c>
      <c r="D60" s="107">
        <v>993034.66</v>
      </c>
      <c r="E60" s="105"/>
    </row>
    <row r="61" spans="2:5" ht="15">
      <c r="B61" s="106" t="s">
        <v>366</v>
      </c>
      <c r="C61" s="106" t="s">
        <v>367</v>
      </c>
      <c r="D61" s="107">
        <v>17758636</v>
      </c>
      <c r="E61" s="105"/>
    </row>
    <row r="62" spans="2:5" ht="15">
      <c r="B62" s="106" t="s">
        <v>368</v>
      </c>
      <c r="C62" s="106" t="s">
        <v>369</v>
      </c>
      <c r="D62" s="107">
        <v>2091116.43</v>
      </c>
      <c r="E62" s="105"/>
    </row>
    <row r="63" spans="2:5" ht="15">
      <c r="B63" s="106" t="s">
        <v>370</v>
      </c>
      <c r="C63" s="106" t="s">
        <v>371</v>
      </c>
      <c r="D63" s="107">
        <v>7308968</v>
      </c>
      <c r="E63" s="105"/>
    </row>
    <row r="64" spans="2:5" ht="15.75">
      <c r="B64" s="104"/>
      <c r="C64" s="101" t="s">
        <v>337</v>
      </c>
      <c r="D64" s="110">
        <f>SUM(D60:D63)</f>
        <v>28151755.09</v>
      </c>
      <c r="E64" s="105"/>
    </row>
    <row r="65" spans="1:5" ht="15.75">
      <c r="B65" s="104"/>
      <c r="C65" s="104"/>
      <c r="D65" s="108">
        <f>SUM(D18:D64)</f>
        <v>2419043447.8899999</v>
      </c>
      <c r="E65" s="105"/>
    </row>
    <row r="67" spans="1:5" ht="15.75">
      <c r="B67" s="3" t="s">
        <v>510</v>
      </c>
      <c r="C67" s="100" t="s">
        <v>509</v>
      </c>
      <c r="E67" s="182" t="s">
        <v>506</v>
      </c>
    </row>
    <row r="68" spans="1:5" ht="15.75">
      <c r="A68" s="5"/>
      <c r="B68" s="183">
        <v>213</v>
      </c>
      <c r="C68" s="100" t="s">
        <v>504</v>
      </c>
      <c r="D68" s="112">
        <v>31224361</v>
      </c>
      <c r="E68" s="5"/>
    </row>
    <row r="69" spans="1:5" ht="15">
      <c r="A69" s="5"/>
      <c r="B69" s="5"/>
      <c r="C69" s="5"/>
      <c r="D69" s="5"/>
      <c r="E69" s="5"/>
    </row>
    <row r="70" spans="1:5" ht="15.75">
      <c r="A70" s="5"/>
      <c r="B70" s="5"/>
      <c r="C70" s="100" t="s">
        <v>505</v>
      </c>
      <c r="D70" s="112">
        <v>12500000</v>
      </c>
      <c r="E70" s="112">
        <v>2500000</v>
      </c>
    </row>
    <row r="71" spans="1:5" ht="15.75">
      <c r="A71" s="5"/>
      <c r="B71" s="5"/>
      <c r="C71" s="100" t="s">
        <v>611</v>
      </c>
      <c r="D71" s="112"/>
      <c r="E71" s="112"/>
    </row>
    <row r="72" spans="1:5" ht="15">
      <c r="A72" s="5"/>
      <c r="B72" s="5"/>
      <c r="C72" s="5"/>
      <c r="D72" s="5"/>
      <c r="E72" s="5"/>
    </row>
    <row r="73" spans="1:5" ht="15.75">
      <c r="A73" s="5"/>
      <c r="B73" s="5"/>
      <c r="C73" s="100" t="s">
        <v>507</v>
      </c>
      <c r="D73" s="112">
        <f>D68-D70</f>
        <v>18724361</v>
      </c>
      <c r="E73" s="5"/>
    </row>
    <row r="74" spans="1:5" ht="15">
      <c r="A74" s="5"/>
      <c r="B74" s="5"/>
      <c r="C74" s="5"/>
      <c r="D74" s="5"/>
      <c r="E74" s="5"/>
    </row>
    <row r="75" spans="1:5" ht="15.75">
      <c r="A75" s="5"/>
      <c r="B75" s="5"/>
      <c r="C75" s="100" t="s">
        <v>508</v>
      </c>
      <c r="D75" s="112">
        <v>120000</v>
      </c>
      <c r="E75" s="112">
        <v>24000</v>
      </c>
    </row>
    <row r="76" spans="1:5" ht="15">
      <c r="A76" s="5"/>
      <c r="B76" s="5"/>
      <c r="C76" s="5"/>
      <c r="D76" s="5"/>
      <c r="E76" s="5"/>
    </row>
    <row r="77" spans="1:5" ht="15">
      <c r="A77" s="5"/>
      <c r="B77" s="5"/>
      <c r="C77" s="5"/>
      <c r="D77" s="5"/>
      <c r="E77" s="5"/>
    </row>
    <row r="78" spans="1:5" ht="15">
      <c r="A78" s="5"/>
      <c r="B78" s="5"/>
      <c r="C78" s="5"/>
      <c r="D78" s="5"/>
      <c r="E78" s="5"/>
    </row>
    <row r="79" spans="1:5" ht="15">
      <c r="A79" s="5"/>
      <c r="B79" s="5"/>
      <c r="C79" s="5"/>
      <c r="D79" s="5"/>
      <c r="E79" s="5"/>
    </row>
    <row r="80" spans="1:5" ht="15">
      <c r="A80" s="5"/>
      <c r="B80" s="5"/>
      <c r="C80" s="5"/>
      <c r="D80" s="5"/>
      <c r="E80" s="5"/>
    </row>
  </sheetData>
  <phoneticPr fontId="11" type="noConversion"/>
  <pageMargins left="0.75" right="0.75" top="1" bottom="1" header="0.5" footer="0.5"/>
  <pageSetup scale="65" orientation="portrait" r:id="rId1"/>
  <headerFooter alignWithMargins="0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2:H15"/>
  <sheetViews>
    <sheetView zoomScaleNormal="100" workbookViewId="0">
      <selection activeCell="K13" sqref="K13"/>
    </sheetView>
  </sheetViews>
  <sheetFormatPr defaultRowHeight="15"/>
  <cols>
    <col min="1" max="1" width="5.28515625" style="314" customWidth="1"/>
    <col min="2" max="2" width="29.42578125" style="314" customWidth="1"/>
    <col min="3" max="3" width="14.7109375" style="314" customWidth="1"/>
    <col min="4" max="4" width="12.85546875" style="314" customWidth="1"/>
    <col min="5" max="5" width="9.7109375" style="314" customWidth="1"/>
    <col min="6" max="7" width="16.140625" style="314" customWidth="1"/>
    <col min="8" max="8" width="11.28515625" style="314" bestFit="1" customWidth="1"/>
    <col min="9" max="16384" width="9.140625" style="314"/>
  </cols>
  <sheetData>
    <row r="2" spans="1:8">
      <c r="B2" s="315" t="s">
        <v>801</v>
      </c>
      <c r="C2" s="315"/>
      <c r="D2" s="315"/>
    </row>
    <row r="3" spans="1:8">
      <c r="C3" s="316" t="s">
        <v>781</v>
      </c>
      <c r="D3" s="316"/>
      <c r="E3" s="316"/>
      <c r="F3" s="316"/>
      <c r="G3" s="316"/>
    </row>
    <row r="4" spans="1:8" ht="50.25" customHeight="1">
      <c r="A4" s="317" t="s">
        <v>481</v>
      </c>
      <c r="B4" s="317" t="s">
        <v>128</v>
      </c>
      <c r="C4" s="318" t="s">
        <v>779</v>
      </c>
      <c r="D4" s="318" t="s">
        <v>130</v>
      </c>
      <c r="E4" s="319" t="s">
        <v>488</v>
      </c>
      <c r="F4" s="320" t="s">
        <v>482</v>
      </c>
      <c r="G4" s="319" t="s">
        <v>483</v>
      </c>
    </row>
    <row r="5" spans="1:8">
      <c r="A5" s="321">
        <v>1</v>
      </c>
      <c r="B5" s="321" t="s">
        <v>485</v>
      </c>
      <c r="C5" s="322">
        <f>'BILANCI 2013'!E137</f>
        <v>863101</v>
      </c>
      <c r="D5" s="322"/>
      <c r="E5" s="323">
        <v>0.15</v>
      </c>
      <c r="F5" s="322">
        <f>C5*E5</f>
        <v>129465.15</v>
      </c>
      <c r="G5" s="324">
        <f>C5-F5</f>
        <v>733635.85</v>
      </c>
    </row>
    <row r="6" spans="1:8">
      <c r="A6" s="321">
        <v>2</v>
      </c>
      <c r="B6" s="321" t="s">
        <v>486</v>
      </c>
      <c r="C6" s="322">
        <f>'BILANCI 2013'!E141</f>
        <v>26145673.969999999</v>
      </c>
      <c r="D6" s="322"/>
      <c r="E6" s="323">
        <v>0.2</v>
      </c>
      <c r="F6" s="322">
        <f t="shared" ref="F6:F7" si="0">C6*E6</f>
        <v>5229134.7939999998</v>
      </c>
      <c r="G6" s="324">
        <f>C6-F6</f>
        <v>20916539.175999999</v>
      </c>
      <c r="H6" s="325"/>
    </row>
    <row r="7" spans="1:8">
      <c r="A7" s="321">
        <v>3</v>
      </c>
      <c r="B7" s="321" t="s">
        <v>487</v>
      </c>
      <c r="C7" s="322">
        <f>'BILANCI 2013'!E145</f>
        <v>128408</v>
      </c>
      <c r="D7" s="322"/>
      <c r="E7" s="323">
        <v>0.25</v>
      </c>
      <c r="F7" s="322">
        <f t="shared" si="0"/>
        <v>32102</v>
      </c>
      <c r="G7" s="324">
        <f>C7-F7</f>
        <v>96306</v>
      </c>
    </row>
    <row r="8" spans="1:8">
      <c r="A8" s="321">
        <v>4</v>
      </c>
      <c r="B8" s="321" t="s">
        <v>782</v>
      </c>
      <c r="C8" s="322"/>
      <c r="D8" s="322">
        <v>30000</v>
      </c>
      <c r="E8" s="323">
        <v>0.25</v>
      </c>
      <c r="F8" s="322">
        <f>(D8*E8)/12*8</f>
        <v>5000</v>
      </c>
      <c r="G8" s="324">
        <f>D8-F8</f>
        <v>25000</v>
      </c>
    </row>
    <row r="9" spans="1:8">
      <c r="A9" s="317"/>
      <c r="B9" s="317" t="s">
        <v>337</v>
      </c>
      <c r="C9" s="326">
        <f>SUM(C5:C8)</f>
        <v>27137182.969999999</v>
      </c>
      <c r="D9" s="326">
        <f>SUM(D5:D8)</f>
        <v>30000</v>
      </c>
      <c r="E9" s="327"/>
      <c r="F9" s="326">
        <f>SUM(F5:F8)</f>
        <v>5395701.9440000001</v>
      </c>
      <c r="G9" s="328">
        <f>SUM(G5:G8)</f>
        <v>21771481.026000001</v>
      </c>
    </row>
    <row r="10" spans="1:8" s="333" customFormat="1">
      <c r="A10" s="329"/>
      <c r="B10" s="329"/>
      <c r="C10" s="330"/>
      <c r="D10" s="330"/>
      <c r="E10" s="331"/>
      <c r="F10" s="330"/>
      <c r="G10" s="332"/>
    </row>
    <row r="11" spans="1:8" s="333" customFormat="1">
      <c r="A11" s="329"/>
      <c r="B11" s="329"/>
      <c r="C11" s="330"/>
      <c r="D11" s="330"/>
      <c r="E11" s="331"/>
      <c r="F11" s="330"/>
      <c r="G11" s="332"/>
    </row>
    <row r="12" spans="1:8" s="333" customFormat="1">
      <c r="A12" s="334"/>
      <c r="B12" s="329"/>
      <c r="C12" s="335"/>
      <c r="D12" s="335"/>
      <c r="E12" s="336"/>
      <c r="F12" s="335"/>
      <c r="G12" s="337"/>
    </row>
    <row r="13" spans="1:8">
      <c r="A13" s="321"/>
      <c r="B13" s="317" t="s">
        <v>780</v>
      </c>
      <c r="C13" s="338">
        <f>-'BILANCI 2013'!E135</f>
        <v>12330128.970000001</v>
      </c>
      <c r="D13" s="338"/>
      <c r="E13" s="339">
        <v>0.15</v>
      </c>
      <c r="F13" s="338">
        <f>C13*E13</f>
        <v>1849519.3455000001</v>
      </c>
      <c r="G13" s="340"/>
    </row>
    <row r="14" spans="1:8" s="333" customFormat="1">
      <c r="A14" s="341"/>
      <c r="B14" s="341"/>
      <c r="C14" s="342"/>
      <c r="D14" s="342"/>
      <c r="E14" s="343"/>
      <c r="F14" s="342"/>
      <c r="G14" s="342"/>
    </row>
    <row r="15" spans="1:8">
      <c r="A15" s="344"/>
      <c r="B15" s="344" t="s">
        <v>616</v>
      </c>
      <c r="C15" s="345"/>
      <c r="D15" s="345"/>
      <c r="E15" s="346"/>
      <c r="F15" s="345">
        <f>F9+F13</f>
        <v>7245221.2895</v>
      </c>
      <c r="G15" s="345"/>
    </row>
  </sheetData>
  <phoneticPr fontId="11" type="noConversion"/>
  <pageMargins left="0.75" right="0.75" top="1" bottom="1" header="0.5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P90"/>
  <sheetViews>
    <sheetView topLeftCell="A70" workbookViewId="0">
      <selection activeCell="O88" sqref="O88"/>
    </sheetView>
  </sheetViews>
  <sheetFormatPr defaultRowHeight="12.75"/>
  <cols>
    <col min="15" max="15" width="15.5703125" customWidth="1"/>
    <col min="16" max="16" width="13.140625" customWidth="1"/>
  </cols>
  <sheetData>
    <row r="2" spans="1:16" ht="15">
      <c r="A2" s="738" t="s">
        <v>535</v>
      </c>
      <c r="B2" s="739"/>
      <c r="C2" s="739"/>
      <c r="D2" s="739"/>
      <c r="E2" s="739"/>
      <c r="F2" s="740"/>
      <c r="G2" s="184"/>
      <c r="H2" s="184"/>
      <c r="I2" s="184"/>
      <c r="J2" s="184"/>
      <c r="K2" s="185"/>
      <c r="L2" s="184" t="s">
        <v>523</v>
      </c>
      <c r="M2" s="185"/>
      <c r="N2" s="184"/>
      <c r="O2" s="184"/>
      <c r="P2" s="186"/>
    </row>
    <row r="3" spans="1:16" ht="15">
      <c r="A3" s="741"/>
      <c r="B3" s="742"/>
      <c r="C3" s="742"/>
      <c r="D3" s="742"/>
      <c r="E3" s="742"/>
      <c r="F3" s="743"/>
      <c r="G3" s="184"/>
      <c r="H3" s="184"/>
      <c r="I3" s="184"/>
      <c r="J3" s="184"/>
      <c r="K3" s="185"/>
      <c r="L3" s="184" t="s">
        <v>524</v>
      </c>
      <c r="M3" s="185"/>
      <c r="N3" s="184"/>
      <c r="O3" s="184"/>
      <c r="P3" s="186"/>
    </row>
    <row r="4" spans="1:16" ht="15">
      <c r="A4" s="741"/>
      <c r="B4" s="742"/>
      <c r="C4" s="742"/>
      <c r="D4" s="742"/>
      <c r="E4" s="742"/>
      <c r="F4" s="743"/>
      <c r="G4" s="184"/>
      <c r="H4" s="184"/>
      <c r="I4" s="184"/>
      <c r="J4" s="184"/>
      <c r="K4" s="185"/>
      <c r="L4" s="184" t="s">
        <v>525</v>
      </c>
      <c r="M4" s="185"/>
      <c r="N4" s="184"/>
      <c r="O4" s="184"/>
      <c r="P4" s="186"/>
    </row>
    <row r="5" spans="1:16" ht="15">
      <c r="A5" s="744"/>
      <c r="B5" s="745"/>
      <c r="C5" s="745"/>
      <c r="D5" s="745"/>
      <c r="E5" s="745"/>
      <c r="F5" s="746"/>
      <c r="G5" s="184"/>
      <c r="H5" s="184"/>
      <c r="I5" s="184"/>
      <c r="J5" s="184"/>
      <c r="K5" s="185"/>
      <c r="L5" s="184" t="s">
        <v>526</v>
      </c>
      <c r="M5" s="185"/>
      <c r="N5" s="184"/>
      <c r="O5" s="184"/>
      <c r="P5" s="186"/>
    </row>
    <row r="6" spans="1:16" ht="15">
      <c r="A6" s="184"/>
      <c r="B6" s="185"/>
      <c r="C6" s="185"/>
      <c r="D6" s="185"/>
      <c r="E6" s="185"/>
      <c r="F6" s="184"/>
      <c r="G6" s="184"/>
      <c r="H6" s="184"/>
      <c r="I6" s="184"/>
      <c r="J6" s="184"/>
      <c r="K6" s="185"/>
      <c r="L6" s="184"/>
      <c r="M6" s="185"/>
      <c r="N6" s="184" t="s">
        <v>608</v>
      </c>
      <c r="O6" s="184"/>
      <c r="P6" s="186"/>
    </row>
    <row r="7" spans="1:16" ht="15">
      <c r="A7" s="184"/>
      <c r="B7" s="185"/>
      <c r="C7" s="185"/>
      <c r="D7" s="185"/>
      <c r="E7" s="185"/>
      <c r="F7" s="184"/>
      <c r="G7" s="184"/>
      <c r="H7" s="184"/>
      <c r="I7" s="184"/>
      <c r="J7" s="184"/>
      <c r="K7" s="185"/>
      <c r="L7" s="184"/>
      <c r="M7" s="185"/>
      <c r="N7" s="184"/>
      <c r="O7" s="184"/>
      <c r="P7" s="186"/>
    </row>
    <row r="8" spans="1:16" ht="78.75">
      <c r="A8" s="187" t="s">
        <v>522</v>
      </c>
      <c r="B8" s="188" t="s">
        <v>516</v>
      </c>
      <c r="C8" s="188" t="s">
        <v>518</v>
      </c>
      <c r="D8" s="189" t="s">
        <v>517</v>
      </c>
      <c r="E8" s="189" t="s">
        <v>531</v>
      </c>
      <c r="F8" s="189" t="s">
        <v>532</v>
      </c>
      <c r="G8" s="189" t="s">
        <v>512</v>
      </c>
      <c r="H8" s="189" t="s">
        <v>533</v>
      </c>
      <c r="I8" s="188" t="s">
        <v>534</v>
      </c>
      <c r="J8" s="189" t="s">
        <v>513</v>
      </c>
      <c r="K8" s="188" t="s">
        <v>520</v>
      </c>
      <c r="L8" s="190" t="s">
        <v>530</v>
      </c>
      <c r="M8" s="191" t="s">
        <v>527</v>
      </c>
      <c r="N8" s="190" t="s">
        <v>609</v>
      </c>
      <c r="O8" s="190" t="s">
        <v>529</v>
      </c>
      <c r="P8" s="192" t="s">
        <v>528</v>
      </c>
    </row>
    <row r="9" spans="1:16" ht="15">
      <c r="A9" s="193">
        <v>1</v>
      </c>
      <c r="B9" s="193" t="s">
        <v>51</v>
      </c>
      <c r="C9" s="193">
        <v>1</v>
      </c>
      <c r="D9" s="194">
        <v>1</v>
      </c>
      <c r="E9" s="193">
        <v>1</v>
      </c>
      <c r="F9" s="193" t="s">
        <v>515</v>
      </c>
      <c r="G9" s="195">
        <v>99.05</v>
      </c>
      <c r="H9" s="195"/>
      <c r="I9" s="195">
        <v>11.22</v>
      </c>
      <c r="J9" s="195">
        <v>110.27</v>
      </c>
      <c r="K9" s="196" t="s">
        <v>521</v>
      </c>
      <c r="L9" s="197" t="s">
        <v>564</v>
      </c>
      <c r="M9" s="193"/>
      <c r="N9" s="198">
        <v>380</v>
      </c>
      <c r="O9" s="199">
        <v>41902.6</v>
      </c>
      <c r="P9" s="200">
        <v>40408</v>
      </c>
    </row>
    <row r="10" spans="1:16" ht="15">
      <c r="A10" s="193">
        <v>2</v>
      </c>
      <c r="B10" s="193" t="s">
        <v>51</v>
      </c>
      <c r="C10" s="193">
        <v>1</v>
      </c>
      <c r="D10" s="194">
        <v>2</v>
      </c>
      <c r="E10" s="193">
        <v>2</v>
      </c>
      <c r="F10" s="193" t="s">
        <v>514</v>
      </c>
      <c r="G10" s="195">
        <v>70.41</v>
      </c>
      <c r="H10" s="195">
        <v>32.869999999999997</v>
      </c>
      <c r="I10" s="195">
        <v>7.98</v>
      </c>
      <c r="J10" s="195">
        <v>111.26</v>
      </c>
      <c r="K10" s="196" t="s">
        <v>521</v>
      </c>
      <c r="L10" s="197" t="s">
        <v>571</v>
      </c>
      <c r="M10" s="193"/>
      <c r="N10" s="198">
        <v>380</v>
      </c>
      <c r="O10" s="199">
        <v>36033</v>
      </c>
      <c r="P10" s="200">
        <v>40506</v>
      </c>
    </row>
    <row r="11" spans="1:16" ht="15">
      <c r="A11" s="193">
        <v>3</v>
      </c>
      <c r="B11" s="193" t="s">
        <v>51</v>
      </c>
      <c r="C11" s="193">
        <v>1</v>
      </c>
      <c r="D11" s="194">
        <v>2</v>
      </c>
      <c r="E11" s="193">
        <v>3</v>
      </c>
      <c r="F11" s="193" t="s">
        <v>514</v>
      </c>
      <c r="G11" s="195">
        <v>48.69</v>
      </c>
      <c r="H11" s="195">
        <v>49.73</v>
      </c>
      <c r="I11" s="195">
        <v>5.52</v>
      </c>
      <c r="J11" s="195">
        <v>103.94</v>
      </c>
      <c r="K11" s="196" t="s">
        <v>521</v>
      </c>
      <c r="L11" s="201" t="s">
        <v>554</v>
      </c>
      <c r="M11" s="193"/>
      <c r="N11" s="198">
        <v>350</v>
      </c>
      <c r="O11" s="198">
        <v>28919.5</v>
      </c>
      <c r="P11" s="200">
        <v>40248</v>
      </c>
    </row>
    <row r="12" spans="1:16" ht="15">
      <c r="A12" s="193">
        <v>4</v>
      </c>
      <c r="B12" s="193" t="s">
        <v>51</v>
      </c>
      <c r="C12" s="193">
        <v>1</v>
      </c>
      <c r="D12" s="194">
        <v>2</v>
      </c>
      <c r="E12" s="193">
        <v>4</v>
      </c>
      <c r="F12" s="193" t="s">
        <v>514</v>
      </c>
      <c r="G12" s="195">
        <v>70.41</v>
      </c>
      <c r="H12" s="195">
        <v>32.869999999999997</v>
      </c>
      <c r="I12" s="195">
        <v>7.98</v>
      </c>
      <c r="J12" s="195">
        <v>111.26</v>
      </c>
      <c r="K12" s="196" t="s">
        <v>521</v>
      </c>
      <c r="L12" s="197" t="s">
        <v>595</v>
      </c>
      <c r="M12" s="193"/>
      <c r="N12" s="198">
        <v>380</v>
      </c>
      <c r="O12" s="199">
        <v>36033</v>
      </c>
      <c r="P12" s="200">
        <v>40570</v>
      </c>
    </row>
    <row r="13" spans="1:16" ht="15">
      <c r="A13" s="193">
        <v>5</v>
      </c>
      <c r="B13" s="193" t="s">
        <v>51</v>
      </c>
      <c r="C13" s="193">
        <v>1</v>
      </c>
      <c r="D13" s="194">
        <v>3</v>
      </c>
      <c r="E13" s="193">
        <v>3</v>
      </c>
      <c r="F13" s="193" t="s">
        <v>514</v>
      </c>
      <c r="G13" s="197">
        <v>48.69</v>
      </c>
      <c r="H13" s="197"/>
      <c r="I13" s="197">
        <v>5.52</v>
      </c>
      <c r="J13" s="197">
        <v>54.21</v>
      </c>
      <c r="K13" s="196" t="s">
        <v>521</v>
      </c>
      <c r="L13" s="201" t="s">
        <v>543</v>
      </c>
      <c r="M13" s="193"/>
      <c r="N13" s="198">
        <v>400</v>
      </c>
      <c r="O13" s="199">
        <v>21684</v>
      </c>
      <c r="P13" s="200">
        <v>40257</v>
      </c>
    </row>
    <row r="14" spans="1:16" ht="15">
      <c r="A14" s="193">
        <v>6</v>
      </c>
      <c r="B14" s="193" t="s">
        <v>51</v>
      </c>
      <c r="C14" s="193">
        <v>1</v>
      </c>
      <c r="D14" s="194">
        <v>4</v>
      </c>
      <c r="E14" s="193">
        <v>4</v>
      </c>
      <c r="F14" s="193" t="s">
        <v>514</v>
      </c>
      <c r="G14" s="197">
        <v>70.41</v>
      </c>
      <c r="H14" s="197"/>
      <c r="I14" s="197">
        <v>7.98</v>
      </c>
      <c r="J14" s="197">
        <v>78.39</v>
      </c>
      <c r="K14" s="196" t="s">
        <v>521</v>
      </c>
      <c r="L14" s="201" t="s">
        <v>567</v>
      </c>
      <c r="M14" s="193"/>
      <c r="N14" s="198">
        <v>360</v>
      </c>
      <c r="O14" s="199">
        <v>28220.400000000001</v>
      </c>
      <c r="P14" s="200">
        <v>40277</v>
      </c>
    </row>
    <row r="15" spans="1:16" ht="15">
      <c r="A15" s="193">
        <v>7</v>
      </c>
      <c r="B15" s="193" t="s">
        <v>51</v>
      </c>
      <c r="C15" s="193">
        <v>1</v>
      </c>
      <c r="D15" s="194">
        <v>6</v>
      </c>
      <c r="E15" s="193">
        <v>1</v>
      </c>
      <c r="F15" s="193" t="s">
        <v>515</v>
      </c>
      <c r="G15" s="197">
        <v>81.349999999999994</v>
      </c>
      <c r="H15" s="197"/>
      <c r="I15" s="197">
        <v>9.2200000000000006</v>
      </c>
      <c r="J15" s="197">
        <v>90.57</v>
      </c>
      <c r="K15" s="196" t="s">
        <v>521</v>
      </c>
      <c r="L15" s="197" t="s">
        <v>565</v>
      </c>
      <c r="M15" s="193"/>
      <c r="N15" s="198">
        <v>360</v>
      </c>
      <c r="O15" s="199">
        <v>32605.200000000001</v>
      </c>
      <c r="P15" s="200">
        <v>40445</v>
      </c>
    </row>
    <row r="16" spans="1:16" ht="15">
      <c r="A16" s="193">
        <v>8</v>
      </c>
      <c r="B16" s="193" t="s">
        <v>51</v>
      </c>
      <c r="C16" s="193">
        <v>1</v>
      </c>
      <c r="D16" s="194">
        <v>6</v>
      </c>
      <c r="E16" s="193">
        <v>5</v>
      </c>
      <c r="F16" s="193" t="s">
        <v>515</v>
      </c>
      <c r="G16" s="197">
        <v>81.349999999999994</v>
      </c>
      <c r="H16" s="197"/>
      <c r="I16" s="197">
        <v>9.2200000000000006</v>
      </c>
      <c r="J16" s="197">
        <v>90.57</v>
      </c>
      <c r="K16" s="196" t="s">
        <v>521</v>
      </c>
      <c r="L16" s="202" t="s">
        <v>599</v>
      </c>
      <c r="M16" s="193"/>
      <c r="N16" s="198">
        <v>380</v>
      </c>
      <c r="O16" s="199">
        <v>34416.6</v>
      </c>
      <c r="P16" s="200">
        <v>40632</v>
      </c>
    </row>
    <row r="17" spans="1:16" ht="15.75">
      <c r="A17" s="193">
        <v>9</v>
      </c>
      <c r="B17" s="193" t="s">
        <v>3</v>
      </c>
      <c r="C17" s="193">
        <v>1</v>
      </c>
      <c r="D17" s="203">
        <v>1</v>
      </c>
      <c r="E17" s="204">
        <v>1</v>
      </c>
      <c r="F17" s="204" t="s">
        <v>515</v>
      </c>
      <c r="G17" s="205">
        <v>81.849999999999994</v>
      </c>
      <c r="H17" s="205"/>
      <c r="I17" s="205">
        <v>9.27</v>
      </c>
      <c r="J17" s="205">
        <v>91.12</v>
      </c>
      <c r="K17" s="196" t="s">
        <v>521</v>
      </c>
      <c r="L17" s="197" t="s">
        <v>569</v>
      </c>
      <c r="M17" s="193"/>
      <c r="N17" s="198">
        <v>360</v>
      </c>
      <c r="O17" s="199">
        <v>32803.199999999997</v>
      </c>
      <c r="P17" s="200">
        <v>40486</v>
      </c>
    </row>
    <row r="18" spans="1:16" ht="15.75">
      <c r="A18" s="193">
        <v>10</v>
      </c>
      <c r="B18" s="193" t="s">
        <v>3</v>
      </c>
      <c r="C18" s="193">
        <v>1</v>
      </c>
      <c r="D18" s="203">
        <v>2</v>
      </c>
      <c r="E18" s="204">
        <v>2</v>
      </c>
      <c r="F18" s="204" t="s">
        <v>514</v>
      </c>
      <c r="G18" s="205">
        <v>57.03</v>
      </c>
      <c r="H18" s="205"/>
      <c r="I18" s="205">
        <v>6.46</v>
      </c>
      <c r="J18" s="205">
        <v>63.49</v>
      </c>
      <c r="K18" s="196" t="s">
        <v>521</v>
      </c>
      <c r="L18" s="201" t="s">
        <v>558</v>
      </c>
      <c r="M18" s="193"/>
      <c r="N18" s="198">
        <v>360</v>
      </c>
      <c r="O18" s="199">
        <v>22856</v>
      </c>
      <c r="P18" s="200">
        <v>40233</v>
      </c>
    </row>
    <row r="19" spans="1:16" ht="15.75">
      <c r="A19" s="193">
        <v>11</v>
      </c>
      <c r="B19" s="193" t="s">
        <v>3</v>
      </c>
      <c r="C19" s="193">
        <v>1</v>
      </c>
      <c r="D19" s="203">
        <v>2</v>
      </c>
      <c r="E19" s="204">
        <v>4</v>
      </c>
      <c r="F19" s="204" t="s">
        <v>515</v>
      </c>
      <c r="G19" s="206">
        <v>81.75</v>
      </c>
      <c r="H19" s="207"/>
      <c r="I19" s="207">
        <v>9.26</v>
      </c>
      <c r="J19" s="207">
        <v>91.01</v>
      </c>
      <c r="K19" s="196" t="s">
        <v>521</v>
      </c>
      <c r="L19" s="201" t="s">
        <v>552</v>
      </c>
      <c r="M19" s="193"/>
      <c r="N19" s="198">
        <v>390</v>
      </c>
      <c r="O19" s="199">
        <v>35493.9</v>
      </c>
      <c r="P19" s="200">
        <v>40212</v>
      </c>
    </row>
    <row r="20" spans="1:16" ht="15.75">
      <c r="A20" s="193">
        <v>12</v>
      </c>
      <c r="B20" s="193" t="s">
        <v>3</v>
      </c>
      <c r="C20" s="193">
        <v>1</v>
      </c>
      <c r="D20" s="203">
        <v>4</v>
      </c>
      <c r="E20" s="204">
        <v>4</v>
      </c>
      <c r="F20" s="204" t="s">
        <v>515</v>
      </c>
      <c r="G20" s="208">
        <v>81.75</v>
      </c>
      <c r="H20" s="208"/>
      <c r="I20" s="208">
        <v>9.26</v>
      </c>
      <c r="J20" s="208">
        <v>91.01</v>
      </c>
      <c r="K20" s="196" t="s">
        <v>521</v>
      </c>
      <c r="L20" s="201" t="s">
        <v>549</v>
      </c>
      <c r="M20" s="193"/>
      <c r="N20" s="198">
        <v>350</v>
      </c>
      <c r="O20" s="199">
        <v>31853.5</v>
      </c>
      <c r="P20" s="200">
        <v>40135</v>
      </c>
    </row>
    <row r="21" spans="1:16" ht="15.75">
      <c r="A21" s="193">
        <v>13</v>
      </c>
      <c r="B21" s="193" t="s">
        <v>3</v>
      </c>
      <c r="C21" s="193">
        <v>1</v>
      </c>
      <c r="D21" s="203">
        <v>4</v>
      </c>
      <c r="E21" s="204">
        <v>5</v>
      </c>
      <c r="F21" s="204" t="s">
        <v>515</v>
      </c>
      <c r="G21" s="208">
        <v>91.34</v>
      </c>
      <c r="H21" s="208"/>
      <c r="I21" s="208">
        <v>10.35</v>
      </c>
      <c r="J21" s="208">
        <v>101.69</v>
      </c>
      <c r="K21" s="196" t="s">
        <v>521</v>
      </c>
      <c r="L21" s="201" t="s">
        <v>546</v>
      </c>
      <c r="M21" s="193"/>
      <c r="N21" s="198">
        <v>380</v>
      </c>
      <c r="O21" s="199">
        <v>38642</v>
      </c>
      <c r="P21" s="200">
        <v>40169</v>
      </c>
    </row>
    <row r="22" spans="1:16" ht="15.75">
      <c r="A22" s="193">
        <v>14</v>
      </c>
      <c r="B22" s="193" t="s">
        <v>3</v>
      </c>
      <c r="C22" s="193">
        <v>1</v>
      </c>
      <c r="D22" s="203">
        <v>5</v>
      </c>
      <c r="E22" s="204">
        <v>3</v>
      </c>
      <c r="F22" s="204" t="s">
        <v>514</v>
      </c>
      <c r="G22" s="208">
        <v>48.53</v>
      </c>
      <c r="H22" s="208"/>
      <c r="I22" s="208">
        <v>5.5</v>
      </c>
      <c r="J22" s="208">
        <v>54.03</v>
      </c>
      <c r="K22" s="196" t="s">
        <v>521</v>
      </c>
      <c r="L22" s="201" t="s">
        <v>556</v>
      </c>
      <c r="M22" s="193"/>
      <c r="N22" s="198">
        <v>300</v>
      </c>
      <c r="O22" s="199">
        <v>16209</v>
      </c>
      <c r="P22" s="200">
        <v>40268</v>
      </c>
    </row>
    <row r="23" spans="1:16" ht="15.75">
      <c r="A23" s="193">
        <v>15</v>
      </c>
      <c r="B23" s="193" t="s">
        <v>3</v>
      </c>
      <c r="C23" s="193">
        <v>1</v>
      </c>
      <c r="D23" s="203">
        <v>5</v>
      </c>
      <c r="E23" s="204">
        <v>4</v>
      </c>
      <c r="F23" s="204" t="s">
        <v>515</v>
      </c>
      <c r="G23" s="208">
        <v>81.75</v>
      </c>
      <c r="H23" s="208"/>
      <c r="I23" s="208">
        <v>9.26</v>
      </c>
      <c r="J23" s="208">
        <v>91.01</v>
      </c>
      <c r="K23" s="196" t="s">
        <v>521</v>
      </c>
      <c r="L23" s="201" t="s">
        <v>556</v>
      </c>
      <c r="M23" s="193"/>
      <c r="N23" s="198">
        <v>300</v>
      </c>
      <c r="O23" s="199">
        <v>27303</v>
      </c>
      <c r="P23" s="200">
        <v>40268</v>
      </c>
    </row>
    <row r="24" spans="1:16" ht="15.75">
      <c r="A24" s="193">
        <v>16</v>
      </c>
      <c r="B24" s="193" t="s">
        <v>3</v>
      </c>
      <c r="C24" s="193">
        <v>1</v>
      </c>
      <c r="D24" s="203">
        <v>5</v>
      </c>
      <c r="E24" s="204">
        <v>5</v>
      </c>
      <c r="F24" s="204" t="s">
        <v>515</v>
      </c>
      <c r="G24" s="208">
        <v>91.34</v>
      </c>
      <c r="H24" s="208"/>
      <c r="I24" s="208">
        <v>10.35</v>
      </c>
      <c r="J24" s="208">
        <v>101.69</v>
      </c>
      <c r="K24" s="196" t="s">
        <v>521</v>
      </c>
      <c r="L24" s="201" t="s">
        <v>559</v>
      </c>
      <c r="M24" s="193"/>
      <c r="N24" s="198">
        <v>360</v>
      </c>
      <c r="O24" s="199">
        <v>36608.400000000001</v>
      </c>
      <c r="P24" s="200">
        <v>40233</v>
      </c>
    </row>
    <row r="25" spans="1:16" ht="15.75">
      <c r="A25" s="193">
        <v>17</v>
      </c>
      <c r="B25" s="193" t="s">
        <v>3</v>
      </c>
      <c r="C25" s="193">
        <v>1</v>
      </c>
      <c r="D25" s="203">
        <v>6</v>
      </c>
      <c r="E25" s="204">
        <v>5</v>
      </c>
      <c r="F25" s="204" t="s">
        <v>515</v>
      </c>
      <c r="G25" s="208">
        <v>91.34</v>
      </c>
      <c r="H25" s="208"/>
      <c r="I25" s="208">
        <v>10.35</v>
      </c>
      <c r="J25" s="208">
        <v>101.69</v>
      </c>
      <c r="K25" s="196" t="s">
        <v>521</v>
      </c>
      <c r="L25" s="201" t="s">
        <v>560</v>
      </c>
      <c r="M25" s="193"/>
      <c r="N25" s="198">
        <v>360</v>
      </c>
      <c r="O25" s="199">
        <v>36608</v>
      </c>
      <c r="P25" s="200">
        <v>40207</v>
      </c>
    </row>
    <row r="26" spans="1:16" ht="15.75">
      <c r="A26" s="193">
        <v>18</v>
      </c>
      <c r="B26" s="193" t="s">
        <v>3</v>
      </c>
      <c r="C26" s="193">
        <v>1</v>
      </c>
      <c r="D26" s="203">
        <v>7</v>
      </c>
      <c r="E26" s="204">
        <v>4</v>
      </c>
      <c r="F26" s="204" t="s">
        <v>515</v>
      </c>
      <c r="G26" s="208">
        <v>81.75</v>
      </c>
      <c r="H26" s="208"/>
      <c r="I26" s="208">
        <v>9.26</v>
      </c>
      <c r="J26" s="208">
        <v>91.01</v>
      </c>
      <c r="K26" s="196" t="s">
        <v>521</v>
      </c>
      <c r="L26" s="201" t="s">
        <v>557</v>
      </c>
      <c r="M26" s="193"/>
      <c r="N26" s="198">
        <v>380</v>
      </c>
      <c r="O26" s="199">
        <v>34584</v>
      </c>
      <c r="P26" s="200">
        <v>40228</v>
      </c>
    </row>
    <row r="27" spans="1:16" ht="15.75">
      <c r="A27" s="193">
        <v>19</v>
      </c>
      <c r="B27" s="193" t="s">
        <v>3</v>
      </c>
      <c r="C27" s="193">
        <v>1</v>
      </c>
      <c r="D27" s="203">
        <v>8</v>
      </c>
      <c r="E27" s="204">
        <v>3</v>
      </c>
      <c r="F27" s="204" t="s">
        <v>515</v>
      </c>
      <c r="G27" s="208">
        <v>48.53</v>
      </c>
      <c r="H27" s="208"/>
      <c r="I27" s="208">
        <v>5.5</v>
      </c>
      <c r="J27" s="208">
        <v>54.03</v>
      </c>
      <c r="K27" s="196" t="s">
        <v>521</v>
      </c>
      <c r="L27" s="201" t="s">
        <v>607</v>
      </c>
      <c r="M27" s="193"/>
      <c r="N27" s="198">
        <v>350</v>
      </c>
      <c r="O27" s="199">
        <v>18910</v>
      </c>
      <c r="P27" s="200">
        <v>40235</v>
      </c>
    </row>
    <row r="28" spans="1:16" ht="15">
      <c r="A28" s="209">
        <v>20</v>
      </c>
      <c r="B28" s="209" t="s">
        <v>3</v>
      </c>
      <c r="C28" s="209">
        <v>2</v>
      </c>
      <c r="D28" s="210">
        <v>2</v>
      </c>
      <c r="E28" s="209">
        <v>2</v>
      </c>
      <c r="F28" s="209" t="s">
        <v>514</v>
      </c>
      <c r="G28" s="211">
        <v>64.83</v>
      </c>
      <c r="H28" s="211"/>
      <c r="I28" s="211">
        <v>7.35</v>
      </c>
      <c r="J28" s="211">
        <v>72.180000000000007</v>
      </c>
      <c r="K28" s="212" t="s">
        <v>521</v>
      </c>
      <c r="L28" s="201" t="s">
        <v>553</v>
      </c>
      <c r="M28" s="209"/>
      <c r="N28" s="213">
        <v>370</v>
      </c>
      <c r="O28" s="214">
        <v>26706</v>
      </c>
      <c r="P28" s="215">
        <v>40264</v>
      </c>
    </row>
    <row r="29" spans="1:16" ht="15">
      <c r="A29" s="193">
        <v>21</v>
      </c>
      <c r="B29" s="193" t="s">
        <v>3</v>
      </c>
      <c r="C29" s="193">
        <v>2</v>
      </c>
      <c r="D29" s="194">
        <v>3</v>
      </c>
      <c r="E29" s="193">
        <v>3</v>
      </c>
      <c r="F29" s="193" t="s">
        <v>514</v>
      </c>
      <c r="G29" s="197">
        <v>64.180000000000007</v>
      </c>
      <c r="H29" s="197"/>
      <c r="I29" s="197">
        <v>7.27</v>
      </c>
      <c r="J29" s="197">
        <v>71.45</v>
      </c>
      <c r="K29" s="196" t="s">
        <v>521</v>
      </c>
      <c r="L29" s="197" t="s">
        <v>566</v>
      </c>
      <c r="M29" s="193"/>
      <c r="N29" s="198">
        <v>380</v>
      </c>
      <c r="O29" s="199">
        <v>27151</v>
      </c>
      <c r="P29" s="200">
        <v>40387</v>
      </c>
    </row>
    <row r="30" spans="1:16" ht="15">
      <c r="A30" s="209">
        <v>22</v>
      </c>
      <c r="B30" s="209" t="s">
        <v>3</v>
      </c>
      <c r="C30" s="209">
        <v>2</v>
      </c>
      <c r="D30" s="210">
        <v>4</v>
      </c>
      <c r="E30" s="209">
        <v>4</v>
      </c>
      <c r="F30" s="209" t="s">
        <v>514</v>
      </c>
      <c r="G30" s="201">
        <v>74.989999999999995</v>
      </c>
      <c r="H30" s="201"/>
      <c r="I30" s="201">
        <v>8.5</v>
      </c>
      <c r="J30" s="201">
        <v>83.49</v>
      </c>
      <c r="K30" s="212" t="s">
        <v>521</v>
      </c>
      <c r="L30" s="201" t="s">
        <v>568</v>
      </c>
      <c r="M30" s="209"/>
      <c r="N30" s="213">
        <v>370</v>
      </c>
      <c r="O30" s="214">
        <v>30891.3</v>
      </c>
      <c r="P30" s="215">
        <v>40469</v>
      </c>
    </row>
    <row r="31" spans="1:16" ht="15">
      <c r="A31" s="193">
        <v>23</v>
      </c>
      <c r="B31" s="193" t="s">
        <v>3</v>
      </c>
      <c r="C31" s="193">
        <v>2</v>
      </c>
      <c r="D31" s="194">
        <v>5</v>
      </c>
      <c r="E31" s="193">
        <v>4</v>
      </c>
      <c r="F31" s="193" t="s">
        <v>514</v>
      </c>
      <c r="G31" s="197">
        <v>74.989999999999995</v>
      </c>
      <c r="H31" s="197"/>
      <c r="I31" s="197">
        <v>8.5</v>
      </c>
      <c r="J31" s="197">
        <v>83.49</v>
      </c>
      <c r="K31" s="196" t="s">
        <v>521</v>
      </c>
      <c r="L31" s="197" t="s">
        <v>597</v>
      </c>
      <c r="M31" s="193"/>
      <c r="N31" s="198">
        <v>390</v>
      </c>
      <c r="O31" s="199">
        <v>32561.1</v>
      </c>
      <c r="P31" s="200">
        <v>40583</v>
      </c>
    </row>
    <row r="32" spans="1:16" ht="15">
      <c r="A32" s="193">
        <v>24</v>
      </c>
      <c r="B32" s="193" t="s">
        <v>3</v>
      </c>
      <c r="C32" s="193">
        <v>2</v>
      </c>
      <c r="D32" s="194">
        <v>6</v>
      </c>
      <c r="E32" s="193">
        <v>3</v>
      </c>
      <c r="F32" s="193" t="s">
        <v>514</v>
      </c>
      <c r="G32" s="197">
        <v>64.180000000000007</v>
      </c>
      <c r="H32" s="197"/>
      <c r="I32" s="197">
        <v>7.27</v>
      </c>
      <c r="J32" s="197">
        <v>71.45</v>
      </c>
      <c r="K32" s="196" t="s">
        <v>521</v>
      </c>
      <c r="L32" s="201" t="s">
        <v>600</v>
      </c>
      <c r="M32" s="193"/>
      <c r="N32" s="198">
        <v>380</v>
      </c>
      <c r="O32" s="199">
        <v>27151</v>
      </c>
      <c r="P32" s="200">
        <v>40662</v>
      </c>
    </row>
    <row r="33" spans="1:16" ht="15">
      <c r="A33" s="193">
        <v>25</v>
      </c>
      <c r="B33" s="193" t="s">
        <v>3</v>
      </c>
      <c r="C33" s="193">
        <v>2</v>
      </c>
      <c r="D33" s="194">
        <v>7</v>
      </c>
      <c r="E33" s="193">
        <v>2</v>
      </c>
      <c r="F33" s="193" t="s">
        <v>514</v>
      </c>
      <c r="G33" s="197">
        <v>64.382999999999996</v>
      </c>
      <c r="H33" s="197"/>
      <c r="I33" s="197">
        <v>7.35</v>
      </c>
      <c r="J33" s="197">
        <v>72.180000000000007</v>
      </c>
      <c r="K33" s="196" t="s">
        <v>521</v>
      </c>
      <c r="L33" s="197" t="s">
        <v>604</v>
      </c>
      <c r="M33" s="193"/>
      <c r="N33" s="198">
        <v>370</v>
      </c>
      <c r="O33" s="199">
        <v>26700</v>
      </c>
      <c r="P33" s="200">
        <v>40339</v>
      </c>
    </row>
    <row r="34" spans="1:16" ht="15">
      <c r="A34" s="193">
        <v>26</v>
      </c>
      <c r="B34" s="193" t="s">
        <v>3</v>
      </c>
      <c r="C34" s="193">
        <v>2</v>
      </c>
      <c r="D34" s="194">
        <v>8</v>
      </c>
      <c r="E34" s="193">
        <v>1</v>
      </c>
      <c r="F34" s="193" t="s">
        <v>515</v>
      </c>
      <c r="G34" s="197">
        <v>92.04</v>
      </c>
      <c r="H34" s="197"/>
      <c r="I34" s="197">
        <v>10.43</v>
      </c>
      <c r="J34" s="197">
        <v>102.47</v>
      </c>
      <c r="K34" s="196" t="s">
        <v>601</v>
      </c>
      <c r="L34" s="201"/>
      <c r="M34" s="193"/>
      <c r="N34" s="198"/>
      <c r="O34" s="199">
        <v>0</v>
      </c>
      <c r="P34" s="200"/>
    </row>
    <row r="35" spans="1:16" ht="15">
      <c r="A35" s="193">
        <v>27</v>
      </c>
      <c r="B35" s="193" t="s">
        <v>124</v>
      </c>
      <c r="C35" s="193">
        <v>1</v>
      </c>
      <c r="D35" s="194">
        <v>1</v>
      </c>
      <c r="E35" s="193">
        <v>1</v>
      </c>
      <c r="F35" s="193" t="s">
        <v>515</v>
      </c>
      <c r="G35" s="195">
        <v>81.849999999999994</v>
      </c>
      <c r="H35" s="195"/>
      <c r="I35" s="195">
        <v>9.27</v>
      </c>
      <c r="J35" s="195">
        <v>91.12</v>
      </c>
      <c r="K35" s="196" t="s">
        <v>521</v>
      </c>
      <c r="L35" s="197" t="s">
        <v>570</v>
      </c>
      <c r="M35" s="193"/>
      <c r="N35" s="198">
        <v>360</v>
      </c>
      <c r="O35" s="199">
        <v>32803.199999999997</v>
      </c>
      <c r="P35" s="200">
        <v>40486</v>
      </c>
    </row>
    <row r="36" spans="1:16" ht="15">
      <c r="A36" s="209">
        <v>28</v>
      </c>
      <c r="B36" s="209" t="s">
        <v>124</v>
      </c>
      <c r="C36" s="209">
        <v>1</v>
      </c>
      <c r="D36" s="210">
        <v>2</v>
      </c>
      <c r="E36" s="209">
        <v>2</v>
      </c>
      <c r="F36" s="209" t="s">
        <v>514</v>
      </c>
      <c r="G36" s="211">
        <v>57.03</v>
      </c>
      <c r="H36" s="211"/>
      <c r="I36" s="211">
        <v>6.46</v>
      </c>
      <c r="J36" s="211">
        <v>63.49</v>
      </c>
      <c r="K36" s="212" t="s">
        <v>521</v>
      </c>
      <c r="L36" s="201" t="s">
        <v>545</v>
      </c>
      <c r="M36" s="209"/>
      <c r="N36" s="213">
        <v>350</v>
      </c>
      <c r="O36" s="214">
        <v>22221.5</v>
      </c>
      <c r="P36" s="215">
        <v>40135</v>
      </c>
    </row>
    <row r="37" spans="1:16" ht="15">
      <c r="A37" s="193">
        <v>29</v>
      </c>
      <c r="B37" s="193" t="s">
        <v>124</v>
      </c>
      <c r="C37" s="193">
        <v>1</v>
      </c>
      <c r="D37" s="194">
        <v>3</v>
      </c>
      <c r="E37" s="193">
        <v>3</v>
      </c>
      <c r="F37" s="193" t="s">
        <v>514</v>
      </c>
      <c r="G37" s="197">
        <v>48.53</v>
      </c>
      <c r="H37" s="197"/>
      <c r="I37" s="197">
        <v>5.5</v>
      </c>
      <c r="J37" s="197">
        <v>54.03</v>
      </c>
      <c r="K37" s="196" t="s">
        <v>521</v>
      </c>
      <c r="L37" s="201" t="s">
        <v>519</v>
      </c>
      <c r="M37" s="193"/>
      <c r="N37" s="198">
        <v>360</v>
      </c>
      <c r="O37" s="199">
        <v>19450.8</v>
      </c>
      <c r="P37" s="200">
        <v>40137</v>
      </c>
    </row>
    <row r="38" spans="1:16" ht="15">
      <c r="A38" s="193">
        <v>30</v>
      </c>
      <c r="B38" s="193" t="s">
        <v>124</v>
      </c>
      <c r="C38" s="193">
        <v>1</v>
      </c>
      <c r="D38" s="194">
        <v>4</v>
      </c>
      <c r="E38" s="193">
        <v>5</v>
      </c>
      <c r="F38" s="193" t="s">
        <v>515</v>
      </c>
      <c r="G38" s="197">
        <v>91.34</v>
      </c>
      <c r="H38" s="197"/>
      <c r="I38" s="197">
        <v>10.35</v>
      </c>
      <c r="J38" s="197">
        <v>101.69</v>
      </c>
      <c r="K38" s="196" t="s">
        <v>521</v>
      </c>
      <c r="L38" s="201" t="s">
        <v>539</v>
      </c>
      <c r="M38" s="193"/>
      <c r="N38" s="198">
        <v>360</v>
      </c>
      <c r="O38" s="199">
        <v>36608</v>
      </c>
      <c r="P38" s="200">
        <v>40233</v>
      </c>
    </row>
    <row r="39" spans="1:16" ht="15">
      <c r="A39" s="193">
        <v>31</v>
      </c>
      <c r="B39" s="193" t="s">
        <v>124</v>
      </c>
      <c r="C39" s="193">
        <v>1</v>
      </c>
      <c r="D39" s="194">
        <v>5</v>
      </c>
      <c r="E39" s="193">
        <v>5</v>
      </c>
      <c r="F39" s="193" t="s">
        <v>515</v>
      </c>
      <c r="G39" s="197">
        <v>91.34</v>
      </c>
      <c r="H39" s="197"/>
      <c r="I39" s="197">
        <v>10.35</v>
      </c>
      <c r="J39" s="197">
        <v>101.69</v>
      </c>
      <c r="K39" s="196" t="s">
        <v>521</v>
      </c>
      <c r="L39" s="201" t="s">
        <v>561</v>
      </c>
      <c r="M39" s="193"/>
      <c r="N39" s="198">
        <v>360</v>
      </c>
      <c r="O39" s="199">
        <v>36608</v>
      </c>
      <c r="P39" s="200">
        <v>40226</v>
      </c>
    </row>
    <row r="40" spans="1:16" ht="15">
      <c r="A40" s="193">
        <v>32</v>
      </c>
      <c r="B40" s="209" t="s">
        <v>124</v>
      </c>
      <c r="C40" s="209">
        <v>1</v>
      </c>
      <c r="D40" s="210">
        <v>6</v>
      </c>
      <c r="E40" s="209">
        <v>5</v>
      </c>
      <c r="F40" s="209" t="s">
        <v>515</v>
      </c>
      <c r="G40" s="201">
        <v>91.34</v>
      </c>
      <c r="H40" s="201"/>
      <c r="I40" s="201">
        <v>10.35</v>
      </c>
      <c r="J40" s="201">
        <v>101.69</v>
      </c>
      <c r="K40" s="212" t="s">
        <v>521</v>
      </c>
      <c r="L40" s="201" t="s">
        <v>562</v>
      </c>
      <c r="M40" s="209"/>
      <c r="N40" s="213">
        <v>360</v>
      </c>
      <c r="O40" s="214">
        <v>36608</v>
      </c>
      <c r="P40" s="215">
        <v>40229</v>
      </c>
    </row>
    <row r="41" spans="1:16" ht="15">
      <c r="A41" s="193">
        <v>33</v>
      </c>
      <c r="B41" s="193" t="s">
        <v>124</v>
      </c>
      <c r="C41" s="193">
        <v>1</v>
      </c>
      <c r="D41" s="194">
        <v>8</v>
      </c>
      <c r="E41" s="193">
        <v>3</v>
      </c>
      <c r="F41" s="193" t="s">
        <v>514</v>
      </c>
      <c r="G41" s="197">
        <v>48.53</v>
      </c>
      <c r="H41" s="197"/>
      <c r="I41" s="197">
        <v>5.5</v>
      </c>
      <c r="J41" s="197">
        <v>54.03</v>
      </c>
      <c r="K41" s="196" t="s">
        <v>521</v>
      </c>
      <c r="L41" s="201" t="s">
        <v>555</v>
      </c>
      <c r="M41" s="193"/>
      <c r="N41" s="198">
        <v>350</v>
      </c>
      <c r="O41" s="199">
        <v>18910</v>
      </c>
      <c r="P41" s="200">
        <v>40235</v>
      </c>
    </row>
    <row r="42" spans="1:16" ht="15">
      <c r="A42" s="193">
        <v>34</v>
      </c>
      <c r="B42" s="193" t="s">
        <v>124</v>
      </c>
      <c r="C42" s="193">
        <v>2</v>
      </c>
      <c r="D42" s="194">
        <v>1</v>
      </c>
      <c r="E42" s="193">
        <v>1</v>
      </c>
      <c r="F42" s="193" t="s">
        <v>515</v>
      </c>
      <c r="G42" s="195">
        <v>92.04</v>
      </c>
      <c r="H42" s="195"/>
      <c r="I42" s="195">
        <v>10.43</v>
      </c>
      <c r="J42" s="195">
        <v>102.47</v>
      </c>
      <c r="K42" s="196" t="s">
        <v>521</v>
      </c>
      <c r="L42" s="201" t="s">
        <v>541</v>
      </c>
      <c r="M42" s="193"/>
      <c r="N42" s="198">
        <v>380</v>
      </c>
      <c r="O42" s="199">
        <v>38000</v>
      </c>
      <c r="P42" s="200">
        <v>40219</v>
      </c>
    </row>
    <row r="43" spans="1:16" ht="15">
      <c r="A43" s="193">
        <v>35</v>
      </c>
      <c r="B43" s="193" t="s">
        <v>124</v>
      </c>
      <c r="C43" s="193">
        <v>2</v>
      </c>
      <c r="D43" s="194">
        <v>2</v>
      </c>
      <c r="E43" s="193">
        <v>2</v>
      </c>
      <c r="F43" s="193" t="s">
        <v>514</v>
      </c>
      <c r="G43" s="195">
        <v>64.83</v>
      </c>
      <c r="H43" s="195"/>
      <c r="I43" s="195">
        <v>7.35</v>
      </c>
      <c r="J43" s="195">
        <v>72.180000000000007</v>
      </c>
      <c r="K43" s="196" t="s">
        <v>521</v>
      </c>
      <c r="L43" s="201" t="s">
        <v>547</v>
      </c>
      <c r="M43" s="193"/>
      <c r="N43" s="198">
        <v>380</v>
      </c>
      <c r="O43" s="199">
        <v>27428.400000000001</v>
      </c>
      <c r="P43" s="200">
        <v>40164</v>
      </c>
    </row>
    <row r="44" spans="1:16" ht="15">
      <c r="A44" s="193">
        <v>36</v>
      </c>
      <c r="B44" s="193" t="s">
        <v>124</v>
      </c>
      <c r="C44" s="193">
        <v>2</v>
      </c>
      <c r="D44" s="194">
        <v>3</v>
      </c>
      <c r="E44" s="193">
        <v>3</v>
      </c>
      <c r="F44" s="193" t="s">
        <v>514</v>
      </c>
      <c r="G44" s="197">
        <v>64.180000000000007</v>
      </c>
      <c r="H44" s="197"/>
      <c r="I44" s="197">
        <v>7.27</v>
      </c>
      <c r="J44" s="197">
        <v>71.45</v>
      </c>
      <c r="K44" s="196" t="s">
        <v>521</v>
      </c>
      <c r="L44" s="201" t="s">
        <v>548</v>
      </c>
      <c r="M44" s="193"/>
      <c r="N44" s="198">
        <v>400</v>
      </c>
      <c r="O44" s="199">
        <v>28580</v>
      </c>
      <c r="P44" s="200">
        <v>40161</v>
      </c>
    </row>
    <row r="45" spans="1:16" ht="15">
      <c r="A45" s="193">
        <v>37</v>
      </c>
      <c r="B45" s="193" t="s">
        <v>124</v>
      </c>
      <c r="C45" s="193">
        <v>2</v>
      </c>
      <c r="D45" s="194">
        <v>4</v>
      </c>
      <c r="E45" s="193">
        <v>1</v>
      </c>
      <c r="F45" s="193" t="s">
        <v>515</v>
      </c>
      <c r="G45" s="197">
        <v>92.04</v>
      </c>
      <c r="H45" s="197"/>
      <c r="I45" s="197">
        <v>10.43</v>
      </c>
      <c r="J45" s="197">
        <v>102.47</v>
      </c>
      <c r="K45" s="196" t="s">
        <v>521</v>
      </c>
      <c r="L45" s="201" t="s">
        <v>545</v>
      </c>
      <c r="M45" s="193"/>
      <c r="N45" s="198">
        <v>350</v>
      </c>
      <c r="O45" s="199">
        <v>35864.5</v>
      </c>
      <c r="P45" s="200">
        <v>40135</v>
      </c>
    </row>
    <row r="46" spans="1:16" ht="15">
      <c r="A46" s="193">
        <v>38</v>
      </c>
      <c r="B46" s="193" t="s">
        <v>124</v>
      </c>
      <c r="C46" s="193">
        <v>2</v>
      </c>
      <c r="D46" s="194">
        <v>4</v>
      </c>
      <c r="E46" s="193">
        <v>4</v>
      </c>
      <c r="F46" s="193" t="s">
        <v>514</v>
      </c>
      <c r="G46" s="197">
        <v>74.989999999999995</v>
      </c>
      <c r="H46" s="197"/>
      <c r="I46" s="197">
        <v>8.5</v>
      </c>
      <c r="J46" s="197">
        <v>83.49</v>
      </c>
      <c r="K46" s="196" t="s">
        <v>521</v>
      </c>
      <c r="L46" s="197" t="s">
        <v>605</v>
      </c>
      <c r="M46" s="193"/>
      <c r="N46" s="198">
        <v>390</v>
      </c>
      <c r="O46" s="199">
        <v>32561</v>
      </c>
      <c r="P46" s="200">
        <v>40463</v>
      </c>
    </row>
    <row r="47" spans="1:16" ht="15">
      <c r="A47" s="193">
        <v>39</v>
      </c>
      <c r="B47" s="193" t="s">
        <v>124</v>
      </c>
      <c r="C47" s="193">
        <v>2</v>
      </c>
      <c r="D47" s="194">
        <v>5</v>
      </c>
      <c r="E47" s="193">
        <v>1</v>
      </c>
      <c r="F47" s="193" t="s">
        <v>515</v>
      </c>
      <c r="G47" s="197">
        <v>92.04</v>
      </c>
      <c r="H47" s="197"/>
      <c r="I47" s="197">
        <v>10.43</v>
      </c>
      <c r="J47" s="197">
        <v>102.47</v>
      </c>
      <c r="K47" s="196" t="s">
        <v>521</v>
      </c>
      <c r="L47" s="201" t="s">
        <v>542</v>
      </c>
      <c r="M47" s="193"/>
      <c r="N47" s="198">
        <v>380</v>
      </c>
      <c r="O47" s="199">
        <v>38938</v>
      </c>
      <c r="P47" s="200">
        <v>40245</v>
      </c>
    </row>
    <row r="48" spans="1:16" ht="15">
      <c r="A48" s="193">
        <v>40</v>
      </c>
      <c r="B48" s="193" t="s">
        <v>124</v>
      </c>
      <c r="C48" s="193">
        <v>2</v>
      </c>
      <c r="D48" s="194">
        <v>5</v>
      </c>
      <c r="E48" s="193">
        <v>4</v>
      </c>
      <c r="F48" s="193" t="s">
        <v>514</v>
      </c>
      <c r="G48" s="197">
        <v>74.989999999999995</v>
      </c>
      <c r="H48" s="197"/>
      <c r="I48" s="197">
        <v>8.5</v>
      </c>
      <c r="J48" s="197">
        <v>83.49</v>
      </c>
      <c r="K48" s="196" t="s">
        <v>521</v>
      </c>
      <c r="L48" s="201" t="s">
        <v>598</v>
      </c>
      <c r="M48" s="193"/>
      <c r="N48" s="198">
        <v>370</v>
      </c>
      <c r="O48" s="199">
        <v>30891.3</v>
      </c>
      <c r="P48" s="200">
        <v>40630</v>
      </c>
    </row>
    <row r="49" spans="1:16" ht="15">
      <c r="A49" s="193">
        <v>41</v>
      </c>
      <c r="B49" s="193" t="s">
        <v>124</v>
      </c>
      <c r="C49" s="193">
        <v>2</v>
      </c>
      <c r="D49" s="194">
        <v>6</v>
      </c>
      <c r="E49" s="193">
        <v>3</v>
      </c>
      <c r="F49" s="193" t="s">
        <v>514</v>
      </c>
      <c r="G49" s="197">
        <v>64.180000000000007</v>
      </c>
      <c r="H49" s="197"/>
      <c r="I49" s="197">
        <v>7.27</v>
      </c>
      <c r="J49" s="197">
        <v>71.45</v>
      </c>
      <c r="K49" s="196" t="s">
        <v>521</v>
      </c>
      <c r="L49" s="201" t="s">
        <v>550</v>
      </c>
      <c r="M49" s="193"/>
      <c r="N49" s="198">
        <v>380</v>
      </c>
      <c r="O49" s="199">
        <v>26980</v>
      </c>
      <c r="P49" s="200">
        <v>40197</v>
      </c>
    </row>
    <row r="50" spans="1:16" ht="15">
      <c r="A50" s="193">
        <v>42</v>
      </c>
      <c r="B50" s="216" t="s">
        <v>124</v>
      </c>
      <c r="C50" s="216">
        <v>2</v>
      </c>
      <c r="D50" s="217">
        <v>7</v>
      </c>
      <c r="E50" s="216">
        <v>2</v>
      </c>
      <c r="F50" s="216" t="s">
        <v>514</v>
      </c>
      <c r="G50" s="218">
        <v>64.83</v>
      </c>
      <c r="H50" s="218"/>
      <c r="I50" s="218">
        <v>7.35</v>
      </c>
      <c r="J50" s="218">
        <v>72.180000000000007</v>
      </c>
      <c r="K50" s="196" t="s">
        <v>521</v>
      </c>
      <c r="L50" s="201" t="s">
        <v>551</v>
      </c>
      <c r="M50" s="193"/>
      <c r="N50" s="198">
        <v>350</v>
      </c>
      <c r="O50" s="199">
        <v>25263</v>
      </c>
      <c r="P50" s="200">
        <v>40205</v>
      </c>
    </row>
    <row r="51" spans="1:16" ht="15">
      <c r="A51" s="193">
        <v>43</v>
      </c>
      <c r="B51" s="219" t="s">
        <v>124</v>
      </c>
      <c r="C51" s="219">
        <v>2</v>
      </c>
      <c r="D51" s="220">
        <v>8</v>
      </c>
      <c r="E51" s="219">
        <v>1</v>
      </c>
      <c r="F51" s="219" t="s">
        <v>515</v>
      </c>
      <c r="G51" s="221">
        <v>92.04</v>
      </c>
      <c r="H51" s="221"/>
      <c r="I51" s="221">
        <v>10.43</v>
      </c>
      <c r="J51" s="221">
        <v>102.47</v>
      </c>
      <c r="K51" s="222" t="s">
        <v>521</v>
      </c>
      <c r="L51" s="201" t="s">
        <v>544</v>
      </c>
      <c r="M51" s="193"/>
      <c r="N51" s="198">
        <v>380</v>
      </c>
      <c r="O51" s="199">
        <v>38938</v>
      </c>
      <c r="P51" s="200">
        <v>40271</v>
      </c>
    </row>
    <row r="52" spans="1:16" ht="15">
      <c r="A52" s="223"/>
      <c r="B52" s="219"/>
      <c r="C52" s="219"/>
      <c r="D52" s="220"/>
      <c r="E52" s="219"/>
      <c r="F52" s="219"/>
      <c r="G52" s="221"/>
      <c r="H52" s="221"/>
      <c r="I52" s="221"/>
      <c r="J52" s="221"/>
      <c r="K52" s="222"/>
      <c r="L52" s="201"/>
      <c r="M52" s="193"/>
      <c r="N52" s="198"/>
      <c r="O52" s="199"/>
      <c r="P52" s="200"/>
    </row>
    <row r="53" spans="1:16" ht="15">
      <c r="A53" s="224" t="s">
        <v>540</v>
      </c>
      <c r="B53" s="225"/>
      <c r="C53" s="225"/>
      <c r="D53" s="226"/>
      <c r="E53" s="225"/>
      <c r="F53" s="225"/>
      <c r="G53" s="227"/>
      <c r="H53" s="227"/>
      <c r="I53" s="227"/>
      <c r="J53" s="228">
        <v>3670.82</v>
      </c>
      <c r="K53" s="229"/>
      <c r="L53" s="230"/>
      <c r="M53" s="231"/>
      <c r="N53" s="232"/>
      <c r="O53" s="233">
        <v>1289499.3999999999</v>
      </c>
      <c r="P53" s="234"/>
    </row>
    <row r="54" spans="1:16" ht="15">
      <c r="A54" s="223"/>
      <c r="B54" s="219"/>
      <c r="C54" s="219"/>
      <c r="D54" s="235" t="s">
        <v>538</v>
      </c>
      <c r="E54" s="219"/>
      <c r="F54" s="219"/>
      <c r="G54" s="221"/>
      <c r="H54" s="221"/>
      <c r="I54" s="221"/>
      <c r="J54" s="221"/>
      <c r="K54" s="222"/>
      <c r="L54" s="197"/>
      <c r="M54" s="193"/>
      <c r="N54" s="197"/>
      <c r="O54" s="199"/>
      <c r="P54" s="200"/>
    </row>
    <row r="55" spans="1:16" ht="15">
      <c r="A55" s="223">
        <v>1</v>
      </c>
      <c r="B55" s="219" t="s">
        <v>3</v>
      </c>
      <c r="C55" s="219">
        <v>2</v>
      </c>
      <c r="D55" s="219">
        <v>5</v>
      </c>
      <c r="E55" s="236" t="s">
        <v>536</v>
      </c>
      <c r="F55" s="221"/>
      <c r="G55" s="221">
        <v>64.900000000000006</v>
      </c>
      <c r="H55" s="221"/>
      <c r="I55" s="221">
        <v>9.73</v>
      </c>
      <c r="J55" s="221">
        <v>74.63</v>
      </c>
      <c r="K55" s="222" t="s">
        <v>521</v>
      </c>
      <c r="L55" s="197" t="s">
        <v>563</v>
      </c>
      <c r="M55" s="193"/>
      <c r="N55" s="199">
        <v>600</v>
      </c>
      <c r="O55" s="199">
        <v>44778</v>
      </c>
      <c r="P55" s="200">
        <v>40933</v>
      </c>
    </row>
    <row r="56" spans="1:16" ht="15">
      <c r="A56" s="223">
        <v>2</v>
      </c>
      <c r="B56" s="219" t="s">
        <v>3</v>
      </c>
      <c r="C56" s="219" t="s">
        <v>537</v>
      </c>
      <c r="D56" s="219">
        <v>6</v>
      </c>
      <c r="E56" s="236" t="s">
        <v>536</v>
      </c>
      <c r="F56" s="221"/>
      <c r="G56" s="221">
        <v>76.989999999999995</v>
      </c>
      <c r="H56" s="221"/>
      <c r="I56" s="221">
        <v>11.5</v>
      </c>
      <c r="J56" s="221">
        <v>88.49</v>
      </c>
      <c r="K56" s="222" t="s">
        <v>521</v>
      </c>
      <c r="L56" s="201" t="s">
        <v>603</v>
      </c>
      <c r="M56" s="193"/>
      <c r="N56" s="199">
        <v>800</v>
      </c>
      <c r="O56" s="199">
        <v>70792</v>
      </c>
      <c r="P56" s="200">
        <v>40715</v>
      </c>
    </row>
    <row r="57" spans="1:16" ht="15">
      <c r="A57" s="223">
        <v>4</v>
      </c>
      <c r="B57" s="219" t="s">
        <v>3</v>
      </c>
      <c r="C57" s="219">
        <v>1</v>
      </c>
      <c r="D57" s="219">
        <v>10</v>
      </c>
      <c r="E57" s="236" t="s">
        <v>536</v>
      </c>
      <c r="F57" s="221"/>
      <c r="G57" s="221">
        <v>111.9</v>
      </c>
      <c r="H57" s="184"/>
      <c r="I57" s="221">
        <v>16.7</v>
      </c>
      <c r="J57" s="221">
        <v>128.6</v>
      </c>
      <c r="K57" s="222" t="s">
        <v>601</v>
      </c>
      <c r="L57" s="197"/>
      <c r="M57" s="193"/>
      <c r="N57" s="197"/>
      <c r="O57" s="199"/>
      <c r="P57" s="200"/>
    </row>
    <row r="58" spans="1:16" ht="15">
      <c r="A58" s="223">
        <v>5</v>
      </c>
      <c r="B58" s="219" t="s">
        <v>51</v>
      </c>
      <c r="C58" s="219">
        <v>1</v>
      </c>
      <c r="D58" s="219">
        <v>12</v>
      </c>
      <c r="E58" s="236" t="s">
        <v>536</v>
      </c>
      <c r="F58" s="221"/>
      <c r="G58" s="221">
        <v>46.09</v>
      </c>
      <c r="H58" s="221"/>
      <c r="I58" s="221">
        <v>6.9</v>
      </c>
      <c r="J58" s="221">
        <v>52.99</v>
      </c>
      <c r="K58" s="222" t="s">
        <v>601</v>
      </c>
      <c r="L58" s="197"/>
      <c r="M58" s="193"/>
      <c r="N58" s="197"/>
      <c r="O58" s="199"/>
      <c r="P58" s="200"/>
    </row>
    <row r="59" spans="1:16" ht="15">
      <c r="A59" s="223">
        <v>6</v>
      </c>
      <c r="B59" s="219" t="s">
        <v>51</v>
      </c>
      <c r="C59" s="219">
        <v>1</v>
      </c>
      <c r="D59" s="219">
        <v>18</v>
      </c>
      <c r="E59" s="236" t="s">
        <v>536</v>
      </c>
      <c r="F59" s="221"/>
      <c r="G59" s="221">
        <v>60.95</v>
      </c>
      <c r="H59" s="221"/>
      <c r="I59" s="221">
        <v>9.15</v>
      </c>
      <c r="J59" s="221">
        <v>70.099999999999994</v>
      </c>
      <c r="K59" s="222" t="s">
        <v>521</v>
      </c>
      <c r="L59" s="197" t="s">
        <v>606</v>
      </c>
      <c r="M59" s="193"/>
      <c r="N59" s="199">
        <v>700</v>
      </c>
      <c r="O59" s="199">
        <v>49070</v>
      </c>
      <c r="P59" s="200">
        <v>40802</v>
      </c>
    </row>
    <row r="60" spans="1:16" ht="15">
      <c r="A60" s="223">
        <v>7</v>
      </c>
      <c r="B60" s="219" t="s">
        <v>124</v>
      </c>
      <c r="C60" s="219" t="s">
        <v>537</v>
      </c>
      <c r="D60" s="219">
        <v>24</v>
      </c>
      <c r="E60" s="236" t="s">
        <v>536</v>
      </c>
      <c r="F60" s="221"/>
      <c r="G60" s="221">
        <v>76.989999999999995</v>
      </c>
      <c r="H60" s="221"/>
      <c r="I60" s="221">
        <v>11.54</v>
      </c>
      <c r="J60" s="221">
        <v>88.53</v>
      </c>
      <c r="K60" s="222" t="s">
        <v>521</v>
      </c>
      <c r="L60" s="197" t="s">
        <v>563</v>
      </c>
      <c r="M60" s="193"/>
      <c r="N60" s="199">
        <v>720</v>
      </c>
      <c r="O60" s="199">
        <v>63742</v>
      </c>
      <c r="P60" s="200">
        <v>40933</v>
      </c>
    </row>
    <row r="61" spans="1:16" ht="15">
      <c r="A61" s="223"/>
      <c r="B61" s="219"/>
      <c r="C61" s="219"/>
      <c r="D61" s="219"/>
      <c r="E61" s="237"/>
      <c r="F61" s="238"/>
      <c r="G61" s="238"/>
      <c r="H61" s="238"/>
      <c r="I61" s="238"/>
      <c r="J61" s="239">
        <v>503.34</v>
      </c>
      <c r="K61" s="240"/>
      <c r="L61" s="238"/>
      <c r="M61" s="241"/>
      <c r="N61" s="238"/>
      <c r="O61" s="242"/>
      <c r="P61" s="243"/>
    </row>
    <row r="62" spans="1:16" ht="15">
      <c r="A62" s="223"/>
      <c r="B62" s="219"/>
      <c r="C62" s="219"/>
      <c r="D62" s="219"/>
      <c r="E62" s="244" t="s">
        <v>596</v>
      </c>
      <c r="F62" s="244"/>
      <c r="G62" s="245"/>
      <c r="H62" s="245"/>
      <c r="I62" s="245"/>
      <c r="J62" s="246"/>
      <c r="K62" s="240"/>
      <c r="L62" s="238"/>
      <c r="M62" s="241"/>
      <c r="N62" s="238"/>
      <c r="O62" s="242"/>
      <c r="P62" s="243"/>
    </row>
    <row r="63" spans="1:16" ht="15">
      <c r="A63" s="223">
        <v>3</v>
      </c>
      <c r="B63" s="219" t="s">
        <v>3</v>
      </c>
      <c r="C63" s="219" t="s">
        <v>537</v>
      </c>
      <c r="D63" s="219">
        <v>7</v>
      </c>
      <c r="E63" s="236" t="s">
        <v>536</v>
      </c>
      <c r="F63" s="221"/>
      <c r="G63" s="221">
        <v>80.260000000000005</v>
      </c>
      <c r="H63" s="221"/>
      <c r="I63" s="221">
        <v>12</v>
      </c>
      <c r="J63" s="221">
        <v>92.26</v>
      </c>
      <c r="K63" s="240"/>
      <c r="L63" s="238"/>
      <c r="M63" s="241"/>
      <c r="N63" s="238"/>
      <c r="O63" s="242"/>
      <c r="P63" s="243"/>
    </row>
    <row r="64" spans="1:16" ht="15">
      <c r="A64" s="247"/>
      <c r="B64" s="248"/>
      <c r="C64" s="248"/>
      <c r="D64" s="248"/>
      <c r="E64" s="248"/>
      <c r="F64" s="247"/>
      <c r="G64" s="247"/>
      <c r="H64" s="247"/>
      <c r="I64" s="247"/>
      <c r="J64" s="247"/>
      <c r="K64" s="248"/>
      <c r="L64" s="247"/>
      <c r="M64" s="248"/>
      <c r="N64" s="247"/>
      <c r="O64" s="249">
        <v>228382</v>
      </c>
      <c r="P64" s="250"/>
    </row>
    <row r="65" spans="1:16" ht="15">
      <c r="A65" s="251">
        <v>1</v>
      </c>
      <c r="B65" s="252" t="s">
        <v>572</v>
      </c>
      <c r="C65" s="252"/>
      <c r="D65" s="252"/>
      <c r="E65" s="253" t="s">
        <v>592</v>
      </c>
      <c r="F65" s="254"/>
      <c r="G65" s="254"/>
      <c r="H65" s="254"/>
      <c r="I65" s="254"/>
      <c r="J65" s="254"/>
      <c r="K65" s="255" t="s">
        <v>601</v>
      </c>
      <c r="L65" s="254"/>
      <c r="M65" s="255"/>
      <c r="N65" s="254"/>
      <c r="O65" s="256"/>
      <c r="P65" s="257"/>
    </row>
    <row r="66" spans="1:16" ht="15">
      <c r="A66" s="251">
        <v>2</v>
      </c>
      <c r="B66" s="252" t="s">
        <v>573</v>
      </c>
      <c r="C66" s="252"/>
      <c r="D66" s="252"/>
      <c r="E66" s="253" t="s">
        <v>592</v>
      </c>
      <c r="F66" s="254"/>
      <c r="G66" s="254"/>
      <c r="H66" s="254"/>
      <c r="I66" s="254"/>
      <c r="J66" s="254"/>
      <c r="K66" s="255" t="s">
        <v>601</v>
      </c>
      <c r="L66" s="254"/>
      <c r="M66" s="255"/>
      <c r="N66" s="254"/>
      <c r="O66" s="256"/>
      <c r="P66" s="257"/>
    </row>
    <row r="67" spans="1:16" ht="15">
      <c r="A67" s="251">
        <v>3</v>
      </c>
      <c r="B67" s="252" t="s">
        <v>574</v>
      </c>
      <c r="C67" s="252"/>
      <c r="D67" s="252"/>
      <c r="E67" s="253" t="s">
        <v>592</v>
      </c>
      <c r="F67" s="254"/>
      <c r="G67" s="254"/>
      <c r="H67" s="254"/>
      <c r="I67" s="254"/>
      <c r="J67" s="254"/>
      <c r="K67" s="255" t="s">
        <v>601</v>
      </c>
      <c r="L67" s="254"/>
      <c r="M67" s="255"/>
      <c r="N67" s="254"/>
      <c r="O67" s="254"/>
      <c r="P67" s="257"/>
    </row>
    <row r="68" spans="1:16" ht="15">
      <c r="A68" s="251">
        <v>4</v>
      </c>
      <c r="B68" s="252" t="s">
        <v>575</v>
      </c>
      <c r="C68" s="252"/>
      <c r="D68" s="252"/>
      <c r="E68" s="253" t="s">
        <v>592</v>
      </c>
      <c r="F68" s="254"/>
      <c r="G68" s="254"/>
      <c r="H68" s="254"/>
      <c r="I68" s="254"/>
      <c r="J68" s="254"/>
      <c r="K68" s="255" t="s">
        <v>601</v>
      </c>
      <c r="L68" s="254"/>
      <c r="M68" s="255"/>
      <c r="N68" s="254"/>
      <c r="O68" s="254"/>
      <c r="P68" s="258"/>
    </row>
    <row r="69" spans="1:16" ht="15">
      <c r="A69" s="251">
        <v>5</v>
      </c>
      <c r="B69" s="252" t="s">
        <v>576</v>
      </c>
      <c r="C69" s="252"/>
      <c r="D69" s="252"/>
      <c r="E69" s="253" t="s">
        <v>592</v>
      </c>
      <c r="F69" s="254"/>
      <c r="G69" s="254"/>
      <c r="H69" s="254"/>
      <c r="I69" s="254"/>
      <c r="J69" s="254"/>
      <c r="K69" s="255" t="s">
        <v>601</v>
      </c>
      <c r="L69" s="254"/>
      <c r="M69" s="255"/>
      <c r="N69" s="254"/>
      <c r="O69" s="254"/>
      <c r="P69" s="257"/>
    </row>
    <row r="70" spans="1:16" ht="15">
      <c r="A70" s="251">
        <v>6</v>
      </c>
      <c r="B70" s="252" t="s">
        <v>577</v>
      </c>
      <c r="C70" s="252"/>
      <c r="D70" s="252"/>
      <c r="E70" s="253" t="s">
        <v>592</v>
      </c>
      <c r="F70" s="254"/>
      <c r="G70" s="254"/>
      <c r="H70" s="254"/>
      <c r="I70" s="254"/>
      <c r="J70" s="254"/>
      <c r="K70" s="255" t="s">
        <v>601</v>
      </c>
      <c r="L70" s="254"/>
      <c r="M70" s="255"/>
      <c r="N70" s="254"/>
      <c r="O70" s="254"/>
      <c r="P70" s="257"/>
    </row>
    <row r="71" spans="1:16" ht="15">
      <c r="A71" s="251">
        <v>7</v>
      </c>
      <c r="B71" s="252" t="s">
        <v>578</v>
      </c>
      <c r="C71" s="252"/>
      <c r="D71" s="252"/>
      <c r="E71" s="253" t="s">
        <v>592</v>
      </c>
      <c r="F71" s="254"/>
      <c r="G71" s="254"/>
      <c r="H71" s="254"/>
      <c r="I71" s="254"/>
      <c r="J71" s="254"/>
      <c r="K71" s="255" t="s">
        <v>601</v>
      </c>
      <c r="L71" s="254"/>
      <c r="M71" s="255"/>
      <c r="N71" s="254"/>
      <c r="O71" s="254"/>
      <c r="P71" s="257"/>
    </row>
    <row r="72" spans="1:16" ht="15">
      <c r="A72" s="251">
        <v>8</v>
      </c>
      <c r="B72" s="252" t="s">
        <v>579</v>
      </c>
      <c r="C72" s="252"/>
      <c r="D72" s="252"/>
      <c r="E72" s="253" t="s">
        <v>592</v>
      </c>
      <c r="F72" s="254"/>
      <c r="G72" s="254"/>
      <c r="H72" s="254"/>
      <c r="I72" s="254"/>
      <c r="J72" s="254"/>
      <c r="K72" s="255" t="s">
        <v>601</v>
      </c>
      <c r="L72" s="254"/>
      <c r="M72" s="255"/>
      <c r="N72" s="254"/>
      <c r="O72" s="254"/>
      <c r="P72" s="257"/>
    </row>
    <row r="73" spans="1:16" ht="15">
      <c r="A73" s="251">
        <v>9</v>
      </c>
      <c r="B73" s="252" t="s">
        <v>580</v>
      </c>
      <c r="C73" s="252"/>
      <c r="D73" s="252"/>
      <c r="E73" s="253" t="s">
        <v>592</v>
      </c>
      <c r="F73" s="254"/>
      <c r="G73" s="254"/>
      <c r="H73" s="254"/>
      <c r="I73" s="254"/>
      <c r="J73" s="254"/>
      <c r="K73" s="255" t="s">
        <v>601</v>
      </c>
      <c r="L73" s="254"/>
      <c r="M73" s="255"/>
      <c r="N73" s="254"/>
      <c r="O73" s="254"/>
      <c r="P73" s="257"/>
    </row>
    <row r="74" spans="1:16" ht="15">
      <c r="A74" s="251">
        <v>10</v>
      </c>
      <c r="B74" s="252" t="s">
        <v>581</v>
      </c>
      <c r="C74" s="252"/>
      <c r="D74" s="252"/>
      <c r="E74" s="253" t="s">
        <v>592</v>
      </c>
      <c r="F74" s="254"/>
      <c r="G74" s="254"/>
      <c r="H74" s="254"/>
      <c r="I74" s="254"/>
      <c r="J74" s="254"/>
      <c r="K74" s="255" t="s">
        <v>601</v>
      </c>
      <c r="L74" s="254"/>
      <c r="M74" s="255"/>
      <c r="N74" s="254"/>
      <c r="O74" s="254"/>
      <c r="P74" s="259"/>
    </row>
    <row r="75" spans="1:16" ht="15">
      <c r="A75" s="251">
        <v>11</v>
      </c>
      <c r="B75" s="252" t="s">
        <v>582</v>
      </c>
      <c r="C75" s="252"/>
      <c r="D75" s="252" t="s">
        <v>583</v>
      </c>
      <c r="E75" s="253" t="s">
        <v>592</v>
      </c>
      <c r="F75" s="254"/>
      <c r="G75" s="254"/>
      <c r="H75" s="254"/>
      <c r="I75" s="254"/>
      <c r="J75" s="254"/>
      <c r="K75" s="255" t="s">
        <v>521</v>
      </c>
      <c r="L75" s="254" t="s">
        <v>593</v>
      </c>
      <c r="M75" s="255"/>
      <c r="N75" s="254"/>
      <c r="O75" s="199">
        <v>5500</v>
      </c>
      <c r="P75" s="257">
        <v>40234</v>
      </c>
    </row>
    <row r="76" spans="1:16" ht="15">
      <c r="A76" s="251">
        <v>12</v>
      </c>
      <c r="B76" s="252" t="s">
        <v>584</v>
      </c>
      <c r="C76" s="252"/>
      <c r="D76" s="252" t="s">
        <v>583</v>
      </c>
      <c r="E76" s="253" t="s">
        <v>592</v>
      </c>
      <c r="F76" s="254"/>
      <c r="G76" s="254"/>
      <c r="H76" s="254"/>
      <c r="I76" s="254"/>
      <c r="J76" s="254"/>
      <c r="K76" s="255" t="s">
        <v>521</v>
      </c>
      <c r="L76" s="254" t="s">
        <v>561</v>
      </c>
      <c r="M76" s="255"/>
      <c r="N76" s="254"/>
      <c r="O76" s="199">
        <v>5500</v>
      </c>
      <c r="P76" s="257">
        <v>40226</v>
      </c>
    </row>
    <row r="77" spans="1:16" ht="15">
      <c r="A77" s="251">
        <v>13</v>
      </c>
      <c r="B77" s="252" t="s">
        <v>585</v>
      </c>
      <c r="C77" s="252"/>
      <c r="D77" s="252" t="s">
        <v>583</v>
      </c>
      <c r="E77" s="253" t="s">
        <v>592</v>
      </c>
      <c r="F77" s="254"/>
      <c r="G77" s="254"/>
      <c r="H77" s="254"/>
      <c r="I77" s="254"/>
      <c r="J77" s="254"/>
      <c r="K77" s="255" t="s">
        <v>521</v>
      </c>
      <c r="L77" s="254" t="s">
        <v>594</v>
      </c>
      <c r="M77" s="255"/>
      <c r="N77" s="254"/>
      <c r="O77" s="199">
        <v>6500</v>
      </c>
      <c r="P77" s="257">
        <v>40212</v>
      </c>
    </row>
    <row r="78" spans="1:16" ht="15">
      <c r="A78" s="251">
        <v>14</v>
      </c>
      <c r="B78" s="252" t="s">
        <v>586</v>
      </c>
      <c r="C78" s="252"/>
      <c r="D78" s="252"/>
      <c r="E78" s="253" t="s">
        <v>592</v>
      </c>
      <c r="F78" s="254"/>
      <c r="G78" s="254"/>
      <c r="H78" s="254"/>
      <c r="I78" s="254"/>
      <c r="J78" s="254"/>
      <c r="K78" s="255" t="s">
        <v>601</v>
      </c>
      <c r="L78" s="254"/>
      <c r="M78" s="255"/>
      <c r="N78" s="254"/>
      <c r="O78" s="254"/>
      <c r="P78" s="257"/>
    </row>
    <row r="79" spans="1:16" ht="15">
      <c r="A79" s="251">
        <v>15</v>
      </c>
      <c r="B79" s="252" t="s">
        <v>587</v>
      </c>
      <c r="C79" s="252"/>
      <c r="D79" s="252"/>
      <c r="E79" s="253" t="s">
        <v>592</v>
      </c>
      <c r="F79" s="254"/>
      <c r="G79" s="254"/>
      <c r="H79" s="254"/>
      <c r="I79" s="254"/>
      <c r="J79" s="254"/>
      <c r="K79" s="255" t="s">
        <v>521</v>
      </c>
      <c r="L79" s="254" t="s">
        <v>556</v>
      </c>
      <c r="M79" s="255"/>
      <c r="N79" s="254"/>
      <c r="O79" s="199">
        <v>3000</v>
      </c>
      <c r="P79" s="257">
        <v>40855</v>
      </c>
    </row>
    <row r="80" spans="1:16" ht="15">
      <c r="A80" s="251">
        <v>16</v>
      </c>
      <c r="B80" s="252" t="s">
        <v>588</v>
      </c>
      <c r="C80" s="252"/>
      <c r="D80" s="252"/>
      <c r="E80" s="253" t="s">
        <v>592</v>
      </c>
      <c r="F80" s="254"/>
      <c r="G80" s="254"/>
      <c r="H80" s="254"/>
      <c r="I80" s="254"/>
      <c r="J80" s="254"/>
      <c r="K80" s="255" t="s">
        <v>601</v>
      </c>
      <c r="L80" s="254"/>
      <c r="M80" s="255"/>
      <c r="N80" s="254"/>
      <c r="O80" s="254"/>
      <c r="P80" s="257"/>
    </row>
    <row r="81" spans="1:16" ht="15">
      <c r="A81" s="251">
        <v>17</v>
      </c>
      <c r="B81" s="252" t="s">
        <v>589</v>
      </c>
      <c r="C81" s="252"/>
      <c r="D81" s="252"/>
      <c r="E81" s="253" t="s">
        <v>592</v>
      </c>
      <c r="F81" s="254"/>
      <c r="G81" s="254"/>
      <c r="H81" s="254"/>
      <c r="I81" s="254"/>
      <c r="J81" s="254"/>
      <c r="K81" s="255" t="s">
        <v>601</v>
      </c>
      <c r="L81" s="254"/>
      <c r="M81" s="255"/>
      <c r="N81" s="254"/>
      <c r="O81" s="254"/>
      <c r="P81" s="257"/>
    </row>
    <row r="82" spans="1:16" ht="15">
      <c r="A82" s="251">
        <v>18</v>
      </c>
      <c r="B82" s="252" t="s">
        <v>590</v>
      </c>
      <c r="C82" s="252"/>
      <c r="D82" s="252"/>
      <c r="E82" s="253" t="s">
        <v>592</v>
      </c>
      <c r="F82" s="254"/>
      <c r="G82" s="254"/>
      <c r="H82" s="254"/>
      <c r="I82" s="254"/>
      <c r="J82" s="254"/>
      <c r="K82" s="255" t="s">
        <v>601</v>
      </c>
      <c r="L82" s="254"/>
      <c r="M82" s="255"/>
      <c r="N82" s="254"/>
      <c r="O82" s="254"/>
      <c r="P82" s="257"/>
    </row>
    <row r="83" spans="1:16" ht="15">
      <c r="A83" s="251">
        <v>19</v>
      </c>
      <c r="B83" s="252" t="s">
        <v>591</v>
      </c>
      <c r="C83" s="252"/>
      <c r="D83" s="252"/>
      <c r="E83" s="260" t="s">
        <v>592</v>
      </c>
      <c r="F83" s="261"/>
      <c r="G83" s="254"/>
      <c r="H83" s="254"/>
      <c r="I83" s="254"/>
      <c r="J83" s="254"/>
      <c r="K83" s="255" t="s">
        <v>601</v>
      </c>
      <c r="L83" s="254"/>
      <c r="M83" s="255"/>
      <c r="N83" s="254"/>
      <c r="O83" s="254"/>
      <c r="P83" s="257"/>
    </row>
    <row r="84" spans="1:16" ht="15">
      <c r="A84" s="262"/>
      <c r="B84" s="263"/>
      <c r="C84" s="263"/>
      <c r="D84" s="263"/>
      <c r="E84" s="263"/>
      <c r="F84" s="262"/>
      <c r="G84" s="262"/>
      <c r="H84" s="262"/>
      <c r="I84" s="262"/>
      <c r="J84" s="262"/>
      <c r="K84" s="263"/>
      <c r="L84" s="262"/>
      <c r="M84" s="263"/>
      <c r="N84" s="262"/>
      <c r="O84" s="264">
        <v>20500</v>
      </c>
      <c r="P84" s="265"/>
    </row>
    <row r="85" spans="1:16" ht="15.75" thickBot="1">
      <c r="A85" s="184"/>
      <c r="B85" s="185"/>
      <c r="C85" s="185"/>
      <c r="D85" s="185"/>
      <c r="E85" s="185"/>
      <c r="F85" s="184"/>
      <c r="G85" s="184"/>
      <c r="H85" s="184"/>
      <c r="I85" s="184"/>
      <c r="J85" s="184"/>
      <c r="K85" s="185"/>
      <c r="L85" s="266" t="s">
        <v>602</v>
      </c>
      <c r="M85" s="267"/>
      <c r="N85" s="266"/>
      <c r="O85" s="268">
        <v>1538381.4</v>
      </c>
      <c r="P85" s="186"/>
    </row>
    <row r="86" spans="1:16" ht="15.75" thickTop="1">
      <c r="A86" s="184"/>
      <c r="B86" s="185"/>
      <c r="C86" s="185"/>
      <c r="D86" s="185"/>
      <c r="E86" s="185"/>
      <c r="F86" s="184"/>
      <c r="G86" s="184"/>
      <c r="H86" s="184"/>
      <c r="I86" s="184"/>
      <c r="J86" s="184"/>
      <c r="K86" s="185"/>
      <c r="L86" s="269"/>
      <c r="M86" s="270"/>
      <c r="N86" s="269"/>
      <c r="O86" s="269"/>
      <c r="P86" s="186"/>
    </row>
    <row r="88" spans="1:16">
      <c r="M88" s="3"/>
      <c r="N88" s="3" t="s">
        <v>337</v>
      </c>
      <c r="O88" s="113">
        <v>1289499</v>
      </c>
    </row>
    <row r="89" spans="1:16">
      <c r="M89" s="3"/>
      <c r="N89" s="3" t="s">
        <v>612</v>
      </c>
      <c r="O89" s="113">
        <v>70792</v>
      </c>
    </row>
    <row r="90" spans="1:16">
      <c r="N90" s="3" t="s">
        <v>13</v>
      </c>
      <c r="O90" s="113">
        <f>SUM(O88:O89)</f>
        <v>1360291</v>
      </c>
    </row>
  </sheetData>
  <mergeCells count="1">
    <mergeCell ref="A2:F5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D53"/>
  <sheetViews>
    <sheetView zoomScaleNormal="100" workbookViewId="0">
      <selection activeCell="I32" sqref="I32"/>
    </sheetView>
  </sheetViews>
  <sheetFormatPr defaultRowHeight="12.75"/>
  <cols>
    <col min="2" max="2" width="38.7109375" customWidth="1"/>
    <col min="3" max="3" width="17.28515625" customWidth="1"/>
    <col min="4" max="4" width="19.140625" customWidth="1"/>
  </cols>
  <sheetData>
    <row r="2" spans="1:4" ht="15.75">
      <c r="A2" s="170"/>
      <c r="B2" s="171" t="s">
        <v>471</v>
      </c>
      <c r="C2" s="170"/>
      <c r="D2" s="170"/>
    </row>
    <row r="3" spans="1:4" ht="15.75">
      <c r="A3" s="101" t="s">
        <v>285</v>
      </c>
      <c r="B3" s="101" t="s">
        <v>286</v>
      </c>
      <c r="C3" s="101" t="s">
        <v>287</v>
      </c>
      <c r="D3" s="101" t="s">
        <v>288</v>
      </c>
    </row>
    <row r="4" spans="1:4" ht="15">
      <c r="A4" s="172" t="s">
        <v>290</v>
      </c>
      <c r="B4" s="172" t="s">
        <v>291</v>
      </c>
      <c r="C4" s="173"/>
      <c r="D4" s="173">
        <v>906928519</v>
      </c>
    </row>
    <row r="5" spans="1:4" ht="15">
      <c r="A5" s="172" t="s">
        <v>292</v>
      </c>
      <c r="B5" s="172" t="s">
        <v>85</v>
      </c>
      <c r="C5" s="173"/>
      <c r="D5" s="173">
        <v>135205</v>
      </c>
    </row>
    <row r="6" spans="1:4" ht="15">
      <c r="A6" s="172" t="s">
        <v>293</v>
      </c>
      <c r="B6" s="172" t="s">
        <v>294</v>
      </c>
      <c r="C6" s="173"/>
      <c r="D6" s="173">
        <v>-65134310.170000002</v>
      </c>
    </row>
    <row r="7" spans="1:4" ht="15">
      <c r="A7" s="172" t="s">
        <v>295</v>
      </c>
      <c r="B7" s="172" t="s">
        <v>296</v>
      </c>
      <c r="C7" s="173"/>
      <c r="D7" s="173">
        <v>-14593641</v>
      </c>
    </row>
    <row r="8" spans="1:4" ht="15">
      <c r="A8" s="172" t="s">
        <v>297</v>
      </c>
      <c r="B8" s="172" t="s">
        <v>298</v>
      </c>
      <c r="C8" s="173"/>
      <c r="D8" s="173">
        <v>2242723.4300000002</v>
      </c>
    </row>
    <row r="9" spans="1:4" ht="15">
      <c r="A9" s="172" t="s">
        <v>299</v>
      </c>
      <c r="B9" s="172" t="s">
        <v>300</v>
      </c>
      <c r="C9" s="173"/>
      <c r="D9" s="173">
        <v>28168779.120000001</v>
      </c>
    </row>
    <row r="10" spans="1:4" ht="15">
      <c r="A10" s="172" t="s">
        <v>346</v>
      </c>
      <c r="B10" s="172" t="s">
        <v>347</v>
      </c>
      <c r="C10" s="173"/>
      <c r="D10" s="173">
        <v>19153</v>
      </c>
    </row>
    <row r="11" spans="1:4" ht="15">
      <c r="A11" s="172" t="s">
        <v>348</v>
      </c>
      <c r="B11" s="172" t="s">
        <v>349</v>
      </c>
      <c r="C11" s="173"/>
      <c r="D11" s="173">
        <v>-433715</v>
      </c>
    </row>
    <row r="12" spans="1:4" ht="15">
      <c r="A12" s="172" t="s">
        <v>301</v>
      </c>
      <c r="B12" s="172" t="s">
        <v>302</v>
      </c>
      <c r="C12" s="173"/>
      <c r="D12" s="173">
        <v>-17065921.969999999</v>
      </c>
    </row>
    <row r="13" spans="1:4" ht="15.75">
      <c r="A13" s="172"/>
      <c r="B13" s="172"/>
      <c r="C13" s="173"/>
      <c r="D13" s="174">
        <v>847075696.86000001</v>
      </c>
    </row>
    <row r="14" spans="1:4" ht="15.75">
      <c r="A14" s="175" t="s">
        <v>303</v>
      </c>
      <c r="B14" s="172"/>
      <c r="C14" s="173"/>
      <c r="D14" s="173"/>
    </row>
    <row r="15" spans="1:4" ht="15">
      <c r="A15" s="172" t="s">
        <v>304</v>
      </c>
      <c r="B15" s="172" t="s">
        <v>305</v>
      </c>
      <c r="C15" s="173">
        <v>1128237</v>
      </c>
      <c r="D15" s="173"/>
    </row>
    <row r="16" spans="1:4" ht="15">
      <c r="A16" s="172"/>
      <c r="B16" s="172"/>
      <c r="C16" s="173"/>
      <c r="D16" s="173"/>
    </row>
    <row r="17" spans="1:4" ht="15">
      <c r="A17" s="172" t="s">
        <v>306</v>
      </c>
      <c r="B17" s="172" t="s">
        <v>38</v>
      </c>
      <c r="C17" s="173">
        <v>754018939</v>
      </c>
      <c r="D17" s="173"/>
    </row>
    <row r="18" spans="1:4" ht="15">
      <c r="A18" s="172" t="s">
        <v>307</v>
      </c>
      <c r="B18" s="172" t="s">
        <v>132</v>
      </c>
      <c r="C18" s="173">
        <v>136303295</v>
      </c>
      <c r="D18" s="173"/>
    </row>
    <row r="19" spans="1:4" ht="15">
      <c r="A19" s="172" t="s">
        <v>308</v>
      </c>
      <c r="B19" s="172" t="s">
        <v>309</v>
      </c>
      <c r="C19" s="173">
        <v>34592932</v>
      </c>
      <c r="D19" s="173"/>
    </row>
    <row r="20" spans="1:4" ht="15">
      <c r="A20" s="172" t="s">
        <v>310</v>
      </c>
      <c r="B20" s="172" t="s">
        <v>311</v>
      </c>
      <c r="C20" s="173">
        <v>41477102</v>
      </c>
      <c r="D20" s="173"/>
    </row>
    <row r="21" spans="1:4" ht="15">
      <c r="A21" s="172" t="s">
        <v>312</v>
      </c>
      <c r="B21" s="172" t="s">
        <v>134</v>
      </c>
      <c r="C21" s="173">
        <v>9204742</v>
      </c>
      <c r="D21" s="173"/>
    </row>
    <row r="22" spans="1:4" ht="15">
      <c r="A22" s="172" t="s">
        <v>313</v>
      </c>
      <c r="B22" s="172" t="s">
        <v>314</v>
      </c>
      <c r="C22" s="173">
        <v>3361992</v>
      </c>
      <c r="D22" s="173"/>
    </row>
    <row r="23" spans="1:4" ht="15">
      <c r="A23" s="172" t="s">
        <v>315</v>
      </c>
      <c r="B23" s="172" t="s">
        <v>316</v>
      </c>
      <c r="C23" s="173">
        <v>6156366</v>
      </c>
      <c r="D23" s="173"/>
    </row>
    <row r="24" spans="1:4" ht="18" customHeight="1">
      <c r="A24" s="172" t="s">
        <v>317</v>
      </c>
      <c r="B24" s="172" t="s">
        <v>318</v>
      </c>
      <c r="C24" s="173">
        <v>1079611</v>
      </c>
      <c r="D24" s="173"/>
    </row>
    <row r="25" spans="1:4" ht="18" customHeight="1">
      <c r="A25" s="172"/>
      <c r="B25" s="101" t="s">
        <v>337</v>
      </c>
      <c r="C25" s="109">
        <f>SUM(C17:C24)</f>
        <v>986194979</v>
      </c>
      <c r="D25" s="173"/>
    </row>
    <row r="26" spans="1:4" ht="15">
      <c r="A26" s="172" t="s">
        <v>319</v>
      </c>
      <c r="B26" s="172" t="s">
        <v>320</v>
      </c>
      <c r="C26" s="173">
        <v>-260954</v>
      </c>
      <c r="D26" s="173"/>
    </row>
    <row r="27" spans="1:4" ht="15">
      <c r="A27" s="172" t="s">
        <v>321</v>
      </c>
      <c r="B27" s="172" t="s">
        <v>322</v>
      </c>
      <c r="C27" s="173">
        <v>-77678.2</v>
      </c>
      <c r="D27" s="173"/>
    </row>
    <row r="28" spans="1:4" ht="15">
      <c r="A28" s="172" t="s">
        <v>323</v>
      </c>
      <c r="B28" s="172" t="s">
        <v>324</v>
      </c>
      <c r="C28" s="173">
        <v>-1889623</v>
      </c>
      <c r="D28" s="173"/>
    </row>
    <row r="29" spans="1:4" ht="15">
      <c r="A29" s="172" t="s">
        <v>333</v>
      </c>
      <c r="B29" s="172" t="s">
        <v>334</v>
      </c>
      <c r="C29" s="173">
        <v>-114625</v>
      </c>
      <c r="D29" s="173"/>
    </row>
    <row r="30" spans="1:4" ht="15">
      <c r="A30" s="172" t="s">
        <v>325</v>
      </c>
      <c r="B30" s="172" t="s">
        <v>326</v>
      </c>
      <c r="C30" s="173">
        <v>-368883</v>
      </c>
      <c r="D30" s="173"/>
    </row>
    <row r="31" spans="1:4" ht="15">
      <c r="A31" s="172" t="s">
        <v>327</v>
      </c>
      <c r="B31" s="172" t="s">
        <v>328</v>
      </c>
      <c r="C31" s="173">
        <v>-701045</v>
      </c>
      <c r="D31" s="173"/>
    </row>
    <row r="32" spans="1:4" ht="15">
      <c r="A32" s="172" t="s">
        <v>329</v>
      </c>
      <c r="B32" s="172" t="s">
        <v>330</v>
      </c>
      <c r="C32" s="173">
        <v>-105004</v>
      </c>
      <c r="D32" s="173"/>
    </row>
    <row r="33" spans="1:4" ht="15">
      <c r="A33" s="172" t="s">
        <v>331</v>
      </c>
      <c r="B33" s="172" t="s">
        <v>332</v>
      </c>
      <c r="C33" s="173">
        <v>-2314026</v>
      </c>
      <c r="D33" s="173"/>
    </row>
    <row r="34" spans="1:4" ht="15.75">
      <c r="A34" s="101"/>
      <c r="B34" s="101" t="s">
        <v>619</v>
      </c>
      <c r="C34" s="109">
        <f>SUM(C26:C33)</f>
        <v>-5831838.2000000002</v>
      </c>
      <c r="D34" s="173"/>
    </row>
    <row r="35" spans="1:4" ht="15.75">
      <c r="A35" s="101"/>
      <c r="B35" s="101" t="s">
        <v>620</v>
      </c>
      <c r="C35" s="109">
        <f>C25+C34</f>
        <v>980363140.79999995</v>
      </c>
      <c r="D35" s="173"/>
    </row>
    <row r="36" spans="1:4" ht="15">
      <c r="A36" s="172" t="s">
        <v>472</v>
      </c>
      <c r="B36" s="172" t="s">
        <v>470</v>
      </c>
      <c r="C36" s="173">
        <v>4954725</v>
      </c>
      <c r="D36" s="173"/>
    </row>
    <row r="37" spans="1:4" ht="15">
      <c r="A37" s="172" t="s">
        <v>335</v>
      </c>
      <c r="B37" s="172" t="s">
        <v>336</v>
      </c>
      <c r="C37" s="173">
        <v>1332259</v>
      </c>
      <c r="D37" s="173"/>
    </row>
    <row r="38" spans="1:4" ht="15">
      <c r="A38" s="172" t="s">
        <v>473</v>
      </c>
      <c r="B38" s="172" t="s">
        <v>474</v>
      </c>
      <c r="C38" s="173">
        <v>10426236</v>
      </c>
      <c r="D38" s="173"/>
    </row>
    <row r="39" spans="1:4" ht="15">
      <c r="A39" s="172" t="s">
        <v>475</v>
      </c>
      <c r="B39" s="172" t="s">
        <v>476</v>
      </c>
      <c r="C39" s="173">
        <v>2293745</v>
      </c>
      <c r="D39" s="173"/>
    </row>
    <row r="40" spans="1:4" ht="15">
      <c r="A40" s="172" t="s">
        <v>338</v>
      </c>
      <c r="B40" s="172" t="s">
        <v>339</v>
      </c>
      <c r="C40" s="173">
        <v>-283119705.61000001</v>
      </c>
      <c r="D40" s="173"/>
    </row>
    <row r="41" spans="1:4" ht="15">
      <c r="A41" s="172" t="s">
        <v>340</v>
      </c>
      <c r="B41" s="172" t="s">
        <v>341</v>
      </c>
      <c r="C41" s="173">
        <v>51234578.210000001</v>
      </c>
      <c r="D41" s="173"/>
    </row>
    <row r="42" spans="1:4" ht="15">
      <c r="A42" s="172" t="s">
        <v>344</v>
      </c>
      <c r="B42" s="172" t="s">
        <v>345</v>
      </c>
      <c r="C42" s="173">
        <v>-38334</v>
      </c>
      <c r="D42" s="173"/>
    </row>
    <row r="43" spans="1:4" ht="15">
      <c r="A43" s="172" t="s">
        <v>350</v>
      </c>
      <c r="B43" s="172" t="s">
        <v>351</v>
      </c>
      <c r="C43" s="173">
        <v>2885988</v>
      </c>
      <c r="D43" s="173"/>
    </row>
    <row r="44" spans="1:4" ht="15">
      <c r="A44" s="172" t="s">
        <v>477</v>
      </c>
      <c r="B44" s="172" t="s">
        <v>478</v>
      </c>
      <c r="C44" s="173">
        <v>-7031194.7199999997</v>
      </c>
      <c r="D44" s="173"/>
    </row>
    <row r="45" spans="1:4" ht="15">
      <c r="A45" s="172" t="s">
        <v>356</v>
      </c>
      <c r="B45" s="172" t="s">
        <v>357</v>
      </c>
      <c r="C45" s="173">
        <v>131148100</v>
      </c>
      <c r="D45" s="173"/>
    </row>
    <row r="46" spans="1:4" ht="15">
      <c r="A46" s="172" t="s">
        <v>358</v>
      </c>
      <c r="B46" s="172" t="s">
        <v>359</v>
      </c>
      <c r="C46" s="173">
        <v>-70751270.069999993</v>
      </c>
      <c r="D46" s="173"/>
    </row>
    <row r="47" spans="1:4" ht="15">
      <c r="A47" s="172" t="s">
        <v>364</v>
      </c>
      <c r="B47" s="172" t="s">
        <v>365</v>
      </c>
      <c r="C47" s="173">
        <v>561502.31999999995</v>
      </c>
      <c r="D47" s="173"/>
    </row>
    <row r="48" spans="1:4" ht="15">
      <c r="A48" s="172" t="s">
        <v>366</v>
      </c>
      <c r="B48" s="172" t="s">
        <v>367</v>
      </c>
      <c r="C48" s="173">
        <v>5450369.4000000004</v>
      </c>
      <c r="D48" s="173"/>
    </row>
    <row r="49" spans="1:4" ht="15">
      <c r="A49" s="172" t="s">
        <v>368</v>
      </c>
      <c r="B49" s="172" t="s">
        <v>369</v>
      </c>
      <c r="C49" s="173">
        <v>1682426.43</v>
      </c>
      <c r="D49" s="173"/>
    </row>
    <row r="50" spans="1:4" ht="15">
      <c r="A50" s="172" t="s">
        <v>370</v>
      </c>
      <c r="B50" s="172" t="s">
        <v>371</v>
      </c>
      <c r="C50" s="173">
        <v>11065936.109999999</v>
      </c>
      <c r="D50" s="173"/>
    </row>
    <row r="51" spans="1:4" ht="15.75">
      <c r="A51" s="172"/>
      <c r="B51" s="172"/>
      <c r="C51" s="174">
        <v>847075696.87</v>
      </c>
      <c r="D51" s="173"/>
    </row>
    <row r="52" spans="1:4" ht="15">
      <c r="A52" s="172"/>
      <c r="B52" s="172"/>
      <c r="C52" s="173"/>
      <c r="D52" s="173"/>
    </row>
    <row r="53" spans="1:4" ht="15">
      <c r="A53" s="172"/>
      <c r="B53" s="172"/>
      <c r="C53" s="173"/>
      <c r="D53" s="173"/>
    </row>
  </sheetData>
  <phoneticPr fontId="0" type="noConversion"/>
  <pageMargins left="0.75" right="0.75" top="1" bottom="1" header="0.5" footer="0.5"/>
  <pageSetup scale="8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4:J225"/>
  <sheetViews>
    <sheetView showGridLines="0" topLeftCell="A10" workbookViewId="0">
      <selection activeCell="G28" sqref="G28"/>
    </sheetView>
  </sheetViews>
  <sheetFormatPr defaultRowHeight="12.75"/>
  <cols>
    <col min="1" max="1" width="39.7109375" style="565" customWidth="1"/>
    <col min="2" max="2" width="15.140625" style="565" bestFit="1" customWidth="1"/>
    <col min="3" max="3" width="14.42578125" style="565" bestFit="1" customWidth="1"/>
    <col min="4" max="4" width="12" style="565" bestFit="1" customWidth="1"/>
    <col min="5" max="5" width="13.85546875" style="565" customWidth="1"/>
    <col min="6" max="6" width="12" style="565" customWidth="1"/>
    <col min="7" max="7" width="12" style="565" bestFit="1" customWidth="1"/>
    <col min="8" max="8" width="11.85546875" style="565" bestFit="1" customWidth="1"/>
    <col min="9" max="9" width="11.28515625" style="565" bestFit="1" customWidth="1"/>
    <col min="10" max="16384" width="9.140625" style="565"/>
  </cols>
  <sheetData>
    <row r="4" spans="1:3" ht="15">
      <c r="A4" s="563" t="s">
        <v>649</v>
      </c>
      <c r="B4" s="564" t="s">
        <v>802</v>
      </c>
      <c r="C4" s="564" t="s">
        <v>652</v>
      </c>
    </row>
    <row r="5" spans="1:3" ht="20.25" customHeight="1" thickBot="1">
      <c r="A5" s="354" t="s">
        <v>737</v>
      </c>
      <c r="B5" s="354">
        <f>'BILANCI 2013'!D8</f>
        <v>7407665.2799999993</v>
      </c>
      <c r="C5" s="354">
        <f>'BILANCI 2013'!E8</f>
        <v>14848549.482539997</v>
      </c>
    </row>
    <row r="6" spans="1:3" ht="15.75" thickTop="1">
      <c r="A6" s="352"/>
      <c r="B6" s="353"/>
      <c r="C6" s="353"/>
    </row>
    <row r="7" spans="1:3" ht="15">
      <c r="A7" s="352"/>
      <c r="B7" s="353"/>
      <c r="C7" s="353"/>
    </row>
    <row r="8" spans="1:3" ht="15">
      <c r="A8" s="355" t="s">
        <v>738</v>
      </c>
      <c r="B8" s="564" t="s">
        <v>802</v>
      </c>
      <c r="C8" s="564" t="s">
        <v>652</v>
      </c>
    </row>
    <row r="9" spans="1:3" ht="20.25" customHeight="1" thickBot="1">
      <c r="A9" s="566" t="s">
        <v>739</v>
      </c>
      <c r="B9" s="354">
        <f>'BILANCI 2013'!D14</f>
        <v>73612409.879999995</v>
      </c>
      <c r="C9" s="354">
        <f>'BILANCI 2013'!E14</f>
        <v>86078090.632806897</v>
      </c>
    </row>
    <row r="10" spans="1:3" ht="13.5" thickTop="1">
      <c r="A10" s="567"/>
      <c r="B10" s="568"/>
      <c r="C10" s="568"/>
    </row>
    <row r="12" spans="1:3">
      <c r="A12" s="569"/>
      <c r="B12" s="570"/>
      <c r="C12" s="570"/>
    </row>
    <row r="13" spans="1:3">
      <c r="A13" s="569"/>
      <c r="B13" s="570"/>
      <c r="C13" s="570"/>
    </row>
    <row r="14" spans="1:3" ht="15">
      <c r="A14" s="347" t="s">
        <v>16</v>
      </c>
      <c r="B14" s="348" t="s">
        <v>802</v>
      </c>
      <c r="C14" s="348" t="s">
        <v>652</v>
      </c>
    </row>
    <row r="15" spans="1:3" ht="16.5" customHeight="1">
      <c r="A15" s="349" t="s">
        <v>653</v>
      </c>
      <c r="B15" s="571">
        <v>0</v>
      </c>
      <c r="C15" s="571">
        <f>-'BILANCI 2013'!E131</f>
        <v>2902772</v>
      </c>
    </row>
    <row r="16" spans="1:3" ht="18" customHeight="1">
      <c r="A16" s="350" t="s">
        <v>803</v>
      </c>
      <c r="B16" s="572">
        <f>'BILANCI 2013'!D133</f>
        <v>819048.43</v>
      </c>
      <c r="C16" s="572">
        <v>2755466</v>
      </c>
    </row>
    <row r="17" spans="1:10" ht="18" customHeight="1" thickBot="1">
      <c r="A17" s="351" t="s">
        <v>484</v>
      </c>
      <c r="B17" s="566">
        <v>0</v>
      </c>
      <c r="C17" s="566">
        <f>'BILANCI 2013'!E159</f>
        <v>51115</v>
      </c>
    </row>
    <row r="18" spans="1:10" ht="30.75" thickTop="1">
      <c r="A18" s="352" t="s">
        <v>654</v>
      </c>
      <c r="B18" s="353">
        <f>SUM(B15:B16)</f>
        <v>819048.43</v>
      </c>
      <c r="C18" s="353">
        <f>'BILANCI 2013'!E15</f>
        <v>4605682</v>
      </c>
    </row>
    <row r="22" spans="1:10" ht="38.25">
      <c r="A22" s="286" t="s">
        <v>655</v>
      </c>
      <c r="B22" s="618" t="s">
        <v>38</v>
      </c>
      <c r="C22" s="287" t="s">
        <v>656</v>
      </c>
      <c r="D22" s="287" t="s">
        <v>318</v>
      </c>
      <c r="E22" s="288" t="s">
        <v>657</v>
      </c>
      <c r="F22" s="361"/>
      <c r="G22" s="362"/>
    </row>
    <row r="23" spans="1:10">
      <c r="A23" s="289" t="s">
        <v>806</v>
      </c>
      <c r="B23" s="619">
        <f>'BILANCI 2013'!E40</f>
        <v>754018939</v>
      </c>
      <c r="C23" s="290">
        <v>26145673.969999999</v>
      </c>
      <c r="D23" s="290">
        <v>128408</v>
      </c>
      <c r="E23" s="291">
        <f>SUM(B23:D23)</f>
        <v>780293020.97000003</v>
      </c>
      <c r="F23" s="363"/>
      <c r="G23" s="364"/>
      <c r="J23" s="573"/>
    </row>
    <row r="24" spans="1:10">
      <c r="A24" s="292" t="s">
        <v>130</v>
      </c>
      <c r="B24" s="620">
        <v>0</v>
      </c>
      <c r="C24" s="293">
        <v>0</v>
      </c>
      <c r="D24" s="293">
        <v>30000</v>
      </c>
      <c r="E24" s="294">
        <f t="shared" ref="E24:E29" si="0">SUM(B24:D24)</f>
        <v>30000</v>
      </c>
      <c r="F24" s="365"/>
      <c r="G24" s="366"/>
    </row>
    <row r="25" spans="1:10" ht="13.5" thickBot="1">
      <c r="A25" s="292" t="s">
        <v>131</v>
      </c>
      <c r="B25" s="620">
        <f>'BILANCI 2013'!D40-'BILANCI 2013'!E40</f>
        <v>-339204660.12</v>
      </c>
      <c r="C25" s="293">
        <v>-20916538.969999999</v>
      </c>
      <c r="D25" s="293">
        <v>0</v>
      </c>
      <c r="E25" s="294">
        <f t="shared" si="0"/>
        <v>-360121199.09000003</v>
      </c>
      <c r="F25" s="365"/>
      <c r="G25" s="366"/>
    </row>
    <row r="26" spans="1:10" ht="13.5" thickTop="1">
      <c r="A26" s="295" t="s">
        <v>807</v>
      </c>
      <c r="B26" s="296">
        <f>SUM(B23:B25)</f>
        <v>414814278.88</v>
      </c>
      <c r="C26" s="296">
        <f>SUM(C23:C25)</f>
        <v>5229135</v>
      </c>
      <c r="D26" s="296">
        <f>SUM(D23:D25)</f>
        <v>158408</v>
      </c>
      <c r="E26" s="297">
        <f t="shared" si="0"/>
        <v>420201821.88</v>
      </c>
      <c r="F26" s="363"/>
      <c r="G26" s="364"/>
    </row>
    <row r="27" spans="1:10">
      <c r="A27" s="289" t="s">
        <v>482</v>
      </c>
      <c r="B27" s="289"/>
      <c r="C27" s="293"/>
      <c r="D27" s="293"/>
      <c r="E27" s="294">
        <f t="shared" si="0"/>
        <v>0</v>
      </c>
      <c r="F27" s="365"/>
      <c r="G27" s="366"/>
    </row>
    <row r="28" spans="1:10" ht="13.5" thickBot="1">
      <c r="A28" s="292" t="s">
        <v>808</v>
      </c>
      <c r="B28" s="620">
        <v>0</v>
      </c>
      <c r="C28" s="293">
        <f>-Amortizimi!F6</f>
        <v>-5229134.7939999998</v>
      </c>
      <c r="D28" s="293">
        <f>-(Amortizimi!F7+Amortizimi!F8)</f>
        <v>-37102</v>
      </c>
      <c r="E28" s="294">
        <f t="shared" si="0"/>
        <v>-5266236.7939999998</v>
      </c>
      <c r="F28" s="365"/>
      <c r="G28" s="366"/>
    </row>
    <row r="29" spans="1:10" ht="18" customHeight="1" thickTop="1">
      <c r="A29" s="295" t="s">
        <v>809</v>
      </c>
      <c r="B29" s="296">
        <f>B26+B28</f>
        <v>414814278.88</v>
      </c>
      <c r="C29" s="621">
        <f>C26+C28</f>
        <v>0.20600000023841858</v>
      </c>
      <c r="D29" s="296">
        <f>D26+D28</f>
        <v>121306</v>
      </c>
      <c r="E29" s="297">
        <f t="shared" si="0"/>
        <v>414935585.08599997</v>
      </c>
      <c r="F29" s="367"/>
      <c r="G29" s="364"/>
      <c r="I29" s="573"/>
    </row>
    <row r="30" spans="1:10">
      <c r="B30" s="573"/>
      <c r="C30" s="573"/>
      <c r="D30" s="573"/>
      <c r="E30" s="573"/>
      <c r="F30" s="573"/>
    </row>
    <row r="31" spans="1:10">
      <c r="B31" s="573"/>
      <c r="C31" s="573"/>
      <c r="D31" s="573"/>
      <c r="E31" s="573"/>
      <c r="F31" s="573"/>
    </row>
    <row r="32" spans="1:10" ht="15">
      <c r="A32" s="355" t="s">
        <v>772</v>
      </c>
      <c r="B32" s="564" t="s">
        <v>802</v>
      </c>
      <c r="C32" s="564" t="s">
        <v>804</v>
      </c>
    </row>
    <row r="33" spans="1:4" ht="18" customHeight="1" thickBot="1">
      <c r="A33" s="566" t="s">
        <v>773</v>
      </c>
      <c r="B33" s="354">
        <f>'BILANCI 2013'!D48</f>
        <v>733636</v>
      </c>
      <c r="C33" s="354">
        <f>'BILANCI 2013'!E48</f>
        <v>863101</v>
      </c>
    </row>
    <row r="34" spans="1:4" ht="13.5" thickTop="1"/>
    <row r="35" spans="1:4" hidden="1">
      <c r="A35" s="574" t="s">
        <v>16</v>
      </c>
      <c r="B35" s="575" t="s">
        <v>652</v>
      </c>
    </row>
    <row r="36" spans="1:4" ht="15" hidden="1">
      <c r="A36" s="576" t="s">
        <v>658</v>
      </c>
      <c r="B36" s="577">
        <f>(7490504-7487219)+(1395751-697801)</f>
        <v>701235</v>
      </c>
    </row>
    <row r="37" spans="1:4" ht="15" hidden="1">
      <c r="A37" s="576" t="s">
        <v>363</v>
      </c>
      <c r="B37" s="577">
        <f>3631600-638600</f>
        <v>2993000</v>
      </c>
    </row>
    <row r="38" spans="1:4" ht="15" hidden="1">
      <c r="A38" s="576" t="s">
        <v>659</v>
      </c>
      <c r="B38" s="577">
        <v>351811.46</v>
      </c>
    </row>
    <row r="39" spans="1:4" ht="15" hidden="1">
      <c r="A39" s="576" t="s">
        <v>660</v>
      </c>
      <c r="B39" s="577">
        <v>942232.5</v>
      </c>
    </row>
    <row r="40" spans="1:4" ht="15" hidden="1">
      <c r="A40" s="576" t="s">
        <v>661</v>
      </c>
      <c r="B40" s="577">
        <v>664448.4</v>
      </c>
    </row>
    <row r="41" spans="1:4" ht="15" hidden="1">
      <c r="A41" s="576" t="s">
        <v>662</v>
      </c>
      <c r="B41" s="577">
        <v>629306.19999999995</v>
      </c>
    </row>
    <row r="42" spans="1:4" ht="15" hidden="1">
      <c r="A42" s="576" t="s">
        <v>663</v>
      </c>
      <c r="B42" s="577">
        <v>326640.59999999998</v>
      </c>
    </row>
    <row r="43" spans="1:4" ht="15" hidden="1">
      <c r="A43" s="576" t="s">
        <v>664</v>
      </c>
      <c r="B43" s="577">
        <f>212866-106443</f>
        <v>106423</v>
      </c>
    </row>
    <row r="44" spans="1:4" ht="15" hidden="1">
      <c r="A44" s="576" t="s">
        <v>665</v>
      </c>
      <c r="B44" s="577">
        <f>853609+117255.6</f>
        <v>970864.6</v>
      </c>
    </row>
    <row r="45" spans="1:4" ht="15.75" hidden="1" thickBot="1">
      <c r="A45" s="578" t="s">
        <v>666</v>
      </c>
      <c r="B45" s="579">
        <f>2100000+73145.16</f>
        <v>2173145.16</v>
      </c>
    </row>
    <row r="46" spans="1:4" ht="15.75" hidden="1" thickTop="1">
      <c r="A46" s="298" t="s">
        <v>657</v>
      </c>
      <c r="B46" s="299">
        <f>SUM(B36:B45)</f>
        <v>9859106.9199999999</v>
      </c>
      <c r="D46" s="580">
        <f>B46-9859106.92</f>
        <v>0</v>
      </c>
    </row>
    <row r="47" spans="1:4" hidden="1"/>
    <row r="48" spans="1:4" hidden="1"/>
    <row r="49" spans="1:3" ht="15.75" hidden="1" thickBot="1">
      <c r="A49" s="581" t="s">
        <v>667</v>
      </c>
      <c r="B49" s="582"/>
      <c r="C49" s="582" t="s">
        <v>650</v>
      </c>
    </row>
    <row r="50" spans="1:3" ht="15.75" hidden="1" thickTop="1">
      <c r="A50" s="583" t="s">
        <v>668</v>
      </c>
      <c r="B50" s="576"/>
      <c r="C50" s="584" t="s">
        <v>669</v>
      </c>
    </row>
    <row r="51" spans="1:3" hidden="1">
      <c r="A51" s="585" t="s">
        <v>670</v>
      </c>
      <c r="B51" s="586"/>
      <c r="C51" s="586">
        <v>264531.24999999901</v>
      </c>
    </row>
    <row r="52" spans="1:3" hidden="1">
      <c r="A52" s="585" t="s">
        <v>671</v>
      </c>
      <c r="B52" s="586"/>
      <c r="C52" s="586">
        <v>136364.85999999999</v>
      </c>
    </row>
    <row r="53" spans="1:3" hidden="1">
      <c r="A53" s="585" t="s">
        <v>672</v>
      </c>
      <c r="B53" s="586"/>
      <c r="C53" s="586">
        <v>53381.279999999999</v>
      </c>
    </row>
    <row r="54" spans="1:3" hidden="1">
      <c r="A54" s="585"/>
      <c r="B54" s="586"/>
      <c r="C54" s="586"/>
    </row>
    <row r="55" spans="1:3" ht="26.25" hidden="1" thickBot="1">
      <c r="A55" s="587" t="s">
        <v>673</v>
      </c>
      <c r="B55" s="588" t="s">
        <v>674</v>
      </c>
      <c r="C55" s="589" t="s">
        <v>675</v>
      </c>
    </row>
    <row r="56" spans="1:3" ht="13.5" hidden="1" thickTop="1">
      <c r="A56" s="585" t="s">
        <v>676</v>
      </c>
      <c r="B56" s="586">
        <v>827.03000000008296</v>
      </c>
      <c r="C56" s="586">
        <v>114899.284400005</v>
      </c>
    </row>
    <row r="57" spans="1:3" hidden="1">
      <c r="A57" s="585" t="s">
        <v>671</v>
      </c>
      <c r="B57" s="586">
        <v>1738.25000000041</v>
      </c>
      <c r="C57" s="586">
        <v>241495.07170000399</v>
      </c>
    </row>
    <row r="58" spans="1:3" hidden="1">
      <c r="A58" s="585" t="s">
        <v>677</v>
      </c>
      <c r="B58" s="586">
        <v>55.25</v>
      </c>
      <c r="C58" s="586">
        <v>7675.87499999995</v>
      </c>
    </row>
    <row r="59" spans="1:3" hidden="1">
      <c r="A59" s="585" t="s">
        <v>678</v>
      </c>
      <c r="B59" s="586">
        <v>1998.75000000003</v>
      </c>
      <c r="C59" s="586">
        <v>277686.33829999203</v>
      </c>
    </row>
    <row r="60" spans="1:3" hidden="1">
      <c r="A60" s="585" t="s">
        <v>679</v>
      </c>
      <c r="B60" s="586">
        <v>4404.5599999996703</v>
      </c>
      <c r="C60" s="586">
        <v>611925.51159987703</v>
      </c>
    </row>
    <row r="61" spans="1:3" hidden="1">
      <c r="A61" s="585" t="s">
        <v>680</v>
      </c>
      <c r="B61" s="586">
        <v>1052.6199999999899</v>
      </c>
      <c r="C61" s="586">
        <v>146240.48939999801</v>
      </c>
    </row>
    <row r="62" spans="1:3" hidden="1">
      <c r="A62" s="585" t="s">
        <v>681</v>
      </c>
      <c r="B62" s="586">
        <v>170.290000000117</v>
      </c>
      <c r="C62" s="586">
        <v>23658.3900000299</v>
      </c>
    </row>
    <row r="63" spans="1:3" hidden="1">
      <c r="A63" s="585" t="s">
        <v>682</v>
      </c>
      <c r="B63" s="586">
        <v>850.08000000001903</v>
      </c>
      <c r="C63" s="586">
        <v>118101.61860000499</v>
      </c>
    </row>
    <row r="64" spans="1:3" ht="15.75" hidden="1" thickBot="1">
      <c r="A64" s="578"/>
      <c r="B64" s="578"/>
      <c r="C64" s="578"/>
    </row>
    <row r="65" spans="1:4" ht="15.75" hidden="1" thickTop="1">
      <c r="A65" s="368" t="s">
        <v>13</v>
      </c>
      <c r="B65" s="590"/>
      <c r="C65" s="300">
        <v>1995959.9689999099</v>
      </c>
    </row>
    <row r="70" spans="1:4" ht="15" customHeight="1">
      <c r="A70" s="347" t="s">
        <v>28</v>
      </c>
      <c r="B70" s="591" t="s">
        <v>802</v>
      </c>
      <c r="C70" s="591" t="s">
        <v>804</v>
      </c>
    </row>
    <row r="71" spans="1:4" ht="17.25" customHeight="1" thickBot="1">
      <c r="A71" s="351" t="s">
        <v>683</v>
      </c>
      <c r="B71" s="356">
        <f>'BILANCI 2013'!D28</f>
        <v>10480609.970000001</v>
      </c>
      <c r="C71" s="357">
        <f>'BILANCI 2013'!E28</f>
        <v>12330128.970000001</v>
      </c>
    </row>
    <row r="72" spans="1:4" ht="13.5" thickTop="1"/>
    <row r="75" spans="1:4" ht="38.25" hidden="1">
      <c r="A75" s="592" t="s">
        <v>33</v>
      </c>
      <c r="B75" s="593" t="s">
        <v>650</v>
      </c>
    </row>
    <row r="76" spans="1:4" ht="15" hidden="1">
      <c r="A76" s="576" t="s">
        <v>359</v>
      </c>
      <c r="B76" s="594">
        <v>689750000</v>
      </c>
      <c r="D76" s="576">
        <v>219</v>
      </c>
    </row>
    <row r="77" spans="1:4" ht="15" hidden="1">
      <c r="A77" s="595" t="s">
        <v>684</v>
      </c>
      <c r="B77" s="594">
        <v>114180454.08</v>
      </c>
      <c r="D77" s="576">
        <v>220</v>
      </c>
    </row>
    <row r="78" spans="1:4" ht="15" hidden="1">
      <c r="A78" s="576" t="s">
        <v>685</v>
      </c>
      <c r="B78" s="594">
        <v>102092190</v>
      </c>
      <c r="D78" s="576">
        <v>221</v>
      </c>
    </row>
    <row r="79" spans="1:4" ht="15" hidden="1">
      <c r="A79" s="576" t="s">
        <v>478</v>
      </c>
      <c r="B79" s="594">
        <v>90000000</v>
      </c>
      <c r="D79" s="576" t="s">
        <v>686</v>
      </c>
    </row>
    <row r="80" spans="1:4" ht="15" hidden="1">
      <c r="A80" s="576" t="s">
        <v>687</v>
      </c>
      <c r="B80" s="594">
        <v>86600000</v>
      </c>
      <c r="D80" s="576" t="s">
        <v>688</v>
      </c>
    </row>
    <row r="81" spans="1:4" ht="15" hidden="1">
      <c r="A81" s="576" t="s">
        <v>689</v>
      </c>
      <c r="B81" s="594">
        <v>18941218.829999998</v>
      </c>
      <c r="D81" s="576" t="s">
        <v>690</v>
      </c>
    </row>
    <row r="82" spans="1:4" ht="15" hidden="1">
      <c r="A82" s="576" t="s">
        <v>691</v>
      </c>
      <c r="B82" s="594">
        <v>2000000</v>
      </c>
      <c r="D82" s="576" t="s">
        <v>692</v>
      </c>
    </row>
    <row r="83" spans="1:4" ht="15" hidden="1">
      <c r="A83" s="576" t="s">
        <v>693</v>
      </c>
      <c r="B83" s="594">
        <v>100000</v>
      </c>
      <c r="D83" s="576" t="s">
        <v>694</v>
      </c>
    </row>
    <row r="84" spans="1:4" ht="15" hidden="1">
      <c r="A84" s="576" t="s">
        <v>695</v>
      </c>
      <c r="B84" s="594">
        <v>100000</v>
      </c>
      <c r="D84" s="576" t="s">
        <v>696</v>
      </c>
    </row>
    <row r="85" spans="1:4" ht="15" hidden="1">
      <c r="A85" s="576" t="s">
        <v>697</v>
      </c>
      <c r="B85" s="594">
        <v>100</v>
      </c>
      <c r="D85" s="576" t="s">
        <v>698</v>
      </c>
    </row>
    <row r="86" spans="1:4" ht="15.75" hidden="1" thickBot="1">
      <c r="A86" s="576" t="s">
        <v>699</v>
      </c>
      <c r="B86" s="594">
        <v>90</v>
      </c>
      <c r="D86" s="576" t="s">
        <v>700</v>
      </c>
    </row>
    <row r="87" spans="1:4" ht="15.75" hidden="1" thickTop="1">
      <c r="A87" s="368" t="s">
        <v>657</v>
      </c>
      <c r="B87" s="300">
        <f>SUM(B76:B86)</f>
        <v>1103764052.9099998</v>
      </c>
      <c r="C87" s="300">
        <f>SUM(C84:C86)</f>
        <v>0</v>
      </c>
    </row>
    <row r="88" spans="1:4" hidden="1">
      <c r="B88" s="596">
        <f>B87-[1]bilanci!E34</f>
        <v>0</v>
      </c>
    </row>
    <row r="89" spans="1:4" hidden="1"/>
    <row r="90" spans="1:4" ht="38.25" hidden="1">
      <c r="A90" s="592" t="s">
        <v>33</v>
      </c>
      <c r="B90" s="593" t="s">
        <v>650</v>
      </c>
      <c r="C90" s="593" t="s">
        <v>651</v>
      </c>
    </row>
    <row r="91" spans="1:4" ht="15" hidden="1">
      <c r="A91" s="576" t="s">
        <v>701</v>
      </c>
      <c r="B91" s="594">
        <v>886473290.67000008</v>
      </c>
      <c r="C91" s="596">
        <v>559234219</v>
      </c>
    </row>
    <row r="92" spans="1:4" ht="15" hidden="1">
      <c r="A92" s="576" t="s">
        <v>702</v>
      </c>
      <c r="B92" s="594">
        <v>14200000</v>
      </c>
      <c r="D92" s="565" t="s">
        <v>703</v>
      </c>
    </row>
    <row r="93" spans="1:4" ht="15.75" hidden="1" thickBot="1">
      <c r="A93" s="576" t="s">
        <v>704</v>
      </c>
      <c r="B93" s="597">
        <v>655644456.38999999</v>
      </c>
      <c r="D93" s="565">
        <v>222</v>
      </c>
    </row>
    <row r="94" spans="1:4" ht="15.75" hidden="1" thickTop="1">
      <c r="A94" s="368" t="s">
        <v>657</v>
      </c>
      <c r="B94" s="300">
        <f>SUM(B91:B93)</f>
        <v>1556317747.0599999</v>
      </c>
      <c r="C94" s="300">
        <f>SUM(C91:C93)</f>
        <v>559234219</v>
      </c>
    </row>
    <row r="95" spans="1:4" hidden="1">
      <c r="B95" s="573">
        <f>B94-[1]bilanci!E35</f>
        <v>0</v>
      </c>
    </row>
    <row r="98" spans="1:3" ht="20.25" customHeight="1">
      <c r="A98" s="347" t="s">
        <v>36</v>
      </c>
      <c r="B98" s="591" t="s">
        <v>805</v>
      </c>
      <c r="C98" s="591" t="s">
        <v>652</v>
      </c>
    </row>
    <row r="99" spans="1:3" ht="21.75" customHeight="1" thickBot="1">
      <c r="A99" s="359" t="s">
        <v>771</v>
      </c>
      <c r="B99" s="360">
        <f>'BILANCI 2013'!D37</f>
        <v>944601704.43000007</v>
      </c>
      <c r="C99" s="360">
        <f>'BILANCI 2013'!E37</f>
        <v>662032734.03999996</v>
      </c>
    </row>
    <row r="100" spans="1:3" ht="13.5" thickTop="1">
      <c r="B100" s="573"/>
    </row>
    <row r="104" spans="1:3" hidden="1">
      <c r="A104" s="592" t="s">
        <v>57</v>
      </c>
      <c r="B104" s="593" t="s">
        <v>650</v>
      </c>
      <c r="C104" s="593" t="s">
        <v>651</v>
      </c>
    </row>
    <row r="105" spans="1:3" ht="15" hidden="1">
      <c r="A105" s="576" t="s">
        <v>478</v>
      </c>
      <c r="B105" s="594">
        <v>5570815.1399999997</v>
      </c>
      <c r="C105" s="596">
        <v>3746712</v>
      </c>
    </row>
    <row r="106" spans="1:3" ht="15.75" hidden="1" thickBot="1">
      <c r="A106" s="576" t="s">
        <v>705</v>
      </c>
      <c r="B106" s="597">
        <v>8051985.4699999997</v>
      </c>
    </row>
    <row r="107" spans="1:3" ht="15.75" hidden="1" thickTop="1">
      <c r="A107" s="368" t="s">
        <v>657</v>
      </c>
      <c r="B107" s="300">
        <f>SUM(B105:B106)</f>
        <v>13622800.609999999</v>
      </c>
      <c r="C107" s="300">
        <f>SUM(C105:C106)</f>
        <v>3746712</v>
      </c>
    </row>
    <row r="108" spans="1:3" hidden="1"/>
    <row r="110" spans="1:3" ht="14.25" customHeight="1">
      <c r="A110" s="592" t="s">
        <v>774</v>
      </c>
      <c r="B110" s="598" t="s">
        <v>802</v>
      </c>
      <c r="C110" s="598" t="s">
        <v>652</v>
      </c>
    </row>
    <row r="111" spans="1:3" ht="19.5" customHeight="1" thickBot="1">
      <c r="A111" s="599" t="s">
        <v>774</v>
      </c>
      <c r="B111" s="371">
        <f>'BILANCI 2013'!D78</f>
        <v>270611454.86000001</v>
      </c>
      <c r="C111" s="371">
        <f>'BILANCI 2013'!E78</f>
        <v>717578059.66999996</v>
      </c>
    </row>
    <row r="112" spans="1:3" ht="13.5" thickTop="1"/>
    <row r="114" spans="1:8" ht="15">
      <c r="A114" s="347" t="s">
        <v>62</v>
      </c>
      <c r="B114" s="591" t="s">
        <v>802</v>
      </c>
      <c r="C114" s="591" t="s">
        <v>652</v>
      </c>
    </row>
    <row r="115" spans="1:8" ht="15">
      <c r="A115" s="369" t="s">
        <v>706</v>
      </c>
      <c r="B115" s="370">
        <f>-'BILANCI 2013'!D160</f>
        <v>26541</v>
      </c>
      <c r="C115" s="370">
        <f>-'BILANCI 2013'!E160</f>
        <v>25521</v>
      </c>
      <c r="D115" s="358"/>
      <c r="E115" s="600"/>
      <c r="F115" s="600"/>
      <c r="G115" s="600"/>
      <c r="H115" s="601"/>
    </row>
    <row r="116" spans="1:8" ht="15">
      <c r="A116" s="369" t="s">
        <v>817</v>
      </c>
      <c r="B116" s="370">
        <f>'BILANCI 2013'!D130</f>
        <v>19573</v>
      </c>
      <c r="C116" s="370">
        <f>'BILANCI 2013'!E130</f>
        <v>18583</v>
      </c>
      <c r="D116" s="358"/>
      <c r="E116" s="600"/>
      <c r="F116" s="600"/>
      <c r="G116" s="600"/>
      <c r="H116" s="601"/>
    </row>
    <row r="117" spans="1:8" ht="15">
      <c r="A117" s="369" t="s">
        <v>431</v>
      </c>
      <c r="B117" s="370">
        <v>0</v>
      </c>
      <c r="C117" s="370">
        <f>'BILANCI 2013'!E132</f>
        <v>2000000</v>
      </c>
      <c r="D117" s="358"/>
      <c r="E117" s="600"/>
      <c r="F117" s="600"/>
      <c r="G117" s="600"/>
      <c r="H117" s="602"/>
    </row>
    <row r="118" spans="1:8" ht="15.75" thickBot="1">
      <c r="A118" s="369" t="s">
        <v>818</v>
      </c>
      <c r="B118" s="370">
        <f>'TE ARDHURA SHPENZIME 2013'!D29+'BILANCI 2013'!D131</f>
        <v>24749322.088000014</v>
      </c>
      <c r="C118" s="370"/>
      <c r="D118" s="358"/>
      <c r="E118" s="600"/>
      <c r="F118" s="600"/>
      <c r="G118" s="600"/>
      <c r="H118" s="602"/>
    </row>
    <row r="119" spans="1:8" ht="15.75" thickTop="1">
      <c r="A119" s="368" t="s">
        <v>657</v>
      </c>
      <c r="B119" s="300">
        <f>SUM(B115:B118)</f>
        <v>24795436.088000014</v>
      </c>
      <c r="C119" s="300">
        <f>SUM(C115:C118)</f>
        <v>2044104</v>
      </c>
    </row>
    <row r="120" spans="1:8" ht="15.75">
      <c r="A120" s="358"/>
      <c r="B120" s="603">
        <f>B119-'BILANCI 2013'!D76</f>
        <v>0</v>
      </c>
      <c r="C120" s="603">
        <f>C119-'BILANCI 2013'!E76</f>
        <v>0</v>
      </c>
      <c r="D120" s="604"/>
      <c r="E120" s="604"/>
      <c r="F120" s="604"/>
      <c r="G120" s="605"/>
      <c r="H120" s="605"/>
    </row>
    <row r="122" spans="1:8" hidden="1"/>
    <row r="123" spans="1:8" hidden="1">
      <c r="A123" s="592" t="s">
        <v>63</v>
      </c>
      <c r="B123" s="593" t="s">
        <v>650</v>
      </c>
      <c r="C123" s="593" t="s">
        <v>651</v>
      </c>
    </row>
    <row r="124" spans="1:8" hidden="1">
      <c r="A124" s="606" t="s">
        <v>707</v>
      </c>
      <c r="B124" s="601">
        <f>-'[1]467'!J18</f>
        <v>62683112</v>
      </c>
      <c r="C124" s="601">
        <f>[1]bilanci!F200</f>
        <v>62683112</v>
      </c>
    </row>
    <row r="125" spans="1:8" hidden="1">
      <c r="A125" s="607" t="s">
        <v>359</v>
      </c>
      <c r="B125" s="601">
        <f>-'[1]467'!J12</f>
        <v>65581458.389999896</v>
      </c>
      <c r="C125" s="601"/>
    </row>
    <row r="126" spans="1:8" hidden="1">
      <c r="A126" s="607" t="s">
        <v>708</v>
      </c>
      <c r="B126" s="601">
        <f>-'[1]467'!J16</f>
        <v>55344680</v>
      </c>
      <c r="C126" s="602"/>
    </row>
    <row r="127" spans="1:8" ht="13.5" hidden="1" thickBot="1">
      <c r="A127" s="607" t="s">
        <v>484</v>
      </c>
      <c r="B127" s="601">
        <f>-'[1]467'!J17</f>
        <v>1945020</v>
      </c>
      <c r="C127" s="601"/>
    </row>
    <row r="128" spans="1:8" ht="15.75" hidden="1" thickTop="1">
      <c r="A128" s="368" t="s">
        <v>657</v>
      </c>
      <c r="B128" s="300">
        <f>SUM(B124:B127)</f>
        <v>185554270.3899999</v>
      </c>
      <c r="C128" s="300">
        <f>SUM(C124:C127)</f>
        <v>62683112</v>
      </c>
    </row>
    <row r="129" spans="1:3" hidden="1"/>
    <row r="130" spans="1:3" hidden="1"/>
    <row r="131" spans="1:3" hidden="1"/>
    <row r="132" spans="1:3" ht="25.5" hidden="1" customHeight="1">
      <c r="A132" s="592" t="s">
        <v>70</v>
      </c>
      <c r="B132" s="593" t="s">
        <v>650</v>
      </c>
      <c r="C132" s="593" t="s">
        <v>651</v>
      </c>
    </row>
    <row r="133" spans="1:3" hidden="1">
      <c r="A133" s="565" t="s">
        <v>709</v>
      </c>
      <c r="B133" s="608">
        <v>49305145.560000002</v>
      </c>
      <c r="C133" s="608">
        <v>49248363</v>
      </c>
    </row>
    <row r="134" spans="1:3" hidden="1">
      <c r="A134" s="565" t="s">
        <v>710</v>
      </c>
      <c r="B134" s="608">
        <v>72359353.695199996</v>
      </c>
      <c r="C134" s="608">
        <v>106968531</v>
      </c>
    </row>
    <row r="135" spans="1:3" hidden="1">
      <c r="A135" s="565" t="s">
        <v>711</v>
      </c>
      <c r="B135" s="608">
        <v>920239671.44999993</v>
      </c>
      <c r="C135" s="608">
        <v>919179869</v>
      </c>
    </row>
    <row r="136" spans="1:3" hidden="1">
      <c r="A136" s="565" t="s">
        <v>712</v>
      </c>
      <c r="B136" s="608">
        <v>1840778.0499999998</v>
      </c>
      <c r="C136" s="608"/>
    </row>
    <row r="137" spans="1:3" hidden="1">
      <c r="A137" s="565" t="s">
        <v>713</v>
      </c>
      <c r="B137" s="608">
        <v>223413301.05000001</v>
      </c>
      <c r="C137" s="608"/>
    </row>
    <row r="138" spans="1:3" ht="13.5" hidden="1" thickBot="1">
      <c r="A138" s="565" t="s">
        <v>714</v>
      </c>
      <c r="B138" s="608">
        <f>[1]bilanci!E198</f>
        <v>403410.39779999899</v>
      </c>
      <c r="C138" s="608">
        <v>1022890</v>
      </c>
    </row>
    <row r="139" spans="1:3" ht="15.75" hidden="1" thickTop="1">
      <c r="A139" s="368" t="s">
        <v>657</v>
      </c>
      <c r="B139" s="300">
        <f>SUM(B133:B138)</f>
        <v>1267561660.2029998</v>
      </c>
      <c r="C139" s="300">
        <f>SUM(C133:C138)</f>
        <v>1076419653</v>
      </c>
    </row>
    <row r="140" spans="1:3" hidden="1">
      <c r="B140" s="573">
        <f>B139-[1]bilanci!E91</f>
        <v>0</v>
      </c>
      <c r="C140" s="573">
        <f>C139-[1]bilanci!F91</f>
        <v>-0.12000012397766113</v>
      </c>
    </row>
    <row r="141" spans="1:3" hidden="1"/>
    <row r="142" spans="1:3" hidden="1">
      <c r="A142" s="592" t="s">
        <v>72</v>
      </c>
      <c r="B142" s="593" t="s">
        <v>650</v>
      </c>
      <c r="C142" s="593" t="s">
        <v>651</v>
      </c>
    </row>
    <row r="143" spans="1:3" ht="13.5" hidden="1" thickBot="1">
      <c r="A143" s="565" t="s">
        <v>715</v>
      </c>
      <c r="B143" s="608">
        <f>[1]bilanci!E197</f>
        <v>696945440.03999996</v>
      </c>
      <c r="C143" s="608">
        <f>[1]bilanci!F197</f>
        <v>569059130.51999998</v>
      </c>
    </row>
    <row r="144" spans="1:3" ht="15.75" hidden="1" thickTop="1">
      <c r="A144" s="368" t="s">
        <v>657</v>
      </c>
      <c r="B144" s="300">
        <f>SUM(B143:B143)</f>
        <v>696945440.03999996</v>
      </c>
      <c r="C144" s="300">
        <f>SUM(C143:C143)</f>
        <v>569059130.51999998</v>
      </c>
    </row>
    <row r="145" spans="1:3" hidden="1">
      <c r="B145" s="573">
        <f>B144-[1]bilanci!E94</f>
        <v>0</v>
      </c>
      <c r="C145" s="573">
        <f>C144-[1]bilanci!F94</f>
        <v>0</v>
      </c>
    </row>
    <row r="146" spans="1:3" hidden="1"/>
    <row r="147" spans="1:3" hidden="1"/>
    <row r="148" spans="1:3" hidden="1">
      <c r="A148" s="592" t="s">
        <v>621</v>
      </c>
      <c r="B148" s="593" t="s">
        <v>650</v>
      </c>
      <c r="C148" s="593" t="s">
        <v>651</v>
      </c>
    </row>
    <row r="149" spans="1:3" ht="13.5" hidden="1" thickBot="1">
      <c r="A149" s="565" t="s">
        <v>716</v>
      </c>
      <c r="B149" s="608">
        <f>'[1]Fitim-Hmbje'!F5</f>
        <v>30968305.850000001</v>
      </c>
      <c r="C149" s="608">
        <f>'[1]Fitim-Hmbje'!G5</f>
        <v>238324596.24000001</v>
      </c>
    </row>
    <row r="150" spans="1:3" ht="15.75" hidden="1" thickTop="1">
      <c r="A150" s="368" t="s">
        <v>657</v>
      </c>
      <c r="B150" s="300">
        <f>SUM(B149:B149)</f>
        <v>30968305.850000001</v>
      </c>
      <c r="C150" s="300">
        <f>SUM(C149:C149)</f>
        <v>238324596.24000001</v>
      </c>
    </row>
    <row r="151" spans="1:3" hidden="1"/>
    <row r="154" spans="1:3" ht="25.5">
      <c r="A154" s="592" t="s">
        <v>94</v>
      </c>
      <c r="B154" s="593" t="s">
        <v>650</v>
      </c>
      <c r="C154" s="593" t="s">
        <v>651</v>
      </c>
    </row>
    <row r="155" spans="1:3">
      <c r="A155" s="609" t="s">
        <v>717</v>
      </c>
      <c r="B155" s="608">
        <f>'[1]Fitim-Hmbje'!F41</f>
        <v>109236.4</v>
      </c>
      <c r="C155" s="610"/>
    </row>
    <row r="156" spans="1:3" ht="13.5" thickBot="1">
      <c r="A156" s="565" t="s">
        <v>718</v>
      </c>
      <c r="B156" s="608">
        <f>'[1]Fitim-Hmbje'!F42</f>
        <v>316667</v>
      </c>
      <c r="C156" s="608">
        <f>'[1]Fitim-Hmbje'!G6</f>
        <v>58333</v>
      </c>
    </row>
    <row r="157" spans="1:3" ht="15.75" thickTop="1">
      <c r="A157" s="368" t="s">
        <v>657</v>
      </c>
      <c r="B157" s="300">
        <f>SUM(B155:B156)</f>
        <v>425903.4</v>
      </c>
      <c r="C157" s="300">
        <f>SUM(C156:C156)</f>
        <v>58333</v>
      </c>
    </row>
    <row r="160" spans="1:3" ht="30">
      <c r="A160" s="347" t="s">
        <v>98</v>
      </c>
      <c r="B160" s="348" t="s">
        <v>802</v>
      </c>
      <c r="C160" s="348" t="s">
        <v>652</v>
      </c>
    </row>
    <row r="161" spans="1:8" ht="15">
      <c r="A161" s="562" t="s">
        <v>827</v>
      </c>
      <c r="B161" s="611">
        <f>'TE ARDHURA SHPENZIME 2013'!D47</f>
        <v>470160396</v>
      </c>
      <c r="C161" s="611">
        <f>'TE ARDHURA SHPENZIME 2013'!E47</f>
        <v>36057364.119999997</v>
      </c>
      <c r="D161" s="612"/>
      <c r="E161" s="561"/>
      <c r="F161" s="613"/>
      <c r="G161" s="614"/>
    </row>
    <row r="162" spans="1:8" ht="15">
      <c r="A162" s="562" t="s">
        <v>829</v>
      </c>
      <c r="B162" s="611">
        <f>'TE ARDHURA SHPENZIME 2013'!D48</f>
        <v>20916538.969999999</v>
      </c>
      <c r="C162" s="611">
        <f>'TE ARDHURA SHPENZIME 2013'!E48</f>
        <v>9892433</v>
      </c>
      <c r="D162" s="612"/>
      <c r="F162" s="613"/>
      <c r="G162" s="614"/>
    </row>
    <row r="163" spans="1:8" ht="15">
      <c r="A163" s="561" t="s">
        <v>828</v>
      </c>
      <c r="B163" s="611">
        <v>0</v>
      </c>
      <c r="C163" s="611">
        <f>'TE ARDHURA SHPENZIME 2013'!E50</f>
        <v>36040.199999999997</v>
      </c>
      <c r="D163" s="612"/>
      <c r="E163" s="561"/>
      <c r="F163" s="613"/>
      <c r="G163" s="614"/>
    </row>
    <row r="164" spans="1:8" ht="15">
      <c r="A164" s="562" t="s">
        <v>719</v>
      </c>
      <c r="B164" s="611">
        <f>'TE ARDHURA SHPENZIME 2013'!D51</f>
        <v>5700</v>
      </c>
      <c r="C164" s="611">
        <f>'TE ARDHURA SHPENZIME 2013'!E51</f>
        <v>19633.34</v>
      </c>
      <c r="D164" s="612"/>
      <c r="E164" s="561"/>
      <c r="F164" s="613"/>
      <c r="G164" s="614"/>
    </row>
    <row r="165" spans="1:8" ht="15">
      <c r="A165" s="561" t="s">
        <v>189</v>
      </c>
      <c r="B165" s="611">
        <v>0</v>
      </c>
      <c r="C165" s="611">
        <f>'TE ARDHURA SHPENZIME 2013'!E52</f>
        <v>136608.64000000001</v>
      </c>
      <c r="D165" s="612"/>
      <c r="E165" s="561"/>
      <c r="F165" s="613"/>
      <c r="G165" s="614"/>
    </row>
    <row r="166" spans="1:8" ht="15">
      <c r="A166" s="562" t="s">
        <v>384</v>
      </c>
      <c r="B166" s="611">
        <f>'TE ARDHURA SHPENZIME 2013'!D53</f>
        <v>410121.13</v>
      </c>
      <c r="C166" s="611">
        <f>'TE ARDHURA SHPENZIME 2013'!E53+'TE ARDHURA SHPENZIME 2013'!E59</f>
        <v>336323</v>
      </c>
      <c r="D166" s="612"/>
      <c r="E166" s="561"/>
      <c r="F166" s="613"/>
      <c r="G166" s="614"/>
    </row>
    <row r="167" spans="1:8" ht="15">
      <c r="A167" s="561" t="s">
        <v>403</v>
      </c>
      <c r="B167" s="611">
        <v>0</v>
      </c>
      <c r="C167" s="611">
        <f>'TE ARDHURA SHPENZIME 2013'!E54</f>
        <v>882600</v>
      </c>
      <c r="D167" s="612"/>
      <c r="E167" s="561"/>
      <c r="F167" s="613"/>
      <c r="G167" s="614"/>
    </row>
    <row r="168" spans="1:8" ht="15">
      <c r="A168" s="562" t="s">
        <v>405</v>
      </c>
      <c r="B168" s="611">
        <f>'TE ARDHURA SHPENZIME 2013'!D55</f>
        <v>42412.53</v>
      </c>
      <c r="C168" s="611">
        <f>'TE ARDHURA SHPENZIME 2013'!E55</f>
        <v>168084.21</v>
      </c>
      <c r="D168" s="612"/>
      <c r="E168" s="561"/>
      <c r="F168" s="613"/>
      <c r="G168" s="614"/>
    </row>
    <row r="169" spans="1:8" ht="15">
      <c r="A169" s="562" t="s">
        <v>203</v>
      </c>
      <c r="B169" s="611">
        <f>'TE ARDHURA SHPENZIME 2013'!D56</f>
        <v>69600</v>
      </c>
      <c r="C169" s="611">
        <f>'TE ARDHURA SHPENZIME 2013'!E56</f>
        <v>137102</v>
      </c>
      <c r="D169" s="612"/>
      <c r="E169" s="561"/>
      <c r="F169" s="613"/>
      <c r="G169" s="614"/>
    </row>
    <row r="170" spans="1:8" ht="15">
      <c r="A170" s="562" t="s">
        <v>407</v>
      </c>
      <c r="B170" s="611">
        <f>'TE ARDHURA SHPENZIME 2013'!D57</f>
        <v>111939.55</v>
      </c>
      <c r="C170" s="611">
        <f>'TE ARDHURA SHPENZIME 2013'!E57</f>
        <v>115010.75</v>
      </c>
      <c r="D170" s="612"/>
      <c r="E170" s="561"/>
      <c r="F170" s="613"/>
      <c r="G170" s="614"/>
    </row>
    <row r="171" spans="1:8" ht="15.75" thickBot="1">
      <c r="A171" s="562" t="s">
        <v>409</v>
      </c>
      <c r="B171" s="611">
        <f>'TE ARDHURA SHPENZIME 2013'!D58</f>
        <v>22120</v>
      </c>
      <c r="C171" s="611">
        <f>'TE ARDHURA SHPENZIME 2013'!E58</f>
        <v>22720</v>
      </c>
      <c r="D171" s="612"/>
      <c r="E171" s="561"/>
      <c r="F171" s="613"/>
      <c r="G171" s="614"/>
    </row>
    <row r="172" spans="1:8" ht="15.75" thickTop="1">
      <c r="A172" s="368" t="s">
        <v>657</v>
      </c>
      <c r="B172" s="300">
        <f>SUM(B161:B171)</f>
        <v>491738828.18000001</v>
      </c>
      <c r="C172" s="300">
        <f>SUM(C161:C171)</f>
        <v>47803919.260000005</v>
      </c>
      <c r="D172" s="612"/>
      <c r="F172" s="613"/>
      <c r="G172" s="614"/>
    </row>
    <row r="173" spans="1:8">
      <c r="G173" s="614"/>
    </row>
    <row r="174" spans="1:8">
      <c r="H174" s="614"/>
    </row>
    <row r="175" spans="1:8">
      <c r="H175" s="614"/>
    </row>
    <row r="176" spans="1:8">
      <c r="H176" s="614"/>
    </row>
    <row r="177" spans="1:8">
      <c r="A177" s="592" t="s">
        <v>107</v>
      </c>
      <c r="B177" s="593" t="s">
        <v>650</v>
      </c>
      <c r="C177" s="593" t="s">
        <v>651</v>
      </c>
      <c r="H177" s="614"/>
    </row>
    <row r="178" spans="1:8" hidden="1">
      <c r="A178" s="565" t="s">
        <v>720</v>
      </c>
      <c r="B178" s="614">
        <f>VLOOKUP($A178,'[1]Fitim-Hmbje'!$C$40:$G$94,2,FALSE)</f>
        <v>0</v>
      </c>
      <c r="C178" s="614">
        <f>VLOOKUP($A178,'[1]Fitim-Hmbje'!$C$40:$G$94,3,FALSE)</f>
        <v>127451498</v>
      </c>
      <c r="H178" s="614"/>
    </row>
    <row r="179" spans="1:8" hidden="1">
      <c r="A179" s="565" t="s">
        <v>721</v>
      </c>
      <c r="B179" s="614">
        <f>VLOOKUP($A179,'[1]Fitim-Hmbje'!$C$40:$G$94,2,FALSE)</f>
        <v>0</v>
      </c>
      <c r="C179" s="614">
        <f>VLOOKUP($A179,'[1]Fitim-Hmbje'!$C$40:$G$94,3,FALSE)</f>
        <v>4521630.68</v>
      </c>
      <c r="H179" s="614"/>
    </row>
    <row r="180" spans="1:8" hidden="1">
      <c r="A180" s="565" t="s">
        <v>386</v>
      </c>
      <c r="B180" s="614">
        <f>VLOOKUP($A180,'[1]Fitim-Hmbje'!$C$40:$G$94,2,FALSE)</f>
        <v>0</v>
      </c>
      <c r="C180" s="614">
        <f>VLOOKUP($A180,'[1]Fitim-Hmbje'!$C$40:$G$94,3,FALSE)</f>
        <v>26339377.66</v>
      </c>
      <c r="H180" s="614"/>
    </row>
    <row r="181" spans="1:8" hidden="1">
      <c r="A181" s="565" t="s">
        <v>722</v>
      </c>
      <c r="B181" s="614">
        <f>VLOOKUP($A181,'[1]Fitim-Hmbje'!$C$40:$G$94,2,FALSE)</f>
        <v>0</v>
      </c>
      <c r="C181" s="614">
        <f>VLOOKUP($A181,'[1]Fitim-Hmbje'!$C$40:$G$94,3,FALSE)</f>
        <v>0</v>
      </c>
    </row>
    <row r="182" spans="1:8" hidden="1">
      <c r="A182" s="565" t="s">
        <v>723</v>
      </c>
      <c r="B182" s="614">
        <f>-VLOOKUP($A182,'[1]Fitim-Hmbje'!$C$40:$G$94,2,FALSE)</f>
        <v>0</v>
      </c>
      <c r="C182" s="614">
        <f>-VLOOKUP($A182,'[1]Fitim-Hmbje'!$C$40:$G$94,3,FALSE)</f>
        <v>-16362062.83</v>
      </c>
    </row>
    <row r="183" spans="1:8" hidden="1">
      <c r="A183" s="615" t="s">
        <v>724</v>
      </c>
      <c r="B183" s="614">
        <f>-VLOOKUP($A183,'[1]Fitim-Hmbje'!$C$40:$G$94,2,FALSE)</f>
        <v>0</v>
      </c>
      <c r="C183" s="614">
        <f>-VLOOKUP($A183,'[1]Fitim-Hmbje'!$C$40:$G$94,3,FALSE)</f>
        <v>0</v>
      </c>
    </row>
    <row r="184" spans="1:8" hidden="1">
      <c r="A184" s="565" t="s">
        <v>725</v>
      </c>
      <c r="B184" s="614">
        <f>-VLOOKUP($A184,'[1]Fitim-Hmbje'!$C$40:$G$94,2,FALSE)</f>
        <v>0</v>
      </c>
      <c r="C184" s="614">
        <f>-VLOOKUP($A184,'[1]Fitim-Hmbje'!$C$40:$G$94,3,FALSE)</f>
        <v>0</v>
      </c>
    </row>
    <row r="185" spans="1:8" hidden="1">
      <c r="A185" s="565" t="s">
        <v>726</v>
      </c>
      <c r="B185" s="614">
        <f>-VLOOKUP($A185,'[1]Fitim-Hmbje'!$C$40:$G$94,2,FALSE)</f>
        <v>0</v>
      </c>
      <c r="C185" s="614">
        <f>-VLOOKUP($A185,'[1]Fitim-Hmbje'!$C$40:$G$94,3,FALSE)</f>
        <v>-19178713.5</v>
      </c>
    </row>
    <row r="186" spans="1:8" hidden="1">
      <c r="A186" s="565" t="s">
        <v>727</v>
      </c>
      <c r="B186" s="614">
        <f>-VLOOKUP($A186,'[1]Fitim-Hmbje'!$C$40:$G$94,2,FALSE)</f>
        <v>0</v>
      </c>
      <c r="C186" s="614">
        <f>-VLOOKUP($A186,'[1]Fitim-Hmbje'!$C$40:$G$94,3,FALSE)</f>
        <v>-160017.31</v>
      </c>
    </row>
    <row r="187" spans="1:8" ht="15.75" hidden="1" thickTop="1">
      <c r="A187" s="368" t="s">
        <v>657</v>
      </c>
      <c r="B187" s="300">
        <f>SUM(B178:B186)</f>
        <v>0</v>
      </c>
      <c r="C187" s="300">
        <f>SUM(C178:C186)</f>
        <v>122611712.69999999</v>
      </c>
    </row>
    <row r="188" spans="1:8" hidden="1">
      <c r="B188" s="573">
        <f>B187-'[1]Fitim-Hmbje'!F20</f>
        <v>-132499954.92980002</v>
      </c>
      <c r="C188" s="573">
        <f>C187-'[1]Fitim-Hmbje'!G20</f>
        <v>-20942293</v>
      </c>
    </row>
    <row r="189" spans="1:8" hidden="1"/>
    <row r="190" spans="1:8" ht="15">
      <c r="A190" s="347" t="s">
        <v>107</v>
      </c>
      <c r="B190" s="591" t="s">
        <v>802</v>
      </c>
      <c r="C190" s="591" t="s">
        <v>652</v>
      </c>
    </row>
    <row r="191" spans="1:8" ht="15">
      <c r="A191" s="358" t="s">
        <v>721</v>
      </c>
      <c r="B191" s="372">
        <f>'TE ARDHURA SHPENZIME 2013'!D44</f>
        <v>9191474.2400000002</v>
      </c>
      <c r="C191" s="372">
        <f>'TE ARDHURA SHPENZIME 2013'!E44</f>
        <v>0</v>
      </c>
    </row>
    <row r="192" spans="1:8" ht="15">
      <c r="A192" s="358" t="s">
        <v>727</v>
      </c>
      <c r="B192" s="372">
        <f>-'TE ARDHURA SHPENZIME 2013'!D64</f>
        <v>-6229251.6699999999</v>
      </c>
      <c r="C192" s="372">
        <f>-'TE ARDHURA SHPENZIME 2013'!E64</f>
        <v>-906179.46</v>
      </c>
    </row>
    <row r="193" spans="1:3" ht="15.75" thickBot="1">
      <c r="A193" s="358" t="s">
        <v>810</v>
      </c>
      <c r="B193" s="372">
        <f>'TE ARDHURA SHPENZIME 2013'!D45</f>
        <v>442.6</v>
      </c>
      <c r="C193" s="372">
        <f>'TE ARDHURA SHPENZIME 2013'!E45</f>
        <v>1022.94</v>
      </c>
    </row>
    <row r="194" spans="1:3" ht="15.75" thickTop="1">
      <c r="A194" s="368" t="s">
        <v>657</v>
      </c>
      <c r="B194" s="300">
        <f>SUM(B191:B193)</f>
        <v>2962665.1700000004</v>
      </c>
      <c r="C194" s="300">
        <f>SUM(C191:C193)</f>
        <v>-905156.52</v>
      </c>
    </row>
    <row r="200" spans="1:3" ht="15.75" thickBot="1">
      <c r="A200" s="373" t="s">
        <v>728</v>
      </c>
      <c r="B200" s="378" t="s">
        <v>802</v>
      </c>
      <c r="C200" s="373"/>
    </row>
    <row r="201" spans="1:3" ht="15.75" thickTop="1">
      <c r="A201" s="374" t="s">
        <v>729</v>
      </c>
      <c r="B201" s="375">
        <f>'TE ARDHURA SHPENZIME 2013'!D27</f>
        <v>271406389.88000011</v>
      </c>
      <c r="C201" s="375"/>
    </row>
    <row r="202" spans="1:3" ht="15">
      <c r="A202" s="374" t="s">
        <v>730</v>
      </c>
      <c r="B202" s="375">
        <f>SUM(B203:B204)</f>
        <v>77831</v>
      </c>
      <c r="C202" s="375"/>
    </row>
    <row r="203" spans="1:3" ht="15">
      <c r="A203" s="349" t="s">
        <v>731</v>
      </c>
      <c r="B203" s="370">
        <v>69600</v>
      </c>
      <c r="C203" s="370"/>
    </row>
    <row r="204" spans="1:3" ht="15">
      <c r="A204" s="349" t="s">
        <v>732</v>
      </c>
      <c r="B204" s="370">
        <v>8231</v>
      </c>
      <c r="C204" s="370"/>
    </row>
    <row r="205" spans="1:3" ht="15">
      <c r="A205" s="374" t="s">
        <v>733</v>
      </c>
      <c r="B205" s="375">
        <f>B201+B202</f>
        <v>271484220.88000011</v>
      </c>
      <c r="C205" s="375"/>
    </row>
    <row r="206" spans="1:3" ht="15">
      <c r="A206" s="349" t="s">
        <v>734</v>
      </c>
      <c r="B206" s="370">
        <v>0</v>
      </c>
      <c r="C206" s="358"/>
    </row>
    <row r="207" spans="1:3" ht="15.75" thickBot="1">
      <c r="A207" s="376" t="s">
        <v>735</v>
      </c>
      <c r="B207" s="377">
        <f>B205-B206</f>
        <v>271484220.88000011</v>
      </c>
      <c r="C207" s="377"/>
    </row>
    <row r="208" spans="1:3" ht="15.75" thickBot="1">
      <c r="A208" s="376" t="s">
        <v>736</v>
      </c>
      <c r="B208" s="377">
        <f>B207*0.1</f>
        <v>27148422.088000014</v>
      </c>
      <c r="C208" s="377"/>
    </row>
    <row r="215" spans="1:3" ht="15">
      <c r="A215" s="616" t="s">
        <v>649</v>
      </c>
      <c r="B215" s="617" t="s">
        <v>802</v>
      </c>
      <c r="C215" s="617" t="s">
        <v>652</v>
      </c>
    </row>
    <row r="216" spans="1:3" ht="15">
      <c r="A216" s="379" t="s">
        <v>811</v>
      </c>
      <c r="B216" s="380">
        <f>SUM(B217:B218)</f>
        <v>258245.03</v>
      </c>
      <c r="C216" s="381">
        <f>C217+C218</f>
        <v>259913.79999999778</v>
      </c>
    </row>
    <row r="217" spans="1:3" ht="15">
      <c r="A217" s="382" t="s">
        <v>812</v>
      </c>
      <c r="B217" s="612">
        <f>'BILANCI 2013'!D175</f>
        <v>182116.43</v>
      </c>
      <c r="C217" s="383">
        <f>'BILANCI 2013'!E175</f>
        <v>184116.43</v>
      </c>
    </row>
    <row r="218" spans="1:3" ht="15">
      <c r="A218" s="382" t="s">
        <v>813</v>
      </c>
      <c r="B218" s="612">
        <f>'BILANCI 2013'!D176+'BILANCI 2013'!D177</f>
        <v>76128.600000000006</v>
      </c>
      <c r="C218" s="383">
        <f>'BILANCI 2013'!E176+'BILANCI 2013'!E177</f>
        <v>75797.369999997798</v>
      </c>
    </row>
    <row r="219" spans="1:3" ht="15">
      <c r="A219" s="379" t="s">
        <v>814</v>
      </c>
      <c r="B219" s="384">
        <f>SUM(B220:B221)</f>
        <v>7149420.25</v>
      </c>
      <c r="C219" s="385">
        <f>C220+C221</f>
        <v>14588635.682539999</v>
      </c>
    </row>
    <row r="220" spans="1:3" ht="15">
      <c r="A220" s="382" t="s">
        <v>812</v>
      </c>
      <c r="B220" s="612">
        <f>'BILANCI 2013'!D172</f>
        <v>370569.47</v>
      </c>
      <c r="C220" s="383">
        <f>'BILANCI 2013'!E172</f>
        <v>872917.91</v>
      </c>
    </row>
    <row r="221" spans="1:3" ht="15">
      <c r="A221" s="382" t="s">
        <v>813</v>
      </c>
      <c r="B221" s="612">
        <f>'BILANCI 2013'!D173+'BILANCI 2013'!D174</f>
        <v>6778850.7800000003</v>
      </c>
      <c r="C221" s="383">
        <f>'BILANCI 2013'!E173</f>
        <v>13715717.772539999</v>
      </c>
    </row>
    <row r="222" spans="1:3" ht="15.75" thickBot="1">
      <c r="A222" s="386" t="s">
        <v>815</v>
      </c>
      <c r="B222" s="387">
        <f>'[2]Bilanc 2013'!D394</f>
        <v>0</v>
      </c>
      <c r="C222" s="387">
        <v>0</v>
      </c>
    </row>
    <row r="223" spans="1:3" ht="15.75" thickTop="1">
      <c r="A223" s="379" t="s">
        <v>816</v>
      </c>
      <c r="B223" s="384">
        <f>B216+B219+B222</f>
        <v>7407665.2800000003</v>
      </c>
      <c r="C223" s="385">
        <f>C216+C219</f>
        <v>14848549.482539997</v>
      </c>
    </row>
    <row r="225" spans="2:3">
      <c r="B225" s="573">
        <f>B223-'BILANCI 2013'!D8</f>
        <v>0</v>
      </c>
      <c r="C225" s="596">
        <f>C223-'BILANCI 2013'!E8</f>
        <v>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E14:K29"/>
  <sheetViews>
    <sheetView workbookViewId="0">
      <selection activeCell="G16" sqref="G16"/>
    </sheetView>
  </sheetViews>
  <sheetFormatPr defaultRowHeight="12.75"/>
  <cols>
    <col min="5" max="5" width="25.28515625" customWidth="1"/>
    <col min="6" max="6" width="14.85546875" customWidth="1"/>
    <col min="7" max="7" width="14.42578125" customWidth="1"/>
  </cols>
  <sheetData>
    <row r="14" spans="5:11">
      <c r="E14" s="19"/>
      <c r="F14" s="19"/>
      <c r="G14" s="19"/>
      <c r="H14" s="19"/>
      <c r="I14" s="19"/>
      <c r="J14" s="19"/>
      <c r="K14" s="19"/>
    </row>
    <row r="15" spans="5:11">
      <c r="E15" s="19"/>
      <c r="F15" s="19"/>
      <c r="G15" s="19"/>
      <c r="H15" s="19"/>
      <c r="I15" s="19"/>
      <c r="J15" s="19"/>
      <c r="K15" s="19"/>
    </row>
    <row r="16" spans="5:11">
      <c r="E16" s="19"/>
      <c r="F16" s="19"/>
      <c r="G16" s="19"/>
      <c r="H16" s="19"/>
      <c r="I16" s="19"/>
      <c r="J16" s="19"/>
      <c r="K16" s="19"/>
    </row>
    <row r="17" spans="5:11">
      <c r="E17" s="282"/>
      <c r="F17" s="283"/>
      <c r="G17" s="283"/>
      <c r="H17" s="19"/>
      <c r="I17" s="19"/>
      <c r="J17" s="19"/>
      <c r="K17" s="19"/>
    </row>
    <row r="18" spans="5:11">
      <c r="E18" s="283"/>
      <c r="F18" s="284"/>
      <c r="G18" s="284"/>
      <c r="H18" s="19"/>
      <c r="I18" s="19"/>
      <c r="J18" s="19"/>
      <c r="K18" s="19"/>
    </row>
    <row r="19" spans="5:11">
      <c r="E19" s="282"/>
      <c r="F19" s="285"/>
      <c r="G19" s="285"/>
      <c r="H19" s="19"/>
      <c r="I19" s="19"/>
      <c r="J19" s="19"/>
      <c r="K19" s="19"/>
    </row>
    <row r="20" spans="5:11">
      <c r="E20" s="282"/>
      <c r="F20" s="285"/>
      <c r="G20" s="285"/>
      <c r="H20" s="19"/>
      <c r="I20" s="19"/>
      <c r="J20" s="19"/>
      <c r="K20" s="19"/>
    </row>
    <row r="21" spans="5:11">
      <c r="E21" s="283"/>
      <c r="F21" s="284"/>
      <c r="G21" s="284"/>
      <c r="H21" s="19"/>
      <c r="I21" s="19"/>
      <c r="J21" s="19"/>
      <c r="K21" s="19"/>
    </row>
    <row r="22" spans="5:11">
      <c r="E22" s="282"/>
      <c r="F22" s="285"/>
      <c r="G22" s="285"/>
      <c r="H22" s="19"/>
      <c r="I22" s="19"/>
      <c r="J22" s="19"/>
      <c r="K22" s="19"/>
    </row>
    <row r="23" spans="5:11">
      <c r="E23" s="282"/>
      <c r="F23" s="285"/>
      <c r="G23" s="285"/>
      <c r="H23" s="19"/>
      <c r="I23" s="19"/>
      <c r="J23" s="19"/>
      <c r="K23" s="19"/>
    </row>
    <row r="24" spans="5:11">
      <c r="E24" s="283"/>
      <c r="F24" s="284"/>
      <c r="G24" s="284"/>
      <c r="H24" s="19"/>
      <c r="I24" s="19"/>
      <c r="J24" s="19"/>
      <c r="K24" s="19"/>
    </row>
    <row r="25" spans="5:11">
      <c r="E25" s="283"/>
      <c r="F25" s="284"/>
      <c r="G25" s="284"/>
      <c r="H25" s="19"/>
      <c r="I25" s="19"/>
      <c r="J25" s="19"/>
      <c r="K25" s="19"/>
    </row>
    <row r="26" spans="5:11">
      <c r="E26" s="19"/>
      <c r="F26" s="19"/>
      <c r="G26" s="19"/>
      <c r="H26" s="19"/>
      <c r="I26" s="19"/>
      <c r="J26" s="19"/>
      <c r="K26" s="19"/>
    </row>
    <row r="27" spans="5:11">
      <c r="E27" s="19"/>
      <c r="F27" s="19"/>
      <c r="G27" s="19"/>
      <c r="H27" s="19"/>
      <c r="I27" s="19"/>
      <c r="J27" s="19"/>
      <c r="K27" s="19"/>
    </row>
    <row r="28" spans="5:11">
      <c r="E28" s="19"/>
      <c r="F28" s="19"/>
      <c r="G28" s="19"/>
      <c r="H28" s="19"/>
      <c r="I28" s="19"/>
      <c r="J28" s="19"/>
      <c r="K28" s="19"/>
    </row>
    <row r="29" spans="5:11">
      <c r="E29" s="19"/>
      <c r="F29" s="19"/>
      <c r="G29" s="19"/>
      <c r="H29" s="19"/>
      <c r="I29" s="19"/>
      <c r="J29" s="19"/>
      <c r="K29" s="1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34" sqref="P3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4"/>
  <sheetViews>
    <sheetView topLeftCell="A36" zoomScaleNormal="100" workbookViewId="0">
      <selection activeCell="E43" sqref="E43"/>
    </sheetView>
  </sheetViews>
  <sheetFormatPr defaultRowHeight="12.75"/>
  <cols>
    <col min="1" max="1" width="6.7109375" style="390" customWidth="1"/>
    <col min="2" max="2" width="47" style="390" customWidth="1"/>
    <col min="3" max="3" width="11.28515625" style="440" customWidth="1"/>
    <col min="4" max="4" width="19.28515625" style="390" customWidth="1"/>
    <col min="5" max="5" width="18.85546875" style="390" customWidth="1"/>
    <col min="6" max="6" width="18.7109375" style="390" hidden="1" customWidth="1"/>
    <col min="7" max="16384" width="9.140625" style="390"/>
  </cols>
  <sheetData>
    <row r="1" spans="1:6" ht="15.75">
      <c r="A1" s="447"/>
      <c r="B1" s="448" t="s">
        <v>785</v>
      </c>
      <c r="C1" s="448"/>
      <c r="D1" s="448"/>
      <c r="E1" s="448"/>
      <c r="F1" s="449"/>
    </row>
    <row r="2" spans="1:6" ht="15.75">
      <c r="A2" s="447"/>
      <c r="B2" s="447"/>
      <c r="C2" s="448"/>
      <c r="D2" s="448"/>
      <c r="E2" s="448"/>
      <c r="F2" s="449"/>
    </row>
    <row r="3" spans="1:6" ht="16.5" thickBot="1">
      <c r="A3" s="633" t="s">
        <v>786</v>
      </c>
      <c r="B3" s="633"/>
      <c r="C3" s="633"/>
      <c r="D3" s="633"/>
      <c r="E3" s="633"/>
      <c r="F3" s="449" t="s">
        <v>91</v>
      </c>
    </row>
    <row r="4" spans="1:6" ht="15.75">
      <c r="A4" s="450" t="s">
        <v>92</v>
      </c>
      <c r="B4" s="451" t="s">
        <v>93</v>
      </c>
      <c r="C4" s="631" t="s">
        <v>1</v>
      </c>
      <c r="D4" s="631" t="s">
        <v>778</v>
      </c>
      <c r="E4" s="631" t="s">
        <v>622</v>
      </c>
      <c r="F4" s="631" t="s">
        <v>144</v>
      </c>
    </row>
    <row r="5" spans="1:6" ht="16.5" thickBot="1">
      <c r="A5" s="452"/>
      <c r="B5" s="559"/>
      <c r="C5" s="632"/>
      <c r="D5" s="634"/>
      <c r="E5" s="634"/>
      <c r="F5" s="632"/>
    </row>
    <row r="6" spans="1:6" ht="15.75" thickBot="1">
      <c r="A6" s="545">
        <v>1</v>
      </c>
      <c r="B6" s="546" t="s">
        <v>621</v>
      </c>
      <c r="C6" s="545"/>
      <c r="D6" s="547">
        <f>D42</f>
        <v>0</v>
      </c>
      <c r="E6" s="547">
        <f>E42</f>
        <v>10000000</v>
      </c>
      <c r="F6" s="453">
        <v>1274207</v>
      </c>
    </row>
    <row r="7" spans="1:6" ht="15.75" thickBot="1">
      <c r="A7" s="548">
        <v>2</v>
      </c>
      <c r="B7" s="549" t="s">
        <v>94</v>
      </c>
      <c r="C7" s="548">
        <v>11.1</v>
      </c>
      <c r="D7" s="550">
        <f>D41+D43</f>
        <v>769814977.8900001</v>
      </c>
      <c r="E7" s="550">
        <f>E41+E43</f>
        <v>63838856.460000001</v>
      </c>
      <c r="F7" s="457">
        <v>27887668</v>
      </c>
    </row>
    <row r="8" spans="1:6" ht="30.75" thickBot="1">
      <c r="A8" s="548">
        <v>3</v>
      </c>
      <c r="B8" s="549" t="s">
        <v>95</v>
      </c>
      <c r="C8" s="551"/>
      <c r="D8" s="550"/>
      <c r="E8" s="550"/>
      <c r="F8" s="459"/>
    </row>
    <row r="9" spans="1:6" ht="30.75" thickBot="1">
      <c r="A9" s="548">
        <v>4</v>
      </c>
      <c r="B9" s="549" t="s">
        <v>96</v>
      </c>
      <c r="C9" s="551"/>
      <c r="D9" s="550"/>
      <c r="E9" s="550"/>
      <c r="F9" s="459"/>
    </row>
    <row r="10" spans="1:6" ht="15.75" thickBot="1">
      <c r="A10" s="548">
        <v>5</v>
      </c>
      <c r="B10" s="549" t="s">
        <v>97</v>
      </c>
      <c r="C10" s="548"/>
      <c r="D10" s="550"/>
      <c r="E10" s="550"/>
      <c r="F10" s="459"/>
    </row>
    <row r="11" spans="1:6" ht="30.75" thickBot="1">
      <c r="A11" s="548">
        <v>6</v>
      </c>
      <c r="B11" s="549" t="s">
        <v>98</v>
      </c>
      <c r="C11" s="548">
        <v>11.2</v>
      </c>
      <c r="D11" s="550">
        <f>-(D49+D60)</f>
        <v>-491738828.18000001</v>
      </c>
      <c r="E11" s="550">
        <f>-47803918-1</f>
        <v>-47803919</v>
      </c>
      <c r="F11" s="461">
        <v>-15784249</v>
      </c>
    </row>
    <row r="12" spans="1:6" ht="15.75" thickBot="1">
      <c r="A12" s="548">
        <v>7</v>
      </c>
      <c r="B12" s="549" t="s">
        <v>99</v>
      </c>
      <c r="C12" s="551"/>
      <c r="D12" s="550">
        <f>D13+D14</f>
        <v>-2387204</v>
      </c>
      <c r="E12" s="550">
        <f>E13+E14</f>
        <v>-2561788</v>
      </c>
      <c r="F12" s="457">
        <f>F13+F14</f>
        <v>-2354172</v>
      </c>
    </row>
    <row r="13" spans="1:6" ht="15.75" thickBot="1">
      <c r="A13" s="552" t="s">
        <v>9</v>
      </c>
      <c r="B13" s="553" t="s">
        <v>100</v>
      </c>
      <c r="C13" s="551"/>
      <c r="D13" s="554">
        <f>-D61</f>
        <v>-2216108</v>
      </c>
      <c r="E13" s="554">
        <f>-E61</f>
        <v>-2340785</v>
      </c>
      <c r="F13" s="461">
        <v>-2113030</v>
      </c>
    </row>
    <row r="14" spans="1:6" ht="15.75" thickBot="1">
      <c r="A14" s="552" t="s">
        <v>11</v>
      </c>
      <c r="B14" s="553" t="s">
        <v>101</v>
      </c>
      <c r="C14" s="551"/>
      <c r="D14" s="554">
        <f>-D62</f>
        <v>-171096</v>
      </c>
      <c r="E14" s="554">
        <f>-E62</f>
        <v>-221003</v>
      </c>
      <c r="F14" s="461">
        <v>-241142</v>
      </c>
    </row>
    <row r="15" spans="1:6" ht="15.75" thickBot="1">
      <c r="A15" s="552" t="s">
        <v>17</v>
      </c>
      <c r="B15" s="553" t="s">
        <v>102</v>
      </c>
      <c r="C15" s="551"/>
      <c r="D15" s="554"/>
      <c r="E15" s="554"/>
      <c r="F15" s="459"/>
    </row>
    <row r="16" spans="1:6" ht="15.75" thickBot="1">
      <c r="A16" s="548">
        <v>8</v>
      </c>
      <c r="B16" s="549" t="s">
        <v>103</v>
      </c>
      <c r="C16" s="548">
        <v>7</v>
      </c>
      <c r="D16" s="555">
        <f>-(D65+D66+D67)</f>
        <v>-7245221</v>
      </c>
      <c r="E16" s="555">
        <f>-(E65+E66+E67)</f>
        <v>-11804987</v>
      </c>
      <c r="F16" s="462">
        <v>-8390000</v>
      </c>
    </row>
    <row r="17" spans="1:6" ht="21.75" customHeight="1" thickBot="1">
      <c r="A17" s="463"/>
      <c r="B17" s="464" t="s">
        <v>104</v>
      </c>
      <c r="C17" s="542"/>
      <c r="D17" s="465">
        <f>D6+D7+D10+D11+D12+D16</f>
        <v>268443724.7100001</v>
      </c>
      <c r="E17" s="465">
        <f>E6+E7+E10+E11+E12+E16</f>
        <v>11668162.460000008</v>
      </c>
      <c r="F17" s="466">
        <f>F6+F7+F11+F12+F16</f>
        <v>2633454</v>
      </c>
    </row>
    <row r="18" spans="1:6" ht="15.75" thickBot="1">
      <c r="A18" s="552"/>
      <c r="B18" s="549"/>
      <c r="C18" s="548"/>
      <c r="D18" s="556"/>
      <c r="E18" s="556"/>
      <c r="F18" s="468"/>
    </row>
    <row r="19" spans="1:6" ht="30.75" thickBot="1">
      <c r="A19" s="548">
        <v>1</v>
      </c>
      <c r="B19" s="549" t="s">
        <v>105</v>
      </c>
      <c r="C19" s="548"/>
      <c r="D19" s="557"/>
      <c r="E19" s="557"/>
      <c r="F19" s="459"/>
    </row>
    <row r="20" spans="1:6" ht="30.75" thickBot="1">
      <c r="A20" s="548">
        <v>2</v>
      </c>
      <c r="B20" s="549" t="s">
        <v>106</v>
      </c>
      <c r="C20" s="548"/>
      <c r="D20" s="557"/>
      <c r="E20" s="557"/>
      <c r="F20" s="459"/>
    </row>
    <row r="21" spans="1:6" ht="15.75" thickBot="1">
      <c r="A21" s="548">
        <v>3</v>
      </c>
      <c r="B21" s="549" t="s">
        <v>107</v>
      </c>
      <c r="C21" s="548">
        <v>11.3</v>
      </c>
      <c r="D21" s="550">
        <f>D22+D23+D24+D25</f>
        <v>2962665.1700000004</v>
      </c>
      <c r="E21" s="550">
        <f>E22+E23+E24+E25</f>
        <v>-905156.52</v>
      </c>
      <c r="F21" s="470">
        <f>F23+F24</f>
        <v>-390731</v>
      </c>
    </row>
    <row r="22" spans="1:6" ht="30.75" thickBot="1">
      <c r="A22" s="552" t="s">
        <v>108</v>
      </c>
      <c r="B22" s="553" t="s">
        <v>109</v>
      </c>
      <c r="C22" s="548"/>
      <c r="D22" s="557"/>
      <c r="E22" s="557"/>
      <c r="F22" s="459"/>
    </row>
    <row r="23" spans="1:6" ht="15.75" thickBot="1">
      <c r="A23" s="552" t="s">
        <v>110</v>
      </c>
      <c r="B23" s="553" t="s">
        <v>111</v>
      </c>
      <c r="C23" s="548"/>
      <c r="D23" s="554">
        <f>D45</f>
        <v>442.6</v>
      </c>
      <c r="E23" s="554">
        <f>E45</f>
        <v>1022.94</v>
      </c>
      <c r="F23" s="461">
        <v>11436</v>
      </c>
    </row>
    <row r="24" spans="1:6" ht="15.75" thickBot="1">
      <c r="A24" s="552" t="s">
        <v>112</v>
      </c>
      <c r="B24" s="553" t="s">
        <v>113</v>
      </c>
      <c r="C24" s="548"/>
      <c r="D24" s="554">
        <f>D44-D64</f>
        <v>2962222.5700000003</v>
      </c>
      <c r="E24" s="554">
        <f>-E64</f>
        <v>-906179.46</v>
      </c>
      <c r="F24" s="461">
        <v>-402167</v>
      </c>
    </row>
    <row r="25" spans="1:6" ht="15.75" thickBot="1">
      <c r="A25" s="552" t="s">
        <v>114</v>
      </c>
      <c r="B25" s="553" t="s">
        <v>115</v>
      </c>
      <c r="C25" s="548"/>
      <c r="D25" s="554"/>
      <c r="E25" s="554"/>
      <c r="F25" s="461"/>
    </row>
    <row r="26" spans="1:6" ht="15.75" thickBot="1">
      <c r="A26" s="552"/>
      <c r="B26" s="549"/>
      <c r="C26" s="548"/>
      <c r="D26" s="558"/>
      <c r="E26" s="558"/>
      <c r="F26" s="471"/>
    </row>
    <row r="27" spans="1:6" ht="16.5" thickBot="1">
      <c r="A27" s="463"/>
      <c r="B27" s="464" t="s">
        <v>825</v>
      </c>
      <c r="C27" s="463"/>
      <c r="D27" s="465">
        <f>D17+D21</f>
        <v>271406389.88000011</v>
      </c>
      <c r="E27" s="465">
        <f>E17+E21</f>
        <v>10763005.940000009</v>
      </c>
      <c r="F27" s="466">
        <f>F17+F21</f>
        <v>2242723</v>
      </c>
    </row>
    <row r="28" spans="1:6" ht="16.5" thickBot="1">
      <c r="A28" s="460"/>
      <c r="B28" s="455"/>
      <c r="C28" s="454"/>
      <c r="D28" s="469"/>
      <c r="E28" s="469"/>
      <c r="F28" s="459"/>
    </row>
    <row r="29" spans="1:6" ht="16.5" thickBot="1">
      <c r="A29" s="460"/>
      <c r="B29" s="455" t="s">
        <v>116</v>
      </c>
      <c r="C29" s="543">
        <v>1.4</v>
      </c>
      <c r="D29" s="456">
        <f>'per notat'!B208</f>
        <v>27148422.088000014</v>
      </c>
      <c r="E29" s="456">
        <v>1103672</v>
      </c>
      <c r="F29" s="457">
        <f>F27*C29</f>
        <v>3139812.1999999997</v>
      </c>
    </row>
    <row r="30" spans="1:6" ht="16.5" thickBot="1">
      <c r="A30" s="460"/>
      <c r="B30" s="455"/>
      <c r="C30" s="541"/>
      <c r="D30" s="472"/>
      <c r="E30" s="469"/>
      <c r="F30" s="459"/>
    </row>
    <row r="31" spans="1:6" ht="16.5" thickBot="1">
      <c r="A31" s="463"/>
      <c r="B31" s="464" t="s">
        <v>826</v>
      </c>
      <c r="C31" s="542"/>
      <c r="D31" s="560">
        <f>D27-D29</f>
        <v>244257967.79200011</v>
      </c>
      <c r="E31" s="560">
        <f>E27-E29</f>
        <v>9659333.9400000088</v>
      </c>
      <c r="F31" s="473">
        <f>F27-F29</f>
        <v>-897089.19999999972</v>
      </c>
    </row>
    <row r="32" spans="1:6" ht="16.5" hidden="1" thickBot="1">
      <c r="A32" s="460"/>
      <c r="B32" s="455"/>
      <c r="C32" s="541"/>
      <c r="D32" s="467"/>
      <c r="E32" s="467"/>
      <c r="F32" s="468"/>
    </row>
    <row r="33" spans="1:6" ht="32.25" hidden="1" thickBot="1">
      <c r="A33" s="460"/>
      <c r="B33" s="455" t="s">
        <v>117</v>
      </c>
      <c r="C33" s="541"/>
      <c r="D33" s="469"/>
      <c r="E33" s="469"/>
      <c r="F33" s="459"/>
    </row>
    <row r="34" spans="1:6" ht="16.5" hidden="1" thickBot="1">
      <c r="A34" s="460"/>
      <c r="B34" s="455" t="s">
        <v>118</v>
      </c>
      <c r="C34" s="541"/>
      <c r="D34" s="469"/>
      <c r="E34" s="469"/>
      <c r="F34" s="459"/>
    </row>
    <row r="35" spans="1:6" ht="16.5" hidden="1" thickBot="1">
      <c r="A35" s="460"/>
      <c r="B35" s="455"/>
      <c r="C35" s="541"/>
      <c r="D35" s="458"/>
      <c r="E35" s="474"/>
      <c r="F35" s="459"/>
    </row>
    <row r="36" spans="1:6" ht="15.75">
      <c r="A36" s="447"/>
      <c r="B36" s="475"/>
      <c r="C36" s="544"/>
      <c r="D36" s="476"/>
      <c r="E36" s="476"/>
      <c r="F36" s="447"/>
    </row>
    <row r="39" spans="1:6" ht="15.75">
      <c r="B39" s="448" t="s">
        <v>785</v>
      </c>
    </row>
    <row r="40" spans="1:6">
      <c r="B40" s="440" t="s">
        <v>787</v>
      </c>
    </row>
    <row r="41" spans="1:6" ht="15">
      <c r="A41" s="477">
        <v>706</v>
      </c>
      <c r="B41" s="478" t="s">
        <v>741</v>
      </c>
      <c r="C41" s="483"/>
      <c r="D41" s="340">
        <v>769814921.20000005</v>
      </c>
      <c r="E41" s="340">
        <v>63817095.880000003</v>
      </c>
    </row>
    <row r="42" spans="1:6" ht="15">
      <c r="A42" s="479">
        <v>752</v>
      </c>
      <c r="B42" s="480" t="s">
        <v>641</v>
      </c>
      <c r="C42" s="483"/>
      <c r="D42" s="340"/>
      <c r="E42" s="340">
        <v>10000000</v>
      </c>
    </row>
    <row r="43" spans="1:6" ht="15">
      <c r="A43" s="479">
        <v>758</v>
      </c>
      <c r="B43" s="480" t="s">
        <v>384</v>
      </c>
      <c r="C43" s="483"/>
      <c r="D43" s="340">
        <v>56.69</v>
      </c>
      <c r="E43" s="340">
        <v>21760.58</v>
      </c>
    </row>
    <row r="44" spans="1:6" ht="15">
      <c r="A44" s="479">
        <v>766</v>
      </c>
      <c r="B44" s="480" t="s">
        <v>789</v>
      </c>
      <c r="C44" s="483"/>
      <c r="D44" s="340">
        <v>9191474.2400000002</v>
      </c>
      <c r="E44" s="340"/>
    </row>
    <row r="45" spans="1:6" ht="15">
      <c r="A45" s="479">
        <v>767</v>
      </c>
      <c r="B45" s="480" t="s">
        <v>386</v>
      </c>
      <c r="C45" s="483"/>
      <c r="D45" s="340">
        <v>442.6</v>
      </c>
      <c r="E45" s="340">
        <v>1022.94</v>
      </c>
    </row>
    <row r="46" spans="1:6" ht="15">
      <c r="A46" s="481"/>
      <c r="B46" s="482" t="s">
        <v>775</v>
      </c>
      <c r="C46" s="483"/>
      <c r="D46" s="484">
        <f>SUM(D41:D45)</f>
        <v>779006894.73000014</v>
      </c>
      <c r="E46" s="484">
        <f>SUM(E41:E45)</f>
        <v>73839879.399999991</v>
      </c>
    </row>
    <row r="47" spans="1:6" ht="15">
      <c r="A47" s="479">
        <v>6052</v>
      </c>
      <c r="B47" s="480" t="s">
        <v>742</v>
      </c>
      <c r="C47" s="483"/>
      <c r="D47" s="340">
        <v>470160396</v>
      </c>
      <c r="E47" s="340">
        <v>36057364.119999997</v>
      </c>
    </row>
    <row r="48" spans="1:6" ht="15">
      <c r="A48" s="479">
        <v>652</v>
      </c>
      <c r="B48" s="480" t="s">
        <v>644</v>
      </c>
      <c r="C48" s="483"/>
      <c r="D48" s="340">
        <v>20916538.969999999</v>
      </c>
      <c r="E48" s="340">
        <v>9892433</v>
      </c>
    </row>
    <row r="49" spans="1:5" ht="15">
      <c r="A49" s="479"/>
      <c r="B49" s="482" t="s">
        <v>775</v>
      </c>
      <c r="C49" s="483"/>
      <c r="D49" s="345">
        <f>SUM(D47:D48)</f>
        <v>491076934.97000003</v>
      </c>
      <c r="E49" s="345">
        <f>SUM(E47:E48)</f>
        <v>45949797.119999997</v>
      </c>
    </row>
    <row r="50" spans="1:5" ht="15">
      <c r="A50" s="479">
        <v>604</v>
      </c>
      <c r="B50" s="480" t="s">
        <v>397</v>
      </c>
      <c r="C50" s="483"/>
      <c r="D50" s="340"/>
      <c r="E50" s="340">
        <v>36040.199999999997</v>
      </c>
    </row>
    <row r="51" spans="1:5" ht="15">
      <c r="A51" s="479">
        <v>611</v>
      </c>
      <c r="B51" s="480" t="s">
        <v>642</v>
      </c>
      <c r="C51" s="483"/>
      <c r="D51" s="340">
        <v>5700</v>
      </c>
      <c r="E51" s="340">
        <v>19633.34</v>
      </c>
    </row>
    <row r="52" spans="1:5" ht="15">
      <c r="A52" s="479">
        <v>615</v>
      </c>
      <c r="B52" s="480" t="s">
        <v>189</v>
      </c>
      <c r="C52" s="483"/>
      <c r="D52" s="340">
        <v>0</v>
      </c>
      <c r="E52" s="340">
        <v>136608.64000000001</v>
      </c>
    </row>
    <row r="53" spans="1:5" ht="15">
      <c r="A53" s="479">
        <v>618</v>
      </c>
      <c r="B53" s="480" t="s">
        <v>384</v>
      </c>
      <c r="C53" s="483"/>
      <c r="D53" s="340">
        <v>410121.13</v>
      </c>
      <c r="E53" s="340">
        <v>255000</v>
      </c>
    </row>
    <row r="54" spans="1:5" ht="15">
      <c r="A54" s="479">
        <v>624</v>
      </c>
      <c r="B54" s="480" t="s">
        <v>403</v>
      </c>
      <c r="C54" s="483"/>
      <c r="D54" s="340">
        <v>0</v>
      </c>
      <c r="E54" s="340">
        <v>882600</v>
      </c>
    </row>
    <row r="55" spans="1:5" ht="15">
      <c r="A55" s="479">
        <v>626</v>
      </c>
      <c r="B55" s="480" t="s">
        <v>405</v>
      </c>
      <c r="C55" s="483"/>
      <c r="D55" s="340">
        <v>42412.53</v>
      </c>
      <c r="E55" s="340">
        <v>168084.21</v>
      </c>
    </row>
    <row r="56" spans="1:5" ht="15">
      <c r="A56" s="479">
        <v>6271</v>
      </c>
      <c r="B56" s="480" t="s">
        <v>643</v>
      </c>
      <c r="C56" s="483"/>
      <c r="D56" s="340">
        <v>69600</v>
      </c>
      <c r="E56" s="340">
        <v>137102</v>
      </c>
    </row>
    <row r="57" spans="1:5" ht="15">
      <c r="A57" s="479">
        <v>628</v>
      </c>
      <c r="B57" s="480" t="s">
        <v>407</v>
      </c>
      <c r="C57" s="483"/>
      <c r="D57" s="340">
        <v>111939.55</v>
      </c>
      <c r="E57" s="340">
        <v>115010.75</v>
      </c>
    </row>
    <row r="58" spans="1:5" ht="15">
      <c r="A58" s="479">
        <v>638</v>
      </c>
      <c r="B58" s="480" t="s">
        <v>409</v>
      </c>
      <c r="C58" s="483"/>
      <c r="D58" s="340">
        <v>22120</v>
      </c>
      <c r="E58" s="340">
        <v>22720</v>
      </c>
    </row>
    <row r="59" spans="1:5" ht="15">
      <c r="A59" s="479">
        <v>658</v>
      </c>
      <c r="B59" s="480" t="s">
        <v>411</v>
      </c>
      <c r="C59" s="483"/>
      <c r="D59" s="340">
        <v>0</v>
      </c>
      <c r="E59" s="340">
        <v>81323</v>
      </c>
    </row>
    <row r="60" spans="1:5" ht="15">
      <c r="A60" s="479"/>
      <c r="B60" s="482" t="s">
        <v>775</v>
      </c>
      <c r="C60" s="483"/>
      <c r="D60" s="345">
        <f>SUM(D50:D59)</f>
        <v>661893.21000000008</v>
      </c>
      <c r="E60" s="345">
        <f>SUM(E50:E59)</f>
        <v>1854122.14</v>
      </c>
    </row>
    <row r="61" spans="1:5" ht="15">
      <c r="A61" s="479">
        <v>641</v>
      </c>
      <c r="B61" s="480" t="s">
        <v>413</v>
      </c>
      <c r="C61" s="483"/>
      <c r="D61" s="340">
        <v>2216108</v>
      </c>
      <c r="E61" s="340">
        <v>2340785</v>
      </c>
    </row>
    <row r="62" spans="1:5" ht="15">
      <c r="A62" s="479">
        <v>644</v>
      </c>
      <c r="B62" s="480" t="s">
        <v>415</v>
      </c>
      <c r="C62" s="483"/>
      <c r="D62" s="340">
        <v>171096</v>
      </c>
      <c r="E62" s="340">
        <v>221003</v>
      </c>
    </row>
    <row r="63" spans="1:5" ht="15">
      <c r="A63" s="479"/>
      <c r="B63" s="482" t="s">
        <v>775</v>
      </c>
      <c r="C63" s="483"/>
      <c r="D63" s="345">
        <f>SUM(D61:D62)</f>
        <v>2387204</v>
      </c>
      <c r="E63" s="345">
        <f>SUM(E61:E62)</f>
        <v>2561788</v>
      </c>
    </row>
    <row r="64" spans="1:5" ht="15">
      <c r="A64" s="479">
        <v>666</v>
      </c>
      <c r="B64" s="480" t="s">
        <v>480</v>
      </c>
      <c r="C64" s="483"/>
      <c r="D64" s="345">
        <v>6229251.6699999999</v>
      </c>
      <c r="E64" s="345">
        <v>906179.46</v>
      </c>
    </row>
    <row r="65" spans="1:5" ht="15">
      <c r="A65" s="479">
        <v>681</v>
      </c>
      <c r="B65" s="480" t="s">
        <v>645</v>
      </c>
      <c r="C65" s="483"/>
      <c r="D65" s="340">
        <v>5395702</v>
      </c>
      <c r="E65" s="340">
        <v>8962953</v>
      </c>
    </row>
    <row r="66" spans="1:5" ht="15">
      <c r="A66" s="479">
        <v>682</v>
      </c>
      <c r="B66" s="480" t="s">
        <v>646</v>
      </c>
      <c r="C66" s="483"/>
      <c r="D66" s="340">
        <v>0</v>
      </c>
      <c r="E66" s="340">
        <v>666129</v>
      </c>
    </row>
    <row r="67" spans="1:5" ht="15">
      <c r="A67" s="479">
        <v>683</v>
      </c>
      <c r="B67" s="480" t="s">
        <v>647</v>
      </c>
      <c r="C67" s="483"/>
      <c r="D67" s="340">
        <v>1849519</v>
      </c>
      <c r="E67" s="340">
        <v>2175905</v>
      </c>
    </row>
    <row r="68" spans="1:5" ht="15">
      <c r="A68" s="479"/>
      <c r="B68" s="482" t="s">
        <v>775</v>
      </c>
      <c r="C68" s="483"/>
      <c r="D68" s="345">
        <f>SUM(D65:D67)</f>
        <v>7245221</v>
      </c>
      <c r="E68" s="345">
        <f>SUM(E65:E67)</f>
        <v>11804987</v>
      </c>
    </row>
    <row r="69" spans="1:5" ht="15">
      <c r="A69" s="478"/>
      <c r="B69" s="485" t="s">
        <v>493</v>
      </c>
      <c r="C69" s="483"/>
      <c r="D69" s="486">
        <f>D49+D60+D63+D64+D68</f>
        <v>507600504.85000002</v>
      </c>
      <c r="E69" s="486">
        <f>E49+E60+E63+E64+E68</f>
        <v>63076873.719999999</v>
      </c>
    </row>
    <row r="70" spans="1:5">
      <c r="A70" s="478"/>
      <c r="B70" s="478"/>
      <c r="C70" s="483"/>
      <c r="D70" s="478"/>
      <c r="E70" s="478"/>
    </row>
    <row r="71" spans="1:5">
      <c r="A71" s="478"/>
      <c r="B71" s="483" t="s">
        <v>776</v>
      </c>
      <c r="C71" s="483"/>
      <c r="D71" s="486">
        <f>D46-D69</f>
        <v>271406389.88000011</v>
      </c>
      <c r="E71" s="486">
        <f>E46-E69</f>
        <v>10763005.679999992</v>
      </c>
    </row>
    <row r="72" spans="1:5">
      <c r="A72" s="478"/>
      <c r="B72" s="483"/>
      <c r="C72" s="483"/>
      <c r="D72" s="483"/>
      <c r="E72" s="483"/>
    </row>
    <row r="73" spans="1:5">
      <c r="A73" s="478"/>
      <c r="B73" s="483" t="s">
        <v>777</v>
      </c>
      <c r="C73" s="483"/>
      <c r="D73" s="486">
        <f>D71-'BILANCI 2013'!D110</f>
        <v>27148422.088</v>
      </c>
      <c r="E73" s="486">
        <f>E71-'BILANCI 2013'!E110</f>
        <v>1103671.7399999835</v>
      </c>
    </row>
    <row r="74" spans="1:5">
      <c r="A74" s="478"/>
      <c r="B74" s="478"/>
      <c r="C74" s="483"/>
      <c r="D74" s="478"/>
      <c r="E74" s="478"/>
    </row>
  </sheetData>
  <mergeCells count="5">
    <mergeCell ref="F4:F5"/>
    <mergeCell ref="A3:E3"/>
    <mergeCell ref="C4:C5"/>
    <mergeCell ref="E4:E5"/>
    <mergeCell ref="D4:D5"/>
  </mergeCells>
  <phoneticPr fontId="0" type="noConversion"/>
  <pageMargins left="0.75" right="0.7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3"/>
  <sheetViews>
    <sheetView view="pageBreakPreview" zoomScaleNormal="100" zoomScaleSheetLayoutView="100" workbookViewId="0">
      <selection activeCell="B13" sqref="B13"/>
    </sheetView>
  </sheetViews>
  <sheetFormatPr defaultRowHeight="15"/>
  <cols>
    <col min="1" max="1" width="53.7109375" style="314" customWidth="1"/>
    <col min="2" max="2" width="14.85546875" style="314" customWidth="1"/>
    <col min="3" max="3" width="13.7109375" style="314" customWidth="1"/>
    <col min="4" max="4" width="12.5703125" style="314" customWidth="1"/>
    <col min="5" max="5" width="14.5703125" style="314" customWidth="1"/>
    <col min="6" max="6" width="16.140625" style="314" customWidth="1"/>
    <col min="7" max="7" width="15.7109375" style="314" bestFit="1" customWidth="1"/>
    <col min="8" max="8" width="12.42578125" style="314" customWidth="1"/>
    <col min="9" max="16384" width="9.140625" style="314"/>
  </cols>
  <sheetData>
    <row r="2" spans="1:8">
      <c r="A2" s="315" t="s">
        <v>793</v>
      </c>
      <c r="B2" s="315"/>
      <c r="C2" s="315"/>
      <c r="D2" s="315"/>
    </row>
    <row r="3" spans="1:8">
      <c r="A3" s="635" t="s">
        <v>791</v>
      </c>
      <c r="B3" s="635"/>
      <c r="C3" s="635"/>
      <c r="D3" s="635"/>
      <c r="E3" s="635"/>
      <c r="F3" s="635"/>
    </row>
    <row r="4" spans="1:8">
      <c r="A4" s="636" t="s">
        <v>125</v>
      </c>
      <c r="B4" s="636"/>
    </row>
    <row r="5" spans="1:8">
      <c r="A5" s="637"/>
      <c r="B5" s="637"/>
      <c r="C5" s="637"/>
      <c r="D5" s="637"/>
      <c r="E5" s="637"/>
      <c r="F5" s="487"/>
    </row>
    <row r="6" spans="1:8" ht="15.75" thickBot="1">
      <c r="F6" s="315" t="s">
        <v>126</v>
      </c>
      <c r="G6" s="315"/>
    </row>
    <row r="7" spans="1:8" ht="45.75" thickBot="1">
      <c r="A7" s="488"/>
      <c r="B7" s="489" t="s">
        <v>748</v>
      </c>
      <c r="C7" s="490" t="s">
        <v>749</v>
      </c>
      <c r="D7" s="491" t="s">
        <v>750</v>
      </c>
      <c r="E7" s="492" t="s">
        <v>751</v>
      </c>
      <c r="F7" s="493" t="s">
        <v>752</v>
      </c>
      <c r="G7" s="494" t="s">
        <v>753</v>
      </c>
    </row>
    <row r="8" spans="1:8" ht="15.75" thickBot="1">
      <c r="A8" s="495" t="s">
        <v>754</v>
      </c>
      <c r="B8" s="496">
        <v>906928519</v>
      </c>
      <c r="C8" s="496"/>
      <c r="D8" s="496"/>
      <c r="E8" s="496">
        <f>'BILANCI 2013'!E107</f>
        <v>135205</v>
      </c>
      <c r="F8" s="497">
        <f>'BILANCI 2013'!E109+'BILANCI 2013'!E110+1</f>
        <v>-65936287.059999987</v>
      </c>
      <c r="G8" s="498">
        <f>SUM(B8:F8)</f>
        <v>841127436.94000006</v>
      </c>
      <c r="H8" s="499">
        <f>G8-'BILANCI 2013'!E112</f>
        <v>1</v>
      </c>
    </row>
    <row r="9" spans="1:8">
      <c r="A9" s="500" t="s">
        <v>744</v>
      </c>
      <c r="B9" s="340"/>
      <c r="C9" s="340"/>
      <c r="D9" s="340"/>
      <c r="E9" s="340"/>
      <c r="F9" s="340">
        <f>'BILANCI 2013'!D110</f>
        <v>244257967.79200011</v>
      </c>
      <c r="G9" s="501"/>
    </row>
    <row r="10" spans="1:8">
      <c r="A10" s="502" t="s">
        <v>745</v>
      </c>
      <c r="B10" s="340"/>
      <c r="C10" s="340"/>
      <c r="D10" s="340"/>
      <c r="E10" s="503"/>
      <c r="F10" s="340"/>
      <c r="G10" s="501"/>
    </row>
    <row r="11" spans="1:8">
      <c r="A11" s="504" t="s">
        <v>746</v>
      </c>
      <c r="B11" s="340"/>
      <c r="C11" s="340"/>
      <c r="D11" s="340"/>
      <c r="E11" s="503"/>
      <c r="F11" s="505"/>
      <c r="G11" s="501"/>
    </row>
    <row r="12" spans="1:8" ht="15.75" thickBot="1">
      <c r="A12" s="506" t="s">
        <v>747</v>
      </c>
      <c r="B12" s="507"/>
      <c r="C12" s="507"/>
      <c r="D12" s="507"/>
      <c r="E12" s="507"/>
      <c r="F12" s="507"/>
      <c r="G12" s="508"/>
    </row>
    <row r="13" spans="1:8" ht="15.75" thickBot="1">
      <c r="A13" s="495" t="s">
        <v>790</v>
      </c>
      <c r="B13" s="496">
        <f>SUM(B8:B12)</f>
        <v>906928519</v>
      </c>
      <c r="C13" s="496">
        <f t="shared" ref="C13:F13" si="0">SUM(C8:C12)</f>
        <v>0</v>
      </c>
      <c r="D13" s="496">
        <f t="shared" si="0"/>
        <v>0</v>
      </c>
      <c r="E13" s="496">
        <f t="shared" si="0"/>
        <v>135205</v>
      </c>
      <c r="F13" s="496">
        <f t="shared" si="0"/>
        <v>178321680.73200011</v>
      </c>
      <c r="G13" s="498">
        <f>SUM(B13:F13)</f>
        <v>1085385404.7320001</v>
      </c>
      <c r="H13" s="325">
        <f>G13-'BILANCI 2013'!D112</f>
        <v>6.9999933242797852E-2</v>
      </c>
    </row>
  </sheetData>
  <mergeCells count="3">
    <mergeCell ref="A3:F3"/>
    <mergeCell ref="A4:B4"/>
    <mergeCell ref="A5:E5"/>
  </mergeCells>
  <phoneticPr fontId="0" type="noConversion"/>
  <pageMargins left="0.75" right="0.75" top="1" bottom="1" header="0.5" footer="0.5"/>
  <pageSetup scale="83" orientation="landscape" r:id="rId1"/>
  <headerFooter alignWithMargins="0"/>
  <rowBreaks count="1" manualBreakCount="1">
    <brk id="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F34"/>
  <sheetViews>
    <sheetView view="pageBreakPreview" zoomScaleNormal="100" zoomScaleSheetLayoutView="100" workbookViewId="0">
      <selection activeCell="B8" sqref="B8"/>
    </sheetView>
  </sheetViews>
  <sheetFormatPr defaultRowHeight="15"/>
  <cols>
    <col min="1" max="1" width="7" style="314" customWidth="1"/>
    <col min="2" max="2" width="63.7109375" style="314" customWidth="1"/>
    <col min="3" max="3" width="7.7109375" style="314" customWidth="1"/>
    <col min="4" max="4" width="16.28515625" style="314" customWidth="1"/>
    <col min="5" max="5" width="15.28515625" style="314" customWidth="1"/>
    <col min="6" max="6" width="17.85546875" style="314" hidden="1" customWidth="1"/>
    <col min="7" max="16384" width="9.140625" style="314"/>
  </cols>
  <sheetData>
    <row r="2" spans="1:6" ht="15.75" thickBot="1">
      <c r="B2" s="315" t="s">
        <v>794</v>
      </c>
    </row>
    <row r="3" spans="1:6" ht="17.25" customHeight="1" thickBot="1">
      <c r="A3" s="642" t="s">
        <v>792</v>
      </c>
      <c r="B3" s="643"/>
      <c r="C3" s="643"/>
      <c r="D3" s="643"/>
      <c r="E3" s="644"/>
      <c r="F3" s="509"/>
    </row>
    <row r="4" spans="1:6" ht="15.75" thickBot="1">
      <c r="A4" s="645" t="s">
        <v>755</v>
      </c>
      <c r="B4" s="646"/>
      <c r="C4" s="646"/>
      <c r="D4" s="646"/>
      <c r="E4" s="647"/>
      <c r="F4" s="510" t="s">
        <v>91</v>
      </c>
    </row>
    <row r="5" spans="1:6" ht="13.5" customHeight="1">
      <c r="A5" s="648" t="s">
        <v>92</v>
      </c>
      <c r="B5" s="648" t="s">
        <v>93</v>
      </c>
      <c r="C5" s="648" t="s">
        <v>1</v>
      </c>
      <c r="D5" s="640" t="s">
        <v>2</v>
      </c>
      <c r="E5" s="648" t="s">
        <v>743</v>
      </c>
      <c r="F5" s="638" t="s">
        <v>119</v>
      </c>
    </row>
    <row r="6" spans="1:6" ht="15.75" thickBot="1">
      <c r="A6" s="649"/>
      <c r="B6" s="649"/>
      <c r="C6" s="649"/>
      <c r="D6" s="641"/>
      <c r="E6" s="649"/>
      <c r="F6" s="639"/>
    </row>
    <row r="7" spans="1:6">
      <c r="A7" s="511" t="s">
        <v>3</v>
      </c>
      <c r="B7" s="512" t="s">
        <v>756</v>
      </c>
      <c r="C7" s="513"/>
      <c r="D7" s="514"/>
      <c r="E7" s="515"/>
      <c r="F7" s="516"/>
    </row>
    <row r="8" spans="1:6">
      <c r="A8" s="517">
        <v>1</v>
      </c>
      <c r="B8" s="518" t="s">
        <v>120</v>
      </c>
      <c r="C8" s="519"/>
      <c r="D8" s="520">
        <f>'BILANCI 2013'!D78-'BILANCI 2013'!E78</f>
        <v>-446966604.80999994</v>
      </c>
      <c r="E8" s="521">
        <v>272823036</v>
      </c>
      <c r="F8" s="522">
        <v>46946455</v>
      </c>
    </row>
    <row r="9" spans="1:6">
      <c r="A9" s="517">
        <v>2</v>
      </c>
      <c r="B9" s="518" t="s">
        <v>121</v>
      </c>
      <c r="C9" s="519"/>
      <c r="D9" s="520">
        <f>SUM('BILANCI 2013'!D74:D76)-SUM('BILANCI 2013'!E74:E76)</f>
        <v>23496718.268000014</v>
      </c>
      <c r="E9" s="521">
        <v>-150948</v>
      </c>
      <c r="F9" s="522">
        <v>-71075038</v>
      </c>
    </row>
    <row r="10" spans="1:6">
      <c r="A10" s="517">
        <v>3</v>
      </c>
      <c r="B10" s="518" t="s">
        <v>122</v>
      </c>
      <c r="C10" s="519"/>
      <c r="D10" s="520">
        <f>-('BILANCI 2013'!D14+'BILANCI 2013'!D15+'BILANCI 2013'!D28-'BILANCI 2013'!E14-'BILANCI 2013'!E15-'BILANCI 2013'!E28+'BILANCI 2013'!D37-'BILANCI 2013'!E37)+'TE ARDHURA SHPENZIME 2013'!D31-'per notat'!B119</f>
        <v>-45004605.363193169</v>
      </c>
      <c r="E10" s="523">
        <v>2163182</v>
      </c>
      <c r="F10" s="524">
        <v>17834500</v>
      </c>
    </row>
    <row r="11" spans="1:6">
      <c r="A11" s="517">
        <v>4</v>
      </c>
      <c r="B11" s="518" t="s">
        <v>757</v>
      </c>
      <c r="C11" s="519"/>
      <c r="D11" s="520"/>
      <c r="E11" s="521"/>
      <c r="F11" s="522"/>
    </row>
    <row r="12" spans="1:6">
      <c r="A12" s="517">
        <v>5</v>
      </c>
      <c r="B12" s="518" t="s">
        <v>758</v>
      </c>
      <c r="C12" s="519"/>
      <c r="D12" s="520">
        <f>'per notat'!B119</f>
        <v>24795436.088000014</v>
      </c>
      <c r="E12" s="521">
        <v>-1799101</v>
      </c>
      <c r="F12" s="522">
        <v>-240000</v>
      </c>
    </row>
    <row r="13" spans="1:6">
      <c r="A13" s="517"/>
      <c r="B13" s="525" t="s">
        <v>819</v>
      </c>
      <c r="C13" s="519"/>
      <c r="D13" s="526">
        <f>SUM(D8:D12)</f>
        <v>-443679055.81719309</v>
      </c>
      <c r="E13" s="526">
        <f>SUM(E8:E12)</f>
        <v>273036169</v>
      </c>
      <c r="F13" s="527">
        <f>SUM(F8:F12)</f>
        <v>-6534083</v>
      </c>
    </row>
    <row r="14" spans="1:6">
      <c r="A14" s="528" t="s">
        <v>51</v>
      </c>
      <c r="B14" s="529" t="s">
        <v>820</v>
      </c>
      <c r="C14" s="519"/>
      <c r="D14" s="521"/>
      <c r="E14" s="521"/>
      <c r="F14" s="530"/>
    </row>
    <row r="15" spans="1:6" ht="30">
      <c r="A15" s="517">
        <v>1</v>
      </c>
      <c r="B15" s="518" t="s">
        <v>123</v>
      </c>
      <c r="C15" s="519"/>
      <c r="D15" s="531"/>
      <c r="E15" s="521"/>
      <c r="F15" s="522"/>
    </row>
    <row r="16" spans="1:6">
      <c r="A16" s="517">
        <v>2</v>
      </c>
      <c r="B16" s="518" t="s">
        <v>759</v>
      </c>
      <c r="C16" s="519"/>
      <c r="D16" s="531"/>
      <c r="E16" s="521"/>
      <c r="F16" s="522"/>
    </row>
    <row r="17" spans="1:6">
      <c r="A17" s="517">
        <v>3</v>
      </c>
      <c r="B17" s="518" t="s">
        <v>760</v>
      </c>
      <c r="C17" s="519"/>
      <c r="D17" s="520">
        <f>-('BILANCI 2013'!D40+'BILANCI 2013'!D43-'BILANCI 2013'!E40-'BILANCI 2013'!E42-'BILANCI 2013'!E43+'BILANCI 2013'!D46-'BILANCI 2013'!E46)</f>
        <v>365486901.09000003</v>
      </c>
      <c r="E17" s="521">
        <v>0</v>
      </c>
      <c r="F17" s="522"/>
    </row>
    <row r="18" spans="1:6">
      <c r="A18" s="517">
        <v>4</v>
      </c>
      <c r="B18" s="518" t="s">
        <v>761</v>
      </c>
      <c r="C18" s="519"/>
      <c r="D18" s="531"/>
      <c r="E18" s="521"/>
      <c r="F18" s="522"/>
    </row>
    <row r="19" spans="1:6">
      <c r="A19" s="517">
        <v>5</v>
      </c>
      <c r="B19" s="518" t="s">
        <v>762</v>
      </c>
      <c r="C19" s="519"/>
      <c r="D19" s="531"/>
      <c r="E19" s="521"/>
      <c r="F19" s="522"/>
    </row>
    <row r="20" spans="1:6">
      <c r="A20" s="517"/>
      <c r="B20" s="525" t="s">
        <v>763</v>
      </c>
      <c r="C20" s="519"/>
      <c r="D20" s="526">
        <f>SUM(D15:D19)</f>
        <v>365486901.09000003</v>
      </c>
      <c r="E20" s="526"/>
      <c r="F20" s="527">
        <f>SUM(F17:F19)</f>
        <v>0</v>
      </c>
    </row>
    <row r="21" spans="1:6">
      <c r="A21" s="528" t="s">
        <v>124</v>
      </c>
      <c r="B21" s="529" t="s">
        <v>764</v>
      </c>
      <c r="C21" s="519"/>
      <c r="D21" s="531"/>
      <c r="E21" s="532"/>
      <c r="F21" s="530"/>
    </row>
    <row r="22" spans="1:6">
      <c r="A22" s="517">
        <v>1</v>
      </c>
      <c r="B22" s="518" t="s">
        <v>765</v>
      </c>
      <c r="C22" s="519"/>
      <c r="D22" s="531"/>
      <c r="E22" s="521"/>
      <c r="F22" s="522"/>
    </row>
    <row r="23" spans="1:6">
      <c r="A23" s="517">
        <v>2</v>
      </c>
      <c r="B23" s="518" t="s">
        <v>766</v>
      </c>
      <c r="C23" s="519"/>
      <c r="D23" s="520">
        <f>('BILANCI 2013'!D91-'BILANCI 2013'!E91)</f>
        <v>70751270.069999993</v>
      </c>
      <c r="E23" s="521">
        <v>-286339374</v>
      </c>
      <c r="F23" s="522">
        <v>70751270</v>
      </c>
    </row>
    <row r="24" spans="1:6">
      <c r="A24" s="517">
        <v>3</v>
      </c>
      <c r="B24" s="518" t="s">
        <v>767</v>
      </c>
      <c r="C24" s="519"/>
      <c r="D24" s="531"/>
      <c r="E24" s="521"/>
      <c r="F24" s="522">
        <v>-70022828</v>
      </c>
    </row>
    <row r="25" spans="1:6">
      <c r="A25" s="517">
        <v>4</v>
      </c>
      <c r="B25" s="518" t="s">
        <v>768</v>
      </c>
      <c r="C25" s="519"/>
      <c r="D25" s="531"/>
      <c r="E25" s="521"/>
      <c r="F25" s="522"/>
    </row>
    <row r="26" spans="1:6">
      <c r="A26" s="519"/>
      <c r="B26" s="525" t="s">
        <v>821</v>
      </c>
      <c r="C26" s="519"/>
      <c r="D26" s="526">
        <f>SUM(D22:D25)</f>
        <v>70751270.069999993</v>
      </c>
      <c r="E26" s="526">
        <f>SUM(E22:E25)</f>
        <v>-286339374</v>
      </c>
      <c r="F26" s="527">
        <f>SUM(F22:F25)</f>
        <v>728442</v>
      </c>
    </row>
    <row r="27" spans="1:6">
      <c r="A27" s="519"/>
      <c r="B27" s="529" t="s">
        <v>822</v>
      </c>
      <c r="C27" s="519"/>
      <c r="D27" s="521">
        <f>D13+D26+D20</f>
        <v>-7440884.6571930647</v>
      </c>
      <c r="E27" s="521">
        <f>E13+E26</f>
        <v>-13303205</v>
      </c>
      <c r="F27" s="522">
        <f>F13+F20+F26</f>
        <v>-5805641</v>
      </c>
    </row>
    <row r="28" spans="1:6">
      <c r="A28" s="519"/>
      <c r="B28" s="529" t="s">
        <v>823</v>
      </c>
      <c r="C28" s="519"/>
      <c r="D28" s="520">
        <f>E29</f>
        <v>14848550</v>
      </c>
      <c r="E28" s="521">
        <v>28151755</v>
      </c>
      <c r="F28" s="522">
        <v>24565875</v>
      </c>
    </row>
    <row r="29" spans="1:6" ht="15.75" thickBot="1">
      <c r="A29" s="533"/>
      <c r="B29" s="534" t="s">
        <v>824</v>
      </c>
      <c r="C29" s="535"/>
      <c r="D29" s="536">
        <f>SUM(D27:D28)</f>
        <v>7407665.3428069353</v>
      </c>
      <c r="E29" s="536">
        <f>SUM(E27:E28)</f>
        <v>14848550</v>
      </c>
      <c r="F29" s="537">
        <f>SUM(F27:F28)</f>
        <v>18760234</v>
      </c>
    </row>
    <row r="30" spans="1:6">
      <c r="A30" s="538"/>
      <c r="B30" s="539"/>
      <c r="C30" s="539"/>
      <c r="D30" s="540"/>
      <c r="F30" s="538"/>
    </row>
    <row r="31" spans="1:6">
      <c r="D31" s="311">
        <f>D29-'BILANCI 2013'!D8</f>
        <v>6.2806935980916023E-2</v>
      </c>
    </row>
    <row r="32" spans="1:6">
      <c r="E32" s="325"/>
    </row>
    <row r="33" spans="5:5">
      <c r="E33" s="325"/>
    </row>
    <row r="34" spans="5:5">
      <c r="E34" s="325"/>
    </row>
  </sheetData>
  <mergeCells count="8">
    <mergeCell ref="F5:F6"/>
    <mergeCell ref="D5:D6"/>
    <mergeCell ref="A3:E3"/>
    <mergeCell ref="A4:E4"/>
    <mergeCell ref="A5:A6"/>
    <mergeCell ref="B5:B6"/>
    <mergeCell ref="C5:C6"/>
    <mergeCell ref="E5:E6"/>
  </mergeCells>
  <phoneticPr fontId="0" type="noConversion"/>
  <pageMargins left="0.37" right="0.27" top="1" bottom="1" header="0.5" footer="0.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Normal="120" zoomScaleSheetLayoutView="100" workbookViewId="0">
      <selection activeCell="H31" sqref="H31"/>
    </sheetView>
  </sheetViews>
  <sheetFormatPr defaultRowHeight="12.75"/>
  <cols>
    <col min="1" max="1" width="5.140625" customWidth="1"/>
    <col min="2" max="2" width="21.140625" customWidth="1"/>
    <col min="3" max="3" width="14.5703125" customWidth="1"/>
    <col min="4" max="4" width="11.7109375" customWidth="1"/>
    <col min="5" max="5" width="13.42578125" customWidth="1"/>
    <col min="6" max="6" width="14.7109375" customWidth="1"/>
    <col min="7" max="7" width="12.5703125" customWidth="1"/>
    <col min="8" max="8" width="12.7109375" customWidth="1"/>
  </cols>
  <sheetData>
    <row r="1" spans="1:7" ht="15">
      <c r="B1" s="13" t="s">
        <v>796</v>
      </c>
    </row>
    <row r="2" spans="1:7">
      <c r="B2" s="14" t="s">
        <v>284</v>
      </c>
    </row>
    <row r="3" spans="1:7">
      <c r="B3" s="14"/>
    </row>
    <row r="4" spans="1:7" ht="15.75">
      <c r="B4" s="650" t="s">
        <v>795</v>
      </c>
      <c r="C4" s="650"/>
      <c r="D4" s="650"/>
      <c r="E4" s="650"/>
      <c r="F4" s="650"/>
    </row>
    <row r="5" spans="1:7">
      <c r="E5" s="3" t="s">
        <v>283</v>
      </c>
    </row>
    <row r="6" spans="1:7">
      <c r="A6" s="651" t="s">
        <v>127</v>
      </c>
      <c r="B6" s="651" t="s">
        <v>128</v>
      </c>
      <c r="C6" s="308" t="s">
        <v>129</v>
      </c>
      <c r="D6" s="651" t="s">
        <v>130</v>
      </c>
      <c r="E6" s="651" t="s">
        <v>131</v>
      </c>
      <c r="F6" s="308" t="s">
        <v>129</v>
      </c>
    </row>
    <row r="7" spans="1:7">
      <c r="A7" s="652"/>
      <c r="B7" s="652"/>
      <c r="C7" s="309">
        <v>40909</v>
      </c>
      <c r="D7" s="652"/>
      <c r="E7" s="652"/>
      <c r="F7" s="309">
        <v>41639</v>
      </c>
    </row>
    <row r="8" spans="1:7">
      <c r="A8" s="15">
        <v>1</v>
      </c>
      <c r="B8" s="15" t="s">
        <v>38</v>
      </c>
      <c r="C8" s="302">
        <v>754018939</v>
      </c>
      <c r="D8" s="303">
        <f>884974674.88-C8</f>
        <v>130955735.88</v>
      </c>
      <c r="E8" s="303"/>
      <c r="F8" s="303">
        <f t="shared" ref="F8:F9" si="0">C8+D8-E8</f>
        <v>884974674.88</v>
      </c>
      <c r="G8" s="98"/>
    </row>
    <row r="9" spans="1:7">
      <c r="A9" s="15">
        <f>A8+1</f>
        <v>2</v>
      </c>
      <c r="B9" s="15" t="s">
        <v>133</v>
      </c>
      <c r="C9" s="302">
        <v>26145673.969999999</v>
      </c>
      <c r="D9" s="303"/>
      <c r="E9" s="303">
        <v>26145673.969999999</v>
      </c>
      <c r="F9" s="302">
        <f t="shared" si="0"/>
        <v>0</v>
      </c>
      <c r="G9" s="98"/>
    </row>
    <row r="10" spans="1:7" ht="13.5" thickBot="1">
      <c r="A10" s="15">
        <v>3</v>
      </c>
      <c r="B10" s="15" t="s">
        <v>615</v>
      </c>
      <c r="C10" s="302">
        <v>128408</v>
      </c>
      <c r="D10" s="304">
        <v>30000</v>
      </c>
      <c r="E10" s="303"/>
      <c r="F10" s="303">
        <f>C10+D10-E10</f>
        <v>158408</v>
      </c>
      <c r="G10" s="98"/>
    </row>
    <row r="11" spans="1:7" ht="13.5" thickBot="1">
      <c r="A11" s="17"/>
      <c r="B11" s="305" t="s">
        <v>135</v>
      </c>
      <c r="C11" s="306">
        <f>SUM(C8:C10)</f>
        <v>780293020.97000003</v>
      </c>
      <c r="D11" s="306">
        <f>SUM(D8:D10)</f>
        <v>130985735.88</v>
      </c>
      <c r="E11" s="306">
        <f>SUM(E8:E10)</f>
        <v>26145673.969999999</v>
      </c>
      <c r="F11" s="307">
        <f>SUM(F8:F10)</f>
        <v>885133082.88</v>
      </c>
      <c r="G11" s="98"/>
    </row>
    <row r="14" spans="1:7" ht="15.75">
      <c r="B14" s="650" t="s">
        <v>798</v>
      </c>
      <c r="C14" s="650"/>
      <c r="D14" s="650"/>
      <c r="E14" s="650"/>
      <c r="F14" s="650"/>
    </row>
    <row r="15" spans="1:7">
      <c r="E15" s="3" t="s">
        <v>283</v>
      </c>
    </row>
    <row r="16" spans="1:7">
      <c r="A16" s="651" t="s">
        <v>127</v>
      </c>
      <c r="B16" s="651" t="s">
        <v>128</v>
      </c>
      <c r="C16" s="653" t="s">
        <v>797</v>
      </c>
      <c r="D16" s="654"/>
      <c r="E16" s="655"/>
      <c r="F16" s="308" t="s">
        <v>129</v>
      </c>
    </row>
    <row r="17" spans="1:8">
      <c r="A17" s="652"/>
      <c r="B17" s="652"/>
      <c r="C17" s="656"/>
      <c r="D17" s="657"/>
      <c r="E17" s="658"/>
      <c r="F17" s="309">
        <v>41639</v>
      </c>
    </row>
    <row r="18" spans="1:8">
      <c r="A18" s="15">
        <v>1</v>
      </c>
      <c r="B18" s="15" t="s">
        <v>38</v>
      </c>
      <c r="C18" s="659"/>
      <c r="D18" s="660"/>
      <c r="E18" s="661"/>
      <c r="F18" s="302">
        <f>C18+D18</f>
        <v>0</v>
      </c>
    </row>
    <row r="19" spans="1:8">
      <c r="A19" s="15">
        <v>2</v>
      </c>
      <c r="B19" s="15" t="s">
        <v>136</v>
      </c>
      <c r="C19" s="665">
        <f>Amortizimi!F6</f>
        <v>5229134.7939999998</v>
      </c>
      <c r="D19" s="666"/>
      <c r="E19" s="667"/>
      <c r="F19" s="302">
        <f>C19+D19-E19</f>
        <v>5229134.7939999998</v>
      </c>
      <c r="G19" s="10"/>
    </row>
    <row r="20" spans="1:8" ht="13.5" thickBot="1">
      <c r="A20" s="15">
        <v>3</v>
      </c>
      <c r="B20" s="15" t="s">
        <v>614</v>
      </c>
      <c r="C20" s="665">
        <f>Amortizimi!F7+Amortizimi!F8</f>
        <v>37102</v>
      </c>
      <c r="D20" s="666"/>
      <c r="E20" s="667"/>
      <c r="F20" s="302">
        <f>C20+D20-E20</f>
        <v>37102</v>
      </c>
      <c r="G20" s="10"/>
    </row>
    <row r="21" spans="1:8" ht="13.5" thickBot="1">
      <c r="A21" s="17"/>
      <c r="B21" s="18" t="s">
        <v>135</v>
      </c>
      <c r="C21" s="662">
        <f>C19+C20</f>
        <v>5266236.7939999998</v>
      </c>
      <c r="D21" s="663"/>
      <c r="E21" s="664"/>
      <c r="F21" s="306">
        <f>SUM(F18:F20)</f>
        <v>5266236.7939999998</v>
      </c>
      <c r="G21" s="10"/>
      <c r="H21" s="11"/>
    </row>
    <row r="22" spans="1:8">
      <c r="D22" s="11"/>
      <c r="E22" s="11"/>
      <c r="F22" s="98"/>
      <c r="G22" s="98"/>
      <c r="H22" s="10"/>
    </row>
    <row r="23" spans="1:8">
      <c r="D23" s="11"/>
    </row>
    <row r="24" spans="1:8" ht="15.75">
      <c r="B24" s="650" t="s">
        <v>799</v>
      </c>
      <c r="C24" s="650"/>
      <c r="D24" s="650"/>
      <c r="E24" s="650"/>
      <c r="F24" s="650"/>
    </row>
    <row r="25" spans="1:8">
      <c r="E25" s="3" t="s">
        <v>283</v>
      </c>
    </row>
    <row r="26" spans="1:8" ht="12.75" customHeight="1">
      <c r="A26" s="651" t="s">
        <v>127</v>
      </c>
      <c r="B26" s="651" t="s">
        <v>128</v>
      </c>
      <c r="C26" s="651" t="s">
        <v>129</v>
      </c>
      <c r="D26" s="651" t="s">
        <v>130</v>
      </c>
      <c r="E26" s="651" t="s">
        <v>131</v>
      </c>
      <c r="F26" s="651" t="s">
        <v>129</v>
      </c>
      <c r="G26" s="98"/>
    </row>
    <row r="27" spans="1:8" ht="12.75" customHeight="1">
      <c r="A27" s="652"/>
      <c r="B27" s="652"/>
      <c r="C27" s="652">
        <v>40909</v>
      </c>
      <c r="D27" s="652"/>
      <c r="E27" s="652"/>
      <c r="F27" s="652">
        <v>41274</v>
      </c>
      <c r="G27" s="98"/>
    </row>
    <row r="28" spans="1:8">
      <c r="A28" s="15">
        <v>1</v>
      </c>
      <c r="B28" s="15" t="s">
        <v>38</v>
      </c>
      <c r="C28" s="302">
        <f>C8</f>
        <v>754018939</v>
      </c>
      <c r="D28" s="302">
        <v>167013100</v>
      </c>
      <c r="E28" s="302">
        <v>506217760.12</v>
      </c>
      <c r="F28" s="302">
        <f>C28+D28-E28</f>
        <v>414814278.88</v>
      </c>
      <c r="G28" s="98"/>
      <c r="H28" s="10"/>
    </row>
    <row r="29" spans="1:8">
      <c r="A29" s="15">
        <v>2</v>
      </c>
      <c r="B29" s="15" t="s">
        <v>136</v>
      </c>
      <c r="C29" s="302">
        <v>0</v>
      </c>
      <c r="D29" s="302">
        <f>-(D9+D19)</f>
        <v>0</v>
      </c>
      <c r="E29" s="302">
        <v>0</v>
      </c>
      <c r="F29" s="302">
        <v>0</v>
      </c>
      <c r="G29" s="98"/>
    </row>
    <row r="30" spans="1:8" ht="13.5" thickBot="1">
      <c r="A30" s="15">
        <v>3</v>
      </c>
      <c r="B30" s="15" t="s">
        <v>614</v>
      </c>
      <c r="C30" s="302">
        <f>F10-F20</f>
        <v>121306</v>
      </c>
      <c r="D30" s="302">
        <v>0</v>
      </c>
      <c r="E30" s="302">
        <v>0</v>
      </c>
      <c r="F30" s="302">
        <f>C30</f>
        <v>121306</v>
      </c>
      <c r="G30" s="98"/>
      <c r="H30" s="10"/>
    </row>
    <row r="31" spans="1:8" ht="13.5" thickBot="1">
      <c r="A31" s="17"/>
      <c r="B31" s="18" t="s">
        <v>135</v>
      </c>
      <c r="C31" s="306">
        <f>SUM(C28:C30)</f>
        <v>754140245</v>
      </c>
      <c r="D31" s="306">
        <f>SUM(D28:D30)</f>
        <v>167013100</v>
      </c>
      <c r="E31" s="306">
        <f>SUM(E28:E30)</f>
        <v>506217760.12</v>
      </c>
      <c r="F31" s="306">
        <f>SUM(F28:F30)</f>
        <v>414935584.88</v>
      </c>
      <c r="G31" s="98">
        <f>F31-'BILANCI 2013'!D44</f>
        <v>0</v>
      </c>
    </row>
    <row r="32" spans="1:8">
      <c r="A32" s="19"/>
      <c r="B32" s="19"/>
      <c r="C32" s="19"/>
      <c r="D32" s="19"/>
      <c r="E32" s="20"/>
      <c r="F32" s="21"/>
    </row>
    <row r="33" spans="3:6">
      <c r="C33" s="11"/>
      <c r="F33" s="11"/>
    </row>
    <row r="34" spans="3:6">
      <c r="C34" s="11"/>
      <c r="F34" s="11"/>
    </row>
    <row r="35" spans="3:6" ht="15.75">
      <c r="D35" s="668" t="s">
        <v>137</v>
      </c>
      <c r="E35" s="668"/>
      <c r="F35" s="668"/>
    </row>
  </sheetData>
  <mergeCells count="21">
    <mergeCell ref="C18:E18"/>
    <mergeCell ref="C21:E21"/>
    <mergeCell ref="C19:E19"/>
    <mergeCell ref="C20:E20"/>
    <mergeCell ref="D35:F35"/>
    <mergeCell ref="B24:F24"/>
    <mergeCell ref="F26:F27"/>
    <mergeCell ref="A26:A27"/>
    <mergeCell ref="B26:B27"/>
    <mergeCell ref="D26:D27"/>
    <mergeCell ref="E26:E27"/>
    <mergeCell ref="C26:C27"/>
    <mergeCell ref="B14:F14"/>
    <mergeCell ref="A16:A17"/>
    <mergeCell ref="B16:B17"/>
    <mergeCell ref="C16:E17"/>
    <mergeCell ref="B4:F4"/>
    <mergeCell ref="A6:A7"/>
    <mergeCell ref="B6:B7"/>
    <mergeCell ref="D6:D7"/>
    <mergeCell ref="E6:E7"/>
  </mergeCells>
  <phoneticPr fontId="11" type="noConversion"/>
  <pageMargins left="0.75" right="0.75" top="1" bottom="1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74"/>
  <sheetViews>
    <sheetView tabSelected="1" view="pageBreakPreview" topLeftCell="A17" zoomScaleNormal="120" zoomScaleSheetLayoutView="100" workbookViewId="0">
      <selection activeCell="G27" sqref="G27"/>
    </sheetView>
  </sheetViews>
  <sheetFormatPr defaultRowHeight="12.75"/>
  <cols>
    <col min="1" max="1" width="2.85546875" customWidth="1"/>
    <col min="3" max="3" width="11.28515625" customWidth="1"/>
    <col min="4" max="4" width="14.7109375" customWidth="1"/>
    <col min="5" max="5" width="12.7109375" customWidth="1"/>
    <col min="6" max="6" width="12.42578125" customWidth="1"/>
    <col min="7" max="7" width="10.85546875" customWidth="1"/>
    <col min="8" max="8" width="10" customWidth="1"/>
    <col min="9" max="9" width="15.42578125" customWidth="1"/>
    <col min="10" max="10" width="14.5703125" customWidth="1"/>
  </cols>
  <sheetData>
    <row r="1" spans="1:10" ht="15">
      <c r="A1" s="24"/>
      <c r="B1" s="13" t="s">
        <v>796</v>
      </c>
      <c r="G1" s="24"/>
      <c r="H1" s="24"/>
      <c r="I1" s="24"/>
      <c r="J1" s="24"/>
    </row>
    <row r="2" spans="1:10">
      <c r="A2" s="24"/>
      <c r="B2" s="14" t="s">
        <v>282</v>
      </c>
      <c r="G2" s="24"/>
      <c r="H2" s="24"/>
      <c r="I2" s="24"/>
      <c r="J2" s="24"/>
    </row>
    <row r="3" spans="1:10">
      <c r="A3" s="24"/>
      <c r="B3" s="3"/>
      <c r="C3" s="24"/>
      <c r="D3" s="24"/>
      <c r="E3" s="24"/>
      <c r="F3" s="24"/>
      <c r="G3" s="24"/>
      <c r="H3" s="24"/>
      <c r="I3" s="3" t="s">
        <v>138</v>
      </c>
      <c r="J3" s="24"/>
    </row>
    <row r="4" spans="1:10">
      <c r="A4" s="24"/>
      <c r="B4" s="3"/>
      <c r="C4" s="24"/>
      <c r="D4" s="24"/>
      <c r="E4" s="24"/>
      <c r="F4" s="24"/>
      <c r="G4" s="24"/>
      <c r="H4" s="24"/>
      <c r="I4" s="24"/>
      <c r="J4" s="24"/>
    </row>
    <row r="5" spans="1:10">
      <c r="A5" s="25"/>
      <c r="B5" s="25"/>
      <c r="C5" s="25"/>
      <c r="D5" s="25"/>
      <c r="E5" s="25"/>
      <c r="F5" s="25"/>
      <c r="G5" s="25"/>
      <c r="H5" s="25"/>
      <c r="I5" s="26"/>
      <c r="J5" s="27" t="s">
        <v>139</v>
      </c>
    </row>
    <row r="6" spans="1:10">
      <c r="A6" s="669" t="s">
        <v>140</v>
      </c>
      <c r="B6" s="670"/>
      <c r="C6" s="670"/>
      <c r="D6" s="670"/>
      <c r="E6" s="670"/>
      <c r="F6" s="670"/>
      <c r="G6" s="670"/>
      <c r="H6" s="670"/>
      <c r="I6" s="670"/>
      <c r="J6" s="671"/>
    </row>
    <row r="7" spans="1:10" ht="22.5" thickBot="1">
      <c r="A7" s="28"/>
      <c r="B7" s="672" t="s">
        <v>141</v>
      </c>
      <c r="C7" s="672"/>
      <c r="D7" s="672"/>
      <c r="E7" s="672"/>
      <c r="F7" s="673"/>
      <c r="G7" s="29" t="s">
        <v>142</v>
      </c>
      <c r="H7" s="29" t="s">
        <v>143</v>
      </c>
      <c r="I7" s="30" t="s">
        <v>778</v>
      </c>
      <c r="J7" s="30" t="s">
        <v>622</v>
      </c>
    </row>
    <row r="8" spans="1:10">
      <c r="A8" s="31">
        <v>1</v>
      </c>
      <c r="B8" s="674" t="s">
        <v>145</v>
      </c>
      <c r="C8" s="675"/>
      <c r="D8" s="675"/>
      <c r="E8" s="675"/>
      <c r="F8" s="675"/>
      <c r="G8" s="32">
        <v>70</v>
      </c>
      <c r="H8" s="32">
        <v>11100</v>
      </c>
      <c r="I8" s="89">
        <f>SUM(I9:I11)</f>
        <v>0</v>
      </c>
      <c r="J8" s="89">
        <f>J9+J10+J11</f>
        <v>18235</v>
      </c>
    </row>
    <row r="9" spans="1:10" ht="25.5">
      <c r="A9" s="33" t="s">
        <v>9</v>
      </c>
      <c r="B9" s="676" t="s">
        <v>146</v>
      </c>
      <c r="C9" s="676"/>
      <c r="D9" s="676"/>
      <c r="E9" s="676"/>
      <c r="F9" s="677"/>
      <c r="G9" s="34" t="s">
        <v>147</v>
      </c>
      <c r="H9" s="34">
        <v>11101</v>
      </c>
      <c r="I9" s="90">
        <v>0</v>
      </c>
      <c r="J9" s="90">
        <v>10635</v>
      </c>
    </row>
    <row r="10" spans="1:10">
      <c r="A10" s="35" t="s">
        <v>148</v>
      </c>
      <c r="B10" s="676" t="s">
        <v>149</v>
      </c>
      <c r="C10" s="676"/>
      <c r="D10" s="676"/>
      <c r="E10" s="676"/>
      <c r="F10" s="677"/>
      <c r="G10" s="34">
        <v>704</v>
      </c>
      <c r="H10" s="34">
        <v>11102</v>
      </c>
      <c r="I10" s="90"/>
      <c r="J10" s="90"/>
    </row>
    <row r="11" spans="1:10">
      <c r="A11" s="35" t="s">
        <v>150</v>
      </c>
      <c r="B11" s="676" t="s">
        <v>151</v>
      </c>
      <c r="C11" s="676"/>
      <c r="D11" s="676"/>
      <c r="E11" s="676"/>
      <c r="F11" s="677"/>
      <c r="G11" s="36">
        <v>705</v>
      </c>
      <c r="H11" s="34">
        <v>11103</v>
      </c>
      <c r="I11" s="92"/>
      <c r="J11" s="92">
        <v>7600</v>
      </c>
    </row>
    <row r="12" spans="1:10">
      <c r="A12" s="37">
        <v>2</v>
      </c>
      <c r="B12" s="678" t="s">
        <v>152</v>
      </c>
      <c r="C12" s="678"/>
      <c r="D12" s="678"/>
      <c r="E12" s="678"/>
      <c r="F12" s="679"/>
      <c r="G12" s="38">
        <v>708</v>
      </c>
      <c r="H12" s="40">
        <v>11104</v>
      </c>
      <c r="I12" s="90"/>
      <c r="J12" s="90">
        <v>90</v>
      </c>
    </row>
    <row r="13" spans="1:10">
      <c r="A13" s="41" t="s">
        <v>9</v>
      </c>
      <c r="B13" s="676" t="s">
        <v>153</v>
      </c>
      <c r="C13" s="676"/>
      <c r="D13" s="676"/>
      <c r="E13" s="676"/>
      <c r="F13" s="677"/>
      <c r="G13" s="34">
        <v>7081</v>
      </c>
      <c r="H13" s="42">
        <v>111041</v>
      </c>
      <c r="I13" s="92">
        <v>0</v>
      </c>
      <c r="J13" s="92">
        <v>89</v>
      </c>
    </row>
    <row r="14" spans="1:10">
      <c r="A14" s="41" t="s">
        <v>11</v>
      </c>
      <c r="B14" s="676" t="s">
        <v>154</v>
      </c>
      <c r="C14" s="676"/>
      <c r="D14" s="676"/>
      <c r="E14" s="676"/>
      <c r="F14" s="677"/>
      <c r="G14" s="34">
        <v>7082</v>
      </c>
      <c r="H14" s="42">
        <v>111042</v>
      </c>
      <c r="I14" s="90">
        <v>0</v>
      </c>
      <c r="J14" s="90"/>
    </row>
    <row r="15" spans="1:10">
      <c r="A15" s="41" t="s">
        <v>17</v>
      </c>
      <c r="B15" s="676" t="s">
        <v>155</v>
      </c>
      <c r="C15" s="676"/>
      <c r="D15" s="676"/>
      <c r="E15" s="676"/>
      <c r="F15" s="677"/>
      <c r="G15" s="34">
        <v>7083</v>
      </c>
      <c r="H15" s="42">
        <v>111043</v>
      </c>
      <c r="I15" s="90">
        <v>0</v>
      </c>
      <c r="J15" s="90"/>
    </row>
    <row r="16" spans="1:10">
      <c r="A16" s="43">
        <v>3</v>
      </c>
      <c r="B16" s="678" t="s">
        <v>156</v>
      </c>
      <c r="C16" s="678"/>
      <c r="D16" s="678"/>
      <c r="E16" s="678"/>
      <c r="F16" s="679"/>
      <c r="G16" s="38">
        <v>71</v>
      </c>
      <c r="H16" s="40">
        <v>11201</v>
      </c>
      <c r="I16" s="90"/>
      <c r="J16" s="90"/>
    </row>
    <row r="17" spans="1:10">
      <c r="A17" s="44"/>
      <c r="B17" s="680" t="s">
        <v>157</v>
      </c>
      <c r="C17" s="680"/>
      <c r="D17" s="680"/>
      <c r="E17" s="680"/>
      <c r="F17" s="681"/>
      <c r="G17" s="45"/>
      <c r="H17" s="34">
        <v>112011</v>
      </c>
      <c r="I17" s="90"/>
      <c r="J17" s="90"/>
    </row>
    <row r="18" spans="1:10">
      <c r="A18" s="44"/>
      <c r="B18" s="680" t="s">
        <v>158</v>
      </c>
      <c r="C18" s="680"/>
      <c r="D18" s="680"/>
      <c r="E18" s="680"/>
      <c r="F18" s="681"/>
      <c r="G18" s="45"/>
      <c r="H18" s="34">
        <v>112012</v>
      </c>
      <c r="I18" s="90"/>
      <c r="J18" s="90"/>
    </row>
    <row r="19" spans="1:10">
      <c r="A19" s="46">
        <v>4</v>
      </c>
      <c r="B19" s="678" t="s">
        <v>159</v>
      </c>
      <c r="C19" s="678"/>
      <c r="D19" s="678"/>
      <c r="E19" s="678"/>
      <c r="F19" s="679"/>
      <c r="G19" s="47">
        <v>72</v>
      </c>
      <c r="H19" s="48">
        <v>11300</v>
      </c>
      <c r="I19" s="90"/>
      <c r="J19" s="90"/>
    </row>
    <row r="20" spans="1:10">
      <c r="A20" s="35"/>
      <c r="B20" s="682" t="s">
        <v>160</v>
      </c>
      <c r="C20" s="683"/>
      <c r="D20" s="683"/>
      <c r="E20" s="683"/>
      <c r="F20" s="683"/>
      <c r="G20" s="16"/>
      <c r="H20" s="49">
        <v>11301</v>
      </c>
      <c r="I20" s="90"/>
      <c r="J20" s="90"/>
    </row>
    <row r="21" spans="1:10">
      <c r="A21" s="50">
        <v>5</v>
      </c>
      <c r="B21" s="679" t="s">
        <v>161</v>
      </c>
      <c r="C21" s="684"/>
      <c r="D21" s="684"/>
      <c r="E21" s="684"/>
      <c r="F21" s="684"/>
      <c r="G21" s="51">
        <v>73</v>
      </c>
      <c r="H21" s="51">
        <v>11400</v>
      </c>
      <c r="I21" s="90"/>
      <c r="J21" s="90"/>
    </row>
    <row r="22" spans="1:10">
      <c r="A22" s="52">
        <v>6</v>
      </c>
      <c r="B22" s="679" t="s">
        <v>162</v>
      </c>
      <c r="C22" s="684"/>
      <c r="D22" s="684"/>
      <c r="E22" s="684"/>
      <c r="F22" s="684"/>
      <c r="G22" s="51">
        <v>75</v>
      </c>
      <c r="H22" s="53">
        <v>11500</v>
      </c>
      <c r="I22" s="747">
        <f>'TE ARDHURA SHPENZIME 2013'!D43+'TE ARDHURA SHPENZIME 2013'!D45</f>
        <v>499.29</v>
      </c>
      <c r="J22" s="90">
        <v>16138</v>
      </c>
    </row>
    <row r="23" spans="1:10">
      <c r="A23" s="50">
        <v>7</v>
      </c>
      <c r="B23" s="678" t="s">
        <v>163</v>
      </c>
      <c r="C23" s="678"/>
      <c r="D23" s="678"/>
      <c r="E23" s="678"/>
      <c r="F23" s="679"/>
      <c r="G23" s="38">
        <v>77</v>
      </c>
      <c r="H23" s="38">
        <v>11600</v>
      </c>
      <c r="I23" s="90">
        <v>0</v>
      </c>
      <c r="J23" s="90">
        <v>190444</v>
      </c>
    </row>
    <row r="24" spans="1:10" ht="13.5" thickBot="1">
      <c r="A24" s="54" t="s">
        <v>164</v>
      </c>
      <c r="B24" s="685" t="s">
        <v>165</v>
      </c>
      <c r="C24" s="685"/>
      <c r="D24" s="685"/>
      <c r="E24" s="685"/>
      <c r="F24" s="685"/>
      <c r="G24" s="39"/>
      <c r="H24" s="39">
        <v>11800</v>
      </c>
      <c r="I24" s="91">
        <f>I8+I12+I22+I23</f>
        <v>499.29</v>
      </c>
      <c r="J24" s="91">
        <f>J8+J12+J22+J23</f>
        <v>224907</v>
      </c>
    </row>
    <row r="25" spans="1:10">
      <c r="A25" s="55"/>
      <c r="B25" s="56"/>
      <c r="C25" s="56"/>
      <c r="D25" s="56"/>
      <c r="E25" s="56"/>
      <c r="F25" s="56"/>
      <c r="G25" s="56"/>
      <c r="H25" s="56"/>
      <c r="I25" s="57"/>
      <c r="J25" s="57"/>
    </row>
    <row r="26" spans="1:10">
      <c r="A26" s="55"/>
      <c r="B26" s="56"/>
      <c r="C26" s="56"/>
      <c r="D26" s="56"/>
      <c r="E26" s="56"/>
      <c r="F26" s="56"/>
      <c r="G26" s="56"/>
      <c r="H26" s="56"/>
      <c r="I26" s="57"/>
      <c r="J26" s="57"/>
    </row>
    <row r="27" spans="1:10">
      <c r="A27" s="55"/>
      <c r="B27" s="56"/>
      <c r="C27" s="56"/>
      <c r="D27" s="56"/>
      <c r="E27" s="56"/>
      <c r="F27" s="56"/>
      <c r="G27" s="56"/>
      <c r="H27" s="56"/>
      <c r="I27" s="57"/>
      <c r="J27" s="57"/>
    </row>
    <row r="28" spans="1:10">
      <c r="A28" s="55"/>
      <c r="B28" s="56"/>
      <c r="C28" s="56"/>
      <c r="D28" s="56"/>
      <c r="E28" s="56"/>
      <c r="F28" s="56"/>
      <c r="G28" s="56"/>
      <c r="H28" s="56"/>
      <c r="I28" s="57"/>
      <c r="J28" s="57"/>
    </row>
    <row r="29" spans="1:10">
      <c r="A29" s="55"/>
      <c r="B29" s="56"/>
      <c r="C29" s="56"/>
      <c r="E29" s="56"/>
      <c r="F29" s="56"/>
      <c r="G29" s="56"/>
      <c r="H29" s="56"/>
      <c r="I29" s="57"/>
      <c r="J29" s="57"/>
    </row>
    <row r="30" spans="1:10" ht="15">
      <c r="A30" s="24"/>
      <c r="B30" s="13" t="s">
        <v>800</v>
      </c>
      <c r="G30" s="24"/>
      <c r="H30" s="24"/>
      <c r="I30" s="24"/>
      <c r="J30" s="24"/>
    </row>
    <row r="31" spans="1:10">
      <c r="A31" s="24"/>
      <c r="B31" s="14" t="s">
        <v>282</v>
      </c>
      <c r="G31" s="24"/>
      <c r="H31" s="24"/>
      <c r="I31" s="24"/>
      <c r="J31" s="24"/>
    </row>
    <row r="32" spans="1:10">
      <c r="A32" s="24"/>
      <c r="B32" s="3"/>
      <c r="C32" s="24"/>
      <c r="D32" s="24"/>
      <c r="E32" s="24"/>
      <c r="F32" s="24"/>
      <c r="G32" s="24"/>
      <c r="H32" s="24"/>
      <c r="I32" s="3" t="s">
        <v>166</v>
      </c>
      <c r="J32" s="24"/>
    </row>
    <row r="33" spans="1:10">
      <c r="A33" s="25"/>
      <c r="B33" s="25"/>
      <c r="C33" s="25"/>
      <c r="D33" s="25"/>
      <c r="E33" s="25"/>
      <c r="F33" s="25"/>
      <c r="G33" s="25"/>
      <c r="H33" s="25"/>
      <c r="I33" s="26"/>
      <c r="J33" s="27" t="s">
        <v>139</v>
      </c>
    </row>
    <row r="34" spans="1:10">
      <c r="A34" s="669" t="s">
        <v>140</v>
      </c>
      <c r="B34" s="670"/>
      <c r="C34" s="670"/>
      <c r="D34" s="670"/>
      <c r="E34" s="670"/>
      <c r="F34" s="670"/>
      <c r="G34" s="670"/>
      <c r="H34" s="670"/>
      <c r="I34" s="670"/>
      <c r="J34" s="671"/>
    </row>
    <row r="35" spans="1:10" ht="22.5" thickBot="1">
      <c r="A35" s="58"/>
      <c r="B35" s="686" t="s">
        <v>167</v>
      </c>
      <c r="C35" s="687"/>
      <c r="D35" s="687"/>
      <c r="E35" s="687"/>
      <c r="F35" s="688"/>
      <c r="G35" s="59" t="s">
        <v>142</v>
      </c>
      <c r="H35" s="59" t="s">
        <v>143</v>
      </c>
      <c r="I35" s="60" t="s">
        <v>778</v>
      </c>
      <c r="J35" s="60" t="s">
        <v>622</v>
      </c>
    </row>
    <row r="36" spans="1:10">
      <c r="A36" s="61">
        <v>1</v>
      </c>
      <c r="B36" s="689" t="s">
        <v>168</v>
      </c>
      <c r="C36" s="690"/>
      <c r="D36" s="690"/>
      <c r="E36" s="690"/>
      <c r="F36" s="690"/>
      <c r="G36" s="22">
        <v>60</v>
      </c>
      <c r="H36" s="22">
        <v>12100</v>
      </c>
      <c r="I36" s="96">
        <f>I38+I39</f>
        <v>0</v>
      </c>
      <c r="J36" s="96">
        <f>J38+J39</f>
        <v>18056</v>
      </c>
    </row>
    <row r="37" spans="1:10">
      <c r="A37" s="62" t="s">
        <v>169</v>
      </c>
      <c r="B37" s="691" t="s">
        <v>170</v>
      </c>
      <c r="C37" s="691" t="s">
        <v>171</v>
      </c>
      <c r="D37" s="691"/>
      <c r="E37" s="691"/>
      <c r="F37" s="691"/>
      <c r="G37" s="23" t="s">
        <v>172</v>
      </c>
      <c r="H37" s="23">
        <v>12101</v>
      </c>
      <c r="I37" s="93"/>
      <c r="J37" s="93"/>
    </row>
    <row r="38" spans="1:10">
      <c r="A38" s="62" t="s">
        <v>148</v>
      </c>
      <c r="B38" s="691" t="s">
        <v>173</v>
      </c>
      <c r="C38" s="691" t="s">
        <v>171</v>
      </c>
      <c r="D38" s="691"/>
      <c r="E38" s="691"/>
      <c r="F38" s="691"/>
      <c r="G38" s="23"/>
      <c r="H38" s="64">
        <v>12102</v>
      </c>
      <c r="I38" s="93">
        <v>0</v>
      </c>
      <c r="J38" s="93">
        <v>17675</v>
      </c>
    </row>
    <row r="39" spans="1:10">
      <c r="A39" s="62" t="s">
        <v>150</v>
      </c>
      <c r="B39" s="691" t="s">
        <v>174</v>
      </c>
      <c r="C39" s="691" t="s">
        <v>171</v>
      </c>
      <c r="D39" s="691"/>
      <c r="E39" s="691"/>
      <c r="F39" s="691"/>
      <c r="G39" s="23" t="s">
        <v>175</v>
      </c>
      <c r="H39" s="23">
        <v>12103</v>
      </c>
      <c r="I39" s="93">
        <v>0</v>
      </c>
      <c r="J39" s="93">
        <v>381</v>
      </c>
    </row>
    <row r="40" spans="1:10">
      <c r="A40" s="62" t="s">
        <v>176</v>
      </c>
      <c r="B40" s="692" t="s">
        <v>223</v>
      </c>
      <c r="C40" s="691" t="s">
        <v>171</v>
      </c>
      <c r="D40" s="691"/>
      <c r="E40" s="691"/>
      <c r="F40" s="691"/>
      <c r="G40" s="23"/>
      <c r="H40" s="64">
        <v>12104</v>
      </c>
      <c r="I40" s="93"/>
      <c r="J40" s="93"/>
    </row>
    <row r="41" spans="1:10">
      <c r="A41" s="62" t="s">
        <v>177</v>
      </c>
      <c r="B41" s="691" t="s">
        <v>178</v>
      </c>
      <c r="C41" s="691" t="s">
        <v>171</v>
      </c>
      <c r="D41" s="691"/>
      <c r="E41" s="691"/>
      <c r="F41" s="691"/>
      <c r="G41" s="23" t="s">
        <v>179</v>
      </c>
      <c r="H41" s="64">
        <v>12105</v>
      </c>
      <c r="I41" s="93">
        <f>'TE ARDHURA SHPENZIME 2013'!D47</f>
        <v>470160396</v>
      </c>
      <c r="J41" s="93"/>
    </row>
    <row r="42" spans="1:10">
      <c r="A42" s="65">
        <v>2</v>
      </c>
      <c r="B42" s="693" t="s">
        <v>180</v>
      </c>
      <c r="C42" s="693"/>
      <c r="D42" s="693"/>
      <c r="E42" s="693"/>
      <c r="F42" s="693"/>
      <c r="G42" s="12">
        <v>64</v>
      </c>
      <c r="H42" s="12">
        <v>12200</v>
      </c>
      <c r="I42" s="95">
        <f>I43+I44</f>
        <v>2387204</v>
      </c>
      <c r="J42" s="95">
        <f>J43+J44</f>
        <v>3167</v>
      </c>
    </row>
    <row r="43" spans="1:10">
      <c r="A43" s="66" t="s">
        <v>181</v>
      </c>
      <c r="B43" s="693" t="s">
        <v>224</v>
      </c>
      <c r="C43" s="694"/>
      <c r="D43" s="694"/>
      <c r="E43" s="694"/>
      <c r="F43" s="694"/>
      <c r="G43" s="64">
        <v>641</v>
      </c>
      <c r="H43" s="64">
        <v>12201</v>
      </c>
      <c r="I43" s="93">
        <f>'TE ARDHURA SHPENZIME 2013'!D61</f>
        <v>2216108</v>
      </c>
      <c r="J43" s="93">
        <v>2818</v>
      </c>
    </row>
    <row r="44" spans="1:10">
      <c r="A44" s="66" t="s">
        <v>182</v>
      </c>
      <c r="B44" s="694" t="s">
        <v>183</v>
      </c>
      <c r="C44" s="694"/>
      <c r="D44" s="694"/>
      <c r="E44" s="694"/>
      <c r="F44" s="694"/>
      <c r="G44" s="64">
        <v>644</v>
      </c>
      <c r="H44" s="64">
        <v>12202</v>
      </c>
      <c r="I44" s="93">
        <f>'TE ARDHURA SHPENZIME 2013'!D62</f>
        <v>171096</v>
      </c>
      <c r="J44" s="93">
        <v>349</v>
      </c>
    </row>
    <row r="45" spans="1:10">
      <c r="A45" s="65">
        <v>3</v>
      </c>
      <c r="B45" s="693" t="s">
        <v>184</v>
      </c>
      <c r="C45" s="693"/>
      <c r="D45" s="693"/>
      <c r="E45" s="693"/>
      <c r="F45" s="693"/>
      <c r="G45" s="12">
        <v>68</v>
      </c>
      <c r="H45" s="12">
        <v>12300</v>
      </c>
      <c r="I45" s="95">
        <f>'TE ARDHURA SHPENZIME 2013'!D65+'TE ARDHURA SHPENZIME 2013'!D66+'TE ARDHURA SHPENZIME 2013'!D67</f>
        <v>7245221</v>
      </c>
      <c r="J45" s="95">
        <v>14554</v>
      </c>
    </row>
    <row r="46" spans="1:10">
      <c r="A46" s="65">
        <v>4</v>
      </c>
      <c r="B46" s="693" t="s">
        <v>185</v>
      </c>
      <c r="C46" s="693"/>
      <c r="D46" s="693"/>
      <c r="E46" s="693"/>
      <c r="F46" s="693"/>
      <c r="G46" s="12">
        <v>61</v>
      </c>
      <c r="H46" s="12">
        <v>12400</v>
      </c>
      <c r="I46" s="95">
        <f>SUM(I47:I61)</f>
        <v>639773.21000000008</v>
      </c>
      <c r="J46" s="95">
        <v>19795</v>
      </c>
    </row>
    <row r="47" spans="1:10">
      <c r="A47" s="66" t="s">
        <v>9</v>
      </c>
      <c r="B47" s="695" t="s">
        <v>186</v>
      </c>
      <c r="C47" s="695"/>
      <c r="D47" s="695"/>
      <c r="E47" s="695"/>
      <c r="F47" s="695"/>
      <c r="G47" s="23"/>
      <c r="H47" s="23">
        <v>12401</v>
      </c>
      <c r="I47" s="93"/>
      <c r="J47" s="93">
        <v>901</v>
      </c>
    </row>
    <row r="48" spans="1:10">
      <c r="A48" s="66" t="s">
        <v>11</v>
      </c>
      <c r="B48" s="695" t="s">
        <v>187</v>
      </c>
      <c r="C48" s="695"/>
      <c r="D48" s="695"/>
      <c r="E48" s="695"/>
      <c r="F48" s="695"/>
      <c r="G48" s="67">
        <v>611</v>
      </c>
      <c r="H48" s="23">
        <v>12402</v>
      </c>
      <c r="I48" s="93">
        <f>'TE ARDHURA SHPENZIME 2013'!D51</f>
        <v>5700</v>
      </c>
      <c r="J48" s="93">
        <v>737</v>
      </c>
    </row>
    <row r="49" spans="1:10">
      <c r="A49" s="66" t="s">
        <v>17</v>
      </c>
      <c r="B49" s="695" t="s">
        <v>188</v>
      </c>
      <c r="C49" s="695"/>
      <c r="D49" s="695"/>
      <c r="E49" s="695"/>
      <c r="F49" s="695"/>
      <c r="G49" s="23">
        <v>613</v>
      </c>
      <c r="H49" s="23">
        <v>12403</v>
      </c>
      <c r="I49" s="93">
        <v>0</v>
      </c>
      <c r="J49" s="93"/>
    </row>
    <row r="50" spans="1:10">
      <c r="A50" s="66" t="s">
        <v>18</v>
      </c>
      <c r="B50" s="695" t="s">
        <v>189</v>
      </c>
      <c r="C50" s="695"/>
      <c r="D50" s="695"/>
      <c r="E50" s="695"/>
      <c r="F50" s="695"/>
      <c r="G50" s="67">
        <v>615</v>
      </c>
      <c r="H50" s="23">
        <v>12404</v>
      </c>
      <c r="I50" s="94">
        <f>'TE ARDHURA SHPENZIME 2013'!D52</f>
        <v>0</v>
      </c>
      <c r="J50" s="94">
        <v>370</v>
      </c>
    </row>
    <row r="51" spans="1:10">
      <c r="A51" s="66" t="s">
        <v>24</v>
      </c>
      <c r="B51" s="695" t="s">
        <v>190</v>
      </c>
      <c r="C51" s="695"/>
      <c r="D51" s="695"/>
      <c r="E51" s="695"/>
      <c r="F51" s="695"/>
      <c r="G51" s="67">
        <v>616</v>
      </c>
      <c r="H51" s="23">
        <v>12405</v>
      </c>
      <c r="I51" s="93">
        <v>0</v>
      </c>
      <c r="J51" s="93"/>
    </row>
    <row r="52" spans="1:10">
      <c r="A52" s="66" t="s">
        <v>191</v>
      </c>
      <c r="B52" s="695" t="s">
        <v>192</v>
      </c>
      <c r="C52" s="695"/>
      <c r="D52" s="695"/>
      <c r="E52" s="695"/>
      <c r="F52" s="695"/>
      <c r="G52" s="67">
        <v>617</v>
      </c>
      <c r="H52" s="23">
        <v>12406</v>
      </c>
      <c r="I52" s="93"/>
      <c r="J52" s="93"/>
    </row>
    <row r="53" spans="1:10">
      <c r="A53" s="66" t="s">
        <v>193</v>
      </c>
      <c r="B53" s="691" t="s">
        <v>281</v>
      </c>
      <c r="C53" s="691" t="s">
        <v>171</v>
      </c>
      <c r="D53" s="691"/>
      <c r="E53" s="691"/>
      <c r="F53" s="691"/>
      <c r="G53" s="67">
        <v>618</v>
      </c>
      <c r="H53" s="23">
        <v>12407</v>
      </c>
      <c r="I53" s="93">
        <f>'TE ARDHURA SHPENZIME 2013'!D53</f>
        <v>410121.13</v>
      </c>
      <c r="J53" s="93">
        <v>14568</v>
      </c>
    </row>
    <row r="54" spans="1:10">
      <c r="A54" s="66" t="s">
        <v>194</v>
      </c>
      <c r="B54" s="691" t="s">
        <v>195</v>
      </c>
      <c r="C54" s="691"/>
      <c r="D54" s="691"/>
      <c r="E54" s="691"/>
      <c r="F54" s="691"/>
      <c r="G54" s="67">
        <v>623</v>
      </c>
      <c r="H54" s="23">
        <v>12408</v>
      </c>
      <c r="I54" s="93"/>
      <c r="J54" s="93"/>
    </row>
    <row r="55" spans="1:10">
      <c r="A55" s="66" t="s">
        <v>196</v>
      </c>
      <c r="B55" s="691" t="s">
        <v>197</v>
      </c>
      <c r="C55" s="691"/>
      <c r="D55" s="691"/>
      <c r="E55" s="691"/>
      <c r="F55" s="691"/>
      <c r="G55" s="67">
        <v>624</v>
      </c>
      <c r="H55" s="23">
        <v>12409</v>
      </c>
      <c r="I55" s="93">
        <f>'TE ARDHURA SHPENZIME 2013'!D54</f>
        <v>0</v>
      </c>
      <c r="J55" s="93">
        <v>2868</v>
      </c>
    </row>
    <row r="56" spans="1:10">
      <c r="A56" s="66" t="s">
        <v>198</v>
      </c>
      <c r="B56" s="691" t="s">
        <v>199</v>
      </c>
      <c r="C56" s="691"/>
      <c r="D56" s="691"/>
      <c r="E56" s="691"/>
      <c r="F56" s="691"/>
      <c r="G56" s="67">
        <v>625</v>
      </c>
      <c r="H56" s="23">
        <v>12410</v>
      </c>
      <c r="I56" s="93"/>
      <c r="J56" s="93"/>
    </row>
    <row r="57" spans="1:10">
      <c r="A57" s="66" t="s">
        <v>200</v>
      </c>
      <c r="B57" s="691" t="s">
        <v>201</v>
      </c>
      <c r="C57" s="691"/>
      <c r="D57" s="691"/>
      <c r="E57" s="691"/>
      <c r="F57" s="691"/>
      <c r="G57" s="67">
        <v>626</v>
      </c>
      <c r="H57" s="23">
        <v>12411</v>
      </c>
      <c r="I57" s="93">
        <f>'TE ARDHURA SHPENZIME 2013'!D55</f>
        <v>42412.53</v>
      </c>
      <c r="J57" s="93">
        <v>238</v>
      </c>
    </row>
    <row r="58" spans="1:10">
      <c r="A58" s="68" t="s">
        <v>202</v>
      </c>
      <c r="B58" s="691" t="s">
        <v>203</v>
      </c>
      <c r="C58" s="691"/>
      <c r="D58" s="691"/>
      <c r="E58" s="691"/>
      <c r="F58" s="691"/>
      <c r="G58" s="67">
        <v>627</v>
      </c>
      <c r="H58" s="23">
        <v>12412</v>
      </c>
      <c r="I58" s="93"/>
      <c r="J58" s="93"/>
    </row>
    <row r="59" spans="1:10">
      <c r="A59" s="66"/>
      <c r="B59" s="696" t="s">
        <v>204</v>
      </c>
      <c r="C59" s="696"/>
      <c r="D59" s="696"/>
      <c r="E59" s="696"/>
      <c r="F59" s="696"/>
      <c r="G59" s="67">
        <v>6271</v>
      </c>
      <c r="H59" s="67">
        <v>124121</v>
      </c>
      <c r="I59" s="93">
        <f>'TE ARDHURA SHPENZIME 2013'!D56</f>
        <v>69600</v>
      </c>
      <c r="J59" s="93"/>
    </row>
    <row r="60" spans="1:10">
      <c r="A60" s="66"/>
      <c r="B60" s="696" t="s">
        <v>205</v>
      </c>
      <c r="C60" s="696"/>
      <c r="D60" s="696"/>
      <c r="E60" s="696"/>
      <c r="F60" s="696"/>
      <c r="G60" s="67">
        <v>6272</v>
      </c>
      <c r="H60" s="67">
        <v>124122</v>
      </c>
      <c r="I60" s="93">
        <v>0</v>
      </c>
      <c r="J60" s="93"/>
    </row>
    <row r="61" spans="1:10">
      <c r="A61" s="66" t="s">
        <v>206</v>
      </c>
      <c r="B61" s="691" t="s">
        <v>207</v>
      </c>
      <c r="C61" s="691"/>
      <c r="D61" s="691"/>
      <c r="E61" s="691"/>
      <c r="F61" s="691"/>
      <c r="G61" s="67">
        <v>628</v>
      </c>
      <c r="H61" s="67">
        <v>12413</v>
      </c>
      <c r="I61" s="93">
        <f>'TE ARDHURA SHPENZIME 2013'!D57</f>
        <v>111939.55</v>
      </c>
      <c r="J61" s="93">
        <v>113</v>
      </c>
    </row>
    <row r="62" spans="1:10">
      <c r="A62" s="65">
        <v>5</v>
      </c>
      <c r="B62" s="692" t="s">
        <v>208</v>
      </c>
      <c r="C62" s="691"/>
      <c r="D62" s="691"/>
      <c r="E62" s="691"/>
      <c r="F62" s="691"/>
      <c r="G62" s="63">
        <v>63</v>
      </c>
      <c r="H62" s="63">
        <v>12500</v>
      </c>
      <c r="I62" s="95">
        <f>SUM(I63:I66)</f>
        <v>22120</v>
      </c>
      <c r="J62" s="95">
        <v>25</v>
      </c>
    </row>
    <row r="63" spans="1:10">
      <c r="A63" s="66" t="s">
        <v>9</v>
      </c>
      <c r="B63" s="691" t="s">
        <v>209</v>
      </c>
      <c r="C63" s="691"/>
      <c r="D63" s="691"/>
      <c r="E63" s="691"/>
      <c r="F63" s="691"/>
      <c r="G63" s="67">
        <v>632</v>
      </c>
      <c r="H63" s="67">
        <v>12501</v>
      </c>
      <c r="I63" s="93"/>
      <c r="J63" s="93"/>
    </row>
    <row r="64" spans="1:10">
      <c r="A64" s="66" t="s">
        <v>11</v>
      </c>
      <c r="B64" s="691" t="s">
        <v>210</v>
      </c>
      <c r="C64" s="691"/>
      <c r="D64" s="691"/>
      <c r="E64" s="691"/>
      <c r="F64" s="691"/>
      <c r="G64" s="67">
        <v>633</v>
      </c>
      <c r="H64" s="67">
        <v>12502</v>
      </c>
      <c r="I64" s="93"/>
      <c r="J64" s="93"/>
    </row>
    <row r="65" spans="1:10">
      <c r="A65" s="66" t="s">
        <v>17</v>
      </c>
      <c r="B65" s="691" t="s">
        <v>211</v>
      </c>
      <c r="C65" s="691"/>
      <c r="D65" s="691"/>
      <c r="E65" s="691"/>
      <c r="F65" s="691"/>
      <c r="G65" s="67">
        <v>634</v>
      </c>
      <c r="H65" s="67">
        <v>12503</v>
      </c>
      <c r="I65" s="93"/>
      <c r="J65" s="93">
        <v>25</v>
      </c>
    </row>
    <row r="66" spans="1:10">
      <c r="A66" s="66" t="s">
        <v>18</v>
      </c>
      <c r="B66" s="691" t="s">
        <v>212</v>
      </c>
      <c r="C66" s="691"/>
      <c r="D66" s="691"/>
      <c r="E66" s="691"/>
      <c r="F66" s="691"/>
      <c r="G66" s="67" t="s">
        <v>213</v>
      </c>
      <c r="H66" s="67">
        <v>12504</v>
      </c>
      <c r="I66" s="93">
        <f>'TE ARDHURA SHPENZIME 2013'!D58</f>
        <v>22120</v>
      </c>
      <c r="J66" s="93"/>
    </row>
    <row r="67" spans="1:10">
      <c r="A67" s="65" t="s">
        <v>214</v>
      </c>
      <c r="B67" s="693" t="s">
        <v>215</v>
      </c>
      <c r="C67" s="693"/>
      <c r="D67" s="693"/>
      <c r="E67" s="693"/>
      <c r="F67" s="693"/>
      <c r="G67" s="67"/>
      <c r="H67" s="67">
        <v>12600</v>
      </c>
      <c r="I67" s="93">
        <f>I36+I42+I45+I46+I62</f>
        <v>10294318.210000001</v>
      </c>
      <c r="J67" s="93">
        <f>J36+J42+J45+J46+J62</f>
        <v>55597</v>
      </c>
    </row>
    <row r="68" spans="1:10">
      <c r="A68" s="69"/>
      <c r="B68" s="70" t="s">
        <v>216</v>
      </c>
      <c r="C68" s="71"/>
      <c r="D68" s="71"/>
      <c r="E68" s="71"/>
      <c r="F68" s="71"/>
      <c r="G68" s="71"/>
      <c r="H68" s="71"/>
      <c r="I68" s="72" t="s">
        <v>778</v>
      </c>
      <c r="J68" s="73" t="s">
        <v>622</v>
      </c>
    </row>
    <row r="69" spans="1:10">
      <c r="A69" s="74">
        <v>1</v>
      </c>
      <c r="B69" s="698" t="s">
        <v>217</v>
      </c>
      <c r="C69" s="698"/>
      <c r="D69" s="698"/>
      <c r="E69" s="698"/>
      <c r="F69" s="698"/>
      <c r="G69" s="63"/>
      <c r="H69" s="63">
        <v>14000</v>
      </c>
      <c r="I69" s="95">
        <v>2</v>
      </c>
      <c r="J69" s="95">
        <v>3</v>
      </c>
    </row>
    <row r="70" spans="1:10">
      <c r="A70" s="74">
        <v>2</v>
      </c>
      <c r="B70" s="698" t="s">
        <v>218</v>
      </c>
      <c r="C70" s="698"/>
      <c r="D70" s="698"/>
      <c r="E70" s="698"/>
      <c r="F70" s="698"/>
      <c r="G70" s="63"/>
      <c r="H70" s="63">
        <v>15000</v>
      </c>
      <c r="I70" s="95"/>
      <c r="J70" s="95"/>
    </row>
    <row r="71" spans="1:10">
      <c r="A71" s="75" t="s">
        <v>9</v>
      </c>
      <c r="B71" s="695" t="s">
        <v>219</v>
      </c>
      <c r="C71" s="695"/>
      <c r="D71" s="695"/>
      <c r="E71" s="695"/>
      <c r="F71" s="695"/>
      <c r="G71" s="63"/>
      <c r="H71" s="67">
        <v>15001</v>
      </c>
      <c r="I71" s="95">
        <v>0</v>
      </c>
      <c r="J71" s="95">
        <v>1010</v>
      </c>
    </row>
    <row r="72" spans="1:10">
      <c r="A72" s="75"/>
      <c r="B72" s="699" t="s">
        <v>220</v>
      </c>
      <c r="C72" s="699"/>
      <c r="D72" s="699"/>
      <c r="E72" s="699"/>
      <c r="F72" s="699"/>
      <c r="G72" s="63"/>
      <c r="H72" s="67">
        <v>150011</v>
      </c>
      <c r="I72" s="95">
        <v>0</v>
      </c>
      <c r="J72" s="95">
        <v>1010</v>
      </c>
    </row>
    <row r="73" spans="1:10">
      <c r="A73" s="76" t="s">
        <v>11</v>
      </c>
      <c r="B73" s="695" t="s">
        <v>221</v>
      </c>
      <c r="C73" s="695"/>
      <c r="D73" s="695"/>
      <c r="E73" s="695"/>
      <c r="F73" s="695"/>
      <c r="G73" s="63"/>
      <c r="H73" s="67">
        <v>15002</v>
      </c>
      <c r="I73" s="95">
        <f>'TE ARDHURA SHPENZIME 2013'!D63</f>
        <v>2387204</v>
      </c>
      <c r="J73" s="95">
        <v>21238</v>
      </c>
    </row>
    <row r="74" spans="1:10" ht="13.5" thickBot="1">
      <c r="A74" s="77"/>
      <c r="B74" s="697" t="s">
        <v>222</v>
      </c>
      <c r="C74" s="697"/>
      <c r="D74" s="697"/>
      <c r="E74" s="697"/>
      <c r="F74" s="697"/>
      <c r="G74" s="78"/>
      <c r="H74" s="79">
        <v>150021</v>
      </c>
      <c r="I74" s="99">
        <f>'TE ARDHURA SHPENZIME 2013'!D63</f>
        <v>2387204</v>
      </c>
      <c r="J74" s="99"/>
    </row>
  </sheetData>
  <mergeCells count="59">
    <mergeCell ref="B74:F74"/>
    <mergeCell ref="B67:F67"/>
    <mergeCell ref="B69:F69"/>
    <mergeCell ref="B70:F70"/>
    <mergeCell ref="B71:F71"/>
    <mergeCell ref="B72:F72"/>
    <mergeCell ref="B55:F55"/>
    <mergeCell ref="B56:F56"/>
    <mergeCell ref="B73:F73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50:F50"/>
    <mergeCell ref="B51:F51"/>
    <mergeCell ref="B52:F52"/>
    <mergeCell ref="B53:F53"/>
    <mergeCell ref="B54:F54"/>
    <mergeCell ref="B45:F45"/>
    <mergeCell ref="B46:F46"/>
    <mergeCell ref="B47:F47"/>
    <mergeCell ref="B48:F48"/>
    <mergeCell ref="B49:F49"/>
    <mergeCell ref="B40:F40"/>
    <mergeCell ref="B41:F41"/>
    <mergeCell ref="B42:F42"/>
    <mergeCell ref="B43:F43"/>
    <mergeCell ref="B44:F44"/>
    <mergeCell ref="B35:F35"/>
    <mergeCell ref="B36:F36"/>
    <mergeCell ref="B37:F37"/>
    <mergeCell ref="B38:F38"/>
    <mergeCell ref="B39:F39"/>
    <mergeCell ref="B21:F21"/>
    <mergeCell ref="B22:F22"/>
    <mergeCell ref="B23:F23"/>
    <mergeCell ref="B24:F24"/>
    <mergeCell ref="A34:J34"/>
    <mergeCell ref="B16:F16"/>
    <mergeCell ref="B17:F17"/>
    <mergeCell ref="B18:F18"/>
    <mergeCell ref="B19:F19"/>
    <mergeCell ref="B20:F20"/>
    <mergeCell ref="B11:F11"/>
    <mergeCell ref="B12:F12"/>
    <mergeCell ref="B13:F13"/>
    <mergeCell ref="B14:F14"/>
    <mergeCell ref="B15:F15"/>
    <mergeCell ref="A6:J6"/>
    <mergeCell ref="B7:F7"/>
    <mergeCell ref="B8:F8"/>
    <mergeCell ref="B9:F9"/>
    <mergeCell ref="B10:F10"/>
  </mergeCells>
  <phoneticPr fontId="11" type="noConversion"/>
  <pageMargins left="0.75" right="0.75" top="1" bottom="1" header="0.5" footer="0.5"/>
  <pageSetup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M31"/>
  <sheetViews>
    <sheetView topLeftCell="A4" zoomScaleNormal="100" workbookViewId="0">
      <selection activeCell="I24" sqref="I24"/>
    </sheetView>
  </sheetViews>
  <sheetFormatPr defaultRowHeight="12.75"/>
  <cols>
    <col min="1" max="1" width="4" customWidth="1"/>
    <col min="2" max="2" width="12.85546875" bestFit="1" customWidth="1"/>
    <col min="3" max="3" width="13.7109375" customWidth="1"/>
    <col min="4" max="4" width="14.7109375" customWidth="1"/>
    <col min="5" max="5" width="16.28515625" bestFit="1" customWidth="1"/>
    <col min="6" max="6" width="13.140625" customWidth="1"/>
    <col min="7" max="7" width="10.5703125" customWidth="1"/>
    <col min="8" max="8" width="11.5703125" customWidth="1"/>
    <col min="9" max="9" width="13.7109375" customWidth="1"/>
    <col min="10" max="10" width="15.85546875" customWidth="1"/>
    <col min="11" max="11" width="15" customWidth="1"/>
    <col min="12" max="12" width="16.28515625" customWidth="1"/>
    <col min="13" max="13" width="12.85546875" customWidth="1"/>
  </cols>
  <sheetData>
    <row r="2" spans="1:13" ht="15.75">
      <c r="A2" s="100" t="s">
        <v>417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100" t="s">
        <v>418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.75">
      <c r="A4" s="100" t="s">
        <v>419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700" t="s">
        <v>420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</row>
    <row r="6" spans="1:13" ht="15.7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</row>
    <row r="7" spans="1:13" ht="15.75" thickBo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>
      <c r="A8" s="701" t="s">
        <v>421</v>
      </c>
      <c r="B8" s="703" t="s">
        <v>422</v>
      </c>
      <c r="C8" s="117" t="s">
        <v>423</v>
      </c>
      <c r="D8" s="705" t="s">
        <v>424</v>
      </c>
      <c r="E8" s="706"/>
      <c r="F8" s="707"/>
      <c r="G8" s="705" t="s">
        <v>425</v>
      </c>
      <c r="H8" s="707"/>
      <c r="I8" s="705" t="s">
        <v>426</v>
      </c>
      <c r="J8" s="706"/>
      <c r="K8" s="706"/>
      <c r="L8" s="703" t="s">
        <v>427</v>
      </c>
      <c r="M8" s="118" t="s">
        <v>428</v>
      </c>
    </row>
    <row r="9" spans="1:13" ht="16.5" thickBot="1">
      <c r="A9" s="702"/>
      <c r="B9" s="704"/>
      <c r="C9" s="119"/>
      <c r="D9" s="120" t="s">
        <v>429</v>
      </c>
      <c r="E9" s="120" t="s">
        <v>430</v>
      </c>
      <c r="F9" s="120" t="s">
        <v>431</v>
      </c>
      <c r="G9" s="121" t="s">
        <v>430</v>
      </c>
      <c r="H9" s="120" t="s">
        <v>431</v>
      </c>
      <c r="I9" s="121" t="s">
        <v>432</v>
      </c>
      <c r="J9" s="121" t="s">
        <v>430</v>
      </c>
      <c r="K9" s="120" t="s">
        <v>431</v>
      </c>
      <c r="L9" s="704"/>
      <c r="M9" s="122"/>
    </row>
    <row r="10" spans="1:13" ht="15.75">
      <c r="A10" s="123"/>
      <c r="B10" s="124">
        <v>2915986</v>
      </c>
      <c r="C10" s="124"/>
      <c r="D10" s="125"/>
      <c r="E10" s="125"/>
      <c r="F10" s="125"/>
      <c r="G10" s="125"/>
      <c r="H10" s="125"/>
      <c r="I10" s="125"/>
      <c r="J10" s="125"/>
      <c r="K10" s="125"/>
      <c r="L10" s="126">
        <v>2915986</v>
      </c>
      <c r="M10" s="127"/>
    </row>
    <row r="11" spans="1:13" ht="15.75">
      <c r="A11" s="128">
        <v>1</v>
      </c>
      <c r="B11" s="129" t="s">
        <v>433</v>
      </c>
      <c r="C11" s="129"/>
      <c r="D11" s="126">
        <v>89862</v>
      </c>
      <c r="E11" s="126"/>
      <c r="F11" s="126">
        <f>E11*0.2</f>
        <v>0</v>
      </c>
      <c r="G11" s="126"/>
      <c r="H11" s="126"/>
      <c r="I11" s="126">
        <v>8360</v>
      </c>
      <c r="J11" s="126">
        <v>1390680</v>
      </c>
      <c r="K11" s="126">
        <f>J11*0.2</f>
        <v>278136</v>
      </c>
      <c r="L11" s="126">
        <f>B10-F11+K11</f>
        <v>3194122</v>
      </c>
      <c r="M11" s="130">
        <v>20000</v>
      </c>
    </row>
    <row r="12" spans="1:13" ht="15.75">
      <c r="A12" s="128">
        <v>2</v>
      </c>
      <c r="B12" s="129" t="s">
        <v>434</v>
      </c>
      <c r="C12" s="129"/>
      <c r="D12" s="126"/>
      <c r="E12" s="126"/>
      <c r="F12" s="126">
        <f t="shared" ref="F12:F22" si="0">E12*0.2</f>
        <v>0</v>
      </c>
      <c r="G12" s="126"/>
      <c r="H12" s="126"/>
      <c r="I12" s="126">
        <v>199965</v>
      </c>
      <c r="J12" s="126">
        <v>1268490</v>
      </c>
      <c r="K12" s="126">
        <f t="shared" ref="K12:K22" si="1">J12*0.2</f>
        <v>253698</v>
      </c>
      <c r="L12" s="126">
        <f>L11-F12+K12</f>
        <v>3447820</v>
      </c>
      <c r="M12" s="130">
        <v>20000</v>
      </c>
    </row>
    <row r="13" spans="1:13" ht="15.75">
      <c r="A13" s="128">
        <v>3</v>
      </c>
      <c r="B13" s="129" t="s">
        <v>435</v>
      </c>
      <c r="C13" s="129"/>
      <c r="D13" s="126"/>
      <c r="E13" s="126"/>
      <c r="F13" s="126">
        <f t="shared" si="0"/>
        <v>0</v>
      </c>
      <c r="G13" s="126"/>
      <c r="H13" s="126"/>
      <c r="I13" s="126">
        <v>322177</v>
      </c>
      <c r="J13" s="126">
        <v>1885680</v>
      </c>
      <c r="K13" s="126">
        <f t="shared" si="1"/>
        <v>377136</v>
      </c>
      <c r="L13" s="126">
        <f>L12-F13+K13</f>
        <v>3824956</v>
      </c>
      <c r="M13" s="130">
        <v>20000</v>
      </c>
    </row>
    <row r="14" spans="1:13" ht="15.75">
      <c r="A14" s="128">
        <v>4</v>
      </c>
      <c r="B14" s="129" t="s">
        <v>436</v>
      </c>
      <c r="C14" s="129"/>
      <c r="D14" s="126">
        <v>7956114</v>
      </c>
      <c r="E14" s="126">
        <v>2400000</v>
      </c>
      <c r="F14" s="126">
        <f t="shared" si="0"/>
        <v>480000</v>
      </c>
      <c r="G14" s="126"/>
      <c r="H14" s="126"/>
      <c r="I14" s="126">
        <v>1957791</v>
      </c>
      <c r="J14" s="126">
        <v>1631462</v>
      </c>
      <c r="K14" s="126">
        <f t="shared" si="1"/>
        <v>326292.40000000002</v>
      </c>
      <c r="L14" s="126">
        <f>L13-F14+K14</f>
        <v>3671248.4</v>
      </c>
      <c r="M14" s="130">
        <v>20000</v>
      </c>
    </row>
    <row r="15" spans="1:13" ht="15.75">
      <c r="A15" s="131">
        <v>5</v>
      </c>
      <c r="B15" s="132" t="s">
        <v>437</v>
      </c>
      <c r="C15" s="132"/>
      <c r="D15" s="133"/>
      <c r="E15" s="133">
        <v>10635000</v>
      </c>
      <c r="F15" s="126">
        <f t="shared" si="0"/>
        <v>2127000</v>
      </c>
      <c r="G15" s="133"/>
      <c r="H15" s="133"/>
      <c r="I15" s="133">
        <v>521986</v>
      </c>
      <c r="J15" s="133">
        <v>2503376</v>
      </c>
      <c r="K15" s="126">
        <f t="shared" si="1"/>
        <v>500675.2</v>
      </c>
      <c r="L15" s="133">
        <v>3671248</v>
      </c>
      <c r="M15" s="134">
        <v>20534</v>
      </c>
    </row>
    <row r="16" spans="1:13" ht="15.75">
      <c r="A16" s="128">
        <v>6</v>
      </c>
      <c r="B16" s="129" t="s">
        <v>438</v>
      </c>
      <c r="C16" s="129"/>
      <c r="D16" s="126"/>
      <c r="E16" s="126"/>
      <c r="F16" s="126">
        <f t="shared" si="0"/>
        <v>0</v>
      </c>
      <c r="G16" s="126"/>
      <c r="H16" s="126"/>
      <c r="I16" s="126">
        <v>102096</v>
      </c>
      <c r="J16" s="126">
        <v>1462040</v>
      </c>
      <c r="K16" s="126">
        <f t="shared" si="1"/>
        <v>292408</v>
      </c>
      <c r="L16" s="126">
        <v>2337331</v>
      </c>
      <c r="M16" s="130">
        <v>20534</v>
      </c>
    </row>
    <row r="17" spans="1:13" ht="15.75">
      <c r="A17" s="131">
        <v>7</v>
      </c>
      <c r="B17" s="132" t="s">
        <v>439</v>
      </c>
      <c r="C17" s="132"/>
      <c r="D17" s="133"/>
      <c r="E17" s="133"/>
      <c r="F17" s="126">
        <f t="shared" si="0"/>
        <v>0</v>
      </c>
      <c r="G17" s="133"/>
      <c r="H17" s="133"/>
      <c r="I17" s="133">
        <v>22371</v>
      </c>
      <c r="J17" s="133">
        <v>1452745</v>
      </c>
      <c r="K17" s="126">
        <f t="shared" si="1"/>
        <v>290549</v>
      </c>
      <c r="L17" s="133">
        <v>2627880</v>
      </c>
      <c r="M17" s="134">
        <v>20534</v>
      </c>
    </row>
    <row r="18" spans="1:13" ht="15.75">
      <c r="A18" s="128">
        <v>8</v>
      </c>
      <c r="B18" s="129" t="s">
        <v>440</v>
      </c>
      <c r="C18" s="129"/>
      <c r="D18" s="126"/>
      <c r="E18" s="126"/>
      <c r="F18" s="126">
        <f t="shared" si="0"/>
        <v>0</v>
      </c>
      <c r="G18" s="126"/>
      <c r="H18" s="126"/>
      <c r="I18" s="126">
        <v>15800</v>
      </c>
      <c r="J18" s="126">
        <v>1189147</v>
      </c>
      <c r="K18" s="126">
        <f t="shared" si="1"/>
        <v>237829.40000000002</v>
      </c>
      <c r="L18" s="126">
        <v>2865709</v>
      </c>
      <c r="M18" s="130">
        <v>20534</v>
      </c>
    </row>
    <row r="19" spans="1:13" ht="15.75">
      <c r="A19" s="131">
        <v>9</v>
      </c>
      <c r="B19" s="132" t="s">
        <v>441</v>
      </c>
      <c r="C19" s="132"/>
      <c r="D19" s="133"/>
      <c r="E19" s="133"/>
      <c r="F19" s="126">
        <f t="shared" si="0"/>
        <v>0</v>
      </c>
      <c r="G19" s="133"/>
      <c r="H19" s="133"/>
      <c r="I19" s="133">
        <v>394129</v>
      </c>
      <c r="J19" s="133">
        <v>1189248</v>
      </c>
      <c r="K19" s="126">
        <f t="shared" si="1"/>
        <v>237849.60000000001</v>
      </c>
      <c r="L19" s="133">
        <v>3103559</v>
      </c>
      <c r="M19" s="134">
        <v>20534</v>
      </c>
    </row>
    <row r="20" spans="1:13" ht="15.75">
      <c r="A20" s="128">
        <v>10</v>
      </c>
      <c r="B20" s="129" t="s">
        <v>442</v>
      </c>
      <c r="C20" s="129"/>
      <c r="D20" s="126">
        <v>4029244</v>
      </c>
      <c r="E20" s="126"/>
      <c r="F20" s="126">
        <f t="shared" si="0"/>
        <v>0</v>
      </c>
      <c r="G20" s="126"/>
      <c r="H20" s="126">
        <f>0.2*G20</f>
        <v>0</v>
      </c>
      <c r="I20" s="126">
        <v>227270</v>
      </c>
      <c r="J20" s="126">
        <v>1193098</v>
      </c>
      <c r="K20" s="126">
        <f t="shared" si="1"/>
        <v>238619.6</v>
      </c>
      <c r="L20" s="126">
        <v>3342179</v>
      </c>
      <c r="M20" s="130">
        <v>20534</v>
      </c>
    </row>
    <row r="21" spans="1:13" ht="15.75">
      <c r="A21" s="128">
        <v>11</v>
      </c>
      <c r="B21" s="129" t="s">
        <v>443</v>
      </c>
      <c r="C21" s="129"/>
      <c r="D21" s="126">
        <v>4318130</v>
      </c>
      <c r="E21" s="126">
        <v>5200000</v>
      </c>
      <c r="F21" s="126">
        <f t="shared" si="0"/>
        <v>1040000</v>
      </c>
      <c r="G21" s="135"/>
      <c r="H21" s="126">
        <f>0.2*G21</f>
        <v>0</v>
      </c>
      <c r="I21" s="126">
        <v>383702</v>
      </c>
      <c r="J21" s="126">
        <v>1201453</v>
      </c>
      <c r="K21" s="126">
        <f t="shared" si="1"/>
        <v>240290.6</v>
      </c>
      <c r="L21" s="126">
        <f>L20-F21+K21</f>
        <v>2542469.6</v>
      </c>
      <c r="M21" s="130">
        <v>57000</v>
      </c>
    </row>
    <row r="22" spans="1:13" ht="16.5" thickBot="1">
      <c r="A22" s="136">
        <v>12</v>
      </c>
      <c r="B22" s="137" t="s">
        <v>444</v>
      </c>
      <c r="C22" s="137"/>
      <c r="D22" s="138"/>
      <c r="E22" s="138"/>
      <c r="F22" s="126">
        <f t="shared" si="0"/>
        <v>0</v>
      </c>
      <c r="G22" s="139"/>
      <c r="H22" s="140"/>
      <c r="I22" s="138">
        <v>58271</v>
      </c>
      <c r="J22" s="138">
        <v>152935</v>
      </c>
      <c r="K22" s="126">
        <f t="shared" si="1"/>
        <v>30587</v>
      </c>
      <c r="L22" s="126">
        <f>L21-F22+K22</f>
        <v>2573056.6</v>
      </c>
      <c r="M22" s="141">
        <v>57000</v>
      </c>
    </row>
    <row r="23" spans="1:13" ht="16.5" thickBot="1">
      <c r="A23" s="142"/>
      <c r="B23" s="143" t="s">
        <v>13</v>
      </c>
      <c r="C23" s="144">
        <f>SUM(C10:C22)</f>
        <v>0</v>
      </c>
      <c r="D23" s="145">
        <f>SUM(D10:D22)</f>
        <v>16393350</v>
      </c>
      <c r="E23" s="146">
        <f t="shared" ref="E23:K23" si="2">SUM(E10:E22)</f>
        <v>18235000</v>
      </c>
      <c r="F23" s="146">
        <f t="shared" si="2"/>
        <v>3647000</v>
      </c>
      <c r="G23" s="146">
        <f t="shared" si="2"/>
        <v>0</v>
      </c>
      <c r="H23" s="146">
        <f t="shared" si="2"/>
        <v>0</v>
      </c>
      <c r="I23" s="146">
        <f t="shared" si="2"/>
        <v>4213918</v>
      </c>
      <c r="J23" s="146">
        <f t="shared" si="2"/>
        <v>16520354</v>
      </c>
      <c r="K23" s="146">
        <f t="shared" si="2"/>
        <v>3304070.8</v>
      </c>
      <c r="L23" s="146"/>
      <c r="M23" s="147">
        <f>SUM(M10:M22)</f>
        <v>317204</v>
      </c>
    </row>
    <row r="24" spans="1:13" ht="15">
      <c r="A24" s="5"/>
      <c r="B24" s="5"/>
      <c r="C24" s="5"/>
      <c r="D24" s="148">
        <v>18235000</v>
      </c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5"/>
      <c r="B25" s="5"/>
      <c r="C25" s="5"/>
      <c r="D25" s="149">
        <f>SUM(D23:D24)</f>
        <v>34628350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5.75">
      <c r="A26" s="5"/>
      <c r="B26" s="5"/>
      <c r="C26" s="100" t="s">
        <v>445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5"/>
      <c r="B27" s="5"/>
      <c r="C27" s="100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5"/>
      <c r="B28" s="5"/>
      <c r="C28" s="112">
        <v>34462941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.75">
      <c r="A29" s="5"/>
      <c r="B29" s="5"/>
      <c r="C29" s="100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">
      <c r="A30" s="5"/>
      <c r="B30" s="5"/>
      <c r="C30" s="5" t="s">
        <v>446</v>
      </c>
      <c r="D30" s="150">
        <f>D25-C28</f>
        <v>165409</v>
      </c>
      <c r="E30" s="5"/>
      <c r="F30" s="5"/>
      <c r="G30" s="5"/>
      <c r="H30" s="5"/>
      <c r="I30" s="5"/>
      <c r="J30" s="5"/>
      <c r="K30" s="5"/>
      <c r="L30" s="5"/>
      <c r="M30" s="5"/>
    </row>
    <row r="31" spans="1:13" ht="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</sheetData>
  <mergeCells count="7">
    <mergeCell ref="A5:M5"/>
    <mergeCell ref="A8:A9"/>
    <mergeCell ref="B8:B9"/>
    <mergeCell ref="D8:F8"/>
    <mergeCell ref="G8:H8"/>
    <mergeCell ref="I8:K8"/>
    <mergeCell ref="L8:L9"/>
  </mergeCells>
  <phoneticPr fontId="11" type="noConversion"/>
  <pageMargins left="0.75" right="0.75" top="1" bottom="1" header="0.5" footer="0.5"/>
  <pageSetup scale="72" orientation="landscape" r:id="rId1"/>
  <headerFooter alignWithMargins="0"/>
  <colBreaks count="1" manualBreakCount="1">
    <brk id="13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9"/>
  <sheetViews>
    <sheetView view="pageBreakPreview" zoomScaleNormal="100" zoomScaleSheetLayoutView="100" workbookViewId="0">
      <selection activeCell="D18" sqref="D18"/>
    </sheetView>
  </sheetViews>
  <sheetFormatPr defaultRowHeight="12.75"/>
  <cols>
    <col min="1" max="1" width="3.7109375" customWidth="1"/>
    <col min="2" max="2" width="10.85546875" customWidth="1"/>
    <col min="3" max="3" width="33.85546875" customWidth="1"/>
    <col min="4" max="4" width="23.85546875" customWidth="1"/>
  </cols>
  <sheetData>
    <row r="1" spans="1:4" ht="15">
      <c r="B1" s="13" t="s">
        <v>800</v>
      </c>
    </row>
    <row r="2" spans="1:4">
      <c r="B2" s="14" t="s">
        <v>282</v>
      </c>
    </row>
    <row r="3" spans="1:4">
      <c r="B3" s="14"/>
      <c r="D3" s="3" t="s">
        <v>225</v>
      </c>
    </row>
    <row r="4" spans="1:4">
      <c r="C4" s="3" t="s">
        <v>778</v>
      </c>
      <c r="D4" s="3" t="s">
        <v>283</v>
      </c>
    </row>
    <row r="5" spans="1:4">
      <c r="A5" s="2"/>
      <c r="B5" s="2"/>
      <c r="C5" s="16" t="s">
        <v>226</v>
      </c>
      <c r="D5" s="16" t="s">
        <v>227</v>
      </c>
    </row>
    <row r="6" spans="1:4">
      <c r="A6" s="2">
        <v>1</v>
      </c>
      <c r="B6" s="16" t="s">
        <v>228</v>
      </c>
      <c r="C6" s="80" t="s">
        <v>229</v>
      </c>
      <c r="D6" s="80"/>
    </row>
    <row r="7" spans="1:4">
      <c r="A7" s="2">
        <v>2</v>
      </c>
      <c r="B7" s="16" t="s">
        <v>228</v>
      </c>
      <c r="C7" s="80" t="s">
        <v>230</v>
      </c>
      <c r="D7" s="2"/>
    </row>
    <row r="8" spans="1:4">
      <c r="A8" s="2">
        <v>3</v>
      </c>
      <c r="B8" s="16" t="s">
        <v>228</v>
      </c>
      <c r="C8" s="80" t="s">
        <v>231</v>
      </c>
      <c r="D8" s="2"/>
    </row>
    <row r="9" spans="1:4">
      <c r="A9" s="2">
        <v>4</v>
      </c>
      <c r="B9" s="16" t="s">
        <v>228</v>
      </c>
      <c r="C9" s="80" t="s">
        <v>232</v>
      </c>
      <c r="D9" s="2"/>
    </row>
    <row r="10" spans="1:4">
      <c r="A10" s="2">
        <v>5</v>
      </c>
      <c r="B10" s="16" t="s">
        <v>228</v>
      </c>
      <c r="C10" s="80" t="s">
        <v>233</v>
      </c>
      <c r="D10" s="6"/>
    </row>
    <row r="11" spans="1:4">
      <c r="A11" s="2">
        <v>6</v>
      </c>
      <c r="B11" s="16" t="s">
        <v>228</v>
      </c>
      <c r="C11" s="80" t="s">
        <v>234</v>
      </c>
      <c r="D11" s="6"/>
    </row>
    <row r="12" spans="1:4">
      <c r="A12" s="2">
        <v>7</v>
      </c>
      <c r="B12" s="16" t="s">
        <v>228</v>
      </c>
      <c r="C12" s="80" t="s">
        <v>235</v>
      </c>
      <c r="D12" s="6"/>
    </row>
    <row r="13" spans="1:4">
      <c r="A13" s="2">
        <v>8</v>
      </c>
      <c r="B13" s="16" t="s">
        <v>228</v>
      </c>
      <c r="C13" s="80" t="s">
        <v>236</v>
      </c>
      <c r="D13" s="6">
        <f>'TE ARDHURA SHPENZIME 2013'!D7</f>
        <v>769814977.8900001</v>
      </c>
    </row>
    <row r="14" spans="1:4">
      <c r="A14" s="16" t="s">
        <v>5</v>
      </c>
      <c r="B14" s="16"/>
      <c r="C14" s="16" t="s">
        <v>237</v>
      </c>
      <c r="D14" s="9">
        <f>SUM(D13)</f>
        <v>769814977.8900001</v>
      </c>
    </row>
    <row r="15" spans="1:4">
      <c r="A15" s="2">
        <v>9</v>
      </c>
      <c r="B15" s="16" t="s">
        <v>238</v>
      </c>
      <c r="C15" s="80" t="s">
        <v>239</v>
      </c>
      <c r="D15" s="6"/>
    </row>
    <row r="16" spans="1:4">
      <c r="A16" s="2">
        <v>10</v>
      </c>
      <c r="B16" s="16" t="s">
        <v>238</v>
      </c>
      <c r="C16" s="80" t="s">
        <v>240</v>
      </c>
      <c r="D16" s="97"/>
    </row>
    <row r="17" spans="1:4">
      <c r="A17" s="2">
        <v>11</v>
      </c>
      <c r="B17" s="16" t="s">
        <v>238</v>
      </c>
      <c r="C17" s="80" t="s">
        <v>241</v>
      </c>
      <c r="D17" s="6"/>
    </row>
    <row r="18" spans="1:4">
      <c r="A18" s="16" t="s">
        <v>30</v>
      </c>
      <c r="B18" s="16"/>
      <c r="C18" s="16" t="s">
        <v>242</v>
      </c>
      <c r="D18" s="9"/>
    </row>
    <row r="19" spans="1:4">
      <c r="A19" s="2">
        <v>12</v>
      </c>
      <c r="B19" s="16" t="s">
        <v>243</v>
      </c>
      <c r="C19" s="80" t="s">
        <v>244</v>
      </c>
      <c r="D19" s="6"/>
    </row>
    <row r="20" spans="1:4">
      <c r="A20" s="2">
        <v>13</v>
      </c>
      <c r="B20" s="16" t="s">
        <v>243</v>
      </c>
      <c r="C20" s="16" t="s">
        <v>245</v>
      </c>
      <c r="D20" s="6"/>
    </row>
    <row r="21" spans="1:4">
      <c r="A21" s="2">
        <v>14</v>
      </c>
      <c r="B21" s="16" t="s">
        <v>243</v>
      </c>
      <c r="C21" s="80" t="s">
        <v>246</v>
      </c>
      <c r="D21" s="6"/>
    </row>
    <row r="22" spans="1:4">
      <c r="A22" s="2">
        <v>15</v>
      </c>
      <c r="B22" s="16" t="s">
        <v>243</v>
      </c>
      <c r="C22" s="80" t="s">
        <v>247</v>
      </c>
      <c r="D22" s="6"/>
    </row>
    <row r="23" spans="1:4">
      <c r="A23" s="2">
        <v>16</v>
      </c>
      <c r="B23" s="16" t="s">
        <v>243</v>
      </c>
      <c r="C23" s="80" t="s">
        <v>248</v>
      </c>
      <c r="D23" s="6"/>
    </row>
    <row r="24" spans="1:4">
      <c r="A24" s="2">
        <v>17</v>
      </c>
      <c r="B24" s="16" t="s">
        <v>243</v>
      </c>
      <c r="C24" s="80" t="s">
        <v>249</v>
      </c>
      <c r="D24" s="6"/>
    </row>
    <row r="25" spans="1:4">
      <c r="A25" s="2">
        <v>18</v>
      </c>
      <c r="B25" s="16" t="s">
        <v>243</v>
      </c>
      <c r="C25" s="80" t="s">
        <v>250</v>
      </c>
      <c r="D25" s="6"/>
    </row>
    <row r="26" spans="1:4">
      <c r="A26" s="2">
        <v>19</v>
      </c>
      <c r="B26" s="16" t="s">
        <v>243</v>
      </c>
      <c r="C26" s="80" t="s">
        <v>251</v>
      </c>
      <c r="D26" s="6"/>
    </row>
    <row r="27" spans="1:4">
      <c r="A27" s="16" t="s">
        <v>77</v>
      </c>
      <c r="B27" s="16"/>
      <c r="C27" s="16" t="s">
        <v>252</v>
      </c>
      <c r="D27" s="6"/>
    </row>
    <row r="28" spans="1:4">
      <c r="A28" s="2">
        <v>20</v>
      </c>
      <c r="B28" s="16" t="s">
        <v>253</v>
      </c>
      <c r="C28" s="80" t="s">
        <v>254</v>
      </c>
      <c r="D28" s="6"/>
    </row>
    <row r="29" spans="1:4">
      <c r="A29" s="2">
        <v>21</v>
      </c>
      <c r="B29" s="16" t="s">
        <v>253</v>
      </c>
      <c r="C29" s="80" t="s">
        <v>255</v>
      </c>
      <c r="D29" s="6"/>
    </row>
    <row r="30" spans="1:4">
      <c r="A30" s="2">
        <v>22</v>
      </c>
      <c r="B30" s="16" t="s">
        <v>253</v>
      </c>
      <c r="C30" s="80" t="s">
        <v>256</v>
      </c>
      <c r="D30" s="97"/>
    </row>
    <row r="31" spans="1:4">
      <c r="A31" s="2">
        <v>23</v>
      </c>
      <c r="B31" s="16" t="s">
        <v>253</v>
      </c>
      <c r="C31" s="80" t="s">
        <v>257</v>
      </c>
      <c r="D31" s="6"/>
    </row>
    <row r="32" spans="1:4">
      <c r="A32" s="16" t="s">
        <v>258</v>
      </c>
      <c r="B32" s="16"/>
      <c r="C32" s="16" t="s">
        <v>259</v>
      </c>
      <c r="D32" s="6"/>
    </row>
    <row r="33" spans="1:4">
      <c r="A33" s="2">
        <v>24</v>
      </c>
      <c r="B33" s="16" t="s">
        <v>260</v>
      </c>
      <c r="C33" s="80" t="s">
        <v>261</v>
      </c>
      <c r="D33" s="6"/>
    </row>
    <row r="34" spans="1:4">
      <c r="A34" s="2">
        <v>25</v>
      </c>
      <c r="B34" s="16" t="s">
        <v>260</v>
      </c>
      <c r="C34" s="80" t="s">
        <v>262</v>
      </c>
      <c r="D34" s="6"/>
    </row>
    <row r="35" spans="1:4">
      <c r="A35" s="2">
        <v>26</v>
      </c>
      <c r="B35" s="16" t="s">
        <v>260</v>
      </c>
      <c r="C35" s="80" t="s">
        <v>263</v>
      </c>
      <c r="D35" s="6"/>
    </row>
    <row r="36" spans="1:4">
      <c r="A36" s="2">
        <v>27</v>
      </c>
      <c r="B36" s="16" t="s">
        <v>260</v>
      </c>
      <c r="C36" s="80" t="s">
        <v>264</v>
      </c>
      <c r="D36" s="6"/>
    </row>
    <row r="37" spans="1:4">
      <c r="A37" s="2">
        <v>28</v>
      </c>
      <c r="B37" s="16" t="s">
        <v>260</v>
      </c>
      <c r="C37" s="80" t="s">
        <v>265</v>
      </c>
      <c r="D37" s="97"/>
    </row>
    <row r="38" spans="1:4">
      <c r="A38" s="2">
        <v>29</v>
      </c>
      <c r="B38" s="16" t="s">
        <v>260</v>
      </c>
      <c r="C38" s="81" t="s">
        <v>266</v>
      </c>
      <c r="D38" s="6"/>
    </row>
    <row r="39" spans="1:4">
      <c r="A39" s="2">
        <v>30</v>
      </c>
      <c r="B39" s="16" t="s">
        <v>260</v>
      </c>
      <c r="C39" s="80" t="s">
        <v>267</v>
      </c>
      <c r="D39" s="6"/>
    </row>
    <row r="40" spans="1:4">
      <c r="A40" s="2">
        <v>31</v>
      </c>
      <c r="B40" s="16" t="s">
        <v>260</v>
      </c>
      <c r="C40" s="80" t="s">
        <v>268</v>
      </c>
      <c r="D40" s="6"/>
    </row>
    <row r="41" spans="1:4">
      <c r="A41" s="2">
        <v>32</v>
      </c>
      <c r="B41" s="16" t="s">
        <v>260</v>
      </c>
      <c r="C41" s="80" t="s">
        <v>269</v>
      </c>
      <c r="D41" s="6"/>
    </row>
    <row r="42" spans="1:4">
      <c r="A42" s="2">
        <v>33</v>
      </c>
      <c r="B42" s="16" t="s">
        <v>260</v>
      </c>
      <c r="C42" s="80" t="s">
        <v>270</v>
      </c>
      <c r="D42" s="6"/>
    </row>
    <row r="43" spans="1:4">
      <c r="A43" s="82">
        <v>34</v>
      </c>
      <c r="B43" s="16" t="s">
        <v>260</v>
      </c>
      <c r="C43" s="80" t="s">
        <v>271</v>
      </c>
      <c r="D43" s="6"/>
    </row>
    <row r="44" spans="1:4">
      <c r="A44" s="16" t="s">
        <v>272</v>
      </c>
      <c r="B44" s="2"/>
      <c r="C44" s="16" t="s">
        <v>273</v>
      </c>
      <c r="D44" s="9"/>
    </row>
    <row r="45" spans="1:4">
      <c r="A45" s="2"/>
      <c r="B45" s="2"/>
      <c r="C45" s="16" t="s">
        <v>274</v>
      </c>
      <c r="D45" s="9">
        <f>SUM(D14:D44)</f>
        <v>769814977.8900001</v>
      </c>
    </row>
    <row r="48" spans="1:4">
      <c r="B48" s="83" t="s">
        <v>275</v>
      </c>
      <c r="C48" s="7"/>
      <c r="D48" s="16" t="s">
        <v>276</v>
      </c>
    </row>
    <row r="49" spans="2:4">
      <c r="B49" s="84"/>
      <c r="C49" s="85"/>
      <c r="D49" s="85"/>
    </row>
    <row r="50" spans="2:4">
      <c r="B50" s="8" t="s">
        <v>277</v>
      </c>
      <c r="C50" s="8"/>
      <c r="D50" s="2">
        <v>0</v>
      </c>
    </row>
    <row r="51" spans="2:4">
      <c r="B51" s="2" t="s">
        <v>278</v>
      </c>
      <c r="C51" s="2"/>
      <c r="D51" s="2">
        <v>0</v>
      </c>
    </row>
    <row r="52" spans="2:4">
      <c r="B52" s="2" t="s">
        <v>279</v>
      </c>
      <c r="C52" s="2"/>
      <c r="D52" s="2">
        <v>0</v>
      </c>
    </row>
    <row r="53" spans="2:4">
      <c r="B53" s="80" t="s">
        <v>769</v>
      </c>
      <c r="C53" s="2"/>
      <c r="D53" s="2">
        <v>2</v>
      </c>
    </row>
    <row r="54" spans="2:4">
      <c r="B54" s="86" t="s">
        <v>770</v>
      </c>
      <c r="C54" s="7"/>
      <c r="D54" s="2"/>
    </row>
    <row r="55" spans="2:4">
      <c r="B55" s="87"/>
      <c r="C55" s="88" t="s">
        <v>13</v>
      </c>
      <c r="D55" s="88">
        <f>SUM(D50:D54)</f>
        <v>2</v>
      </c>
    </row>
    <row r="57" spans="2:4">
      <c r="D57" s="3" t="s">
        <v>137</v>
      </c>
    </row>
    <row r="59" spans="2:4">
      <c r="B59" s="3" t="s">
        <v>280</v>
      </c>
    </row>
  </sheetData>
  <phoneticPr fontId="11" type="noConversion"/>
  <pageMargins left="0.75" right="0.75" top="1" bottom="1" header="0.5" footer="0.5"/>
  <pageSetup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3:K25"/>
  <sheetViews>
    <sheetView topLeftCell="A11" zoomScaleNormal="100" workbookViewId="0">
      <selection activeCell="I24" sqref="I24"/>
    </sheetView>
  </sheetViews>
  <sheetFormatPr defaultRowHeight="12.75"/>
  <cols>
    <col min="1" max="1" width="3.42578125" customWidth="1"/>
    <col min="2" max="2" width="14.7109375" customWidth="1"/>
    <col min="3" max="3" width="14.85546875" customWidth="1"/>
    <col min="4" max="4" width="14.5703125" customWidth="1"/>
    <col min="5" max="5" width="14.28515625" customWidth="1"/>
    <col min="6" max="6" width="18.42578125" customWidth="1"/>
    <col min="7" max="7" width="13.5703125" customWidth="1"/>
    <col min="8" max="8" width="9.28515625" customWidth="1"/>
    <col min="9" max="9" width="12.42578125" customWidth="1"/>
    <col min="10" max="10" width="15.7109375" customWidth="1"/>
    <col min="11" max="11" width="16.140625" customWidth="1"/>
  </cols>
  <sheetData>
    <row r="3" spans="1:11" ht="16.5">
      <c r="A3" s="100" t="s">
        <v>417</v>
      </c>
      <c r="B3" s="5"/>
      <c r="C3" s="5"/>
      <c r="D3" s="1"/>
      <c r="E3" s="1"/>
      <c r="F3" s="1"/>
      <c r="G3" s="4"/>
      <c r="H3" s="1"/>
      <c r="I3" s="1"/>
      <c r="J3" s="1"/>
      <c r="K3" s="1"/>
    </row>
    <row r="4" spans="1:11" ht="16.5">
      <c r="A4" s="100" t="s">
        <v>447</v>
      </c>
      <c r="B4" s="5"/>
      <c r="C4" s="100" t="s">
        <v>448</v>
      </c>
      <c r="D4" s="1"/>
      <c r="E4" s="1"/>
      <c r="F4" s="1"/>
      <c r="G4" s="4"/>
      <c r="H4" s="1"/>
      <c r="I4" s="1"/>
      <c r="J4" s="1"/>
      <c r="K4" s="1"/>
    </row>
    <row r="5" spans="1:11" ht="17.25" thickBot="1">
      <c r="A5" s="100" t="s">
        <v>449</v>
      </c>
      <c r="B5" s="5"/>
      <c r="C5" s="100" t="s">
        <v>450</v>
      </c>
      <c r="D5" s="1"/>
      <c r="E5" s="1"/>
      <c r="F5" s="1"/>
      <c r="G5" s="4"/>
      <c r="H5" s="1"/>
      <c r="I5" s="1"/>
      <c r="J5" s="1"/>
      <c r="K5" s="1"/>
    </row>
    <row r="6" spans="1:11" ht="17.25" thickBot="1">
      <c r="A6" s="708" t="s">
        <v>451</v>
      </c>
      <c r="B6" s="709"/>
      <c r="C6" s="709"/>
      <c r="D6" s="709"/>
      <c r="E6" s="709"/>
      <c r="F6" s="709"/>
      <c r="G6" s="709"/>
      <c r="H6" s="709"/>
      <c r="I6" s="709"/>
      <c r="J6" s="709"/>
      <c r="K6" s="710"/>
    </row>
    <row r="7" spans="1:11" ht="15.75">
      <c r="A7" s="711" t="s">
        <v>452</v>
      </c>
      <c r="B7" s="714" t="s">
        <v>453</v>
      </c>
      <c r="C7" s="717" t="s">
        <v>454</v>
      </c>
      <c r="D7" s="718"/>
      <c r="E7" s="719" t="s">
        <v>455</v>
      </c>
      <c r="F7" s="720"/>
      <c r="G7" s="720"/>
      <c r="H7" s="721"/>
      <c r="I7" s="722" t="s">
        <v>456</v>
      </c>
      <c r="J7" s="725" t="s">
        <v>457</v>
      </c>
      <c r="K7" s="728" t="s">
        <v>458</v>
      </c>
    </row>
    <row r="8" spans="1:11" ht="15.75">
      <c r="A8" s="712"/>
      <c r="B8" s="715"/>
      <c r="C8" s="731" t="s">
        <v>459</v>
      </c>
      <c r="D8" s="734" t="s">
        <v>460</v>
      </c>
      <c r="E8" s="734" t="s">
        <v>461</v>
      </c>
      <c r="F8" s="735" t="s">
        <v>462</v>
      </c>
      <c r="G8" s="736"/>
      <c r="H8" s="734" t="s">
        <v>463</v>
      </c>
      <c r="I8" s="723"/>
      <c r="J8" s="726"/>
      <c r="K8" s="729"/>
    </row>
    <row r="9" spans="1:11">
      <c r="A9" s="712"/>
      <c r="B9" s="715"/>
      <c r="C9" s="732"/>
      <c r="D9" s="723"/>
      <c r="E9" s="723"/>
      <c r="F9" s="737" t="s">
        <v>464</v>
      </c>
      <c r="G9" s="737" t="s">
        <v>465</v>
      </c>
      <c r="H9" s="723"/>
      <c r="I9" s="723"/>
      <c r="J9" s="726"/>
      <c r="K9" s="729"/>
    </row>
    <row r="10" spans="1:11" ht="63" customHeight="1">
      <c r="A10" s="713"/>
      <c r="B10" s="716"/>
      <c r="C10" s="733"/>
      <c r="D10" s="724"/>
      <c r="E10" s="724"/>
      <c r="F10" s="727"/>
      <c r="G10" s="727"/>
      <c r="H10" s="724"/>
      <c r="I10" s="724"/>
      <c r="J10" s="727"/>
      <c r="K10" s="730"/>
    </row>
    <row r="11" spans="1:11" ht="15.75">
      <c r="A11" s="151">
        <v>1</v>
      </c>
      <c r="B11" s="152" t="s">
        <v>433</v>
      </c>
      <c r="C11" s="153">
        <v>198957</v>
      </c>
      <c r="D11" s="153">
        <v>138892</v>
      </c>
      <c r="E11" s="154">
        <f t="shared" ref="E11:E22" si="0">F11+G11</f>
        <v>34029</v>
      </c>
      <c r="F11" s="154">
        <v>20834</v>
      </c>
      <c r="G11" s="154">
        <v>13195</v>
      </c>
      <c r="H11" s="155"/>
      <c r="I11" s="154">
        <v>4722</v>
      </c>
      <c r="J11" s="156">
        <v>198957</v>
      </c>
      <c r="K11" s="157">
        <v>19896</v>
      </c>
    </row>
    <row r="12" spans="1:11" ht="15.75">
      <c r="A12" s="151">
        <v>2</v>
      </c>
      <c r="B12" s="152" t="s">
        <v>434</v>
      </c>
      <c r="C12" s="153">
        <v>198957</v>
      </c>
      <c r="D12" s="153">
        <v>138892</v>
      </c>
      <c r="E12" s="154">
        <f t="shared" si="0"/>
        <v>34029</v>
      </c>
      <c r="F12" s="154">
        <v>20834</v>
      </c>
      <c r="G12" s="154">
        <v>13195</v>
      </c>
      <c r="H12" s="155"/>
      <c r="I12" s="154">
        <v>4722</v>
      </c>
      <c r="J12" s="156">
        <v>198957</v>
      </c>
      <c r="K12" s="157">
        <v>19896</v>
      </c>
    </row>
    <row r="13" spans="1:11" ht="15.75">
      <c r="A13" s="151">
        <v>3</v>
      </c>
      <c r="B13" s="152" t="s">
        <v>435</v>
      </c>
      <c r="C13" s="153">
        <v>198957</v>
      </c>
      <c r="D13" s="153">
        <v>138892</v>
      </c>
      <c r="E13" s="154">
        <f t="shared" si="0"/>
        <v>34029</v>
      </c>
      <c r="F13" s="154">
        <v>20834</v>
      </c>
      <c r="G13" s="154">
        <v>13195</v>
      </c>
      <c r="H13" s="155"/>
      <c r="I13" s="154">
        <v>4722</v>
      </c>
      <c r="J13" s="156">
        <v>198957</v>
      </c>
      <c r="K13" s="157">
        <v>19896</v>
      </c>
    </row>
    <row r="14" spans="1:11" ht="15.75">
      <c r="A14" s="151">
        <v>4</v>
      </c>
      <c r="B14" s="152" t="s">
        <v>436</v>
      </c>
      <c r="C14" s="153">
        <v>198957</v>
      </c>
      <c r="D14" s="153">
        <v>138892</v>
      </c>
      <c r="E14" s="154">
        <f t="shared" si="0"/>
        <v>34029</v>
      </c>
      <c r="F14" s="154">
        <v>20834</v>
      </c>
      <c r="G14" s="154">
        <v>13195</v>
      </c>
      <c r="H14" s="155"/>
      <c r="I14" s="154">
        <v>4722</v>
      </c>
      <c r="J14" s="156">
        <v>198957</v>
      </c>
      <c r="K14" s="157">
        <v>19896</v>
      </c>
    </row>
    <row r="15" spans="1:11" ht="15.75">
      <c r="A15" s="151">
        <v>5</v>
      </c>
      <c r="B15" s="152" t="s">
        <v>437</v>
      </c>
      <c r="C15" s="153">
        <v>198957</v>
      </c>
      <c r="D15" s="153">
        <v>138892</v>
      </c>
      <c r="E15" s="154">
        <f t="shared" si="0"/>
        <v>34029</v>
      </c>
      <c r="F15" s="154">
        <v>20834</v>
      </c>
      <c r="G15" s="154">
        <v>13195</v>
      </c>
      <c r="H15" s="155"/>
      <c r="I15" s="154">
        <v>4722</v>
      </c>
      <c r="J15" s="156">
        <v>198957</v>
      </c>
      <c r="K15" s="157">
        <v>19896</v>
      </c>
    </row>
    <row r="16" spans="1:11" ht="15.75">
      <c r="A16" s="151">
        <v>6</v>
      </c>
      <c r="B16" s="152" t="s">
        <v>438</v>
      </c>
      <c r="C16" s="153">
        <v>207617</v>
      </c>
      <c r="D16" s="153">
        <v>147552</v>
      </c>
      <c r="E16" s="154">
        <f t="shared" si="0"/>
        <v>36150</v>
      </c>
      <c r="F16" s="154">
        <v>22133</v>
      </c>
      <c r="G16" s="154">
        <v>14017</v>
      </c>
      <c r="H16" s="155"/>
      <c r="I16" s="154">
        <v>5017</v>
      </c>
      <c r="J16" s="156">
        <v>207617</v>
      </c>
      <c r="K16" s="157">
        <v>20762</v>
      </c>
    </row>
    <row r="17" spans="1:11" ht="15.75">
      <c r="A17" s="151">
        <v>7</v>
      </c>
      <c r="B17" s="152" t="s">
        <v>439</v>
      </c>
      <c r="C17" s="153">
        <v>212165</v>
      </c>
      <c r="D17" s="153">
        <v>151152</v>
      </c>
      <c r="E17" s="154">
        <f t="shared" si="0"/>
        <v>37032</v>
      </c>
      <c r="F17" s="158">
        <v>22673</v>
      </c>
      <c r="G17" s="158">
        <v>14359</v>
      </c>
      <c r="H17" s="159"/>
      <c r="I17" s="158">
        <v>5139</v>
      </c>
      <c r="J17" s="160">
        <v>212165</v>
      </c>
      <c r="K17" s="161">
        <v>21217</v>
      </c>
    </row>
    <row r="18" spans="1:11" ht="15.75">
      <c r="A18" s="151">
        <v>8</v>
      </c>
      <c r="B18" s="162" t="s">
        <v>440</v>
      </c>
      <c r="C18" s="153">
        <v>280693</v>
      </c>
      <c r="D18" s="153">
        <v>219680</v>
      </c>
      <c r="E18" s="154">
        <f t="shared" si="0"/>
        <v>53822</v>
      </c>
      <c r="F18" s="158">
        <v>32952</v>
      </c>
      <c r="G18" s="158">
        <v>20870</v>
      </c>
      <c r="H18" s="159"/>
      <c r="I18" s="158">
        <v>7469</v>
      </c>
      <c r="J18" s="160">
        <v>280693</v>
      </c>
      <c r="K18" s="161">
        <v>28069</v>
      </c>
    </row>
    <row r="19" spans="1:11" ht="15.75">
      <c r="A19" s="151">
        <v>9</v>
      </c>
      <c r="B19" s="162" t="s">
        <v>441</v>
      </c>
      <c r="C19" s="153">
        <v>280693</v>
      </c>
      <c r="D19" s="153">
        <v>219680</v>
      </c>
      <c r="E19" s="154">
        <f t="shared" si="0"/>
        <v>53822</v>
      </c>
      <c r="F19" s="158">
        <v>32952</v>
      </c>
      <c r="G19" s="158">
        <v>20870</v>
      </c>
      <c r="H19" s="159"/>
      <c r="I19" s="158">
        <v>7469</v>
      </c>
      <c r="J19" s="160">
        <v>280693</v>
      </c>
      <c r="K19" s="161">
        <v>28069</v>
      </c>
    </row>
    <row r="20" spans="1:11" ht="15.75">
      <c r="A20" s="151">
        <v>10</v>
      </c>
      <c r="B20" s="162" t="s">
        <v>442</v>
      </c>
      <c r="C20" s="153">
        <v>280693</v>
      </c>
      <c r="D20" s="153">
        <v>219680</v>
      </c>
      <c r="E20" s="154">
        <f t="shared" si="0"/>
        <v>53822</v>
      </c>
      <c r="F20" s="158">
        <v>32952</v>
      </c>
      <c r="G20" s="158">
        <v>20870</v>
      </c>
      <c r="H20" s="159"/>
      <c r="I20" s="158">
        <v>7469</v>
      </c>
      <c r="J20" s="160">
        <v>280693</v>
      </c>
      <c r="K20" s="161">
        <v>28069</v>
      </c>
    </row>
    <row r="21" spans="1:11" ht="15.75">
      <c r="A21" s="151">
        <v>11</v>
      </c>
      <c r="B21" s="162" t="s">
        <v>466</v>
      </c>
      <c r="C21" s="153">
        <v>280693</v>
      </c>
      <c r="D21" s="153">
        <v>219680</v>
      </c>
      <c r="E21" s="154">
        <f t="shared" si="0"/>
        <v>53822</v>
      </c>
      <c r="F21" s="158">
        <v>32952</v>
      </c>
      <c r="G21" s="158">
        <v>20870</v>
      </c>
      <c r="H21" s="159"/>
      <c r="I21" s="158">
        <v>7469</v>
      </c>
      <c r="J21" s="160">
        <v>280693</v>
      </c>
      <c r="K21" s="161">
        <v>28069</v>
      </c>
    </row>
    <row r="22" spans="1:11" ht="21" customHeight="1" thickBot="1">
      <c r="A22" s="163">
        <v>12</v>
      </c>
      <c r="B22" s="164" t="s">
        <v>444</v>
      </c>
      <c r="C22" s="153">
        <v>280693</v>
      </c>
      <c r="D22" s="153">
        <v>219680</v>
      </c>
      <c r="E22" s="154">
        <f t="shared" si="0"/>
        <v>53822</v>
      </c>
      <c r="F22" s="158">
        <v>32952</v>
      </c>
      <c r="G22" s="158">
        <v>20870</v>
      </c>
      <c r="H22" s="159"/>
      <c r="I22" s="158">
        <v>7469</v>
      </c>
      <c r="J22" s="160">
        <v>280693</v>
      </c>
      <c r="K22" s="161">
        <v>28069</v>
      </c>
    </row>
    <row r="23" spans="1:11" ht="29.25" customHeight="1" thickBot="1">
      <c r="A23" s="165"/>
      <c r="B23" s="166" t="s">
        <v>467</v>
      </c>
      <c r="C23" s="167">
        <f>SUM(C11:C22)</f>
        <v>2818032</v>
      </c>
      <c r="D23" s="167">
        <f t="shared" ref="D23:K23" si="1">SUM(D11:D22)</f>
        <v>2091564</v>
      </c>
      <c r="E23" s="167">
        <f t="shared" si="1"/>
        <v>512437</v>
      </c>
      <c r="F23" s="167">
        <f t="shared" si="1"/>
        <v>313736</v>
      </c>
      <c r="G23" s="167">
        <f t="shared" si="1"/>
        <v>198701</v>
      </c>
      <c r="H23" s="167">
        <f t="shared" si="1"/>
        <v>0</v>
      </c>
      <c r="I23" s="167">
        <f t="shared" si="1"/>
        <v>71111</v>
      </c>
      <c r="J23" s="167">
        <f t="shared" si="1"/>
        <v>2818032</v>
      </c>
      <c r="K23" s="167">
        <f t="shared" si="1"/>
        <v>281804</v>
      </c>
    </row>
    <row r="24" spans="1:11" ht="13.5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8"/>
    </row>
    <row r="25" spans="1:11" ht="13.5">
      <c r="A25" s="169"/>
      <c r="B25" s="169"/>
      <c r="C25" s="169" t="s">
        <v>468</v>
      </c>
      <c r="D25" s="169"/>
      <c r="E25" s="169"/>
      <c r="F25" s="169" t="s">
        <v>468</v>
      </c>
      <c r="G25" s="169"/>
      <c r="H25" s="169"/>
      <c r="I25" s="169" t="s">
        <v>469</v>
      </c>
      <c r="J25" s="169"/>
      <c r="K25" s="169"/>
    </row>
  </sheetData>
  <mergeCells count="15">
    <mergeCell ref="A6:K6"/>
    <mergeCell ref="A7:A10"/>
    <mergeCell ref="B7:B10"/>
    <mergeCell ref="C7:D7"/>
    <mergeCell ref="E7:H7"/>
    <mergeCell ref="I7:I10"/>
    <mergeCell ref="J7:J10"/>
    <mergeCell ref="K7:K10"/>
    <mergeCell ref="C8:C10"/>
    <mergeCell ref="D8:D10"/>
    <mergeCell ref="E8:E10"/>
    <mergeCell ref="F8:G8"/>
    <mergeCell ref="H8:H10"/>
    <mergeCell ref="F9:F10"/>
    <mergeCell ref="G9:G10"/>
  </mergeCells>
  <phoneticPr fontId="11" type="noConversion"/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5</vt:i4>
      </vt:variant>
    </vt:vector>
  </HeadingPairs>
  <TitlesOfParts>
    <vt:vector size="23" baseType="lpstr">
      <vt:lpstr>BILANCI 2013</vt:lpstr>
      <vt:lpstr>TE ARDHURA SHPENZIME 2013</vt:lpstr>
      <vt:lpstr>LEVIZJA KAPITALIT</vt:lpstr>
      <vt:lpstr>CASH FLOW</vt:lpstr>
      <vt:lpstr>PASQYA AAM </vt:lpstr>
      <vt:lpstr>PASQYRA NR 1.2</vt:lpstr>
      <vt:lpstr>TVSH</vt:lpstr>
      <vt:lpstr>PASQYRA NR 3</vt:lpstr>
      <vt:lpstr>Sig.Shoq.</vt:lpstr>
      <vt:lpstr>Fitim Humbja F5</vt:lpstr>
      <vt:lpstr>Bilanci 31.12.11</vt:lpstr>
      <vt:lpstr>Amortizimi</vt:lpstr>
      <vt:lpstr>Shitje Ap.</vt:lpstr>
      <vt:lpstr>Bilanci 01.01.2011</vt:lpstr>
      <vt:lpstr>per notat</vt:lpstr>
      <vt:lpstr>Sheet1</vt:lpstr>
      <vt:lpstr>Sheet2</vt:lpstr>
      <vt:lpstr>Sheet3</vt:lpstr>
      <vt:lpstr>'CASH FLOW'!Print_Area</vt:lpstr>
      <vt:lpstr>'Fitim Humbja F5'!Print_Area</vt:lpstr>
      <vt:lpstr>'LEVIZJA KAPITALIT'!Print_Area</vt:lpstr>
      <vt:lpstr>'PASQYA AAM '!Print_Area</vt:lpstr>
      <vt:lpstr>TVSH!Print_Area</vt:lpstr>
    </vt:vector>
  </TitlesOfParts>
  <Company>Indiana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l.sterjo</cp:lastModifiedBy>
  <cp:lastPrinted>2014-03-25T09:52:53Z</cp:lastPrinted>
  <dcterms:created xsi:type="dcterms:W3CDTF">2010-02-02T14:14:38Z</dcterms:created>
  <dcterms:modified xsi:type="dcterms:W3CDTF">2014-03-28T16:30:29Z</dcterms:modified>
</cp:coreProperties>
</file>