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075" windowHeight="9495" activeTab="6"/>
  </bookViews>
  <sheets>
    <sheet name="FAQE 1" sheetId="1" r:id="rId1"/>
    <sheet name="PASH" sheetId="2" r:id="rId2"/>
    <sheet name="aktiv Pasiv" sheetId="3" r:id="rId3"/>
    <sheet name="fluksi monetar" sheetId="4" r:id="rId4"/>
    <sheet name="permbledhje e aktiveve" sheetId="5" r:id="rId5"/>
    <sheet name="pasqyra e kap" sheetId="6" r:id="rId6"/>
    <sheet name="sqarime" sheetId="7" r:id="rId7"/>
  </sheets>
  <externalReferences>
    <externalReference r:id="rId8"/>
  </externalReferences>
  <definedNames>
    <definedName name="_xlnm._FilterDatabase" localSheetId="4" hidden="1">'permbledhje e aktiveve'!$N$46:$P$58</definedName>
    <definedName name="_xlnm.Print_Area" localSheetId="2">'aktiv Pasiv'!$A$1:$T$51</definedName>
    <definedName name="_xlnm.Print_Area" localSheetId="3">'fluksi monetar'!$L$1:$T$50</definedName>
    <definedName name="_xlnm.Print_Area" localSheetId="1">PASH!$L$1:$U$39</definedName>
    <definedName name="_xlnm.Print_Area" localSheetId="5">'pasqyra e kap'!$A$2:$N$45</definedName>
    <definedName name="_xlnm.Print_Area" localSheetId="4">'permbledhje e aktiveve'!$A$1:$K$87</definedName>
    <definedName name="_xlnm.Print_Area" localSheetId="6">sqarime!$A$1:$J$123</definedName>
  </definedNames>
  <calcPr calcId="125725" iterateDelta="252"/>
</workbook>
</file>

<file path=xl/calcChain.xml><?xml version="1.0" encoding="utf-8"?>
<calcChain xmlns="http://schemas.openxmlformats.org/spreadsheetml/2006/main">
  <c r="H109" i="7"/>
  <c r="F108"/>
  <c r="F106"/>
  <c r="F105"/>
  <c r="F104"/>
  <c r="F103"/>
  <c r="H100"/>
  <c r="K44" i="6"/>
  <c r="K43"/>
  <c r="K42"/>
  <c r="K41"/>
  <c r="I40"/>
  <c r="I45" s="1"/>
  <c r="H40"/>
  <c r="H45" s="1"/>
  <c r="G40"/>
  <c r="G45" s="1"/>
  <c r="F40"/>
  <c r="K39"/>
  <c r="K38"/>
  <c r="K37"/>
  <c r="K36"/>
  <c r="K34"/>
  <c r="K33"/>
  <c r="K32"/>
  <c r="K31"/>
  <c r="K30"/>
  <c r="I86" i="5"/>
  <c r="H86"/>
  <c r="G86"/>
  <c r="H72"/>
  <c r="G72"/>
  <c r="F72"/>
  <c r="D72"/>
  <c r="H71"/>
  <c r="G71"/>
  <c r="D71"/>
  <c r="H70"/>
  <c r="G70"/>
  <c r="F70"/>
  <c r="D70"/>
  <c r="G69"/>
  <c r="D69"/>
  <c r="H68"/>
  <c r="G68"/>
  <c r="F68"/>
  <c r="D68"/>
  <c r="H67"/>
  <c r="G67"/>
  <c r="F74" s="1"/>
  <c r="D67"/>
  <c r="H66"/>
  <c r="G66"/>
  <c r="F66"/>
  <c r="D66"/>
  <c r="D73" s="1"/>
  <c r="J59"/>
  <c r="I59"/>
  <c r="F59"/>
  <c r="D59"/>
  <c r="D74" s="1"/>
  <c r="J58"/>
  <c r="H58"/>
  <c r="G58"/>
  <c r="P58" s="1"/>
  <c r="E58"/>
  <c r="O58" s="1"/>
  <c r="J57"/>
  <c r="H57"/>
  <c r="G57"/>
  <c r="P57" s="1"/>
  <c r="E57"/>
  <c r="E72" s="1"/>
  <c r="J56"/>
  <c r="H56"/>
  <c r="G56"/>
  <c r="F71" s="1"/>
  <c r="E56"/>
  <c r="E71" s="1"/>
  <c r="J55"/>
  <c r="H55"/>
  <c r="G55"/>
  <c r="P55" s="1"/>
  <c r="E55"/>
  <c r="O55" s="1"/>
  <c r="H41" i="3" s="1"/>
  <c r="J54" i="5"/>
  <c r="H54"/>
  <c r="G54"/>
  <c r="P54" s="1"/>
  <c r="E54"/>
  <c r="O54" s="1"/>
  <c r="J53"/>
  <c r="H53"/>
  <c r="G53"/>
  <c r="P53" s="1"/>
  <c r="E53"/>
  <c r="E70" s="1"/>
  <c r="J52"/>
  <c r="H52"/>
  <c r="G52"/>
  <c r="P52" s="1"/>
  <c r="E52"/>
  <c r="O52" s="1"/>
  <c r="J51"/>
  <c r="H51"/>
  <c r="G51"/>
  <c r="P51" s="1"/>
  <c r="E51"/>
  <c r="O51" s="1"/>
  <c r="J50"/>
  <c r="H50"/>
  <c r="G50"/>
  <c r="F67" s="1"/>
  <c r="E50"/>
  <c r="E67" s="1"/>
  <c r="J49"/>
  <c r="H49"/>
  <c r="G49"/>
  <c r="P49" s="1"/>
  <c r="E49"/>
  <c r="E66" s="1"/>
  <c r="J48"/>
  <c r="H48"/>
  <c r="G48"/>
  <c r="P48" s="1"/>
  <c r="E48"/>
  <c r="E68" s="1"/>
  <c r="K47"/>
  <c r="H69" s="1"/>
  <c r="H47"/>
  <c r="H59" s="1"/>
  <c r="G47"/>
  <c r="F69" s="1"/>
  <c r="E47"/>
  <c r="E59" s="1"/>
  <c r="E60" s="1"/>
  <c r="G41"/>
  <c r="E41"/>
  <c r="I41" s="1"/>
  <c r="D41"/>
  <c r="G40"/>
  <c r="G42" s="1"/>
  <c r="G43" s="1"/>
  <c r="E40"/>
  <c r="E42" s="1"/>
  <c r="E43" s="1"/>
  <c r="D40"/>
  <c r="I39"/>
  <c r="G38"/>
  <c r="F38"/>
  <c r="E38"/>
  <c r="I38" s="1"/>
  <c r="D38"/>
  <c r="C38"/>
  <c r="B38"/>
  <c r="G37"/>
  <c r="F37"/>
  <c r="E37"/>
  <c r="I37" s="1"/>
  <c r="D37"/>
  <c r="G36"/>
  <c r="F36"/>
  <c r="E36"/>
  <c r="I36" s="1"/>
  <c r="D36"/>
  <c r="G35"/>
  <c r="F35"/>
  <c r="E35"/>
  <c r="I35" s="1"/>
  <c r="D35"/>
  <c r="G34"/>
  <c r="F34"/>
  <c r="E34"/>
  <c r="I34" s="1"/>
  <c r="D34"/>
  <c r="G33"/>
  <c r="F33"/>
  <c r="E33"/>
  <c r="I33" s="1"/>
  <c r="D33"/>
  <c r="G32"/>
  <c r="F32"/>
  <c r="E32"/>
  <c r="I32" s="1"/>
  <c r="D32"/>
  <c r="D42" s="1"/>
  <c r="D43" s="1"/>
  <c r="G28"/>
  <c r="E28"/>
  <c r="D28"/>
  <c r="H27"/>
  <c r="F27"/>
  <c r="H26"/>
  <c r="H34" s="1"/>
  <c r="F26"/>
  <c r="H25"/>
  <c r="F25"/>
  <c r="H24"/>
  <c r="F24"/>
  <c r="H23"/>
  <c r="H41" s="1"/>
  <c r="F23"/>
  <c r="F41" s="1"/>
  <c r="H22"/>
  <c r="H40" s="1"/>
  <c r="F22"/>
  <c r="F40" s="1"/>
  <c r="H21"/>
  <c r="F21"/>
  <c r="H20"/>
  <c r="H28" s="1"/>
  <c r="F20"/>
  <c r="F28" s="1"/>
  <c r="G14"/>
  <c r="E14"/>
  <c r="D14"/>
  <c r="H13"/>
  <c r="H38" s="1"/>
  <c r="F13"/>
  <c r="H12"/>
  <c r="H37" s="1"/>
  <c r="F12"/>
  <c r="H11"/>
  <c r="H36" s="1"/>
  <c r="F11"/>
  <c r="H10"/>
  <c r="H35" s="1"/>
  <c r="F10"/>
  <c r="H9"/>
  <c r="H33" s="1"/>
  <c r="F9"/>
  <c r="H8"/>
  <c r="H14" s="1"/>
  <c r="F8"/>
  <c r="F14" s="1"/>
  <c r="AF52" i="4"/>
  <c r="AE52"/>
  <c r="AD52"/>
  <c r="AB52"/>
  <c r="AB49"/>
  <c r="U47"/>
  <c r="U49" s="1"/>
  <c r="T48" s="1"/>
  <c r="AE45"/>
  <c r="AE31" s="1"/>
  <c r="AE4" s="1"/>
  <c r="AD45"/>
  <c r="AH45" s="1"/>
  <c r="AB45"/>
  <c r="AD44"/>
  <c r="AH44" s="1"/>
  <c r="AH31" s="1"/>
  <c r="AH43"/>
  <c r="AH42"/>
  <c r="AH41"/>
  <c r="AH40"/>
  <c r="AH39"/>
  <c r="AH38"/>
  <c r="AH37"/>
  <c r="AH36"/>
  <c r="AH35"/>
  <c r="AH34"/>
  <c r="AH33"/>
  <c r="AH32"/>
  <c r="AG31"/>
  <c r="AF31"/>
  <c r="AD31"/>
  <c r="AC31"/>
  <c r="AH28"/>
  <c r="AF28"/>
  <c r="AF26"/>
  <c r="AC26"/>
  <c r="AH26" s="1"/>
  <c r="AB26"/>
  <c r="AF25"/>
  <c r="AB25"/>
  <c r="AF24"/>
  <c r="AC24"/>
  <c r="AH24" s="1"/>
  <c r="AB24"/>
  <c r="AF23"/>
  <c r="AC23"/>
  <c r="AH23" s="1"/>
  <c r="AB23"/>
  <c r="T23"/>
  <c r="S23"/>
  <c r="AF22"/>
  <c r="AC22"/>
  <c r="AH22" s="1"/>
  <c r="AB22"/>
  <c r="AF21"/>
  <c r="AF16" s="1"/>
  <c r="T13" s="1"/>
  <c r="AC21"/>
  <c r="AH21" s="1"/>
  <c r="AB21"/>
  <c r="AF20"/>
  <c r="AB20"/>
  <c r="AF19"/>
  <c r="AB19"/>
  <c r="AF18"/>
  <c r="AB18"/>
  <c r="AF17"/>
  <c r="AB17"/>
  <c r="AD16"/>
  <c r="AH15"/>
  <c r="AF13"/>
  <c r="AF12"/>
  <c r="AB12"/>
  <c r="AF11"/>
  <c r="AB11"/>
  <c r="AF10"/>
  <c r="AB10"/>
  <c r="S10"/>
  <c r="AH9"/>
  <c r="AF9"/>
  <c r="S9"/>
  <c r="AF8"/>
  <c r="AC8"/>
  <c r="AH8" s="1"/>
  <c r="AB8"/>
  <c r="AF7"/>
  <c r="AB7"/>
  <c r="T7"/>
  <c r="AF6"/>
  <c r="AB6"/>
  <c r="AF5"/>
  <c r="AF4" s="1"/>
  <c r="AB5"/>
  <c r="AG4"/>
  <c r="AD4"/>
  <c r="T51" i="3"/>
  <c r="J51"/>
  <c r="I49"/>
  <c r="T21" i="4" s="1"/>
  <c r="T19" s="1"/>
  <c r="H45" i="3"/>
  <c r="I44"/>
  <c r="I43"/>
  <c r="I42"/>
  <c r="I41"/>
  <c r="I40"/>
  <c r="H40"/>
  <c r="I39"/>
  <c r="R38"/>
  <c r="R37"/>
  <c r="F45" i="6" s="1"/>
  <c r="I37" i="3"/>
  <c r="I34"/>
  <c r="H34"/>
  <c r="I33"/>
  <c r="H31"/>
  <c r="AC49" i="4" s="1"/>
  <c r="AH49" s="1"/>
  <c r="S27" i="3"/>
  <c r="R27"/>
  <c r="S26"/>
  <c r="S35" s="1"/>
  <c r="R26"/>
  <c r="H25"/>
  <c r="K25" s="1"/>
  <c r="R24"/>
  <c r="AC52" i="4" s="1"/>
  <c r="AH52" s="1"/>
  <c r="R18" i="3"/>
  <c r="AC25" i="4" s="1"/>
  <c r="AH25" s="1"/>
  <c r="J18" i="3"/>
  <c r="T12" i="4" s="1"/>
  <c r="I18" i="3"/>
  <c r="H18"/>
  <c r="S12" i="4" s="1"/>
  <c r="H17" i="3"/>
  <c r="AC12" i="4" s="1"/>
  <c r="AH12" s="1"/>
  <c r="H16" i="3"/>
  <c r="AC11" i="4" s="1"/>
  <c r="AH11" s="1"/>
  <c r="H15" i="3"/>
  <c r="AC10" i="4" s="1"/>
  <c r="AH10" s="1"/>
  <c r="H14" i="3"/>
  <c r="R13"/>
  <c r="AC20" i="4" s="1"/>
  <c r="AH20" s="1"/>
  <c r="R12" i="3"/>
  <c r="AC19" i="4" s="1"/>
  <c r="AH19" s="1"/>
  <c r="H12" i="3"/>
  <c r="AC7" i="4" s="1"/>
  <c r="AH7" s="1"/>
  <c r="R11" i="3"/>
  <c r="AC18" i="4" s="1"/>
  <c r="AH18" s="1"/>
  <c r="H11" i="3"/>
  <c r="AC6" i="4" s="1"/>
  <c r="AH6" s="1"/>
  <c r="R10" i="3"/>
  <c r="AC17" i="4" s="1"/>
  <c r="H10" i="3"/>
  <c r="AC5" i="4" s="1"/>
  <c r="S9" i="3"/>
  <c r="R9"/>
  <c r="I9"/>
  <c r="H7"/>
  <c r="S6"/>
  <c r="R6"/>
  <c r="R4" s="1"/>
  <c r="I6"/>
  <c r="H6"/>
  <c r="H5" s="1"/>
  <c r="I5"/>
  <c r="S4"/>
  <c r="I4"/>
  <c r="I51" s="1"/>
  <c r="Y33" i="2"/>
  <c r="T33"/>
  <c r="H33"/>
  <c r="V32"/>
  <c r="V34" s="1"/>
  <c r="U32"/>
  <c r="Y32" s="1"/>
  <c r="T32"/>
  <c r="U31"/>
  <c r="U34" s="1"/>
  <c r="Y34" s="1"/>
  <c r="T31"/>
  <c r="T34" s="1"/>
  <c r="Y30"/>
  <c r="Y29"/>
  <c r="Y28"/>
  <c r="Y27"/>
  <c r="J26"/>
  <c r="J33" s="1"/>
  <c r="Y25"/>
  <c r="V25"/>
  <c r="U25"/>
  <c r="T25"/>
  <c r="U24"/>
  <c r="Y24" s="1"/>
  <c r="T24"/>
  <c r="V23"/>
  <c r="U23"/>
  <c r="Y23" s="1"/>
  <c r="T23"/>
  <c r="J23"/>
  <c r="J34" s="1"/>
  <c r="J36" s="1"/>
  <c r="Y22"/>
  <c r="V22"/>
  <c r="U22"/>
  <c r="T22"/>
  <c r="J22"/>
  <c r="H22"/>
  <c r="H23" s="1"/>
  <c r="H34" s="1"/>
  <c r="H36" s="1"/>
  <c r="Y21"/>
  <c r="T21"/>
  <c r="Y20"/>
  <c r="T20"/>
  <c r="Y19"/>
  <c r="T19"/>
  <c r="Y18"/>
  <c r="Y17"/>
  <c r="T17"/>
  <c r="Y16"/>
  <c r="V16"/>
  <c r="V14"/>
  <c r="U14"/>
  <c r="Y14" s="1"/>
  <c r="T14"/>
  <c r="Y13"/>
  <c r="V13"/>
  <c r="V11" s="1"/>
  <c r="V15" s="1"/>
  <c r="V26" s="1"/>
  <c r="V35" s="1"/>
  <c r="U13"/>
  <c r="T13"/>
  <c r="Y12"/>
  <c r="U11"/>
  <c r="Y11" s="1"/>
  <c r="T6"/>
  <c r="V5"/>
  <c r="U5"/>
  <c r="U15" s="1"/>
  <c r="S37" i="4" l="1"/>
  <c r="S19" s="1"/>
  <c r="Z25" i="2"/>
  <c r="AA25" s="1"/>
  <c r="J35" i="6"/>
  <c r="K35" s="1"/>
  <c r="K5" i="3"/>
  <c r="AH5" i="4"/>
  <c r="AH4" s="1"/>
  <c r="S11" s="1"/>
  <c r="AC4"/>
  <c r="AC16"/>
  <c r="U26" i="2"/>
  <c r="Y15"/>
  <c r="R35" i="3"/>
  <c r="I14" i="5"/>
  <c r="F42"/>
  <c r="F43" s="1"/>
  <c r="F73"/>
  <c r="H73"/>
  <c r="Y31" i="2"/>
  <c r="S7" i="4"/>
  <c r="AH17"/>
  <c r="AH16" s="1"/>
  <c r="S13" s="1"/>
  <c r="T5" i="2"/>
  <c r="X13" s="1"/>
  <c r="T11"/>
  <c r="X31"/>
  <c r="H9" i="3"/>
  <c r="K9" s="1"/>
  <c r="K15"/>
  <c r="K18"/>
  <c r="K31"/>
  <c r="H32" i="5"/>
  <c r="H42" s="1"/>
  <c r="H43" s="1"/>
  <c r="I40"/>
  <c r="I42" s="1"/>
  <c r="O47"/>
  <c r="H42" i="3" s="1"/>
  <c r="O48" i="5"/>
  <c r="O49"/>
  <c r="H39" i="3" s="1"/>
  <c r="H37" s="1"/>
  <c r="H33" s="1"/>
  <c r="O50" i="5"/>
  <c r="O53"/>
  <c r="O56"/>
  <c r="H43" i="3" s="1"/>
  <c r="O57" i="5"/>
  <c r="H44" i="3" s="1"/>
  <c r="E69" i="5"/>
  <c r="E73" s="1"/>
  <c r="E74" s="1"/>
  <c r="G73"/>
  <c r="P47"/>
  <c r="P50"/>
  <c r="P56"/>
  <c r="G59"/>
  <c r="G63" s="1"/>
  <c r="K59"/>
  <c r="G74" s="1"/>
  <c r="X11" i="2" l="1"/>
  <c r="X34"/>
  <c r="X25"/>
  <c r="X22"/>
  <c r="X30"/>
  <c r="X29"/>
  <c r="X28"/>
  <c r="X27"/>
  <c r="X18"/>
  <c r="X32"/>
  <c r="X23"/>
  <c r="X21"/>
  <c r="X19"/>
  <c r="X16"/>
  <c r="T15"/>
  <c r="X14"/>
  <c r="X12"/>
  <c r="U35"/>
  <c r="Y26"/>
  <c r="X33"/>
  <c r="X17"/>
  <c r="X24"/>
  <c r="X20"/>
  <c r="H4" i="3"/>
  <c r="H51" s="1"/>
  <c r="T5" i="4" l="1"/>
  <c r="T4" s="1"/>
  <c r="T47" s="1"/>
  <c r="T49" s="1"/>
  <c r="S50" i="3"/>
  <c r="Y35" i="2"/>
  <c r="J40" i="6"/>
  <c r="K40" s="1"/>
  <c r="X15" i="2"/>
  <c r="T26"/>
  <c r="S48" i="4" l="1"/>
  <c r="T50"/>
  <c r="X26" i="2"/>
  <c r="T35"/>
  <c r="S36" i="3"/>
  <c r="S51" s="1"/>
  <c r="S52" s="1"/>
  <c r="S53"/>
  <c r="S54" s="1"/>
  <c r="R49"/>
  <c r="R50" l="1"/>
  <c r="J45" i="6" s="1"/>
  <c r="K45" s="1"/>
  <c r="X35" i="2"/>
  <c r="S5" i="4"/>
  <c r="S4" s="1"/>
  <c r="S47" s="1"/>
  <c r="S49" s="1"/>
  <c r="S50" s="1"/>
  <c r="R53" i="3" l="1"/>
  <c r="R54" s="1"/>
  <c r="R36"/>
  <c r="R51" s="1"/>
  <c r="R52" s="1"/>
  <c r="R57"/>
</calcChain>
</file>

<file path=xl/comments1.xml><?xml version="1.0" encoding="utf-8"?>
<comments xmlns="http://schemas.openxmlformats.org/spreadsheetml/2006/main">
  <authors>
    <author>Acer</author>
  </authors>
  <commentList>
    <comment ref="B31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llog 468 e 2009 eshte mbyllur ne 2010 me arketimin e interesit te Depozites 50000</t>
        </r>
      </text>
    </comment>
  </commentList>
</comments>
</file>

<file path=xl/comments2.xml><?xml version="1.0" encoding="utf-8"?>
<comments xmlns="http://schemas.openxmlformats.org/spreadsheetml/2006/main">
  <authors>
    <author>Acer</author>
  </authors>
  <commentList>
    <comment ref="W49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llog 468 e 2009 eshte mbyllur ne 2010 me arketimin e interesit te Depozites 50000</t>
        </r>
      </text>
    </comment>
  </commentList>
</comments>
</file>

<file path=xl/sharedStrings.xml><?xml version="1.0" encoding="utf-8"?>
<sst xmlns="http://schemas.openxmlformats.org/spreadsheetml/2006/main" count="749" uniqueCount="577">
  <si>
    <t>Emertimi dhe forma ligjore:</t>
  </si>
  <si>
    <t xml:space="preserve">Rossmann&amp; Lala    SH. P. K.   </t>
  </si>
  <si>
    <t>NIPT-i :</t>
  </si>
  <si>
    <t>K 81921001A</t>
  </si>
  <si>
    <t>Adresa e Selise:</t>
  </si>
  <si>
    <t>Rr'Mine Peza"Prane Prokurorise Tirane</t>
  </si>
  <si>
    <t>Data e krijimit</t>
  </si>
  <si>
    <t>Nr. I Regjistrit tregetar</t>
  </si>
  <si>
    <t>QKR</t>
  </si>
  <si>
    <t>VEPRIMTARIA  KRYESORE</t>
  </si>
  <si>
    <t xml:space="preserve"> Tregtimi produktesh bukurie,tekstile,shendeti etj</t>
  </si>
  <si>
    <t>P  A  S  Q  Y  R  A  T      F  I  N  A  N  C  I  A  R  E</t>
  </si>
  <si>
    <t>(Ne Zbatim te Standartit Kombetar te Kontabilitetit nr . 2</t>
  </si>
  <si>
    <t>dhe Ligjit Nr. 9228, Date 29.04.2004 "Per Kontabilitetin dhe Pasqyrat Financiare")</t>
  </si>
  <si>
    <t>V I T I   2 0 11</t>
  </si>
  <si>
    <t>Pasqyrat Financiare jane individuale</t>
  </si>
  <si>
    <t>Pasqyrat Financiare jane te konsoliduara</t>
  </si>
  <si>
    <t>Pasqyrat Financiare jane te shprehura ne</t>
  </si>
  <si>
    <t>Pasqyrat Financiare jane te rrumbullakosura  ne</t>
  </si>
  <si>
    <t>Periudha Kontabel e Pasqyrave Financiare</t>
  </si>
  <si>
    <t>Nga    01.01.2011</t>
  </si>
  <si>
    <t>Deri    31.12.2011</t>
  </si>
  <si>
    <t>Data e mbylljes se Pasqyrave Financiare</t>
  </si>
  <si>
    <t>PASQYRA E TE ARDHURAVE DHE SHPENZIMEVE 2011</t>
  </si>
  <si>
    <t>(Bazuar ne klasifikimin e shpenzimeve sipas natyres)</t>
  </si>
  <si>
    <t>(Bazuar ne klasifikimin e shpenzimeve sipas funksioneve)</t>
  </si>
  <si>
    <t>%/shitje</t>
  </si>
  <si>
    <t>NR</t>
  </si>
  <si>
    <t>PERSHKRIMI I ELEMENTEVE</t>
  </si>
  <si>
    <t>PERIUDHA RAPORTUESE</t>
  </si>
  <si>
    <t>PERIUDHA PARAARDHESE</t>
  </si>
  <si>
    <t>shenime</t>
  </si>
  <si>
    <t>Shitjet Neto (701,705)</t>
  </si>
  <si>
    <t>Shitjet Neto</t>
  </si>
  <si>
    <t>Te ardhura te tjera nga veprimtaria e shfrytezimit</t>
  </si>
  <si>
    <r>
      <t>Shitjet Neto (</t>
    </r>
    <r>
      <rPr>
        <b/>
        <sz val="9"/>
        <color indexed="10"/>
        <rFont val="Bookman Old Style"/>
        <family val="1"/>
      </rPr>
      <t>705</t>
    </r>
    <r>
      <rPr>
        <b/>
        <sz val="9"/>
        <color indexed="12"/>
        <rFont val="Bookman Old Style"/>
        <family val="1"/>
      </rPr>
      <t>)</t>
    </r>
  </si>
  <si>
    <t xml:space="preserve">Te ardhura te tjera nga veprimtaria e shfrytezimit </t>
  </si>
  <si>
    <t>Ndrysh. ne inventar i prod. Te gatshem dhe prodhimit ne proces</t>
  </si>
  <si>
    <t>Materialet e konsumuara</t>
  </si>
  <si>
    <t>Ndrysh. ne inventar i prod. Te gatshem dhe prodhimit ne proces 6035</t>
  </si>
  <si>
    <r>
      <t>Materiale te pare dhe ndihmes</t>
    </r>
    <r>
      <rPr>
        <sz val="8"/>
        <rFont val="Bookman Old Style"/>
        <family val="1"/>
      </rPr>
      <t>e</t>
    </r>
  </si>
  <si>
    <t>Kosto e prodhimit/blerjes se mallrave te shitura</t>
  </si>
  <si>
    <t xml:space="preserve">Mallra </t>
  </si>
  <si>
    <t>Shp. Te tjera nga veprimt. Shfrytezimit</t>
  </si>
  <si>
    <r>
      <t xml:space="preserve">Mallra  </t>
    </r>
    <r>
      <rPr>
        <b/>
        <sz val="9"/>
        <color indexed="10"/>
        <rFont val="Bookman Old Style"/>
        <family val="1"/>
      </rPr>
      <t xml:space="preserve">(605+605/1+605/2+/-6035) </t>
    </r>
  </si>
  <si>
    <t>Kosto e Punes</t>
  </si>
  <si>
    <r>
      <t>Shp. Te tjera nga veprimt. Shfrytezimit (</t>
    </r>
    <r>
      <rPr>
        <b/>
        <sz val="8"/>
        <rFont val="Bookman Old Style"/>
        <family val="1"/>
      </rPr>
      <t xml:space="preserve"> </t>
    </r>
    <r>
      <rPr>
        <b/>
        <sz val="8"/>
        <color indexed="10"/>
        <rFont val="Bookman Old Style"/>
        <family val="1"/>
      </rPr>
      <t>+62</t>
    </r>
    <r>
      <rPr>
        <b/>
        <sz val="8"/>
        <color indexed="10"/>
        <rFont val="Bookman Old Style"/>
        <family val="1"/>
      </rPr>
      <t>73+6311+63211+633</t>
    </r>
    <r>
      <rPr>
        <sz val="8"/>
        <rFont val="Bookman Old Style"/>
        <family val="1"/>
      </rPr>
      <t>)</t>
    </r>
  </si>
  <si>
    <r>
      <t xml:space="preserve"> - Paga personeli l</t>
    </r>
    <r>
      <rPr>
        <b/>
        <i/>
        <sz val="9"/>
        <color indexed="10"/>
        <rFont val="Bookman Old Style"/>
        <family val="1"/>
      </rPr>
      <t>log 641</t>
    </r>
  </si>
  <si>
    <t>FITIMI (HUMBJA) BRUTO (1-2)</t>
  </si>
  <si>
    <r>
      <t xml:space="preserve"> - Shpenzime per sigurimet shoq. dhe shendetesore l</t>
    </r>
    <r>
      <rPr>
        <b/>
        <i/>
        <sz val="9"/>
        <color indexed="10"/>
        <rFont val="Bookman Old Style"/>
        <family val="1"/>
      </rPr>
      <t>log 645,644</t>
    </r>
  </si>
  <si>
    <t xml:space="preserve">Shpenzimet e shitjes </t>
  </si>
  <si>
    <t xml:space="preserve"> Shpenzime ndermjetesimi dhe honorare</t>
  </si>
  <si>
    <r>
      <t xml:space="preserve"> - Paga personeli  </t>
    </r>
    <r>
      <rPr>
        <i/>
        <sz val="9"/>
        <color indexed="10"/>
        <rFont val="Bookman Old Style"/>
        <family val="1"/>
      </rPr>
      <t xml:space="preserve"> l</t>
    </r>
    <r>
      <rPr>
        <b/>
        <i/>
        <sz val="9"/>
        <color indexed="10"/>
        <rFont val="Bookman Old Style"/>
        <family val="1"/>
      </rPr>
      <t xml:space="preserve">log 641 </t>
    </r>
  </si>
  <si>
    <r>
      <t xml:space="preserve">Amortizimet dhe zhvleresimet </t>
    </r>
    <r>
      <rPr>
        <b/>
        <i/>
        <sz val="9"/>
        <color indexed="10"/>
        <rFont val="Bookman Old Style"/>
        <family val="1"/>
      </rPr>
      <t>llog 6811,</t>
    </r>
  </si>
  <si>
    <t xml:space="preserve"> - Paga personeli </t>
  </si>
  <si>
    <t>Shpenzime te tjera</t>
  </si>
  <si>
    <r>
      <t xml:space="preserve"> - Shpenzime per sigurimet shoq. dhe shendetesore l</t>
    </r>
    <r>
      <rPr>
        <b/>
        <i/>
        <sz val="9"/>
        <color indexed="10"/>
        <rFont val="Bookman Old Style"/>
        <family val="1"/>
      </rPr>
      <t>log 644</t>
    </r>
  </si>
  <si>
    <r>
      <t>Shpenzime udhetim dieta</t>
    </r>
    <r>
      <rPr>
        <b/>
        <i/>
        <sz val="9"/>
        <color indexed="10"/>
        <rFont val="Bookman Old Style"/>
        <family val="1"/>
      </rPr>
      <t xml:space="preserve">  </t>
    </r>
  </si>
  <si>
    <r>
      <t xml:space="preserve">Amortizimet dhe zhvleresimet </t>
    </r>
    <r>
      <rPr>
        <b/>
        <i/>
        <sz val="9"/>
        <color indexed="10"/>
        <rFont val="Bookman Old Style"/>
        <family val="1"/>
      </rPr>
      <t>llog 6811</t>
    </r>
  </si>
  <si>
    <t>Tatime , taksa edhe derdhje te ngjashme</t>
  </si>
  <si>
    <r>
      <t>Shpenzime pritje e percjellje</t>
    </r>
    <r>
      <rPr>
        <b/>
        <i/>
        <sz val="9"/>
        <color indexed="10"/>
        <rFont val="Bookman Old Style"/>
        <family val="1"/>
      </rPr>
      <t xml:space="preserve">  llog 654</t>
    </r>
    <r>
      <rPr>
        <b/>
        <i/>
        <sz val="8"/>
        <color indexed="10"/>
        <rFont val="Bookman Old Style"/>
        <family val="1"/>
      </rPr>
      <t xml:space="preserve"> </t>
    </r>
    <r>
      <rPr>
        <b/>
        <i/>
        <sz val="8"/>
        <color indexed="10"/>
        <rFont val="Bookman Old Style"/>
        <family val="1"/>
      </rPr>
      <t>deri 0.3% xhiro</t>
    </r>
  </si>
  <si>
    <t>TOTALI I SHPENZIMEVE (Shumat 4-7)</t>
  </si>
  <si>
    <r>
      <t>Tatime , taksa edhe derdhje te ngjashme</t>
    </r>
    <r>
      <rPr>
        <b/>
        <i/>
        <sz val="8"/>
        <color indexed="10"/>
        <rFont val="Bookman Old Style"/>
        <family val="1"/>
      </rPr>
      <t>( llog 634;638)</t>
    </r>
  </si>
  <si>
    <t>FITIMI (HUMBJA) nga veprimtarite kryesore(1+2(+/-3)-8)</t>
  </si>
  <si>
    <r>
      <t xml:space="preserve">Shpenzimet administrative 62312+ </t>
    </r>
    <r>
      <rPr>
        <b/>
        <sz val="8"/>
        <color indexed="10"/>
        <rFont val="Bookman Old Style"/>
        <family val="1"/>
      </rPr>
      <t>6041+6042+6051+60511+607+608+6081+613+613/1+6131+615+616+618+623+624+6251+626+6261+6262+6341+622+658</t>
    </r>
  </si>
  <si>
    <t>Te ardhura dhe shpenzimet financiare nga njesite e kontrolluara</t>
  </si>
  <si>
    <t xml:space="preserve">Te ardhura te tjera nga veprimtarite e shfrytezimit </t>
  </si>
  <si>
    <t>Te ardhura dhe shpenzimet financiare nga  pjesmarrjet</t>
  </si>
  <si>
    <r>
      <t>Shpenzime te tjera -</t>
    </r>
    <r>
      <rPr>
        <sz val="9"/>
        <color indexed="10"/>
        <rFont val="Bookman Old Style"/>
        <family val="1"/>
      </rPr>
      <t>te pazbritshme (</t>
    </r>
    <r>
      <rPr>
        <b/>
        <sz val="9"/>
        <color indexed="10"/>
        <rFont val="Bookman Old Style"/>
        <family val="1"/>
      </rPr>
      <t>657+6581+6817+6112+654 mbi3%</t>
    </r>
    <r>
      <rPr>
        <sz val="9"/>
        <color indexed="10"/>
        <rFont val="Bookman Old Style"/>
        <family val="1"/>
      </rPr>
      <t>)</t>
    </r>
  </si>
  <si>
    <t xml:space="preserve">Te ardhura dhe shpenzimet financiare </t>
  </si>
  <si>
    <t>FITIMI (HUMBJA) nga veprimtaria e shfrytezimit</t>
  </si>
  <si>
    <t>12.1 Te ardh.e shpenz. financ nga invest. te tjera financ. afatgj.</t>
  </si>
  <si>
    <t xml:space="preserve">12.2 Te ardhurat dhe shpenzimet nga interesat   </t>
  </si>
  <si>
    <t>12.3 Fitimet(Humbjet) nga kursi i kembimit (766- 666)</t>
  </si>
  <si>
    <t>12.4 Te ardhura dhe shpenzime te tjera financiare</t>
  </si>
  <si>
    <t>11.1 Te ardh.e shpenz. financ nga invest. te tjera financ. afatgj.</t>
  </si>
  <si>
    <t>12.5Te ardhura dhe shpenzime te tjera financiare (778)</t>
  </si>
  <si>
    <r>
      <t>11.2 Te ardhurat dhe shpenzimet nga</t>
    </r>
    <r>
      <rPr>
        <i/>
        <sz val="9"/>
        <color indexed="10"/>
        <rFont val="Bookman Old Style"/>
        <family val="1"/>
      </rPr>
      <t xml:space="preserve"> interesat</t>
    </r>
  </si>
  <si>
    <t>767-667</t>
  </si>
  <si>
    <t>12.6Shpenzime per provizione ( te pazbritshme)</t>
  </si>
  <si>
    <t>11.3 Fitimet(Humbjet) nga kursi i kembimit</t>
  </si>
  <si>
    <t>(769;669;666 )</t>
  </si>
  <si>
    <t>TOTALI I TE ARDHURAVE DHE SHPENZIMEVE FINANCIARE</t>
  </si>
  <si>
    <t>11.4 Te ardhura dhe shpenzime te tjera financiare</t>
  </si>
  <si>
    <t>FITIMI(HUMBJA) PARA TATIMIT (9+/- 13)</t>
  </si>
  <si>
    <t>Shpenzimet e tatimit mbi fitimin</t>
  </si>
  <si>
    <t>FITIMI(HUMBJA) PARA TATIMIT (8+/- 12)</t>
  </si>
  <si>
    <t>FITIMI(HUMBJA) neto e vitit financiar(14-15)</t>
  </si>
  <si>
    <t xml:space="preserve">Shpenzimet e tatimit mbi fitimin </t>
  </si>
  <si>
    <t>Elementet e pasqyrave te konsoliduara</t>
  </si>
  <si>
    <t>FITIMI(HUMBJA) neto e vitit financiar(13-14)</t>
  </si>
  <si>
    <t>5</t>
  </si>
  <si>
    <t>VII</t>
  </si>
  <si>
    <t>FITIMI NETO  ( ose I  BILANCIT ) V-VI</t>
  </si>
  <si>
    <t>Grupimi sipas Deloide</t>
  </si>
  <si>
    <r>
      <t xml:space="preserve">PASQYRA FINANCIARE TE VITIT </t>
    </r>
    <r>
      <rPr>
        <b/>
        <sz val="12"/>
        <color indexed="10"/>
        <rFont val="Bookman Old Style"/>
        <family val="1"/>
      </rPr>
      <t>2011</t>
    </r>
  </si>
  <si>
    <t>A   K   T   I   V   E T</t>
  </si>
  <si>
    <t>Shenime</t>
  </si>
  <si>
    <t>Periudha Raportuese</t>
  </si>
  <si>
    <t>Periudha Paraardhese</t>
  </si>
  <si>
    <t xml:space="preserve">P   A   S   I   V   I   D H E   K A P I T A L I </t>
  </si>
  <si>
    <t>I</t>
  </si>
  <si>
    <t>A K T I V E T   A F A T S H K U R T R A</t>
  </si>
  <si>
    <t>A</t>
  </si>
  <si>
    <t>P A S I V E T     A F A T S H K U R T R A</t>
  </si>
  <si>
    <t>C</t>
  </si>
  <si>
    <t xml:space="preserve">1. A K T I VE T  M O N E T A R E </t>
  </si>
  <si>
    <t>1. DERIVATIVET</t>
  </si>
  <si>
    <r>
      <t xml:space="preserve"> &gt; Banka</t>
    </r>
    <r>
      <rPr>
        <b/>
        <sz val="10"/>
        <color indexed="10"/>
        <rFont val="Bookman Old Style"/>
        <family val="1"/>
      </rPr>
      <t xml:space="preserve"> (5121+51241+518)</t>
    </r>
  </si>
  <si>
    <t xml:space="preserve">2. Huamarrjet </t>
  </si>
  <si>
    <r>
      <t xml:space="preserve"> &gt; Arka (</t>
    </r>
    <r>
      <rPr>
        <b/>
        <sz val="10"/>
        <color indexed="10"/>
        <rFont val="Bookman Old Style"/>
        <family val="1"/>
      </rPr>
      <t>5311</t>
    </r>
    <r>
      <rPr>
        <b/>
        <sz val="10"/>
        <rFont val="Bookman Old Style"/>
        <family val="1"/>
      </rPr>
      <t>)</t>
    </r>
  </si>
  <si>
    <t xml:space="preserve"> &gt;  Overdrafte Bankare</t>
  </si>
  <si>
    <t>2. Derivative dhe aktive te mbajtura per tregtim</t>
  </si>
  <si>
    <t xml:space="preserve"> &gt; Huamarrje Afatshkurter</t>
  </si>
  <si>
    <t xml:space="preserve">3.Aktive te tjera financiare afatshkurtra </t>
  </si>
  <si>
    <t>3. Huat dhe parapagimet</t>
  </si>
  <si>
    <r>
      <t xml:space="preserve"> &gt; Kliente per mallra , produkte e sherbime (</t>
    </r>
    <r>
      <rPr>
        <b/>
        <sz val="8"/>
        <color indexed="10"/>
        <rFont val="Bookman Old Style"/>
        <family val="1"/>
      </rPr>
      <t>411)</t>
    </r>
  </si>
  <si>
    <r>
      <t xml:space="preserve"> &gt; Te pagueshme ndaj furnitoreve (</t>
    </r>
    <r>
      <rPr>
        <b/>
        <sz val="8"/>
        <color indexed="10"/>
        <rFont val="Bookman Old Style"/>
        <family val="1"/>
      </rPr>
      <t>401</t>
    </r>
    <r>
      <rPr>
        <b/>
        <sz val="8"/>
        <rFont val="Bookman Old Style"/>
        <family val="1"/>
      </rPr>
      <t>)</t>
    </r>
  </si>
  <si>
    <r>
      <t xml:space="preserve">  &gt; Debitore, Kreditore te tjere (</t>
    </r>
    <r>
      <rPr>
        <b/>
        <sz val="8"/>
        <color indexed="10"/>
        <rFont val="Bookman Old Style"/>
        <family val="1"/>
      </rPr>
      <t>447-pag teper dog</t>
    </r>
    <r>
      <rPr>
        <b/>
        <sz val="8"/>
        <rFont val="Bookman Old Style"/>
        <family val="1"/>
      </rPr>
      <t>)</t>
    </r>
  </si>
  <si>
    <r>
      <t xml:space="preserve"> &gt; Te pagueshme ndaj punonjesve (</t>
    </r>
    <r>
      <rPr>
        <b/>
        <sz val="8"/>
        <color indexed="10"/>
        <rFont val="Bookman Old Style"/>
        <family val="1"/>
      </rPr>
      <t>421</t>
    </r>
    <r>
      <rPr>
        <b/>
        <sz val="8"/>
        <rFont val="Bookman Old Style"/>
        <family val="1"/>
      </rPr>
      <t>)</t>
    </r>
  </si>
  <si>
    <r>
      <t xml:space="preserve"> &gt; Tatim mbi fitimin  </t>
    </r>
    <r>
      <rPr>
        <b/>
        <sz val="8"/>
        <color indexed="10"/>
        <rFont val="Bookman Old Style"/>
        <family val="1"/>
      </rPr>
      <t>444/1-PARAPAG per 2010+2009</t>
    </r>
  </si>
  <si>
    <r>
      <t xml:space="preserve"> &gt; Detyrime per sigurimeshoq,  shendetsore</t>
    </r>
    <r>
      <rPr>
        <b/>
        <sz val="8"/>
        <color indexed="10"/>
        <rFont val="Bookman Old Style"/>
        <family val="1"/>
      </rPr>
      <t>(431)</t>
    </r>
  </si>
  <si>
    <t xml:space="preserve"> &gt; Tatim mbi fitimin  </t>
  </si>
  <si>
    <r>
      <t xml:space="preserve"> &gt; Detyrime tatimore per TAP-in      </t>
    </r>
    <r>
      <rPr>
        <b/>
        <sz val="8"/>
        <color indexed="10"/>
        <rFont val="Bookman Old Style"/>
        <family val="1"/>
      </rPr>
      <t xml:space="preserve"> (442)</t>
    </r>
  </si>
  <si>
    <r>
      <t xml:space="preserve"> &gt; Debitore dhe kreditore te tjere</t>
    </r>
    <r>
      <rPr>
        <b/>
        <sz val="8"/>
        <color indexed="10"/>
        <rFont val="Bookman Old Style"/>
        <family val="1"/>
      </rPr>
      <t xml:space="preserve"> (467 A.Sh)</t>
    </r>
  </si>
  <si>
    <r>
      <t xml:space="preserve"> &gt; TVSH  (</t>
    </r>
    <r>
      <rPr>
        <b/>
        <sz val="8"/>
        <color indexed="10"/>
        <rFont val="Bookman Old Style"/>
        <family val="1"/>
      </rPr>
      <t>4455</t>
    </r>
    <r>
      <rPr>
        <b/>
        <sz val="8"/>
        <rFont val="Bookman Old Style"/>
        <family val="1"/>
      </rPr>
      <t xml:space="preserve"> )</t>
    </r>
  </si>
  <si>
    <t xml:space="preserve"> &gt; Detyrime tatimore per Tatim Fitimin</t>
  </si>
  <si>
    <r>
      <t xml:space="preserve"> &gt; vep reg me shtetin ( </t>
    </r>
    <r>
      <rPr>
        <b/>
        <sz val="8"/>
        <color indexed="10"/>
        <rFont val="Bookman Old Style"/>
        <family val="1"/>
      </rPr>
      <t>443 )</t>
    </r>
  </si>
  <si>
    <r>
      <t xml:space="preserve"> &gt; Detyrime tatimore per TVSH-ne </t>
    </r>
    <r>
      <rPr>
        <sz val="8"/>
        <color indexed="10"/>
        <rFont val="Bookman Old Style"/>
        <family val="1"/>
      </rPr>
      <t/>
    </r>
  </si>
  <si>
    <r>
      <t xml:space="preserve"> &gt; Akciza e Parapaguar per Veren 2010-e paardhur  </t>
    </r>
    <r>
      <rPr>
        <b/>
        <sz val="10"/>
        <color indexed="10"/>
        <rFont val="Bookman Old Style"/>
        <family val="1"/>
      </rPr>
      <t>441</t>
    </r>
  </si>
  <si>
    <r>
      <t xml:space="preserve"> &gt; Detyrime tatimore per Tatimin ne Burim </t>
    </r>
    <r>
      <rPr>
        <b/>
        <sz val="8"/>
        <color indexed="10"/>
        <rFont val="Bookman Old Style"/>
        <family val="1"/>
      </rPr>
      <t/>
    </r>
  </si>
  <si>
    <t xml:space="preserve">4.INVENTARI </t>
  </si>
  <si>
    <r>
      <t xml:space="preserve"> &gt; Te drejta e detyrime ndaj ortakeve (</t>
    </r>
    <r>
      <rPr>
        <b/>
        <sz val="8"/>
        <color indexed="10"/>
        <rFont val="Bookman Old Style"/>
        <family val="1"/>
      </rPr>
      <t>455 A.Lala</t>
    </r>
    <r>
      <rPr>
        <b/>
        <sz val="8"/>
        <rFont val="Bookman Old Style"/>
        <family val="1"/>
      </rPr>
      <t>)</t>
    </r>
  </si>
  <si>
    <t xml:space="preserve"> &gt;  Lendet e Para         </t>
  </si>
  <si>
    <t xml:space="preserve"> &gt; Divident per tu paguar</t>
  </si>
  <si>
    <t xml:space="preserve"> &gt;  Lendet Ndihmese  </t>
  </si>
  <si>
    <t xml:space="preserve"> &gt; Inventari Imet      </t>
  </si>
  <si>
    <t xml:space="preserve"> &gt; Parapagime kliente</t>
  </si>
  <si>
    <t xml:space="preserve"> &gt; Prodhim ne proces</t>
  </si>
  <si>
    <t>4. Grantet dhe te ardhurat e shtyra</t>
  </si>
  <si>
    <t xml:space="preserve"> &gt; Produkte te gatshme </t>
  </si>
  <si>
    <t>5. Provizionet afatshkurtra</t>
  </si>
  <si>
    <r>
      <t xml:space="preserve"> &gt; Mallra per rishitje  ( llog </t>
    </r>
    <r>
      <rPr>
        <b/>
        <sz val="10"/>
        <color indexed="10"/>
        <rFont val="Bookman Old Style"/>
        <family val="1"/>
      </rPr>
      <t>351</t>
    </r>
    <r>
      <rPr>
        <b/>
        <sz val="10"/>
        <rFont val="Bookman Old Style"/>
        <family val="1"/>
      </rPr>
      <t>)</t>
    </r>
  </si>
  <si>
    <t xml:space="preserve"> &gt; </t>
  </si>
  <si>
    <t xml:space="preserve"> &gt; Parapagesa per Furnizime (409)</t>
  </si>
  <si>
    <t>II</t>
  </si>
  <si>
    <t xml:space="preserve">P A S I V E T     A F A T G J A T A </t>
  </si>
  <si>
    <t>1. Huat afatgjata</t>
  </si>
  <si>
    <t>5.Aktive Biologjike afatshkurtra</t>
  </si>
  <si>
    <t xml:space="preserve"> &gt; Hua,bono dhe detyrime nga qera financiare</t>
  </si>
  <si>
    <t>6.Aktive afatshkurtra te mbajtura per rishitje</t>
  </si>
  <si>
    <t xml:space="preserve"> &gt; Bono te konvertueshme</t>
  </si>
  <si>
    <t>7.Parapagime dhe shpenzime te shtyra</t>
  </si>
  <si>
    <t>2. Huamarrje te tjera  afatgjata</t>
  </si>
  <si>
    <r>
      <t xml:space="preserve"> &gt; Shpenzime te periudhave te ardhme</t>
    </r>
    <r>
      <rPr>
        <b/>
        <sz val="8"/>
        <color indexed="10"/>
        <rFont val="Bookman Old Style"/>
        <family val="1"/>
      </rPr>
      <t xml:space="preserve"> 487 Interesa te llog</t>
    </r>
  </si>
  <si>
    <t>3. Grantet dhe te ardhurat e shtyra</t>
  </si>
  <si>
    <t>4. Provizionet afatgjata</t>
  </si>
  <si>
    <t>A K T I V E T   A F A T G J A TA</t>
  </si>
  <si>
    <t>B</t>
  </si>
  <si>
    <t>1. Investimet Financiare Afatgjate</t>
  </si>
  <si>
    <t>Aksione dhe letra me vlere</t>
  </si>
  <si>
    <t>T O T A L I   I   P A S I V E V E (I+II)</t>
  </si>
  <si>
    <t>Kerkesa te arketueshme afatgjate</t>
  </si>
  <si>
    <t>III</t>
  </si>
  <si>
    <t>K  A  P  I  T  A  L  I</t>
  </si>
  <si>
    <t>D</t>
  </si>
  <si>
    <t>2. Aktive Afatgjata Materiale</t>
  </si>
  <si>
    <t xml:space="preserve">1.Aksionet e Pakices </t>
  </si>
  <si>
    <t>A.Lala 25%</t>
  </si>
  <si>
    <t xml:space="preserve"> &gt; TOKA</t>
  </si>
  <si>
    <t>2.Kapitali aksionareve te shoqerise meme 75%</t>
  </si>
  <si>
    <r>
      <t xml:space="preserve"> &gt; </t>
    </r>
    <r>
      <rPr>
        <sz val="8"/>
        <rFont val="Bookman Old Style"/>
        <family val="1"/>
      </rPr>
      <t>NDERTESA</t>
    </r>
    <r>
      <rPr>
        <b/>
        <sz val="8"/>
        <rFont val="Bookman Old Style"/>
        <family val="1"/>
      </rPr>
      <t xml:space="preserve"> llog</t>
    </r>
    <r>
      <rPr>
        <b/>
        <sz val="8"/>
        <color indexed="10"/>
        <rFont val="Bookman Old Style"/>
        <family val="1"/>
      </rPr>
      <t xml:space="preserve"> 2121+2912   </t>
    </r>
  </si>
  <si>
    <r>
      <t xml:space="preserve"> &gt;Instalime Teknike mak,instrumenta llog</t>
    </r>
    <r>
      <rPr>
        <b/>
        <sz val="8"/>
        <color indexed="10"/>
        <rFont val="Bookman Old Style"/>
        <family val="1"/>
      </rPr>
      <t xml:space="preserve"> 2131+2913+2134+29134+2135+29135+2813+29188</t>
    </r>
  </si>
  <si>
    <t>3.Kapitali Aksionar</t>
  </si>
  <si>
    <r>
      <t xml:space="preserve"> &gt;Moblije dhe Orendi (llog </t>
    </r>
    <r>
      <rPr>
        <b/>
        <sz val="8"/>
        <color indexed="10"/>
        <rFont val="Bookman Old Style"/>
        <family val="1"/>
      </rPr>
      <t>2181+29181</t>
    </r>
    <r>
      <rPr>
        <b/>
        <sz val="8"/>
        <rFont val="Bookman Old Style"/>
        <family val="1"/>
      </rPr>
      <t xml:space="preserve">)  </t>
    </r>
  </si>
  <si>
    <t>4.Primi i aksionit</t>
  </si>
  <si>
    <r>
      <t xml:space="preserve"> &gt; Mjete transporti      (llog </t>
    </r>
    <r>
      <rPr>
        <b/>
        <sz val="8"/>
        <color indexed="10"/>
        <rFont val="Bookman Old Style"/>
        <family val="1"/>
      </rPr>
      <t>215+2915)</t>
    </r>
  </si>
  <si>
    <t>5.Njesite ose aksionet e thesarit (Negative)</t>
  </si>
  <si>
    <r>
      <t xml:space="preserve"> &gt; Paisje zyre dhe informatike  (</t>
    </r>
    <r>
      <rPr>
        <b/>
        <sz val="8"/>
        <color indexed="10"/>
        <rFont val="Bookman Old Style"/>
        <family val="1"/>
      </rPr>
      <t>2182+29182</t>
    </r>
    <r>
      <rPr>
        <b/>
        <sz val="8"/>
        <rFont val="Bookman Old Style"/>
        <family val="1"/>
      </rPr>
      <t>)</t>
    </r>
  </si>
  <si>
    <t>6.Rezervat Statutore</t>
  </si>
  <si>
    <t xml:space="preserve"> &gt; Aktive te tjera afatgjata materiale</t>
  </si>
  <si>
    <r>
      <rPr>
        <b/>
        <sz val="8"/>
        <color indexed="10"/>
        <rFont val="Bookman Old Style"/>
        <family val="1"/>
      </rPr>
      <t>(2188+29188</t>
    </r>
    <r>
      <rPr>
        <b/>
        <sz val="8"/>
        <rFont val="Bookman Old Style"/>
        <family val="1"/>
      </rPr>
      <t>)informatike</t>
    </r>
  </si>
  <si>
    <t>3. Aktive Materiale ne Proces</t>
  </si>
  <si>
    <t xml:space="preserve">4. Aktive Biologjike Afatgjata </t>
  </si>
  <si>
    <t>7.Rezervat Ligjore</t>
  </si>
  <si>
    <t>5. Aktive Afatgjata jo materiale</t>
  </si>
  <si>
    <t>Rezerva ligjore 5%</t>
  </si>
  <si>
    <t>Shpenzime te nisjes dhe zgjerimit(am=0)</t>
  </si>
  <si>
    <t>8.Rezervat e tjera</t>
  </si>
  <si>
    <r>
      <t>6. Kapitali aksionar i paguar I panenshkruar</t>
    </r>
    <r>
      <rPr>
        <b/>
        <u/>
        <sz val="8"/>
        <color indexed="10"/>
        <rFont val="Bookman Old Style"/>
        <family val="1"/>
      </rPr>
      <t xml:space="preserve"> </t>
    </r>
  </si>
  <si>
    <t>9.Fitimet/Humbjet Financiare  te  pashperndara</t>
  </si>
  <si>
    <t>llog 108</t>
  </si>
  <si>
    <t>7. Aktive te tjera afatgjata</t>
  </si>
  <si>
    <t>10.Fitimi(Humbja) e vitit financiar</t>
  </si>
  <si>
    <t>llog 109</t>
  </si>
  <si>
    <t>TOTALI I AKTIVEVE  (I+II)</t>
  </si>
  <si>
    <t>TOTALI   I  PASIVEVE DHE KAPITALIT (I+II+III)</t>
  </si>
  <si>
    <t>4</t>
  </si>
  <si>
    <t>4/1</t>
  </si>
  <si>
    <t>PASQYRA E FLUKSIT MONETAR - Metoda Direkte 2011</t>
  </si>
  <si>
    <t>PASQYRA E FLUKSIT MONETAR - Metoda Indirekte 2011</t>
  </si>
  <si>
    <t>PASQYRA E FLUKSIT MONETAR Metoda Direkte</t>
  </si>
  <si>
    <t>PASQYRA E FLUKSIT MONETAR Metoda Indirekte</t>
  </si>
  <si>
    <t>Efekti 2010-2009</t>
  </si>
  <si>
    <t>Efekti 2011-2010</t>
  </si>
  <si>
    <t>FLUKSI MONETAR nga veprimtarite e shfrytezimit</t>
  </si>
  <si>
    <t>Rritje e te drejtave</t>
  </si>
  <si>
    <t>Mjetet monetare(MM) te arketuara nga klientet</t>
  </si>
  <si>
    <t>FITIMI PARA TATIMIT</t>
  </si>
  <si>
    <t>=</t>
  </si>
  <si>
    <t>Mjetet monetare(MM) te arketuara nga klientet 411 banke</t>
  </si>
  <si>
    <t>Rregullime per:</t>
  </si>
  <si>
    <t>Mjetet monetare(MM) te arketuara nga klientet 411/1 banke</t>
  </si>
  <si>
    <t xml:space="preserve">                      Amortizimin</t>
  </si>
  <si>
    <r>
      <t>llog (</t>
    </r>
    <r>
      <rPr>
        <sz val="9"/>
        <color indexed="10"/>
        <rFont val="Bookman Old Style"/>
        <family val="1"/>
      </rPr>
      <t>681</t>
    </r>
    <r>
      <rPr>
        <sz val="9"/>
        <color indexed="48"/>
        <rFont val="Bookman Old Style"/>
        <family val="1"/>
      </rPr>
      <t>,)</t>
    </r>
  </si>
  <si>
    <r>
      <t xml:space="preserve"> &gt; Tatim mbi fitimin  </t>
    </r>
    <r>
      <rPr>
        <b/>
        <sz val="8"/>
        <color indexed="10"/>
        <rFont val="Bookman Old Style"/>
        <family val="1"/>
      </rPr>
      <t>444/1-PARAPAG per 2010</t>
    </r>
  </si>
  <si>
    <t>Mjetet monetare(MM)  nga klientet  cash</t>
  </si>
  <si>
    <t xml:space="preserve">                      Humbje nga kembimet valutore</t>
  </si>
  <si>
    <r>
      <t>(</t>
    </r>
    <r>
      <rPr>
        <sz val="7"/>
        <color indexed="10"/>
        <rFont val="Bookman Old Style"/>
        <family val="1"/>
      </rPr>
      <t>766-666-666/1</t>
    </r>
    <r>
      <rPr>
        <sz val="7"/>
        <color indexed="48"/>
        <rFont val="Bookman Old Style"/>
        <family val="1"/>
      </rPr>
      <t>)</t>
    </r>
  </si>
  <si>
    <t xml:space="preserve"> &gt; Tatim mbi fitimin </t>
  </si>
  <si>
    <t xml:space="preserve">MM te paguara ndaj furnitoreve </t>
  </si>
  <si>
    <t xml:space="preserve">                      Te ardhura nga investimet</t>
  </si>
  <si>
    <t>Provizione per Ceshtje Gjygjesore</t>
  </si>
  <si>
    <t>MM te paguara ndaj punonjesve banke</t>
  </si>
  <si>
    <t xml:space="preserve">                     Te Ardhura Neto nga  interesa</t>
  </si>
  <si>
    <r>
      <t xml:space="preserve">MM te paguara ndaj punonjesve </t>
    </r>
    <r>
      <rPr>
        <b/>
        <sz val="8"/>
        <color indexed="48"/>
        <rFont val="Bookman Old Style"/>
        <family val="1"/>
      </rPr>
      <t>cash</t>
    </r>
  </si>
  <si>
    <t>(Rritje) /renie ne tepricen e kerkesave te arketueshme nga
aktiviteti, si dhe kerkesave te arketueshme te tjera</t>
  </si>
  <si>
    <t>MM te paguara per sig shoq+shend</t>
  </si>
  <si>
    <t>Rritje /(renie) ne tepricen e inventarit</t>
  </si>
  <si>
    <t>MM te paguara per TAP</t>
  </si>
  <si>
    <t>Rritje /(renie) ne tepricen e detyrimeve , per tu paguar 
nga aktiviteti</t>
  </si>
  <si>
    <t>MM te paguara per honorare</t>
  </si>
  <si>
    <t>MM te perfituara nga aktivitetet</t>
  </si>
  <si>
    <t>MM te paguara per Furnitore me  banke</t>
  </si>
  <si>
    <t>Interes i paguar</t>
  </si>
  <si>
    <t>Rritje e Detyrimeve</t>
  </si>
  <si>
    <t>MM te paguara per Furnitore me  cash</t>
  </si>
  <si>
    <t>Tatim mbi fitimin i  (llogaritur)</t>
  </si>
  <si>
    <t>MM te paguara per uje, energji,celular, tel fix banke</t>
  </si>
  <si>
    <t>Rezerva ligjore</t>
  </si>
  <si>
    <t>MM te paguara per uje, ,celular cash</t>
  </si>
  <si>
    <t>MM neto nga aktivitetet e shfrytezimit</t>
  </si>
  <si>
    <r>
      <t>MM te paguara per doganen e importit</t>
    </r>
    <r>
      <rPr>
        <b/>
        <sz val="8"/>
        <color indexed="48"/>
        <rFont val="Bookman Old Style"/>
        <family val="1"/>
      </rPr>
      <t xml:space="preserve"> cash</t>
    </r>
  </si>
  <si>
    <t>FLUKSI MONETAR nga veprimtarite  investuese</t>
  </si>
  <si>
    <t>MM te paguara per blerje brenda vendit cash</t>
  </si>
  <si>
    <t>Blerjet e njesise se kontrolluar X minus parate e Arketuara</t>
  </si>
  <si>
    <t>MM te paguara per leje lindje</t>
  </si>
  <si>
    <t>Rritja e kapitaleve te veta</t>
  </si>
  <si>
    <t>MM te paguara per sherbime te paguara cash</t>
  </si>
  <si>
    <t>MM te paguara per  udhetime dieta</t>
  </si>
  <si>
    <t>Blerjet e Aktiveve afatgjata materiale</t>
  </si>
  <si>
    <t>MM te paguara per  Aparat Digital  cash</t>
  </si>
  <si>
    <t xml:space="preserve">Mjete transporti </t>
  </si>
  <si>
    <t>MM te paguara per  taksen  vendore, tatim ne burim</t>
  </si>
  <si>
    <t>Mobilje dhe pajisje</t>
  </si>
  <si>
    <t>MM te paguara per  taksen   e komunes</t>
  </si>
  <si>
    <t>Ndertime Industriale</t>
  </si>
  <si>
    <t xml:space="preserve">MM te paguara per  taksen </t>
  </si>
  <si>
    <t xml:space="preserve">Instalime Tekn/Elektrike </t>
  </si>
  <si>
    <t>MM te paguara per  doganen</t>
  </si>
  <si>
    <t>Paisje dhe Inst. Elektrike</t>
  </si>
  <si>
    <t>MM te paguara per gazeten celesi (parapagim)</t>
  </si>
  <si>
    <t>MM te paguara per taksa audiovizive</t>
  </si>
  <si>
    <t>Makineri Paisje Pune</t>
  </si>
  <si>
    <t>Instrumenta dhe Vegla</t>
  </si>
  <si>
    <t xml:space="preserve">Mobile e orendi dyq </t>
  </si>
  <si>
    <t>1.Aksionet e Pakices (PF te konsoliduara)</t>
  </si>
  <si>
    <t>Paisje zyre  informatike</t>
  </si>
  <si>
    <t>2.Kapitali aksionareve te shoqerise meme</t>
  </si>
  <si>
    <t>Paisje zyre  informatike te tjera</t>
  </si>
  <si>
    <t>Intalime Teknike</t>
  </si>
  <si>
    <t>MM te paguara per b lerje model pune me banke</t>
  </si>
  <si>
    <t>Te ardhura nga shitja e paisjeve</t>
  </si>
  <si>
    <t>MM te ardhura nga veprimtarite (DRSSH)</t>
  </si>
  <si>
    <t>Interes i arketuar</t>
  </si>
  <si>
    <t>Interesi i paguar</t>
  </si>
  <si>
    <t>Dividentet e  arketuar</t>
  </si>
  <si>
    <t>Tatim mbi fitimin i paguar</t>
  </si>
  <si>
    <t>MM neto nga veprimtarite e shfrytezimit</t>
  </si>
  <si>
    <t>MM neto te perdorura ne veprimtarite investuese</t>
  </si>
  <si>
    <t>FLUKSI MONETAR nga aktivitetet financiare</t>
  </si>
  <si>
    <t>Blerjet e njesise se kontrolluar Xminus parate e Arketuara</t>
  </si>
  <si>
    <t>Te ardhura nga emetimi i kapitalit aksionar</t>
  </si>
  <si>
    <t>Te ardhuara nga huamarrje afatgjate</t>
  </si>
  <si>
    <t>Pagesa e detyrimeve te qerase financiare</t>
  </si>
  <si>
    <t>Interes i arketuar  767,767/1</t>
  </si>
  <si>
    <t>Dividentet te paguar</t>
  </si>
  <si>
    <t>Te ardhura nga kursi i kembimit (766)</t>
  </si>
  <si>
    <t>MM neto e perdorura ne Veprimtarite financiare</t>
  </si>
  <si>
    <t>3=1-2</t>
  </si>
  <si>
    <t>Ritja/Renia neto e mjeteve monetare</t>
  </si>
  <si>
    <t>Mjetet monetare ne fillim te periudhes kontabel</t>
  </si>
  <si>
    <t>FLUKSI MONETAR nga akrivitetet financiare</t>
  </si>
  <si>
    <t>5=3-4</t>
  </si>
  <si>
    <t>Mjetet monetare ne fund te periudhes kontabel</t>
  </si>
  <si>
    <r>
      <t xml:space="preserve"> &gt; Shpenzime te periudhave te ardhme</t>
    </r>
    <r>
      <rPr>
        <b/>
        <sz val="10"/>
        <color indexed="10"/>
        <rFont val="Bookman Old Style"/>
        <family val="1"/>
      </rPr>
      <t xml:space="preserve"> 487 Interesa te llog</t>
    </r>
  </si>
  <si>
    <t>Komisione te paguara</t>
  </si>
  <si>
    <t>Mjetet monetare ne fund te periudhes kontabel (5121+108)</t>
  </si>
  <si>
    <t>Permbledhese e aseteve 2009+2010+2011</t>
  </si>
  <si>
    <t>Rossmann Lala 2009</t>
  </si>
  <si>
    <t>llog e 2010 koresponduese</t>
  </si>
  <si>
    <t>llog e 2009</t>
  </si>
  <si>
    <t>Blerje 2009</t>
  </si>
  <si>
    <t>V.BLERJE 2009</t>
  </si>
  <si>
    <t>AMORTIZ 2009</t>
  </si>
  <si>
    <t>VLERA E MBETUR 31.12.2009</t>
  </si>
  <si>
    <t>Amm 2010</t>
  </si>
  <si>
    <t>Vlera Mbetur 31/12/2010</t>
  </si>
  <si>
    <t>Ndertime (212)</t>
  </si>
  <si>
    <t>Instalime teknike ( 213)</t>
  </si>
  <si>
    <t>Mjete transporti KLASA( 215)</t>
  </si>
  <si>
    <t>Mobile e orendi dyq KLASA( 2181)</t>
  </si>
  <si>
    <t>Paisje zyredhe informatike  (2182)</t>
  </si>
  <si>
    <t>te tjera paisje informatike  KLASA( 2183)</t>
  </si>
  <si>
    <t>TOTALE</t>
  </si>
  <si>
    <t>Per detaje me te thella shiko listen e Aktiveve te detajuar me dt blerje/furnitore/amortiz perkates etj</t>
  </si>
  <si>
    <t>Rossmann 2010 Blerje</t>
  </si>
  <si>
    <t>V.BLERJE 2010</t>
  </si>
  <si>
    <t>VLERA E MBETUR 2009</t>
  </si>
  <si>
    <t xml:space="preserve">Instalime Teknike </t>
  </si>
  <si>
    <t>Makineri Paisje Pune--25%</t>
  </si>
  <si>
    <t>Instrumenta dhe Vegla--25%</t>
  </si>
  <si>
    <t xml:space="preserve">Mobilje+Orendi Dyq </t>
  </si>
  <si>
    <t>Paisje Informatike-25%</t>
  </si>
  <si>
    <t>Shpenzime te Zhvillimit</t>
  </si>
  <si>
    <t>Permbledhese e 2009+2010</t>
  </si>
  <si>
    <t>V.BLERJE 2009+2010</t>
  </si>
  <si>
    <t>Amm akumulimi</t>
  </si>
  <si>
    <t>Llog e Amm Te Akum</t>
  </si>
  <si>
    <t>Rossmann&amp;Lala Permbledhese e aseteve 2009+2010+2011</t>
  </si>
  <si>
    <t>LLOGARI</t>
  </si>
  <si>
    <t>Pershkrimi</t>
  </si>
  <si>
    <t>Shtesa Asete  2011</t>
  </si>
  <si>
    <t>Asete Tot 31/12/2011</t>
  </si>
  <si>
    <t>Amortizimi 2009+2010</t>
  </si>
  <si>
    <t>Vl mbetur Asete 31/12/2010</t>
  </si>
  <si>
    <t>Total Sum of Amortizimi 2011</t>
  </si>
  <si>
    <t>Amm Kumulativ deri 31/12/2011</t>
  </si>
  <si>
    <t>Total Sum of Vlere e Mbetur2011</t>
  </si>
  <si>
    <t xml:space="preserve">llog am </t>
  </si>
  <si>
    <t>shenimi ne bilanc</t>
  </si>
  <si>
    <t>5.7</t>
  </si>
  <si>
    <t>5.1</t>
  </si>
  <si>
    <t>5.2</t>
  </si>
  <si>
    <t>5.3</t>
  </si>
  <si>
    <t>5.5</t>
  </si>
  <si>
    <t>5.6</t>
  </si>
  <si>
    <t>Grand Total</t>
  </si>
  <si>
    <t>rritje</t>
  </si>
  <si>
    <t>Amortiz 2011</t>
  </si>
  <si>
    <t>Amortiz                     2009-31/12/2011</t>
  </si>
  <si>
    <t>Vl Mbetur  Aseti2011</t>
  </si>
  <si>
    <t xml:space="preserve">Baza e Amortizimit per </t>
  </si>
  <si>
    <t>Vlere Aseti</t>
  </si>
  <si>
    <t>Shtesa Aseti</t>
  </si>
  <si>
    <t>Amortizimi 09+10</t>
  </si>
  <si>
    <t>Amortizimi 2011</t>
  </si>
  <si>
    <t>Vlere e Mbetur</t>
  </si>
  <si>
    <t>Permiresime te Objekteve me Qera</t>
  </si>
  <si>
    <t>Intalime Teknike+Paisje</t>
  </si>
  <si>
    <t>Mobilje e Paisje</t>
  </si>
  <si>
    <t>Mjete Transporti</t>
  </si>
  <si>
    <t>Instrumenta e Paisje Pune</t>
  </si>
  <si>
    <t xml:space="preserve">Paisje Informatike </t>
  </si>
  <si>
    <t>Paisje te Tjera Informatike</t>
  </si>
  <si>
    <t>Permbledhese e Mjeteve te Transportit ne Pronesi RossmannLala</t>
  </si>
  <si>
    <t>Llogaria</t>
  </si>
  <si>
    <t xml:space="preserve">Kodi </t>
  </si>
  <si>
    <t>Targa</t>
  </si>
  <si>
    <t xml:space="preserve">Emertimi </t>
  </si>
  <si>
    <t>Vlere Blerje</t>
  </si>
  <si>
    <t>Amortiz Akumuluar deri 31/12/2011</t>
  </si>
  <si>
    <t>Vlere Mbetur</t>
  </si>
  <si>
    <t>MT01</t>
  </si>
  <si>
    <t>TR2705T</t>
  </si>
  <si>
    <t xml:space="preserve">Autoveture per Mag Caddy-VW </t>
  </si>
  <si>
    <t>MT02</t>
  </si>
  <si>
    <t>TR2706T</t>
  </si>
  <si>
    <t>Autoveture per A.Shala Seat</t>
  </si>
  <si>
    <t>MT03</t>
  </si>
  <si>
    <t>TR2904T</t>
  </si>
  <si>
    <t>Kamion Damler Chrysler</t>
  </si>
  <si>
    <t>MT04</t>
  </si>
  <si>
    <t>AA058AF</t>
  </si>
  <si>
    <t>Kamioncina Damler Chrysler</t>
  </si>
  <si>
    <t>MT05</t>
  </si>
  <si>
    <t>AA718BT</t>
  </si>
  <si>
    <t>Autoveture Passat</t>
  </si>
  <si>
    <t>MT06</t>
  </si>
  <si>
    <t>AA816BX</t>
  </si>
  <si>
    <t>MT07</t>
  </si>
  <si>
    <t>AA736BX</t>
  </si>
  <si>
    <t>Furgoncina Benz</t>
  </si>
  <si>
    <t>MT08</t>
  </si>
  <si>
    <t>AA817BX</t>
  </si>
  <si>
    <t>Autoveture Caddy -E.Bejko</t>
  </si>
  <si>
    <t>Totali</t>
  </si>
  <si>
    <r>
      <t xml:space="preserve">PASQYRA E NDRYSHIMEVE NE KAPITAL </t>
    </r>
    <r>
      <rPr>
        <b/>
        <sz val="12"/>
        <color indexed="10"/>
        <rFont val="Bookman Old Style"/>
        <family val="1"/>
      </rPr>
      <t>2011</t>
    </r>
  </si>
  <si>
    <t>Nje pasqyre e konsoliduar</t>
  </si>
  <si>
    <t>EMERTIMI</t>
  </si>
  <si>
    <t>KAPITALI AKSIONAT QE I PERKET AKSIONEVE TE SHOQERISE MEME</t>
  </si>
  <si>
    <t>ZOTERIMET
E AKSIONEVE
PAKICES</t>
  </si>
  <si>
    <t>TOTALI</t>
  </si>
  <si>
    <t>KAPITALI
AKSIONAR</t>
  </si>
  <si>
    <t>PRIMI 
AKSIONIT</t>
  </si>
  <si>
    <t>AKSIONET 
THESARIT</t>
  </si>
  <si>
    <t>REZERVA
STATUTORE
e LIGJORE</t>
  </si>
  <si>
    <t>REZERVA te
KONVERTIMIT te
MONEDHAVE te HUAJA</t>
  </si>
  <si>
    <t>FITIMI I 
PASHPERNDARE</t>
  </si>
  <si>
    <t>Pozicioni me 31 dhjetor 2007</t>
  </si>
  <si>
    <t>EFEKTI i ndryshimeve ne politikat 
kontabel</t>
  </si>
  <si>
    <t>POZICIONI I RREGULLUAR</t>
  </si>
  <si>
    <t>Efektet e ndryshimit te kurseve te
kembimit gjate konsolidimit</t>
  </si>
  <si>
    <t>Totali i te ardhurave dhe shpenzimeve 
qe nuk jane njohur ne pasqyren e te
Ardhurave dhe shpenzimeve</t>
  </si>
  <si>
    <t>Fitimi neto i vitit financiar</t>
  </si>
  <si>
    <t>Dividentet e paguar</t>
  </si>
  <si>
    <t>Transferime ne rrezerven e
 detyrueshme Statutore</t>
  </si>
  <si>
    <t>Emetimi i kapitalit Aksionar</t>
  </si>
  <si>
    <t>Pozicioni me 31 dhjetor 2008</t>
  </si>
  <si>
    <t>Fitimi neto per periudhen kontabel</t>
  </si>
  <si>
    <t>Aksione te thesarit te riblera</t>
  </si>
  <si>
    <t>Pozicioni me 31 dhjetor 2009</t>
  </si>
  <si>
    <t>PASQYRA E NDRYSHIMEVE NE KAPITAL 2011</t>
  </si>
  <si>
    <t>Nje pasqyre e pa konsoliduar</t>
  </si>
  <si>
    <t>Fitimi neto per periudhen kontabel2007</t>
  </si>
  <si>
    <t>Fitimi neto per periudhen kontabel2008</t>
  </si>
  <si>
    <t>Pozicioni me 31 dhjetor 2010</t>
  </si>
  <si>
    <t>Fitimi neto per periudhen kontabel2009</t>
  </si>
  <si>
    <t>Pozicioni me 31 dhjetor 2011</t>
  </si>
  <si>
    <t>7</t>
  </si>
  <si>
    <t>SHENIME SHPJEGUESE</t>
  </si>
  <si>
    <t>Per Pasqyren e Bilancit-aktivet</t>
  </si>
  <si>
    <r>
      <t>SQARIM:</t>
    </r>
    <r>
      <rPr>
        <sz val="8"/>
        <rFont val="Bookman Old Style"/>
        <family val="1"/>
      </rPr>
      <t xml:space="preserve">
              Dhenia e shenimeve shpjeguese ne kete pjese eshte e detyrueshme sipas SKK 2.
              Plotesimi i te dhenave te kesaj pjese duhet te behet sipas kerkesavedhe struktures standartete
percaktuara ne SKK 2 dhe konkretisht paragrafet 49-55. Rradha e dhenies se shpjegimeve duhet te jete:
                          a).Informacion i pergjithshem dhe politikat kontabel
                          b). Shenime qe shpjegojne zerat e ndryshem te pasqyrave financiare
                          c). Shenime te tjera shpjeguese</t>
    </r>
  </si>
  <si>
    <t>SHIH SHENIMET SHPJEGUESE BASHKANGJITUR RAPORTIT TE AUDITIMIT</t>
  </si>
  <si>
    <t>****</t>
  </si>
  <si>
    <t>Politikat kontabel jane sbatuar sipas ligjit ne fuqi per kontabilizimin e te Ardhurave dhe shpenzimeve ne baze te te drejtave dhe detyrimeve te konstatuara dhe Normat e Amortizimit .jane zbatuar per vitin 2010 sipas metodes se Vleres se Mbetur (edhe per Ndertimet).    Ne shpenzimet e vitit aktual jane futur edhe Fatura te cilat kane ardhur me date te 2012 por qe i takojne periudhes 2011 si psh Inventarizimi  dhe Auditimi i 31/12/2011,si dhe shpenzime operativet te dhjetorit 2011 te faturuara ne janar 2012.Kompania Rossmann&amp;Lala per Vitin 2011 ka qene ne Faze ekspansioni ndryshe nga Viti 2010 dhe per Vitin Fiskal te mbyllur jane hapur 3 Dyqane te Reja.Ne Dhjetor te Vitit 2011 Shoqeria numeron 118 te Punesuar me Kohe te Plotedhe 6 Dyqane te zinxhirit te Dyqaneve tip DrogerieStore qe operojen ne Emrin dhe Niptin e Rossmann&amp;Lala.</t>
  </si>
  <si>
    <t>Pika 1</t>
  </si>
  <si>
    <t>Kompania nuk kryen Shitje jashte dyqanit por vetem shitje me Pakice.</t>
  </si>
  <si>
    <t>Per Detaje Shiko Detajuesen e Bankave 31/12/2011</t>
  </si>
  <si>
    <t>Per Detaje Shiko Detajuesen e Arkave 31/12/2011.Arkat sipas Dyqaneve</t>
  </si>
  <si>
    <t>Aktualisht jane 6 Arka sepse jane 6 Dyqane ku secili ka levizjet e tij me vete.</t>
  </si>
  <si>
    <t>Pika 2</t>
  </si>
  <si>
    <t>2</t>
  </si>
  <si>
    <t>-</t>
  </si>
  <si>
    <t>Pika 3</t>
  </si>
  <si>
    <t>Klientet gjendje mbetur 31/12/2011 jane te gjitha te likujdueshme ne ditet e para te 2012.Kjo ka te beje me Shitje EC-Cash me Karta te cilat behen likuide 2-3 dite mbas transaksionit.</t>
  </si>
  <si>
    <t>Tatim  Fitimi I parapaguar per 2009-2010 eshte 1,9 mil leke.Parapagim per 2011 nuk ka.</t>
  </si>
  <si>
    <t>Debitore te tjere jane punonjes te ndermarjes per borxhe te shkurtra te cilat shlyhen ne janar 2012</t>
  </si>
  <si>
    <t>TVSH e Rimbursueshme eshte rritur pasi k a patur hapje te 3 dyq te reja ne vitin 2011 gje e cila ka shtuar blerjet me tvsh.</t>
  </si>
  <si>
    <t>3.6</t>
  </si>
  <si>
    <t>Veprime regullese me shtetin nenkupton sistemime per rrumbullakime te tvsh ne liber blerje/shitje krahasuar me ate te FDP si dhe diferenca te vogla te doganes.</t>
  </si>
  <si>
    <t>Pika 4</t>
  </si>
  <si>
    <t>4.1</t>
  </si>
  <si>
    <t>Mallrat per Rishitje (Llog 351) jane Inventari Stok 31/12/2011 te vleresuara me Kosto te Plote per 6 Dyqane</t>
  </si>
  <si>
    <t>4.2</t>
  </si>
  <si>
    <t>Te Ardhura te Llogaritura per Interesa deri 31/12/2012  per Depoziten ISPA qe maturohet ne 07/03/2012</t>
  </si>
  <si>
    <t>Pika 5</t>
  </si>
  <si>
    <t>Ne Zerin Ndertesa jane Punimet e Bera per Ndertesa te Marra me Qera minus Vleren e Amortizimit te Akumuuar.Llogari 2121-2912.Ka patur Nertime Shtese ne Vitin 2011 per 3 Dyqane Te reja</t>
  </si>
  <si>
    <t>Ne Zerin  Punimet e Bera per Instalime Teknike per Dyqane te Marra me Qera minus Vleren e Amortizimit te Akumuuar.Ka patur  Shtese ne Vitin 2011 per 3 Dyqane Te reja</t>
  </si>
  <si>
    <t>Ne Zerin Mobilje e Orendi  per Dyqanet dhe Zyrat te Marra me Qera minus Vleren e Amortizimit te Akumuuar.Ka patur  Shtese ne Vitin 2011 per 3 Dyqane Te reja</t>
  </si>
  <si>
    <t xml:space="preserve">Ne Zerin Mjete Transporti jane Perfshire Mjetet ne Pronesi minus Vleren e Amortizimit te Akumuluar te Rossmann&amp;Lala te Blera nga kompania meme nepermjet Importit.Ka patur Shtesa per Vitin 2011 </t>
  </si>
  <si>
    <t>Paisje Zyre dhe Informatike jane Per Dyqanet dhe Zyrat minus Vleren e Amortizimit te Akumuuar</t>
  </si>
  <si>
    <t>Aktiet Afgj Materiale jane Paisje te ngjashme kompjuterike-Amm e akumuluar</t>
  </si>
  <si>
    <t>Jane punimet e kryera neper dyqane per prishjen e punimeve egzistuese-amm e akumuluar</t>
  </si>
  <si>
    <t>5.8*</t>
  </si>
  <si>
    <t>Kete Vit eshte Regjistruar Kapitali I paguar po I paregjistruar ne QKR me pare.Vlera e Shtimit +54,000,000.Diferenca e paguar Teper por jo per qellime Kapitali nga Z.A.Lala eshte kthyer ne janar 2012 mbrapsh ne llog e tij personale.</t>
  </si>
  <si>
    <t>Per Pasqyren e Bilancit-Pasivet</t>
  </si>
  <si>
    <t>Pika  6</t>
  </si>
  <si>
    <t>Furnitoret e papaguar Gjendje deri ne 31/12/2011 --&gt;Shiko Tabelen detajuese Furnitoret.Kryesisht eshte Kompania meme</t>
  </si>
  <si>
    <t>TE Pagueshme Punonjesve jane Ore shtese  te mbetura per pagese ne fillim janari 2012</t>
  </si>
  <si>
    <t>Detyrimet per Sigurimet Shoqerore+Shendetesore  jane te Muajit Dhjetor 2011 qe pag ne Janar 2012</t>
  </si>
  <si>
    <t>Detyrimet per TAP jane te Muajit Dhjetor 2011 qe pag ne Janar 2012</t>
  </si>
  <si>
    <t>6.5.</t>
  </si>
  <si>
    <t>Detyrime per tu Paguar Ortakeve jane Detyrimi I A.Lala per sa ka mbipaguar Leke ne Fillim hapje aktiviteti Jo per Kapital.Kjo kthehet ne janar 2012.</t>
  </si>
  <si>
    <t>Pika 7</t>
  </si>
  <si>
    <t>A.Lala 25% Ortak ne Rossmann&amp;lala SHPK =Kap paguar dhe Regjistruar ne QKR=15 mil Leke</t>
  </si>
  <si>
    <t>Dirk Rossmann GmbH 75% Ortak ne Rossmann&amp;lala SHPK =Kap paguar dhe Regjistruar ne QKR=45 mil Leke</t>
  </si>
  <si>
    <t>Humbjet e akumuluara  per 2009-2010 jane humbjet Financiare te akumualuara.</t>
  </si>
  <si>
    <t>7.4</t>
  </si>
  <si>
    <t>Humbja Financiare e Vitit 2011</t>
  </si>
  <si>
    <t>Per Pasqyren e Te Ardhurave e Shpenzimeve</t>
  </si>
  <si>
    <t>Pika 8</t>
  </si>
  <si>
    <t>Shitjet Neto jane Shitjet pa tvsh per Mallin e shitur ne 6 Dyqanet e Rossmann&amp;Lala</t>
  </si>
  <si>
    <t>Pika 9</t>
  </si>
  <si>
    <t>per KMSH eshte shume a llog blerje malli import+brenda vendi</t>
  </si>
  <si>
    <t>KMSH shtesa eshte shume a llog takse doganore+akcize+takse plastike+transport</t>
  </si>
  <si>
    <t>Pika 10</t>
  </si>
  <si>
    <t>10.1</t>
  </si>
  <si>
    <t>Paga Personeli jane paga Bruto te reflektuara ne Listeprezencen e sigurimeve per Vitin 2011</t>
  </si>
  <si>
    <t>10.2</t>
  </si>
  <si>
    <t>10.3</t>
  </si>
  <si>
    <t>Shpenzime per Sig Shoqerore+Shendetesore jane te reflektuara ne Listeprezencen e 2011 .</t>
  </si>
  <si>
    <t>10.4</t>
  </si>
  <si>
    <t>Amortizimet jane sipas Tabeles Detajuese per 2011 kjo e aplikuar mbi blerje 2009-2011</t>
  </si>
  <si>
    <t>10.5</t>
  </si>
  <si>
    <t>Shpezime per Pritje e Percjellje jane shpenzime per Stafin Gjerman suportues ne Shqiperi deri ne 0.3%Xhiro ..dif eshte futur tek shp te tjera te pazbritshme</t>
  </si>
  <si>
    <t>Pika 11</t>
  </si>
  <si>
    <t>11</t>
  </si>
  <si>
    <t>Shpenzime Administrative</t>
  </si>
  <si>
    <t>62312</t>
  </si>
  <si>
    <t>formalitete doganore(spedicioneri)</t>
  </si>
  <si>
    <t>6041</t>
  </si>
  <si>
    <t>Energjia Elektrike</t>
  </si>
  <si>
    <t>6042</t>
  </si>
  <si>
    <t>Uje i Pijshem</t>
  </si>
  <si>
    <t>6051</t>
  </si>
  <si>
    <t xml:space="preserve">Fuel / Karburant </t>
  </si>
  <si>
    <t>60511</t>
  </si>
  <si>
    <t>Car Expenses</t>
  </si>
  <si>
    <t>607</t>
  </si>
  <si>
    <t>Blerje te pastokueshme</t>
  </si>
  <si>
    <t>608</t>
  </si>
  <si>
    <t>Blerje /shpenzime te tjera</t>
  </si>
  <si>
    <t>6081</t>
  </si>
  <si>
    <t>Chancellery</t>
  </si>
  <si>
    <t>613</t>
  </si>
  <si>
    <t>Qira</t>
  </si>
  <si>
    <t>613/1</t>
  </si>
  <si>
    <t>Cummon Expenses for Rent Stores</t>
  </si>
  <si>
    <t>6131</t>
  </si>
  <si>
    <t>Qira Magazina Dr</t>
  </si>
  <si>
    <t>615</t>
  </si>
  <si>
    <t>Mirembajtje dhe riparime</t>
  </si>
  <si>
    <t>616</t>
  </si>
  <si>
    <t>Sigurime</t>
  </si>
  <si>
    <t>618</t>
  </si>
  <si>
    <t>Te tjera</t>
  </si>
  <si>
    <t>622</t>
  </si>
  <si>
    <t>Paga ndermjetes, honorare</t>
  </si>
  <si>
    <t>623</t>
  </si>
  <si>
    <t>Shpenz per koncesione, patenta, licensa dhe te ngjashme</t>
  </si>
  <si>
    <t>624</t>
  </si>
  <si>
    <t>Publicitet,reklama</t>
  </si>
  <si>
    <t>6251</t>
  </si>
  <si>
    <t>Transferime, udhetim, dieta</t>
  </si>
  <si>
    <t>626</t>
  </si>
  <si>
    <t>Shpz.postare e telekom.</t>
  </si>
  <si>
    <t>6261</t>
  </si>
  <si>
    <t>Mobil Phone</t>
  </si>
  <si>
    <t>6262</t>
  </si>
  <si>
    <t xml:space="preserve">Tel Fiks + Internet </t>
  </si>
  <si>
    <t>6341</t>
  </si>
  <si>
    <t>Tarife Vjetore Vend Qendrim Mjeti Bashkia TR</t>
  </si>
  <si>
    <t>658</t>
  </si>
  <si>
    <t>Pika 12</t>
  </si>
  <si>
    <t>12</t>
  </si>
  <si>
    <t>Te Ardhura te Tjera nga Veprimtaria e Shfrytezimit.Jane te ardhura nga Shitja e mbetjeve te Ambalazheve si Paleta si dhe Arketime Bakshishesh per arsye Monedha te lena nga kusuri-klientet</t>
  </si>
  <si>
    <t xml:space="preserve">Pika 13 </t>
  </si>
  <si>
    <t>13</t>
  </si>
  <si>
    <t>Shpenzime te Pazbritshme Fiskalisht</t>
  </si>
  <si>
    <t>Shp te Pazbritshme Fiskalisht</t>
  </si>
  <si>
    <t>6581</t>
  </si>
  <si>
    <t>Shpenzime te Panjohura</t>
  </si>
  <si>
    <t>6817</t>
  </si>
  <si>
    <t>Shpenzime per Provizione Gjygjesore D.K+E.M</t>
  </si>
  <si>
    <t>657</t>
  </si>
  <si>
    <t>Gjoba dhe demshperblime</t>
  </si>
  <si>
    <t>654</t>
  </si>
  <si>
    <t>Shpenzime per pritje dhe perfaqesime</t>
  </si>
  <si>
    <t>Mbi 0.3% Xhiro</t>
  </si>
  <si>
    <t>6112</t>
  </si>
  <si>
    <t>suport/instalim/pune</t>
  </si>
  <si>
    <t>Pika 14</t>
  </si>
  <si>
    <t>14</t>
  </si>
  <si>
    <t>Rezultati Financiar per Vitin 2011</t>
  </si>
  <si>
    <t>pika 15</t>
  </si>
  <si>
    <t>15</t>
  </si>
  <si>
    <t>Te Ardhura Neto nga Interesat Bankare</t>
  </si>
  <si>
    <t>pika 16</t>
  </si>
  <si>
    <t>16</t>
  </si>
  <si>
    <t>Fitimet Neto nga Kembimet Valutore per 2011</t>
  </si>
  <si>
    <t>HARTUESI</t>
  </si>
  <si>
    <t>PER DREJTIMIN E NJESISE EKONOMIKE</t>
  </si>
  <si>
    <t>Ledia Spirollari</t>
  </si>
  <si>
    <t>(Financiere e punesuar e Kompanise)</t>
  </si>
  <si>
    <t>Gazmend Sharofi</t>
  </si>
  <si>
    <t>(Drejtor Biznesi)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</si>
</sst>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[$€-2]\ * #,##0.00_);_([$€-2]\ * \(#,##0.00\);_([$€-2]\ * &quot;-&quot;??_);_(@_)"/>
    <numFmt numFmtId="167" formatCode="#,##0.00\ [$€-1]_);[Red]\(#,##0.00\ [$€-1]\)"/>
  </numFmts>
  <fonts count="149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1"/>
      <color indexed="12"/>
      <name val="Bookman Old Style"/>
      <family val="1"/>
    </font>
    <font>
      <b/>
      <u/>
      <sz val="8"/>
      <color indexed="12"/>
      <name val="Bookman Old Style"/>
      <family val="1"/>
    </font>
    <font>
      <b/>
      <sz val="11"/>
      <color indexed="12"/>
      <name val="Bookman Old Style"/>
      <family val="1"/>
    </font>
    <font>
      <sz val="11"/>
      <color indexed="12"/>
      <name val="Bookman Old Style"/>
      <family val="1"/>
    </font>
    <font>
      <b/>
      <sz val="8"/>
      <color indexed="12"/>
      <name val="Bookman Old Style"/>
      <family val="1"/>
    </font>
    <font>
      <sz val="11"/>
      <name val="Arial"/>
      <family val="2"/>
    </font>
    <font>
      <sz val="11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b/>
      <sz val="12"/>
      <color indexed="12"/>
      <name val="Bookman Old Style"/>
      <family val="1"/>
    </font>
    <font>
      <sz val="10"/>
      <color indexed="12"/>
      <name val="Bookman Old Style"/>
      <family val="1"/>
    </font>
    <font>
      <sz val="8"/>
      <color indexed="12"/>
      <name val="Bookman Old Style"/>
      <family val="1"/>
    </font>
    <font>
      <sz val="10"/>
      <color indexed="12"/>
      <name val="Arial"/>
      <family val="2"/>
    </font>
    <font>
      <b/>
      <sz val="16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6"/>
      <name val="Bookman Old Style"/>
      <family val="1"/>
    </font>
    <font>
      <sz val="12"/>
      <color indexed="12"/>
      <name val="Bookman Old Style"/>
      <family val="1"/>
    </font>
    <font>
      <sz val="14"/>
      <name val="Bookman Old Style"/>
      <family val="1"/>
    </font>
    <font>
      <sz val="9"/>
      <name val="Bookman Old Style"/>
      <family val="1"/>
    </font>
    <font>
      <b/>
      <sz val="8"/>
      <name val="Bookman Old Style"/>
      <family val="1"/>
    </font>
    <font>
      <b/>
      <sz val="8"/>
      <name val="Arial"/>
      <family val="2"/>
    </font>
    <font>
      <sz val="18"/>
      <name val="Bookman Old Style"/>
      <family val="1"/>
    </font>
    <font>
      <b/>
      <sz val="14"/>
      <color indexed="12"/>
      <name val="Bookman Old Style"/>
      <family val="1"/>
    </font>
    <font>
      <b/>
      <sz val="11"/>
      <name val="Bookman Old Style"/>
      <family val="1"/>
    </font>
    <font>
      <b/>
      <sz val="10"/>
      <name val="Bookman Old Style"/>
      <family val="1"/>
    </font>
    <font>
      <b/>
      <sz val="8"/>
      <name val="BankGothic Md BT"/>
      <family val="2"/>
    </font>
    <font>
      <b/>
      <sz val="9"/>
      <color indexed="12"/>
      <name val="Bookman Old Style"/>
      <family val="1"/>
    </font>
    <font>
      <b/>
      <sz val="9"/>
      <name val="Bookman Old Style"/>
      <family val="1"/>
    </font>
    <font>
      <b/>
      <sz val="9"/>
      <color indexed="12"/>
      <name val="Arial"/>
      <family val="2"/>
    </font>
    <font>
      <b/>
      <sz val="9"/>
      <color indexed="10"/>
      <name val="Bookman Old Style"/>
      <family val="1"/>
    </font>
    <font>
      <sz val="9"/>
      <name val="Arial"/>
      <family val="2"/>
    </font>
    <font>
      <sz val="7"/>
      <name val="Bookman Old Style"/>
      <family val="1"/>
    </font>
    <font>
      <b/>
      <sz val="8"/>
      <color indexed="10"/>
      <name val="Bookman Old Style"/>
      <family val="1"/>
    </font>
    <font>
      <b/>
      <sz val="9"/>
      <name val="Arial"/>
      <family val="2"/>
    </font>
    <font>
      <i/>
      <sz val="9"/>
      <name val="Bookman Old Style"/>
      <family val="1"/>
    </font>
    <font>
      <b/>
      <i/>
      <sz val="9"/>
      <color indexed="10"/>
      <name val="Bookman Old Style"/>
      <family val="1"/>
    </font>
    <font>
      <b/>
      <sz val="9"/>
      <color indexed="10"/>
      <name val="Arial"/>
      <family val="2"/>
    </font>
    <font>
      <i/>
      <sz val="9"/>
      <color indexed="10"/>
      <name val="Bookman Old Style"/>
      <family val="1"/>
    </font>
    <font>
      <i/>
      <sz val="10"/>
      <name val="Bookman Old Style"/>
      <family val="1"/>
    </font>
    <font>
      <b/>
      <i/>
      <sz val="8"/>
      <color indexed="10"/>
      <name val="Bookman Old Style"/>
      <family val="1"/>
    </font>
    <font>
      <b/>
      <sz val="8"/>
      <color rgb="FFFF0000"/>
      <name val="Bookman Old Style"/>
      <family val="1"/>
    </font>
    <font>
      <sz val="9"/>
      <color indexed="10"/>
      <name val="Bookman Old Style"/>
      <family val="1"/>
    </font>
    <font>
      <i/>
      <sz val="8"/>
      <name val="Bookman Old Style"/>
      <family val="1"/>
    </font>
    <font>
      <b/>
      <i/>
      <sz val="8"/>
      <color rgb="FFFF0000"/>
      <name val="Bookman Old Style"/>
      <family val="1"/>
    </font>
    <font>
      <sz val="10"/>
      <name val="Arial"/>
      <family val="2"/>
    </font>
    <font>
      <i/>
      <sz val="9"/>
      <color rgb="FFFF0000"/>
      <name val="Bookman Old Style"/>
      <family val="1"/>
    </font>
    <font>
      <b/>
      <i/>
      <sz val="9"/>
      <color rgb="FFFF0000"/>
      <name val="Bookman Old Style"/>
      <family val="1"/>
    </font>
    <font>
      <b/>
      <i/>
      <sz val="10"/>
      <color rgb="FFFF0000"/>
      <name val="Bookman Old Style"/>
      <family val="1"/>
    </font>
    <font>
      <sz val="9"/>
      <color indexed="12"/>
      <name val="Arial Black"/>
      <family val="2"/>
    </font>
    <font>
      <b/>
      <u/>
      <sz val="9"/>
      <color indexed="12"/>
      <name val="Arial"/>
      <family val="2"/>
    </font>
    <font>
      <b/>
      <u/>
      <sz val="8"/>
      <color indexed="12"/>
      <name val="Arial"/>
      <family val="2"/>
    </font>
    <font>
      <b/>
      <sz val="8"/>
      <color indexed="10"/>
      <name val="Arial"/>
      <family val="2"/>
    </font>
    <font>
      <sz val="12"/>
      <color indexed="12"/>
      <name val="BankGothic Md BT"/>
      <family val="2"/>
    </font>
    <font>
      <b/>
      <u/>
      <sz val="9"/>
      <color indexed="12"/>
      <name val="Bookman Old Style"/>
      <family val="1"/>
    </font>
    <font>
      <b/>
      <sz val="14"/>
      <color indexed="12"/>
      <name val="BankGothic Md BT"/>
      <family val="2"/>
    </font>
    <font>
      <b/>
      <sz val="10"/>
      <color indexed="10"/>
      <name val="Bookman Old Style"/>
      <family val="1"/>
    </font>
    <font>
      <u/>
      <sz val="9"/>
      <color indexed="12"/>
      <name val="Arial Black"/>
      <family val="2"/>
    </font>
    <font>
      <u/>
      <sz val="10"/>
      <color indexed="12"/>
      <name val="Bookman Old Style"/>
      <family val="1"/>
    </font>
    <font>
      <b/>
      <sz val="9"/>
      <color indexed="10"/>
      <name val="BankGothic Md BT"/>
      <family val="2"/>
    </font>
    <font>
      <b/>
      <sz val="12"/>
      <color indexed="10"/>
      <name val="Arial"/>
      <family val="2"/>
    </font>
    <font>
      <b/>
      <u/>
      <sz val="9"/>
      <name val="Bookman Old Style"/>
      <family val="1"/>
    </font>
    <font>
      <b/>
      <sz val="16"/>
      <color indexed="12"/>
      <name val="BankGothic Md BT"/>
      <family val="2"/>
    </font>
    <font>
      <b/>
      <u/>
      <sz val="10"/>
      <color indexed="12"/>
      <name val="Bookman Old Style"/>
      <family val="1"/>
    </font>
    <font>
      <b/>
      <sz val="14"/>
      <color indexed="12"/>
      <name val="Arial"/>
      <family val="2"/>
    </font>
    <font>
      <b/>
      <sz val="12"/>
      <color indexed="10"/>
      <name val="Bookman Old Style"/>
      <family val="1"/>
    </font>
    <font>
      <b/>
      <sz val="10"/>
      <color rgb="FFFF0000"/>
      <name val="Bookman Old Style"/>
      <family val="1"/>
    </font>
    <font>
      <b/>
      <u/>
      <sz val="10"/>
      <name val="Bookman Old Style"/>
      <family val="1"/>
    </font>
    <font>
      <sz val="10"/>
      <color rgb="FFFF0000"/>
      <name val="Bookman Old Style"/>
      <family val="1"/>
    </font>
    <font>
      <sz val="8"/>
      <color indexed="10"/>
      <name val="Bookman Old Style"/>
      <family val="1"/>
    </font>
    <font>
      <sz val="10"/>
      <color indexed="10"/>
      <name val="Bookman Old Style"/>
      <family val="1"/>
    </font>
    <font>
      <sz val="11"/>
      <color indexed="12"/>
      <name val="Arial"/>
      <family val="2"/>
    </font>
    <font>
      <sz val="9"/>
      <color indexed="12"/>
      <name val="Bookman Old Style"/>
      <family val="1"/>
    </font>
    <font>
      <b/>
      <u/>
      <sz val="8"/>
      <color indexed="10"/>
      <name val="Bookman Old Style"/>
      <family val="1"/>
    </font>
    <font>
      <b/>
      <u/>
      <sz val="8"/>
      <name val="Bookman Old Style"/>
      <family val="1"/>
    </font>
    <font>
      <b/>
      <u/>
      <sz val="9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b/>
      <sz val="10"/>
      <color indexed="10"/>
      <name val="Arial"/>
      <family val="2"/>
    </font>
    <font>
      <b/>
      <sz val="11"/>
      <color indexed="10"/>
      <name val="Bookman Old Style"/>
      <family val="1"/>
    </font>
    <font>
      <b/>
      <sz val="11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48"/>
      <name val="Bookman Old Style"/>
      <family val="1"/>
    </font>
    <font>
      <sz val="10"/>
      <name val="Book Antiqua"/>
      <family val="1"/>
    </font>
    <font>
      <b/>
      <sz val="14"/>
      <color indexed="48"/>
      <name val="Bookman Old Style"/>
      <family val="1"/>
    </font>
    <font>
      <b/>
      <sz val="11"/>
      <color indexed="48"/>
      <name val="Bookman Old Style"/>
      <family val="1"/>
    </font>
    <font>
      <sz val="9"/>
      <color indexed="48"/>
      <name val="Bookman Old Style"/>
      <family val="1"/>
    </font>
    <font>
      <b/>
      <sz val="12"/>
      <color indexed="48"/>
      <name val="Bookman Old Style"/>
      <family val="1"/>
    </font>
    <font>
      <b/>
      <sz val="10"/>
      <color indexed="48"/>
      <name val="Bookman Old Style"/>
      <family val="1"/>
    </font>
    <font>
      <b/>
      <sz val="11"/>
      <name val="Book Antiqua"/>
      <family val="1"/>
    </font>
    <font>
      <b/>
      <u/>
      <sz val="9"/>
      <color indexed="48"/>
      <name val="Bookman Old Style"/>
      <family val="1"/>
    </font>
    <font>
      <sz val="10"/>
      <color indexed="48"/>
      <name val="Bookman Old Style"/>
      <family val="1"/>
    </font>
    <font>
      <b/>
      <sz val="9"/>
      <color indexed="48"/>
      <name val="Bookman Old Style"/>
      <family val="1"/>
    </font>
    <font>
      <b/>
      <sz val="10"/>
      <color rgb="FFFF0000"/>
      <name val="Book Antiqua"/>
      <family val="1"/>
    </font>
    <font>
      <sz val="8"/>
      <color indexed="48"/>
      <name val="Bookman Old Style"/>
      <family val="1"/>
    </font>
    <font>
      <sz val="9"/>
      <name val="Book Antiqua"/>
      <family val="1"/>
    </font>
    <font>
      <sz val="7"/>
      <color indexed="48"/>
      <name val="Bookman Old Style"/>
      <family val="1"/>
    </font>
    <font>
      <sz val="7"/>
      <color indexed="10"/>
      <name val="Bookman Old Style"/>
      <family val="1"/>
    </font>
    <font>
      <b/>
      <sz val="8"/>
      <color indexed="48"/>
      <name val="Bookman Old Style"/>
      <family val="1"/>
    </font>
    <font>
      <b/>
      <sz val="10"/>
      <color rgb="FFFF0000"/>
      <name val="Arial"/>
      <family val="2"/>
    </font>
    <font>
      <sz val="10"/>
      <color rgb="FFFF000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i/>
      <sz val="9"/>
      <color indexed="48"/>
      <name val="Bookman Old Style"/>
      <family val="1"/>
    </font>
    <font>
      <sz val="8"/>
      <name val="Book Antiqua"/>
      <family val="1"/>
    </font>
    <font>
      <sz val="8"/>
      <color rgb="FFFF0000"/>
      <name val="Bookman Old Style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indexed="48"/>
      <name val="Bookman Old Style"/>
      <family val="1"/>
    </font>
    <font>
      <b/>
      <u/>
      <sz val="9"/>
      <color indexed="10"/>
      <name val="Bookman Old Style"/>
      <family val="1"/>
    </font>
    <font>
      <u/>
      <sz val="9"/>
      <color indexed="12"/>
      <name val="Bookman Old Style"/>
      <family val="1"/>
    </font>
    <font>
      <b/>
      <sz val="16"/>
      <color rgb="FFFF0000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Bookman Old Style"/>
      <family val="1"/>
    </font>
    <font>
      <b/>
      <u/>
      <sz val="10"/>
      <color indexed="48"/>
      <name val="Bookman Old Style"/>
      <family val="1"/>
    </font>
    <font>
      <b/>
      <sz val="8"/>
      <color indexed="48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u/>
      <sz val="8"/>
      <name val="Cambria"/>
      <family val="1"/>
    </font>
    <font>
      <b/>
      <sz val="8"/>
      <color indexed="10"/>
      <name val="Cambria"/>
      <family val="1"/>
    </font>
    <font>
      <b/>
      <sz val="9"/>
      <name val="Cambria"/>
      <family val="1"/>
    </font>
    <font>
      <b/>
      <sz val="10"/>
      <name val="Cambria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8" fillId="0" borderId="0"/>
  </cellStyleXfs>
  <cellXfs count="967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4" fillId="0" borderId="0" xfId="0" applyFont="1" applyBorder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0" xfId="0" applyFont="1" applyBorder="1"/>
    <xf numFmtId="0" fontId="8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1" fillId="0" borderId="0" xfId="0" applyFont="1" applyBorder="1"/>
    <xf numFmtId="0" fontId="11" fillId="0" borderId="4" xfId="0" applyFont="1" applyBorder="1"/>
    <xf numFmtId="0" fontId="12" fillId="0" borderId="0" xfId="0" applyFont="1" applyBorder="1"/>
    <xf numFmtId="0" fontId="7" fillId="0" borderId="0" xfId="0" applyFont="1" applyBorder="1" applyAlignment="1"/>
    <xf numFmtId="0" fontId="13" fillId="0" borderId="4" xfId="0" applyFont="1" applyBorder="1"/>
    <xf numFmtId="0" fontId="13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7" fillId="0" borderId="5" xfId="0" applyFont="1" applyBorder="1"/>
    <xf numFmtId="0" fontId="20" fillId="0" borderId="0" xfId="0" applyFont="1" applyBorder="1" applyAlignment="1"/>
    <xf numFmtId="0" fontId="20" fillId="0" borderId="0" xfId="0" applyFont="1" applyBorder="1"/>
    <xf numFmtId="0" fontId="22" fillId="0" borderId="0" xfId="0" applyFont="1" applyBorder="1"/>
    <xf numFmtId="0" fontId="23" fillId="0" borderId="5" xfId="0" applyFont="1" applyBorder="1"/>
    <xf numFmtId="0" fontId="23" fillId="0" borderId="5" xfId="0" applyFont="1" applyBorder="1" applyAlignment="1"/>
    <xf numFmtId="0" fontId="19" fillId="0" borderId="0" xfId="0" applyFont="1" applyBorder="1"/>
    <xf numFmtId="0" fontId="19" fillId="0" borderId="0" xfId="0" applyFont="1" applyBorder="1" applyAlignment="1"/>
    <xf numFmtId="14" fontId="20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4" fillId="0" borderId="0" xfId="0" applyFont="1"/>
    <xf numFmtId="0" fontId="26" fillId="0" borderId="9" xfId="0" applyFont="1" applyBorder="1"/>
    <xf numFmtId="0" fontId="27" fillId="0" borderId="10" xfId="0" applyFont="1" applyBorder="1" applyAlignment="1"/>
    <xf numFmtId="0" fontId="13" fillId="0" borderId="2" xfId="0" applyFont="1" applyBorder="1" applyAlignment="1">
      <alignment horizontal="center"/>
    </xf>
    <xf numFmtId="164" fontId="27" fillId="0" borderId="2" xfId="1" applyNumberFormat="1" applyFont="1" applyBorder="1"/>
    <xf numFmtId="0" fontId="28" fillId="0" borderId="2" xfId="0" applyFont="1" applyBorder="1"/>
    <xf numFmtId="0" fontId="28" fillId="0" borderId="3" xfId="0" applyFont="1" applyBorder="1"/>
    <xf numFmtId="165" fontId="29" fillId="0" borderId="0" xfId="2" applyNumberFormat="1" applyFont="1" applyBorder="1"/>
    <xf numFmtId="165" fontId="30" fillId="0" borderId="0" xfId="2" applyNumberFormat="1" applyFont="1"/>
    <xf numFmtId="0" fontId="31" fillId="0" borderId="0" xfId="0" applyFont="1" applyBorder="1" applyAlignment="1">
      <alignment horizontal="center"/>
    </xf>
    <xf numFmtId="0" fontId="26" fillId="0" borderId="4" xfId="0" applyFont="1" applyBorder="1"/>
    <xf numFmtId="0" fontId="28" fillId="0" borderId="0" xfId="0" applyFont="1" applyBorder="1"/>
    <xf numFmtId="0" fontId="28" fillId="0" borderId="5" xfId="0" applyFont="1" applyBorder="1"/>
    <xf numFmtId="0" fontId="3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31" fillId="0" borderId="0" xfId="0" applyFont="1"/>
    <xf numFmtId="0" fontId="13" fillId="0" borderId="0" xfId="0" applyFont="1" applyBorder="1" applyAlignment="1">
      <alignment horizontal="center"/>
    </xf>
    <xf numFmtId="164" fontId="33" fillId="2" borderId="12" xfId="1" applyNumberFormat="1" applyFont="1" applyFill="1" applyBorder="1" applyAlignment="1"/>
    <xf numFmtId="0" fontId="14" fillId="0" borderId="1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64" fontId="28" fillId="0" borderId="17" xfId="1" applyNumberFormat="1" applyFont="1" applyBorder="1" applyAlignment="1">
      <alignment horizontal="center" wrapText="1"/>
    </xf>
    <xf numFmtId="165" fontId="29" fillId="0" borderId="0" xfId="2" applyNumberFormat="1" applyFont="1" applyBorder="1" applyAlignment="1">
      <alignment horizontal="center" wrapText="1"/>
    </xf>
    <xf numFmtId="165" fontId="35" fillId="0" borderId="3" xfId="2" applyNumberFormat="1" applyFont="1" applyBorder="1" applyAlignment="1">
      <alignment horizontal="center" wrapText="1"/>
    </xf>
    <xf numFmtId="0" fontId="20" fillId="0" borderId="21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164" fontId="38" fillId="0" borderId="26" xfId="1" applyNumberFormat="1" applyFont="1" applyBorder="1"/>
    <xf numFmtId="165" fontId="22" fillId="0" borderId="11" xfId="2" applyNumberFormat="1" applyFont="1" applyBorder="1"/>
    <xf numFmtId="165" fontId="30" fillId="0" borderId="11" xfId="2" applyNumberFormat="1" applyFont="1" applyBorder="1"/>
    <xf numFmtId="0" fontId="0" fillId="0" borderId="30" xfId="0" applyBorder="1"/>
    <xf numFmtId="0" fontId="34" fillId="0" borderId="24" xfId="0" applyFont="1" applyBorder="1" applyAlignment="1">
      <alignment horizontal="center"/>
    </xf>
    <xf numFmtId="164" fontId="40" fillId="3" borderId="21" xfId="1" applyNumberFormat="1" applyFont="1" applyFill="1" applyBorder="1"/>
    <xf numFmtId="164" fontId="0" fillId="0" borderId="0" xfId="0" applyNumberFormat="1"/>
    <xf numFmtId="0" fontId="19" fillId="0" borderId="28" xfId="0" applyFont="1" applyBorder="1" applyAlignment="1">
      <alignment horizontal="center"/>
    </xf>
    <xf numFmtId="164" fontId="40" fillId="3" borderId="12" xfId="1" applyNumberFormat="1" applyFont="1" applyFill="1" applyBorder="1" applyAlignment="1">
      <alignment horizontal="center"/>
    </xf>
    <xf numFmtId="165" fontId="30" fillId="0" borderId="11" xfId="2" applyNumberFormat="1" applyFont="1" applyBorder="1" applyAlignment="1">
      <alignment horizontal="center"/>
    </xf>
    <xf numFmtId="16" fontId="20" fillId="0" borderId="21" xfId="0" applyNumberFormat="1" applyFont="1" applyBorder="1" applyAlignment="1">
      <alignment horizontal="center"/>
    </xf>
    <xf numFmtId="164" fontId="40" fillId="4" borderId="12" xfId="1" applyNumberFormat="1" applyFont="1" applyFill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64" fontId="37" fillId="0" borderId="11" xfId="1" applyNumberFormat="1" applyFont="1" applyBorder="1"/>
    <xf numFmtId="165" fontId="29" fillId="0" borderId="11" xfId="2" applyNumberFormat="1" applyFont="1" applyBorder="1"/>
    <xf numFmtId="0" fontId="19" fillId="0" borderId="30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1" fillId="0" borderId="12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3" fillId="0" borderId="28" xfId="0" applyFont="1" applyBorder="1" applyAlignment="1">
      <alignment horizontal="center"/>
    </xf>
    <xf numFmtId="164" fontId="38" fillId="0" borderId="12" xfId="1" applyNumberFormat="1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43" fontId="0" fillId="0" borderId="0" xfId="0" applyNumberFormat="1"/>
    <xf numFmtId="0" fontId="13" fillId="0" borderId="28" xfId="0" applyFont="1" applyBorder="1" applyAlignment="1">
      <alignment horizontal="center" wrapText="1"/>
    </xf>
    <xf numFmtId="164" fontId="43" fillId="3" borderId="12" xfId="1" applyNumberFormat="1" applyFont="1" applyFill="1" applyBorder="1" applyAlignment="1">
      <alignment horizontal="center"/>
    </xf>
    <xf numFmtId="0" fontId="28" fillId="0" borderId="12" xfId="0" applyFont="1" applyBorder="1"/>
    <xf numFmtId="0" fontId="28" fillId="0" borderId="28" xfId="0" applyFont="1" applyBorder="1"/>
    <xf numFmtId="0" fontId="28" fillId="0" borderId="29" xfId="0" applyFont="1" applyBorder="1"/>
    <xf numFmtId="0" fontId="34" fillId="0" borderId="28" xfId="0" applyFont="1" applyBorder="1" applyAlignment="1">
      <alignment horizontal="center"/>
    </xf>
    <xf numFmtId="164" fontId="46" fillId="0" borderId="12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4" fillId="0" borderId="12" xfId="0" applyFont="1" applyBorder="1"/>
    <xf numFmtId="0" fontId="44" fillId="0" borderId="28" xfId="0" applyFont="1" applyBorder="1"/>
    <xf numFmtId="0" fontId="44" fillId="0" borderId="29" xfId="0" applyFont="1" applyBorder="1"/>
    <xf numFmtId="0" fontId="48" fillId="0" borderId="28" xfId="0" applyFont="1" applyBorder="1" applyAlignment="1">
      <alignment horizontal="center"/>
    </xf>
    <xf numFmtId="164" fontId="40" fillId="0" borderId="12" xfId="1" applyNumberFormat="1" applyFont="1" applyBorder="1" applyAlignment="1">
      <alignment horizontal="center"/>
    </xf>
    <xf numFmtId="0" fontId="0" fillId="0" borderId="11" xfId="0" applyBorder="1"/>
    <xf numFmtId="164" fontId="28" fillId="3" borderId="12" xfId="1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34" fillId="0" borderId="28" xfId="0" applyFont="1" applyBorder="1" applyAlignment="1">
      <alignment horizontal="center" wrapText="1"/>
    </xf>
    <xf numFmtId="0" fontId="12" fillId="0" borderId="12" xfId="0" applyFont="1" applyBorder="1"/>
    <xf numFmtId="164" fontId="40" fillId="5" borderId="12" xfId="1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164" fontId="40" fillId="3" borderId="28" xfId="1" applyNumberFormat="1" applyFont="1" applyFill="1" applyBorder="1" applyAlignment="1">
      <alignment horizontal="right"/>
    </xf>
    <xf numFmtId="164" fontId="40" fillId="3" borderId="11" xfId="1" applyNumberFormat="1" applyFont="1" applyFill="1" applyBorder="1" applyAlignment="1">
      <alignment horizontal="right"/>
    </xf>
    <xf numFmtId="43" fontId="40" fillId="0" borderId="0" xfId="0" applyNumberFormat="1" applyFont="1"/>
    <xf numFmtId="0" fontId="0" fillId="0" borderId="21" xfId="0" applyBorder="1"/>
    <xf numFmtId="0" fontId="34" fillId="0" borderId="11" xfId="0" applyFont="1" applyBorder="1" applyAlignment="1">
      <alignment horizontal="center"/>
    </xf>
    <xf numFmtId="164" fontId="54" fillId="3" borderId="12" xfId="1" applyNumberFormat="1" applyFont="1" applyFill="1" applyBorder="1" applyAlignment="1">
      <alignment horizontal="center"/>
    </xf>
    <xf numFmtId="0" fontId="55" fillId="0" borderId="28" xfId="0" applyFont="1" applyBorder="1"/>
    <xf numFmtId="3" fontId="56" fillId="0" borderId="29" xfId="0" applyNumberFormat="1" applyFont="1" applyBorder="1"/>
    <xf numFmtId="3" fontId="57" fillId="0" borderId="28" xfId="0" applyNumberFormat="1" applyFont="1" applyBorder="1" applyAlignment="1">
      <alignment horizontal="center"/>
    </xf>
    <xf numFmtId="0" fontId="39" fillId="0" borderId="12" xfId="0" applyFont="1" applyBorder="1"/>
    <xf numFmtId="0" fontId="58" fillId="0" borderId="30" xfId="0" applyFont="1" applyBorder="1" applyAlignment="1">
      <alignment horizontal="center"/>
    </xf>
    <xf numFmtId="164" fontId="59" fillId="0" borderId="12" xfId="1" applyNumberFormat="1" applyFont="1" applyBorder="1" applyAlignment="1">
      <alignment horizontal="center"/>
    </xf>
    <xf numFmtId="165" fontId="60" fillId="0" borderId="11" xfId="2" applyNumberFormat="1" applyFont="1" applyBorder="1" applyAlignment="1">
      <alignment horizontal="center"/>
    </xf>
    <xf numFmtId="165" fontId="61" fillId="0" borderId="11" xfId="2" applyNumberFormat="1" applyFont="1" applyBorder="1"/>
    <xf numFmtId="0" fontId="20" fillId="0" borderId="11" xfId="0" applyFont="1" applyBorder="1" applyAlignment="1">
      <alignment horizontal="center"/>
    </xf>
    <xf numFmtId="0" fontId="62" fillId="0" borderId="30" xfId="0" applyFont="1" applyBorder="1"/>
    <xf numFmtId="0" fontId="64" fillId="0" borderId="30" xfId="0" applyFont="1" applyBorder="1"/>
    <xf numFmtId="0" fontId="39" fillId="0" borderId="12" xfId="0" applyFont="1" applyBorder="1" applyAlignment="1">
      <alignment horizontal="left"/>
    </xf>
    <xf numFmtId="0" fontId="39" fillId="0" borderId="28" xfId="0" applyFont="1" applyBorder="1" applyAlignment="1">
      <alignment horizontal="left"/>
    </xf>
    <xf numFmtId="0" fontId="39" fillId="0" borderId="29" xfId="0" applyFont="1" applyBorder="1" applyAlignment="1">
      <alignment horizontal="left"/>
    </xf>
    <xf numFmtId="0" fontId="65" fillId="0" borderId="28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62" fillId="0" borderId="31" xfId="0" applyFont="1" applyBorder="1"/>
    <xf numFmtId="0" fontId="13" fillId="0" borderId="33" xfId="0" applyFont="1" applyBorder="1" applyAlignment="1">
      <alignment horizontal="center"/>
    </xf>
    <xf numFmtId="164" fontId="40" fillId="0" borderId="34" xfId="1" applyNumberFormat="1" applyFont="1" applyBorder="1"/>
    <xf numFmtId="0" fontId="38" fillId="0" borderId="21" xfId="0" applyFont="1" applyBorder="1" applyAlignment="1">
      <alignment horizontal="center"/>
    </xf>
    <xf numFmtId="0" fontId="62" fillId="0" borderId="21" xfId="0" applyFont="1" applyBorder="1"/>
    <xf numFmtId="0" fontId="13" fillId="0" borderId="24" xfId="0" applyFont="1" applyBorder="1" applyAlignment="1">
      <alignment horizontal="center"/>
    </xf>
    <xf numFmtId="164" fontId="40" fillId="0" borderId="21" xfId="1" applyNumberFormat="1" applyFont="1" applyBorder="1"/>
    <xf numFmtId="165" fontId="30" fillId="0" borderId="0" xfId="2" applyNumberFormat="1" applyFont="1" applyBorder="1"/>
    <xf numFmtId="0" fontId="38" fillId="0" borderId="11" xfId="0" applyFont="1" applyBorder="1" applyAlignment="1">
      <alignment horizontal="center"/>
    </xf>
    <xf numFmtId="0" fontId="62" fillId="0" borderId="11" xfId="0" applyFont="1" applyBorder="1"/>
    <xf numFmtId="164" fontId="40" fillId="0" borderId="11" xfId="1" applyNumberFormat="1" applyFont="1" applyBorder="1"/>
    <xf numFmtId="164" fontId="59" fillId="0" borderId="11" xfId="1" applyNumberFormat="1" applyFont="1" applyBorder="1"/>
    <xf numFmtId="165" fontId="60" fillId="0" borderId="0" xfId="2" applyNumberFormat="1" applyFont="1" applyBorder="1"/>
    <xf numFmtId="0" fontId="67" fillId="0" borderId="29" xfId="0" applyFont="1" applyBorder="1" applyAlignment="1">
      <alignment horizontal="center"/>
    </xf>
    <xf numFmtId="164" fontId="38" fillId="0" borderId="11" xfId="1" applyNumberFormat="1" applyFont="1" applyBorder="1"/>
    <xf numFmtId="165" fontId="22" fillId="0" borderId="29" xfId="2" applyNumberFormat="1" applyFont="1" applyBorder="1"/>
    <xf numFmtId="165" fontId="61" fillId="0" borderId="29" xfId="2" applyNumberFormat="1" applyFont="1" applyBorder="1"/>
    <xf numFmtId="43" fontId="69" fillId="0" borderId="11" xfId="1" applyFont="1" applyBorder="1"/>
    <xf numFmtId="0" fontId="64" fillId="0" borderId="11" xfId="0" applyFont="1" applyBorder="1"/>
    <xf numFmtId="0" fontId="19" fillId="0" borderId="29" xfId="0" applyFont="1" applyBorder="1" applyAlignment="1">
      <alignment horizontal="center"/>
    </xf>
    <xf numFmtId="0" fontId="71" fillId="0" borderId="11" xfId="0" applyFont="1" applyBorder="1"/>
    <xf numFmtId="0" fontId="72" fillId="0" borderId="29" xfId="0" applyFont="1" applyBorder="1" applyAlignment="1">
      <alignment horizontal="center"/>
    </xf>
    <xf numFmtId="0" fontId="73" fillId="0" borderId="11" xfId="0" applyFont="1" applyBorder="1" applyAlignment="1">
      <alignment horizontal="center"/>
    </xf>
    <xf numFmtId="43" fontId="70" fillId="0" borderId="12" xfId="1" applyFont="1" applyBorder="1" applyAlignment="1"/>
    <xf numFmtId="43" fontId="70" fillId="0" borderId="29" xfId="1" applyFont="1" applyBorder="1" applyAlignment="1"/>
    <xf numFmtId="0" fontId="13" fillId="0" borderId="23" xfId="0" applyFont="1" applyBorder="1" applyAlignment="1">
      <alignment horizontal="center"/>
    </xf>
    <xf numFmtId="164" fontId="59" fillId="0" borderId="22" xfId="1" applyNumberFormat="1" applyFont="1" applyBorder="1"/>
    <xf numFmtId="43" fontId="0" fillId="0" borderId="0" xfId="1" applyFont="1"/>
    <xf numFmtId="164" fontId="0" fillId="0" borderId="0" xfId="1" applyNumberFormat="1" applyFont="1"/>
    <xf numFmtId="0" fontId="73" fillId="0" borderId="0" xfId="0" applyFont="1" applyAlignment="1">
      <alignment horizontal="center"/>
    </xf>
    <xf numFmtId="0" fontId="62" fillId="0" borderId="0" xfId="0" applyFont="1"/>
    <xf numFmtId="0" fontId="20" fillId="0" borderId="0" xfId="0" applyFont="1" applyAlignment="1">
      <alignment horizontal="center"/>
    </xf>
    <xf numFmtId="164" fontId="13" fillId="0" borderId="0" xfId="1" applyNumberFormat="1" applyFont="1"/>
    <xf numFmtId="0" fontId="34" fillId="0" borderId="0" xfId="0" applyFont="1" applyAlignment="1">
      <alignment horizontal="center"/>
    </xf>
    <xf numFmtId="164" fontId="65" fillId="2" borderId="11" xfId="1" applyNumberFormat="1" applyFont="1" applyFill="1" applyBorder="1" applyAlignment="1">
      <alignment horizontal="center"/>
    </xf>
    <xf numFmtId="0" fontId="65" fillId="2" borderId="11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35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164" fontId="34" fillId="0" borderId="40" xfId="1" applyNumberFormat="1" applyFont="1" applyBorder="1" applyAlignment="1">
      <alignment horizontal="center" wrapText="1"/>
    </xf>
    <xf numFmtId="43" fontId="34" fillId="0" borderId="40" xfId="1" applyNumberFormat="1" applyFont="1" applyBorder="1" applyAlignment="1">
      <alignment horizontal="center" wrapText="1"/>
    </xf>
    <xf numFmtId="0" fontId="19" fillId="0" borderId="35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164" fontId="75" fillId="0" borderId="18" xfId="1" applyNumberFormat="1" applyFont="1" applyBorder="1"/>
    <xf numFmtId="0" fontId="23" fillId="0" borderId="18" xfId="0" applyFont="1" applyBorder="1" applyAlignment="1">
      <alignment horizontal="center"/>
    </xf>
    <xf numFmtId="164" fontId="65" fillId="0" borderId="18" xfId="1" applyNumberFormat="1" applyFont="1" applyBorder="1"/>
    <xf numFmtId="0" fontId="19" fillId="0" borderId="22" xfId="0" applyFont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164" fontId="65" fillId="0" borderId="24" xfId="1" applyNumberFormat="1" applyFont="1" applyBorder="1"/>
    <xf numFmtId="164" fontId="10" fillId="0" borderId="24" xfId="1" applyNumberFormat="1" applyFont="1" applyBorder="1"/>
    <xf numFmtId="0" fontId="23" fillId="0" borderId="21" xfId="0" applyFont="1" applyBorder="1" applyAlignment="1">
      <alignment horizontal="center"/>
    </xf>
    <xf numFmtId="164" fontId="65" fillId="0" borderId="21" xfId="1" applyNumberFormat="1" applyFont="1" applyBorder="1"/>
    <xf numFmtId="0" fontId="19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164" fontId="13" fillId="0" borderId="29" xfId="1" applyNumberFormat="1" applyFont="1" applyBorder="1"/>
    <xf numFmtId="0" fontId="17" fillId="0" borderId="11" xfId="0" applyFont="1" applyBorder="1" applyAlignment="1">
      <alignment horizontal="center"/>
    </xf>
    <xf numFmtId="164" fontId="13" fillId="0" borderId="11" xfId="1" applyNumberFormat="1" applyFont="1" applyBorder="1"/>
    <xf numFmtId="0" fontId="23" fillId="3" borderId="11" xfId="0" applyFont="1" applyFill="1" applyBorder="1" applyAlignment="1">
      <alignment horizontal="center"/>
    </xf>
    <xf numFmtId="164" fontId="75" fillId="0" borderId="29" xfId="1" applyNumberFormat="1" applyFont="1" applyBorder="1"/>
    <xf numFmtId="164" fontId="65" fillId="0" borderId="29" xfId="1" applyNumberFormat="1" applyFont="1" applyBorder="1"/>
    <xf numFmtId="164" fontId="17" fillId="0" borderId="11" xfId="0" applyNumberFormat="1" applyFont="1" applyBorder="1" applyAlignment="1" applyProtection="1">
      <alignment horizontal="center"/>
      <protection locked="0"/>
    </xf>
    <xf numFmtId="164" fontId="77" fillId="0" borderId="11" xfId="1" applyNumberFormat="1" applyFont="1" applyBorder="1"/>
    <xf numFmtId="164" fontId="0" fillId="0" borderId="11" xfId="0" applyNumberFormat="1" applyBorder="1"/>
    <xf numFmtId="164" fontId="13" fillId="0" borderId="28" xfId="1" applyNumberFormat="1" applyFont="1" applyBorder="1"/>
    <xf numFmtId="0" fontId="29" fillId="0" borderId="12" xfId="0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9" fontId="17" fillId="0" borderId="11" xfId="2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4" fontId="65" fillId="0" borderId="11" xfId="1" applyNumberFormat="1" applyFont="1" applyBorder="1"/>
    <xf numFmtId="164" fontId="13" fillId="0" borderId="39" xfId="1" applyNumberFormat="1" applyFont="1" applyBorder="1"/>
    <xf numFmtId="0" fontId="19" fillId="0" borderId="32" xfId="0" applyFont="1" applyBorder="1" applyAlignment="1">
      <alignment horizontal="center"/>
    </xf>
    <xf numFmtId="164" fontId="13" fillId="0" borderId="33" xfId="1" applyNumberFormat="1" applyFont="1" applyBorder="1"/>
    <xf numFmtId="0" fontId="23" fillId="0" borderId="12" xfId="0" applyFont="1" applyBorder="1" applyAlignment="1">
      <alignment horizontal="center"/>
    </xf>
    <xf numFmtId="164" fontId="13" fillId="0" borderId="18" xfId="1" applyNumberFormat="1" applyFont="1" applyBorder="1"/>
    <xf numFmtId="0" fontId="20" fillId="0" borderId="29" xfId="0" applyFont="1" applyBorder="1" applyAlignment="1">
      <alignment horizontal="center"/>
    </xf>
    <xf numFmtId="164" fontId="34" fillId="0" borderId="29" xfId="1" applyNumberFormat="1" applyFont="1" applyBorder="1"/>
    <xf numFmtId="164" fontId="79" fillId="0" borderId="29" xfId="1" applyNumberFormat="1" applyFont="1" applyBorder="1"/>
    <xf numFmtId="164" fontId="80" fillId="0" borderId="11" xfId="0" applyNumberFormat="1" applyFont="1" applyBorder="1" applyAlignment="1">
      <alignment horizontal="center"/>
    </xf>
    <xf numFmtId="164" fontId="13" fillId="0" borderId="44" xfId="1" applyNumberFormat="1" applyFont="1" applyBorder="1"/>
    <xf numFmtId="0" fontId="23" fillId="6" borderId="12" xfId="0" applyFont="1" applyFill="1" applyBorder="1" applyAlignment="1">
      <alignment horizontal="center"/>
    </xf>
    <xf numFmtId="164" fontId="34" fillId="0" borderId="24" xfId="1" applyNumberFormat="1" applyFont="1" applyBorder="1"/>
    <xf numFmtId="0" fontId="76" fillId="0" borderId="12" xfId="0" applyFont="1" applyBorder="1" applyAlignment="1">
      <alignment horizontal="left"/>
    </xf>
    <xf numFmtId="0" fontId="76" fillId="0" borderId="28" xfId="0" applyFont="1" applyBorder="1" applyAlignment="1">
      <alignment horizontal="left"/>
    </xf>
    <xf numFmtId="164" fontId="34" fillId="0" borderId="11" xfId="1" applyNumberFormat="1" applyFont="1" applyBorder="1"/>
    <xf numFmtId="164" fontId="13" fillId="0" borderId="45" xfId="1" applyNumberFormat="1" applyFont="1" applyFill="1" applyBorder="1"/>
    <xf numFmtId="0" fontId="76" fillId="0" borderId="12" xfId="0" applyFont="1" applyBorder="1" applyAlignment="1">
      <alignment horizontal="center"/>
    </xf>
    <xf numFmtId="0" fontId="76" fillId="0" borderId="28" xfId="0" applyFont="1" applyBorder="1" applyAlignment="1">
      <alignment horizontal="center"/>
    </xf>
    <xf numFmtId="0" fontId="76" fillId="0" borderId="29" xfId="0" applyFont="1" applyBorder="1" applyAlignment="1">
      <alignment horizontal="center"/>
    </xf>
    <xf numFmtId="0" fontId="63" fillId="0" borderId="27" xfId="0" applyFont="1" applyBorder="1" applyAlignment="1"/>
    <xf numFmtId="0" fontId="63" fillId="0" borderId="10" xfId="0" applyFont="1" applyBorder="1" applyAlignment="1"/>
    <xf numFmtId="0" fontId="50" fillId="0" borderId="43" xfId="0" applyFont="1" applyBorder="1" applyAlignment="1">
      <alignment horizontal="center"/>
    </xf>
    <xf numFmtId="0" fontId="34" fillId="0" borderId="12" xfId="0" applyFont="1" applyBorder="1" applyAlignment="1">
      <alignment horizontal="left"/>
    </xf>
    <xf numFmtId="0" fontId="76" fillId="0" borderId="29" xfId="0" applyFont="1" applyBorder="1" applyAlignment="1">
      <alignment horizontal="left"/>
    </xf>
    <xf numFmtId="0" fontId="29" fillId="0" borderId="27" xfId="0" applyFont="1" applyBorder="1" applyAlignment="1"/>
    <xf numFmtId="0" fontId="29" fillId="0" borderId="10" xfId="0" applyFont="1" applyBorder="1" applyAlignment="1"/>
    <xf numFmtId="0" fontId="50" fillId="0" borderId="43" xfId="0" applyFont="1" applyBorder="1" applyAlignment="1">
      <alignment horizontal="left"/>
    </xf>
    <xf numFmtId="164" fontId="28" fillId="0" borderId="29" xfId="1" applyNumberFormat="1" applyFont="1" applyBorder="1"/>
    <xf numFmtId="0" fontId="83" fillId="0" borderId="12" xfId="0" applyFont="1" applyBorder="1" applyAlignment="1">
      <alignment horizontal="left"/>
    </xf>
    <xf numFmtId="49" fontId="84" fillId="0" borderId="28" xfId="0" applyNumberFormat="1" applyFont="1" applyBorder="1" applyAlignment="1">
      <alignment horizontal="left"/>
    </xf>
    <xf numFmtId="0" fontId="63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3" fillId="0" borderId="42" xfId="0" applyFont="1" applyBorder="1" applyAlignment="1">
      <alignment horizontal="left"/>
    </xf>
    <xf numFmtId="0" fontId="85" fillId="0" borderId="28" xfId="0" applyFont="1" applyBorder="1" applyAlignment="1">
      <alignment horizontal="left"/>
    </xf>
    <xf numFmtId="164" fontId="65" fillId="0" borderId="26" xfId="1" applyNumberFormat="1" applyFont="1" applyBorder="1"/>
    <xf numFmtId="0" fontId="86" fillId="0" borderId="11" xfId="0" applyFont="1" applyBorder="1" applyAlignment="1">
      <alignment horizontal="center"/>
    </xf>
    <xf numFmtId="49" fontId="23" fillId="0" borderId="0" xfId="0" applyNumberFormat="1" applyFont="1" applyAlignment="1">
      <alignment horizontal="right"/>
    </xf>
    <xf numFmtId="0" fontId="54" fillId="0" borderId="0" xfId="0" applyFont="1"/>
    <xf numFmtId="164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164" fontId="0" fillId="0" borderId="0" xfId="0" applyNumberFormat="1" applyBorder="1"/>
    <xf numFmtId="0" fontId="17" fillId="0" borderId="0" xfId="0" applyFont="1" applyBorder="1" applyAlignment="1">
      <alignment horizontal="center"/>
    </xf>
    <xf numFmtId="166" fontId="23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13" fillId="0" borderId="0" xfId="1" applyNumberFormat="1" applyFont="1" applyBorder="1"/>
    <xf numFmtId="43" fontId="3" fillId="0" borderId="0" xfId="1" applyFont="1" applyBorder="1"/>
    <xf numFmtId="43" fontId="13" fillId="0" borderId="0" xfId="1" applyNumberFormat="1" applyFont="1" applyBorder="1"/>
    <xf numFmtId="164" fontId="87" fillId="0" borderId="0" xfId="1" applyNumberFormat="1" applyFont="1" applyBorder="1"/>
    <xf numFmtId="43" fontId="87" fillId="0" borderId="0" xfId="1" applyNumberFormat="1" applyFont="1" applyBorder="1"/>
    <xf numFmtId="164" fontId="23" fillId="0" borderId="0" xfId="0" applyNumberFormat="1" applyFont="1" applyBorder="1" applyAlignment="1">
      <alignment horizontal="center"/>
    </xf>
    <xf numFmtId="0" fontId="8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3" fillId="0" borderId="0" xfId="1" applyBorder="1"/>
    <xf numFmtId="0" fontId="8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13" fillId="0" borderId="0" xfId="0" applyNumberFormat="1" applyFont="1"/>
    <xf numFmtId="0" fontId="17" fillId="0" borderId="0" xfId="0" applyFont="1" applyAlignment="1">
      <alignment horizontal="center"/>
    </xf>
    <xf numFmtId="43" fontId="3" fillId="0" borderId="0" xfId="1"/>
    <xf numFmtId="164" fontId="3" fillId="0" borderId="0" xfId="1" applyNumberFormat="1"/>
    <xf numFmtId="0" fontId="91" fillId="0" borderId="46" xfId="0" applyFont="1" applyBorder="1" applyAlignment="1"/>
    <xf numFmtId="0" fontId="91" fillId="0" borderId="47" xfId="0" applyFont="1" applyBorder="1" applyAlignment="1"/>
    <xf numFmtId="164" fontId="91" fillId="0" borderId="47" xfId="1" applyNumberFormat="1" applyFont="1" applyBorder="1" applyAlignment="1"/>
    <xf numFmtId="43" fontId="92" fillId="0" borderId="0" xfId="1" applyFont="1"/>
    <xf numFmtId="0" fontId="92" fillId="0" borderId="0" xfId="0" applyFont="1"/>
    <xf numFmtId="0" fontId="13" fillId="0" borderId="0" xfId="0" applyFont="1" applyAlignment="1">
      <alignment wrapText="1"/>
    </xf>
    <xf numFmtId="0" fontId="28" fillId="0" borderId="0" xfId="0" applyFont="1"/>
    <xf numFmtId="164" fontId="93" fillId="2" borderId="18" xfId="1" applyNumberFormat="1" applyFont="1" applyFill="1" applyBorder="1" applyAlignment="1">
      <alignment horizontal="center"/>
    </xf>
    <xf numFmtId="0" fontId="93" fillId="2" borderId="29" xfId="0" applyFont="1" applyFill="1" applyBorder="1" applyAlignment="1">
      <alignment horizontal="center"/>
    </xf>
    <xf numFmtId="0" fontId="95" fillId="0" borderId="0" xfId="0" applyFont="1" applyBorder="1"/>
    <xf numFmtId="0" fontId="96" fillId="0" borderId="51" xfId="0" applyFont="1" applyBorder="1" applyAlignment="1">
      <alignment horizontal="center"/>
    </xf>
    <xf numFmtId="164" fontId="95" fillId="0" borderId="55" xfId="1" applyNumberFormat="1" applyFont="1" applyBorder="1" applyAlignment="1">
      <alignment horizontal="center" wrapText="1"/>
    </xf>
    <xf numFmtId="164" fontId="95" fillId="0" borderId="18" xfId="1" applyNumberFormat="1" applyFont="1" applyBorder="1" applyAlignment="1">
      <alignment horizontal="center" wrapText="1"/>
    </xf>
    <xf numFmtId="0" fontId="95" fillId="0" borderId="28" xfId="0" applyFont="1" applyBorder="1" applyAlignment="1">
      <alignment horizontal="center" wrapText="1"/>
    </xf>
    <xf numFmtId="0" fontId="95" fillId="0" borderId="0" xfId="0" applyFont="1" applyBorder="1" applyAlignment="1">
      <alignment horizontal="center" wrapText="1"/>
    </xf>
    <xf numFmtId="164" fontId="98" fillId="3" borderId="11" xfId="1" applyNumberFormat="1" applyFont="1" applyFill="1" applyBorder="1" applyAlignment="1">
      <alignment horizontal="center"/>
    </xf>
    <xf numFmtId="0" fontId="98" fillId="3" borderId="11" xfId="0" applyFont="1" applyFill="1" applyBorder="1" applyAlignment="1">
      <alignment horizontal="center"/>
    </xf>
    <xf numFmtId="0" fontId="9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97" fillId="0" borderId="21" xfId="0" applyFont="1" applyBorder="1" applyAlignment="1">
      <alignment horizontal="center"/>
    </xf>
    <xf numFmtId="164" fontId="39" fillId="0" borderId="21" xfId="1" applyNumberFormat="1" applyFont="1" applyBorder="1"/>
    <xf numFmtId="0" fontId="101" fillId="0" borderId="0" xfId="0" applyFont="1" applyBorder="1"/>
    <xf numFmtId="43" fontId="102" fillId="3" borderId="29" xfId="1" applyFont="1" applyFill="1" applyBorder="1"/>
    <xf numFmtId="164" fontId="95" fillId="0" borderId="11" xfId="1" applyNumberFormat="1" applyFont="1" applyBorder="1"/>
    <xf numFmtId="43" fontId="95" fillId="0" borderId="0" xfId="0" applyNumberFormat="1" applyFont="1" applyBorder="1"/>
    <xf numFmtId="164" fontId="92" fillId="0" borderId="29" xfId="1" applyNumberFormat="1" applyFont="1" applyBorder="1"/>
    <xf numFmtId="164" fontId="92" fillId="0" borderId="28" xfId="1" applyNumberFormat="1" applyFont="1" applyBorder="1"/>
    <xf numFmtId="164" fontId="92" fillId="0" borderId="11" xfId="0" applyNumberFormat="1" applyFont="1" applyBorder="1"/>
    <xf numFmtId="164" fontId="104" fillId="0" borderId="11" xfId="0" applyNumberFormat="1" applyFont="1" applyBorder="1"/>
    <xf numFmtId="0" fontId="95" fillId="0" borderId="12" xfId="0" applyFont="1" applyBorder="1"/>
    <xf numFmtId="0" fontId="95" fillId="0" borderId="28" xfId="0" applyFont="1" applyBorder="1"/>
    <xf numFmtId="0" fontId="95" fillId="0" borderId="29" xfId="0" applyFont="1" applyBorder="1"/>
    <xf numFmtId="0" fontId="95" fillId="0" borderId="12" xfId="0" applyFont="1" applyBorder="1" applyAlignment="1"/>
    <xf numFmtId="0" fontId="95" fillId="0" borderId="28" xfId="0" applyFont="1" applyBorder="1" applyAlignment="1"/>
    <xf numFmtId="0" fontId="95" fillId="0" borderId="29" xfId="0" applyFont="1" applyBorder="1" applyAlignment="1"/>
    <xf numFmtId="0" fontId="13" fillId="0" borderId="0" xfId="0" applyFont="1" applyAlignment="1"/>
    <xf numFmtId="0" fontId="105" fillId="0" borderId="29" xfId="0" applyFont="1" applyBorder="1" applyAlignment="1"/>
    <xf numFmtId="164" fontId="92" fillId="0" borderId="0" xfId="1" applyNumberFormat="1" applyFont="1"/>
    <xf numFmtId="164" fontId="95" fillId="0" borderId="0" xfId="0" applyNumberFormat="1" applyFont="1" applyBorder="1"/>
    <xf numFmtId="0" fontId="34" fillId="0" borderId="0" xfId="0" applyFont="1" applyBorder="1" applyAlignment="1">
      <alignment horizontal="left"/>
    </xf>
    <xf numFmtId="43" fontId="108" fillId="0" borderId="11" xfId="1" applyFont="1" applyBorder="1" applyAlignment="1">
      <alignment horizontal="center"/>
    </xf>
    <xf numFmtId="0" fontId="33" fillId="3" borderId="0" xfId="0" applyFont="1" applyFill="1" applyAlignment="1">
      <alignment horizontal="center" wrapText="1"/>
    </xf>
    <xf numFmtId="0" fontId="12" fillId="0" borderId="0" xfId="0" applyFont="1" applyAlignment="1">
      <alignment wrapText="1"/>
    </xf>
    <xf numFmtId="164" fontId="109" fillId="3" borderId="11" xfId="1" applyNumberFormat="1" applyFont="1" applyFill="1" applyBorder="1"/>
    <xf numFmtId="164" fontId="109" fillId="3" borderId="12" xfId="1" applyNumberFormat="1" applyFont="1" applyFill="1" applyBorder="1"/>
    <xf numFmtId="164" fontId="110" fillId="3" borderId="11" xfId="0" applyNumberFormat="1" applyFont="1" applyFill="1" applyBorder="1"/>
    <xf numFmtId="164" fontId="12" fillId="0" borderId="0" xfId="0" applyNumberFormat="1" applyFont="1" applyAlignment="1">
      <alignment wrapText="1"/>
    </xf>
    <xf numFmtId="164" fontId="111" fillId="3" borderId="11" xfId="0" applyNumberFormat="1" applyFont="1" applyFill="1" applyBorder="1"/>
    <xf numFmtId="43" fontId="23" fillId="0" borderId="11" xfId="1" applyFont="1" applyBorder="1" applyAlignment="1">
      <alignment horizontal="center"/>
    </xf>
    <xf numFmtId="43" fontId="92" fillId="0" borderId="11" xfId="1" applyFont="1" applyBorder="1" applyAlignment="1">
      <alignment horizontal="center"/>
    </xf>
    <xf numFmtId="43" fontId="92" fillId="0" borderId="11" xfId="1" applyFont="1" applyBorder="1"/>
    <xf numFmtId="164" fontId="92" fillId="0" borderId="12" xfId="1" applyNumberFormat="1" applyFont="1" applyBorder="1"/>
    <xf numFmtId="164" fontId="39" fillId="0" borderId="11" xfId="1" applyNumberFormat="1" applyFont="1" applyBorder="1"/>
    <xf numFmtId="164" fontId="104" fillId="0" borderId="12" xfId="1" applyNumberFormat="1" applyFont="1" applyBorder="1"/>
    <xf numFmtId="164" fontId="113" fillId="0" borderId="11" xfId="0" applyNumberFormat="1" applyFont="1" applyBorder="1"/>
    <xf numFmtId="0" fontId="97" fillId="3" borderId="12" xfId="0" applyFont="1" applyFill="1" applyBorder="1" applyAlignment="1">
      <alignment horizontal="left"/>
    </xf>
    <xf numFmtId="0" fontId="97" fillId="3" borderId="28" xfId="0" applyFont="1" applyFill="1" applyBorder="1" applyAlignment="1">
      <alignment horizontal="left"/>
    </xf>
    <xf numFmtId="0" fontId="97" fillId="3" borderId="29" xfId="0" applyFont="1" applyFill="1" applyBorder="1" applyAlignment="1">
      <alignment horizontal="left"/>
    </xf>
    <xf numFmtId="0" fontId="103" fillId="0" borderId="12" xfId="0" applyFont="1" applyBorder="1" applyAlignment="1">
      <alignment horizontal="left"/>
    </xf>
    <xf numFmtId="0" fontId="103" fillId="0" borderId="28" xfId="0" applyFont="1" applyBorder="1" applyAlignment="1">
      <alignment horizontal="left"/>
    </xf>
    <xf numFmtId="0" fontId="103" fillId="0" borderId="29" xfId="0" applyFont="1" applyBorder="1" applyAlignment="1">
      <alignment horizontal="left"/>
    </xf>
    <xf numFmtId="164" fontId="104" fillId="0" borderId="0" xfId="1" applyNumberFormat="1" applyFont="1"/>
    <xf numFmtId="43" fontId="104" fillId="0" borderId="11" xfId="1" applyFont="1" applyBorder="1"/>
    <xf numFmtId="0" fontId="97" fillId="0" borderId="22" xfId="0" applyFont="1" applyBorder="1" applyAlignment="1">
      <alignment horizontal="center"/>
    </xf>
    <xf numFmtId="0" fontId="40" fillId="0" borderId="21" xfId="0" applyFont="1" applyBorder="1" applyAlignment="1">
      <alignment horizontal="left"/>
    </xf>
    <xf numFmtId="164" fontId="0" fillId="4" borderId="57" xfId="0" applyNumberFormat="1" applyFill="1" applyBorder="1"/>
    <xf numFmtId="0" fontId="114" fillId="0" borderId="29" xfId="0" applyFont="1" applyBorder="1" applyAlignment="1"/>
    <xf numFmtId="164" fontId="100" fillId="0" borderId="12" xfId="1" applyNumberFormat="1" applyFont="1" applyBorder="1" applyAlignment="1">
      <alignment horizontal="center"/>
    </xf>
    <xf numFmtId="0" fontId="13" fillId="0" borderId="11" xfId="0" applyFont="1" applyBorder="1"/>
    <xf numFmtId="0" fontId="40" fillId="0" borderId="11" xfId="0" applyFont="1" applyBorder="1" applyAlignment="1">
      <alignment horizontal="left"/>
    </xf>
    <xf numFmtId="43" fontId="4" fillId="0" borderId="13" xfId="0" applyNumberFormat="1" applyFont="1" applyBorder="1"/>
    <xf numFmtId="0" fontId="97" fillId="0" borderId="11" xfId="0" applyFont="1" applyBorder="1" applyAlignment="1">
      <alignment horizontal="center"/>
    </xf>
    <xf numFmtId="164" fontId="13" fillId="0" borderId="59" xfId="1" applyNumberFormat="1" applyFont="1" applyFill="1" applyBorder="1"/>
    <xf numFmtId="164" fontId="98" fillId="3" borderId="11" xfId="0" applyNumberFormat="1" applyFont="1" applyFill="1" applyBorder="1" applyAlignment="1">
      <alignment horizontal="center"/>
    </xf>
    <xf numFmtId="43" fontId="101" fillId="0" borderId="12" xfId="1" applyFont="1" applyBorder="1" applyAlignment="1">
      <alignment horizontal="center"/>
    </xf>
    <xf numFmtId="43" fontId="101" fillId="0" borderId="29" xfId="1" applyFont="1" applyBorder="1" applyAlignment="1">
      <alignment horizontal="center"/>
    </xf>
    <xf numFmtId="43" fontId="95" fillId="0" borderId="12" xfId="1" applyFont="1" applyBorder="1" applyAlignment="1">
      <alignment horizontal="center"/>
    </xf>
    <xf numFmtId="43" fontId="95" fillId="0" borderId="29" xfId="1" applyFont="1" applyBorder="1" applyAlignment="1">
      <alignment horizontal="center"/>
    </xf>
    <xf numFmtId="164" fontId="28" fillId="0" borderId="11" xfId="1" applyNumberFormat="1" applyFont="1" applyBorder="1"/>
    <xf numFmtId="0" fontId="117" fillId="0" borderId="11" xfId="0" applyFont="1" applyBorder="1" applyAlignment="1">
      <alignment horizontal="left"/>
    </xf>
    <xf numFmtId="0" fontId="40" fillId="0" borderId="39" xfId="0" applyFont="1" applyBorder="1" applyAlignment="1">
      <alignment horizontal="left"/>
    </xf>
    <xf numFmtId="43" fontId="4" fillId="0" borderId="60" xfId="0" applyNumberFormat="1" applyFont="1" applyBorder="1"/>
    <xf numFmtId="164" fontId="100" fillId="0" borderId="11" xfId="1" applyNumberFormat="1" applyFont="1" applyBorder="1" applyAlignment="1">
      <alignment horizontal="center"/>
    </xf>
    <xf numFmtId="0" fontId="95" fillId="0" borderId="12" xfId="0" applyFont="1" applyBorder="1" applyAlignment="1">
      <alignment horizontal="left"/>
    </xf>
    <xf numFmtId="0" fontId="95" fillId="0" borderId="28" xfId="0" applyFont="1" applyBorder="1" applyAlignment="1">
      <alignment horizontal="left"/>
    </xf>
    <xf numFmtId="0" fontId="95" fillId="0" borderId="29" xfId="0" applyFont="1" applyBorder="1" applyAlignment="1">
      <alignment horizontal="left"/>
    </xf>
    <xf numFmtId="0" fontId="91" fillId="0" borderId="11" xfId="0" applyFont="1" applyBorder="1"/>
    <xf numFmtId="43" fontId="101" fillId="0" borderId="0" xfId="1" applyFont="1" applyBorder="1"/>
    <xf numFmtId="0" fontId="95" fillId="0" borderId="0" xfId="0" applyFont="1"/>
    <xf numFmtId="0" fontId="112" fillId="0" borderId="12" xfId="0" applyFont="1" applyBorder="1" applyAlignment="1"/>
    <xf numFmtId="0" fontId="112" fillId="0" borderId="28" xfId="0" applyFont="1" applyBorder="1" applyAlignment="1"/>
    <xf numFmtId="0" fontId="112" fillId="0" borderId="29" xfId="0" applyFont="1" applyBorder="1" applyAlignment="1"/>
    <xf numFmtId="0" fontId="97" fillId="3" borderId="12" xfId="0" applyFont="1" applyFill="1" applyBorder="1" applyAlignment="1"/>
    <xf numFmtId="0" fontId="97" fillId="3" borderId="28" xfId="0" applyFont="1" applyFill="1" applyBorder="1" applyAlignment="1"/>
    <xf numFmtId="0" fontId="97" fillId="3" borderId="29" xfId="0" applyFont="1" applyFill="1" applyBorder="1" applyAlignment="1"/>
    <xf numFmtId="0" fontId="100" fillId="0" borderId="11" xfId="0" applyFont="1" applyBorder="1"/>
    <xf numFmtId="0" fontId="91" fillId="0" borderId="0" xfId="0" applyFont="1" applyBorder="1"/>
    <xf numFmtId="0" fontId="97" fillId="0" borderId="0" xfId="0" applyFont="1" applyBorder="1" applyAlignment="1">
      <alignment horizontal="center"/>
    </xf>
    <xf numFmtId="164" fontId="13" fillId="0" borderId="11" xfId="1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3" fillId="0" borderId="12" xfId="1" applyNumberFormat="1" applyFont="1" applyBorder="1" applyAlignment="1">
      <alignment horizontal="center"/>
    </xf>
    <xf numFmtId="164" fontId="104" fillId="0" borderId="0" xfId="0" applyNumberFormat="1" applyFont="1" applyBorder="1"/>
    <xf numFmtId="49" fontId="97" fillId="0" borderId="11" xfId="0" applyNumberFormat="1" applyFont="1" applyBorder="1" applyAlignment="1">
      <alignment horizontal="center"/>
    </xf>
    <xf numFmtId="164" fontId="99" fillId="0" borderId="12" xfId="1" applyNumberFormat="1" applyFont="1" applyBorder="1" applyAlignment="1">
      <alignment horizontal="center"/>
    </xf>
    <xf numFmtId="164" fontId="119" fillId="0" borderId="11" xfId="1" applyNumberFormat="1" applyFont="1" applyBorder="1" applyAlignment="1">
      <alignment horizontal="center"/>
    </xf>
    <xf numFmtId="164" fontId="119" fillId="0" borderId="12" xfId="1" applyNumberFormat="1" applyFont="1" applyBorder="1" applyAlignment="1">
      <alignment horizontal="center"/>
    </xf>
    <xf numFmtId="0" fontId="93" fillId="0" borderId="11" xfId="0" applyFont="1" applyBorder="1"/>
    <xf numFmtId="43" fontId="94" fillId="0" borderId="11" xfId="1" applyFont="1" applyBorder="1"/>
    <xf numFmtId="43" fontId="94" fillId="0" borderId="29" xfId="1" applyFont="1" applyBorder="1"/>
    <xf numFmtId="0" fontId="101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26" fillId="0" borderId="11" xfId="0" applyFont="1" applyBorder="1"/>
    <xf numFmtId="164" fontId="36" fillId="0" borderId="11" xfId="1" applyNumberFormat="1" applyFont="1" applyBorder="1"/>
    <xf numFmtId="43" fontId="74" fillId="0" borderId="11" xfId="1" applyFont="1" applyBorder="1"/>
    <xf numFmtId="164" fontId="63" fillId="0" borderId="11" xfId="1" applyNumberFormat="1" applyFont="1" applyBorder="1"/>
    <xf numFmtId="0" fontId="32" fillId="0" borderId="11" xfId="0" applyFont="1" applyBorder="1"/>
    <xf numFmtId="0" fontId="18" fillId="0" borderId="11" xfId="0" applyFont="1" applyBorder="1"/>
    <xf numFmtId="0" fontId="32" fillId="0" borderId="11" xfId="0" applyFont="1" applyBorder="1" applyAlignment="1">
      <alignment horizontal="center"/>
    </xf>
    <xf numFmtId="164" fontId="63" fillId="0" borderId="22" xfId="1" applyNumberFormat="1" applyFont="1" applyBorder="1"/>
    <xf numFmtId="0" fontId="122" fillId="0" borderId="0" xfId="0" applyFont="1"/>
    <xf numFmtId="0" fontId="43" fillId="8" borderId="0" xfId="0" applyFont="1" applyFill="1" applyAlignment="1">
      <alignment wrapText="1"/>
    </xf>
    <xf numFmtId="0" fontId="23" fillId="3" borderId="11" xfId="0" applyFont="1" applyFill="1" applyBorder="1"/>
    <xf numFmtId="0" fontId="23" fillId="3" borderId="11" xfId="0" applyFont="1" applyFill="1" applyBorder="1" applyAlignment="1">
      <alignment horizontal="left"/>
    </xf>
    <xf numFmtId="0" fontId="43" fillId="9" borderId="11" xfId="0" applyFont="1" applyFill="1" applyBorder="1"/>
    <xf numFmtId="0" fontId="43" fillId="0" borderId="11" xfId="0" applyFont="1" applyBorder="1"/>
    <xf numFmtId="0" fontId="108" fillId="0" borderId="11" xfId="0" applyFont="1" applyBorder="1"/>
    <xf numFmtId="0" fontId="2" fillId="0" borderId="11" xfId="0" applyFont="1" applyBorder="1"/>
    <xf numFmtId="43" fontId="0" fillId="0" borderId="11" xfId="1" applyFont="1" applyBorder="1"/>
    <xf numFmtId="43" fontId="0" fillId="0" borderId="11" xfId="0" applyNumberFormat="1" applyBorder="1"/>
    <xf numFmtId="43" fontId="0" fillId="0" borderId="11" xfId="1" applyFont="1" applyBorder="1" applyAlignment="1">
      <alignment horizontal="left" wrapText="1"/>
    </xf>
    <xf numFmtId="43" fontId="0" fillId="0" borderId="11" xfId="1" applyFont="1" applyBorder="1" applyAlignment="1">
      <alignment wrapText="1"/>
    </xf>
    <xf numFmtId="43" fontId="123" fillId="8" borderId="11" xfId="0" applyNumberFormat="1" applyFont="1" applyFill="1" applyBorder="1"/>
    <xf numFmtId="43" fontId="124" fillId="6" borderId="11" xfId="1" applyFont="1" applyFill="1" applyBorder="1"/>
    <xf numFmtId="43" fontId="125" fillId="3" borderId="11" xfId="1" applyFont="1" applyFill="1" applyBorder="1"/>
    <xf numFmtId="14" fontId="0" fillId="0" borderId="0" xfId="0" applyNumberFormat="1"/>
    <xf numFmtId="0" fontId="124" fillId="3" borderId="0" xfId="0" applyFont="1" applyFill="1"/>
    <xf numFmtId="0" fontId="0" fillId="3" borderId="0" xfId="0" applyFill="1"/>
    <xf numFmtId="0" fontId="23" fillId="9" borderId="11" xfId="0" applyFont="1" applyFill="1" applyBorder="1"/>
    <xf numFmtId="0" fontId="126" fillId="0" borderId="11" xfId="0" applyFont="1" applyBorder="1"/>
    <xf numFmtId="0" fontId="40" fillId="4" borderId="11" xfId="0" applyFont="1" applyFill="1" applyBorder="1" applyAlignment="1">
      <alignment horizontal="right"/>
    </xf>
    <xf numFmtId="164" fontId="1" fillId="0" borderId="11" xfId="1" applyNumberFormat="1" applyFont="1" applyBorder="1" applyAlignment="1">
      <alignment horizontal="left" wrapText="1"/>
    </xf>
    <xf numFmtId="0" fontId="127" fillId="4" borderId="11" xfId="0" applyFont="1" applyFill="1" applyBorder="1"/>
    <xf numFmtId="164" fontId="127" fillId="4" borderId="11" xfId="0" applyNumberFormat="1" applyFont="1" applyFill="1" applyBorder="1"/>
    <xf numFmtId="43" fontId="54" fillId="4" borderId="11" xfId="1" applyFont="1" applyFill="1" applyBorder="1" applyAlignment="1">
      <alignment wrapText="1"/>
    </xf>
    <xf numFmtId="43" fontId="127" fillId="4" borderId="11" xfId="0" applyNumberFormat="1" applyFont="1" applyFill="1" applyBorder="1"/>
    <xf numFmtId="0" fontId="0" fillId="4" borderId="0" xfId="0" applyFill="1"/>
    <xf numFmtId="2" fontId="116" fillId="0" borderId="11" xfId="0" applyNumberFormat="1" applyFont="1" applyBorder="1" applyAlignment="1">
      <alignment wrapText="1"/>
    </xf>
    <xf numFmtId="0" fontId="54" fillId="0" borderId="11" xfId="0" applyFont="1" applyBorder="1"/>
    <xf numFmtId="43" fontId="1" fillId="0" borderId="11" xfId="1" applyFont="1" applyBorder="1" applyAlignment="1">
      <alignment wrapText="1"/>
    </xf>
    <xf numFmtId="43" fontId="54" fillId="4" borderId="0" xfId="1" applyFont="1" applyFill="1" applyAlignment="1">
      <alignment wrapText="1"/>
    </xf>
    <xf numFmtId="43" fontId="1" fillId="0" borderId="11" xfId="1" applyNumberFormat="1" applyFont="1" applyBorder="1" applyAlignment="1">
      <alignment horizontal="left" wrapText="1"/>
    </xf>
    <xf numFmtId="43" fontId="128" fillId="6" borderId="11" xfId="0" applyNumberFormat="1" applyFont="1" applyFill="1" applyBorder="1"/>
    <xf numFmtId="43" fontId="123" fillId="3" borderId="11" xfId="0" applyNumberFormat="1" applyFont="1" applyFill="1" applyBorder="1"/>
    <xf numFmtId="0" fontId="23" fillId="9" borderId="56" xfId="0" applyNumberFormat="1" applyFont="1" applyFill="1" applyBorder="1" applyAlignment="1">
      <alignment wrapText="1"/>
    </xf>
    <xf numFmtId="0" fontId="23" fillId="0" borderId="61" xfId="0" applyFont="1" applyBorder="1"/>
    <xf numFmtId="0" fontId="23" fillId="0" borderId="41" xfId="0" applyFont="1" applyBorder="1"/>
    <xf numFmtId="0" fontId="23" fillId="0" borderId="11" xfId="0" applyFont="1" applyFill="1" applyBorder="1"/>
    <xf numFmtId="0" fontId="23" fillId="0" borderId="11" xfId="0" applyFont="1" applyFill="1" applyBorder="1" applyAlignment="1">
      <alignment wrapText="1"/>
    </xf>
    <xf numFmtId="0" fontId="0" fillId="0" borderId="25" xfId="0" applyBorder="1"/>
    <xf numFmtId="43" fontId="23" fillId="0" borderId="12" xfId="0" applyNumberFormat="1" applyFont="1" applyBorder="1"/>
    <xf numFmtId="43" fontId="23" fillId="0" borderId="11" xfId="0" applyNumberFormat="1" applyFont="1" applyBorder="1"/>
    <xf numFmtId="43" fontId="0" fillId="3" borderId="11" xfId="0" applyNumberFormat="1" applyFill="1" applyBorder="1"/>
    <xf numFmtId="43" fontId="23" fillId="4" borderId="11" xfId="0" applyNumberFormat="1" applyFont="1" applyFill="1" applyBorder="1"/>
    <xf numFmtId="43" fontId="23" fillId="0" borderId="12" xfId="1" applyFont="1" applyBorder="1"/>
    <xf numFmtId="43" fontId="1" fillId="0" borderId="39" xfId="1" applyFont="1" applyBorder="1" applyAlignment="1">
      <alignment wrapText="1"/>
    </xf>
    <xf numFmtId="43" fontId="2" fillId="0" borderId="46" xfId="1" applyFont="1" applyBorder="1" applyAlignment="1">
      <alignment wrapText="1"/>
    </xf>
    <xf numFmtId="0" fontId="0" fillId="0" borderId="31" xfId="0" applyBorder="1"/>
    <xf numFmtId="0" fontId="0" fillId="0" borderId="32" xfId="0" applyBorder="1"/>
    <xf numFmtId="43" fontId="130" fillId="8" borderId="18" xfId="0" applyNumberFormat="1" applyFont="1" applyFill="1" applyBorder="1"/>
    <xf numFmtId="43" fontId="130" fillId="3" borderId="9" xfId="0" applyNumberFormat="1" applyFont="1" applyFill="1" applyBorder="1"/>
    <xf numFmtId="0" fontId="2" fillId="3" borderId="9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0" fontId="2" fillId="6" borderId="50" xfId="0" applyFont="1" applyFill="1" applyBorder="1" applyAlignment="1">
      <alignment wrapText="1"/>
    </xf>
    <xf numFmtId="14" fontId="2" fillId="3" borderId="9" xfId="0" applyNumberFormat="1" applyFont="1" applyFill="1" applyBorder="1" applyAlignment="1">
      <alignment horizontal="center" wrapText="1"/>
    </xf>
    <xf numFmtId="14" fontId="2" fillId="3" borderId="50" xfId="0" applyNumberFormat="1" applyFont="1" applyFill="1" applyBorder="1" applyAlignment="1">
      <alignment horizontal="center" wrapText="1"/>
    </xf>
    <xf numFmtId="14" fontId="2" fillId="3" borderId="43" xfId="0" applyNumberFormat="1" applyFont="1" applyFill="1" applyBorder="1" applyAlignment="1">
      <alignment horizontal="center" wrapText="1"/>
    </xf>
    <xf numFmtId="0" fontId="131" fillId="3" borderId="62" xfId="0" applyFont="1" applyFill="1" applyBorder="1" applyAlignment="1">
      <alignment wrapText="1"/>
    </xf>
    <xf numFmtId="0" fontId="2" fillId="10" borderId="62" xfId="0" applyFont="1" applyFill="1" applyBorder="1" applyAlignment="1">
      <alignment wrapText="1"/>
    </xf>
    <xf numFmtId="0" fontId="131" fillId="11" borderId="50" xfId="0" applyFont="1" applyFill="1" applyBorder="1" applyAlignment="1">
      <alignment wrapText="1"/>
    </xf>
    <xf numFmtId="0" fontId="0" fillId="4" borderId="21" xfId="0" applyFill="1" applyBorder="1" applyAlignment="1">
      <alignment horizontal="left"/>
    </xf>
    <xf numFmtId="0" fontId="0" fillId="4" borderId="22" xfId="0" applyFill="1" applyBorder="1"/>
    <xf numFmtId="164" fontId="1" fillId="4" borderId="25" xfId="1" applyNumberFormat="1" applyFont="1" applyFill="1" applyBorder="1"/>
    <xf numFmtId="164" fontId="1" fillId="4" borderId="63" xfId="1" applyNumberFormat="1" applyFont="1" applyFill="1" applyBorder="1"/>
    <xf numFmtId="164" fontId="1" fillId="4" borderId="57" xfId="1" applyNumberFormat="1" applyFont="1" applyFill="1" applyBorder="1"/>
    <xf numFmtId="164" fontId="1" fillId="4" borderId="24" xfId="1" applyNumberFormat="1" applyFont="1" applyFill="1" applyBorder="1"/>
    <xf numFmtId="43" fontId="0" fillId="4" borderId="11" xfId="0" applyNumberFormat="1" applyFill="1" applyBorder="1"/>
    <xf numFmtId="164" fontId="0" fillId="10" borderId="21" xfId="0" applyNumberFormat="1" applyFont="1" applyFill="1" applyBorder="1"/>
    <xf numFmtId="164" fontId="0" fillId="4" borderId="57" xfId="0" applyNumberFormat="1" applyFont="1" applyFill="1" applyBorder="1"/>
    <xf numFmtId="49" fontId="0" fillId="4" borderId="0" xfId="0" applyNumberFormat="1" applyFont="1" applyFill="1" applyBorder="1"/>
    <xf numFmtId="43" fontId="0" fillId="4" borderId="0" xfId="0" applyNumberFormat="1" applyFill="1"/>
    <xf numFmtId="0" fontId="0" fillId="0" borderId="11" xfId="0" applyBorder="1" applyAlignment="1">
      <alignment horizontal="left"/>
    </xf>
    <xf numFmtId="0" fontId="132" fillId="0" borderId="12" xfId="0" applyFont="1" applyBorder="1"/>
    <xf numFmtId="164" fontId="1" fillId="0" borderId="30" xfId="1" applyNumberFormat="1" applyFont="1" applyBorder="1"/>
    <xf numFmtId="164" fontId="0" fillId="0" borderId="13" xfId="0" applyNumberFormat="1" applyBorder="1"/>
    <xf numFmtId="164" fontId="1" fillId="0" borderId="64" xfId="1" applyNumberFormat="1" applyFont="1" applyBorder="1"/>
    <xf numFmtId="164" fontId="1" fillId="0" borderId="13" xfId="1" applyNumberFormat="1" applyFont="1" applyBorder="1"/>
    <xf numFmtId="164" fontId="1" fillId="4" borderId="29" xfId="1" applyNumberFormat="1" applyFont="1" applyFill="1" applyBorder="1"/>
    <xf numFmtId="164" fontId="0" fillId="0" borderId="11" xfId="0" applyNumberFormat="1" applyFont="1" applyBorder="1"/>
    <xf numFmtId="164" fontId="0" fillId="10" borderId="11" xfId="0" applyNumberFormat="1" applyFont="1" applyFill="1" applyBorder="1"/>
    <xf numFmtId="164" fontId="0" fillId="0" borderId="13" xfId="0" applyNumberFormat="1" applyFont="1" applyBorder="1"/>
    <xf numFmtId="49" fontId="54" fillId="0" borderId="0" xfId="0" applyNumberFormat="1" applyFont="1" applyFill="1" applyBorder="1"/>
    <xf numFmtId="0" fontId="0" fillId="0" borderId="12" xfId="0" applyFont="1" applyBorder="1"/>
    <xf numFmtId="0" fontId="0" fillId="0" borderId="12" xfId="0" applyBorder="1"/>
    <xf numFmtId="0" fontId="2" fillId="0" borderId="12" xfId="0" applyFont="1" applyBorder="1"/>
    <xf numFmtId="164" fontId="2" fillId="0" borderId="30" xfId="1" applyNumberFormat="1" applyFont="1" applyBorder="1"/>
    <xf numFmtId="0" fontId="2" fillId="0" borderId="11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2" fillId="0" borderId="46" xfId="0" applyFont="1" applyBorder="1"/>
    <xf numFmtId="164" fontId="1" fillId="0" borderId="31" xfId="1" applyNumberFormat="1" applyFont="1" applyBorder="1"/>
    <xf numFmtId="164" fontId="0" fillId="0" borderId="60" xfId="0" applyNumberFormat="1" applyBorder="1"/>
    <xf numFmtId="164" fontId="1" fillId="0" borderId="65" xfId="1" applyNumberFormat="1" applyFont="1" applyBorder="1"/>
    <xf numFmtId="164" fontId="1" fillId="0" borderId="60" xfId="1" applyNumberFormat="1" applyFont="1" applyBorder="1"/>
    <xf numFmtId="164" fontId="0" fillId="0" borderId="34" xfId="0" applyNumberFormat="1" applyFont="1" applyBorder="1"/>
    <xf numFmtId="164" fontId="0" fillId="10" borderId="34" xfId="0" applyNumberFormat="1" applyFont="1" applyFill="1" applyBorder="1"/>
    <xf numFmtId="164" fontId="0" fillId="0" borderId="60" xfId="0" applyNumberFormat="1" applyFont="1" applyBorder="1"/>
    <xf numFmtId="0" fontId="2" fillId="6" borderId="62" xfId="0" applyFont="1" applyFill="1" applyBorder="1" applyAlignment="1">
      <alignment horizontal="left"/>
    </xf>
    <xf numFmtId="0" fontId="0" fillId="6" borderId="62" xfId="0" applyFill="1" applyBorder="1"/>
    <xf numFmtId="164" fontId="2" fillId="6" borderId="66" xfId="0" applyNumberFormat="1" applyFont="1" applyFill="1" applyBorder="1"/>
    <xf numFmtId="164" fontId="2" fillId="3" borderId="67" xfId="0" applyNumberFormat="1" applyFont="1" applyFill="1" applyBorder="1"/>
    <xf numFmtId="164" fontId="2" fillId="6" borderId="45" xfId="0" applyNumberFormat="1" applyFont="1" applyFill="1" applyBorder="1"/>
    <xf numFmtId="9" fontId="1" fillId="0" borderId="0" xfId="2" applyFont="1" applyAlignment="1">
      <alignment horizontal="left"/>
    </xf>
    <xf numFmtId="0" fontId="2" fillId="3" borderId="11" xfId="0" applyFont="1" applyFill="1" applyBorder="1" applyAlignment="1">
      <alignment wrapText="1"/>
    </xf>
    <xf numFmtId="0" fontId="0" fillId="3" borderId="11" xfId="0" applyFill="1" applyBorder="1"/>
    <xf numFmtId="9" fontId="23" fillId="3" borderId="11" xfId="2" applyFont="1" applyFill="1" applyBorder="1"/>
    <xf numFmtId="164" fontId="0" fillId="0" borderId="39" xfId="0" applyNumberFormat="1" applyBorder="1"/>
    <xf numFmtId="164" fontId="0" fillId="3" borderId="18" xfId="0" applyNumberFormat="1" applyFill="1" applyBorder="1"/>
    <xf numFmtId="0" fontId="129" fillId="0" borderId="0" xfId="0" applyFont="1"/>
    <xf numFmtId="0" fontId="54" fillId="3" borderId="11" xfId="0" applyFont="1" applyFill="1" applyBorder="1"/>
    <xf numFmtId="164" fontId="0" fillId="0" borderId="11" xfId="1" applyNumberFormat="1" applyFont="1" applyBorder="1"/>
    <xf numFmtId="164" fontId="0" fillId="3" borderId="11" xfId="0" applyNumberFormat="1" applyFill="1" applyBorder="1"/>
    <xf numFmtId="0" fontId="34" fillId="0" borderId="0" xfId="0" applyFont="1" applyBorder="1" applyAlignment="1"/>
    <xf numFmtId="0" fontId="133" fillId="0" borderId="0" xfId="0" applyFont="1" applyBorder="1" applyAlignment="1"/>
    <xf numFmtId="0" fontId="100" fillId="0" borderId="0" xfId="0" applyFont="1" applyBorder="1"/>
    <xf numFmtId="0" fontId="97" fillId="0" borderId="0" xfId="0" applyFont="1" applyBorder="1" applyAlignment="1"/>
    <xf numFmtId="0" fontId="107" fillId="0" borderId="0" xfId="0" applyFont="1" applyBorder="1" applyAlignment="1"/>
    <xf numFmtId="0" fontId="30" fillId="0" borderId="0" xfId="0" applyFont="1" applyBorder="1" applyAlignment="1">
      <alignment wrapText="1"/>
    </xf>
    <xf numFmtId="0" fontId="135" fillId="0" borderId="11" xfId="0" applyFont="1" applyBorder="1" applyAlignment="1">
      <alignment horizontal="center" wrapText="1"/>
    </xf>
    <xf numFmtId="0" fontId="107" fillId="0" borderId="11" xfId="0" applyFont="1" applyBorder="1" applyAlignment="1">
      <alignment horizontal="center"/>
    </xf>
    <xf numFmtId="43" fontId="100" fillId="0" borderId="11" xfId="1" applyFont="1" applyBorder="1"/>
    <xf numFmtId="0" fontId="103" fillId="0" borderId="11" xfId="0" applyFont="1" applyBorder="1" applyAlignment="1">
      <alignment horizontal="center"/>
    </xf>
    <xf numFmtId="0" fontId="103" fillId="0" borderId="11" xfId="0" applyFont="1" applyBorder="1" applyAlignment="1">
      <alignment horizontal="center" wrapText="1"/>
    </xf>
    <xf numFmtId="0" fontId="103" fillId="0" borderId="11" xfId="0" applyFont="1" applyFill="1" applyBorder="1" applyAlignment="1">
      <alignment horizontal="center"/>
    </xf>
    <xf numFmtId="0" fontId="107" fillId="0" borderId="11" xfId="0" applyFont="1" applyFill="1" applyBorder="1" applyAlignment="1">
      <alignment horizontal="center"/>
    </xf>
    <xf numFmtId="43" fontId="101" fillId="0" borderId="11" xfId="1" applyFont="1" applyBorder="1"/>
    <xf numFmtId="43" fontId="43" fillId="0" borderId="0" xfId="1" applyFont="1" applyBorder="1"/>
    <xf numFmtId="43" fontId="124" fillId="0" borderId="0" xfId="1" applyFont="1" applyBorder="1"/>
    <xf numFmtId="0" fontId="103" fillId="0" borderId="11" xfId="0" applyFont="1" applyFill="1" applyBorder="1" applyAlignment="1">
      <alignment horizontal="center" wrapText="1"/>
    </xf>
    <xf numFmtId="0" fontId="103" fillId="0" borderId="11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/>
    </xf>
    <xf numFmtId="43" fontId="100" fillId="0" borderId="0" xfId="1" applyFont="1" applyBorder="1"/>
    <xf numFmtId="0" fontId="97" fillId="0" borderId="0" xfId="0" applyFont="1" applyFill="1" applyBorder="1" applyAlignment="1">
      <alignment horizontal="center"/>
    </xf>
    <xf numFmtId="43" fontId="46" fillId="0" borderId="0" xfId="1" applyFont="1" applyBorder="1"/>
    <xf numFmtId="0" fontId="100" fillId="0" borderId="0" xfId="0" applyFont="1"/>
    <xf numFmtId="0" fontId="136" fillId="0" borderId="0" xfId="0" applyFont="1"/>
    <xf numFmtId="43" fontId="65" fillId="0" borderId="11" xfId="1" applyFont="1" applyBorder="1"/>
    <xf numFmtId="43" fontId="87" fillId="0" borderId="11" xfId="1" applyFont="1" applyBorder="1"/>
    <xf numFmtId="0" fontId="137" fillId="0" borderId="11" xfId="0" applyFont="1" applyBorder="1" applyAlignment="1">
      <alignment horizontal="center"/>
    </xf>
    <xf numFmtId="43" fontId="13" fillId="0" borderId="11" xfId="1" applyFont="1" applyBorder="1"/>
    <xf numFmtId="164" fontId="100" fillId="0" borderId="11" xfId="1" applyNumberFormat="1" applyFont="1" applyBorder="1"/>
    <xf numFmtId="0" fontId="107" fillId="0" borderId="0" xfId="0" applyFont="1" applyFill="1" applyBorder="1" applyAlignment="1">
      <alignment horizontal="center"/>
    </xf>
    <xf numFmtId="0" fontId="107" fillId="0" borderId="0" xfId="0" applyFont="1" applyBorder="1" applyAlignment="1">
      <alignment horizontal="left"/>
    </xf>
    <xf numFmtId="164" fontId="39" fillId="0" borderId="0" xfId="1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49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38" fontId="4" fillId="0" borderId="0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left"/>
    </xf>
    <xf numFmtId="0" fontId="140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49" fontId="138" fillId="0" borderId="0" xfId="0" applyNumberFormat="1" applyFont="1" applyBorder="1" applyAlignment="1">
      <alignment wrapText="1"/>
    </xf>
    <xf numFmtId="38" fontId="140" fillId="0" borderId="0" xfId="0" applyNumberFormat="1" applyFont="1" applyBorder="1" applyAlignment="1">
      <alignment horizontal="right" wrapText="1"/>
    </xf>
    <xf numFmtId="0" fontId="143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140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49" fontId="4" fillId="0" borderId="0" xfId="0" applyNumberFormat="1" applyFont="1" applyBorder="1" applyAlignment="1"/>
    <xf numFmtId="49" fontId="4" fillId="0" borderId="0" xfId="0" applyNumberFormat="1" applyFont="1" applyFill="1" applyBorder="1" applyAlignment="1"/>
    <xf numFmtId="49" fontId="43" fillId="0" borderId="0" xfId="0" applyNumberFormat="1" applyFont="1" applyBorder="1"/>
    <xf numFmtId="0" fontId="144" fillId="0" borderId="0" xfId="0" applyFont="1" applyBorder="1" applyAlignment="1">
      <alignment wrapText="1"/>
    </xf>
    <xf numFmtId="0" fontId="140" fillId="0" borderId="0" xfId="0" applyFont="1" applyFill="1" applyBorder="1" applyAlignment="1">
      <alignment wrapText="1"/>
    </xf>
    <xf numFmtId="38" fontId="140" fillId="0" borderId="0" xfId="0" applyNumberFormat="1" applyFont="1" applyFill="1" applyBorder="1" applyAlignment="1">
      <alignment horizontal="right" wrapText="1"/>
    </xf>
    <xf numFmtId="0" fontId="146" fillId="4" borderId="0" xfId="0" applyFont="1" applyFill="1" applyBorder="1"/>
    <xf numFmtId="0" fontId="30" fillId="4" borderId="0" xfId="0" applyFont="1" applyFill="1" applyBorder="1"/>
    <xf numFmtId="38" fontId="146" fillId="4" borderId="0" xfId="0" applyNumberFormat="1" applyFont="1" applyFill="1" applyBorder="1" applyAlignment="1">
      <alignment horizontal="right"/>
    </xf>
    <xf numFmtId="0" fontId="147" fillId="4" borderId="0" xfId="0" applyFont="1" applyFill="1" applyBorder="1"/>
    <xf numFmtId="0" fontId="4" fillId="4" borderId="0" xfId="0" applyFont="1" applyFill="1" applyBorder="1"/>
    <xf numFmtId="38" fontId="147" fillId="4" borderId="0" xfId="0" applyNumberFormat="1" applyFont="1" applyFill="1" applyBorder="1" applyAlignment="1">
      <alignment horizontal="right"/>
    </xf>
    <xf numFmtId="0" fontId="140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3" fillId="0" borderId="0" xfId="0" applyFont="1" applyBorder="1"/>
    <xf numFmtId="0" fontId="23" fillId="4" borderId="0" xfId="0" applyFont="1" applyFill="1" applyBorder="1"/>
    <xf numFmtId="0" fontId="0" fillId="4" borderId="0" xfId="0" applyFill="1" applyBorder="1"/>
    <xf numFmtId="43" fontId="54" fillId="4" borderId="0" xfId="1" applyFont="1" applyFill="1" applyBorder="1"/>
    <xf numFmtId="167" fontId="0" fillId="4" borderId="0" xfId="0" applyNumberFormat="1" applyFill="1" applyBorder="1"/>
    <xf numFmtId="38" fontId="0" fillId="0" borderId="0" xfId="0" applyNumberFormat="1" applyBorder="1" applyAlignment="1">
      <alignment horizontal="right"/>
    </xf>
    <xf numFmtId="43" fontId="4" fillId="4" borderId="0" xfId="1" applyFont="1" applyFill="1" applyBorder="1"/>
    <xf numFmtId="0" fontId="4" fillId="4" borderId="0" xfId="0" applyFont="1" applyFill="1" applyBorder="1" applyAlignment="1">
      <alignment horizontal="left"/>
    </xf>
    <xf numFmtId="38" fontId="4" fillId="4" borderId="0" xfId="1" applyNumberFormat="1" applyFont="1" applyFill="1" applyBorder="1" applyAlignment="1">
      <alignment horizontal="right"/>
    </xf>
    <xf numFmtId="43" fontId="0" fillId="0" borderId="0" xfId="1" applyFont="1" applyBorder="1"/>
    <xf numFmtId="40" fontId="0" fillId="0" borderId="0" xfId="0" applyNumberFormat="1" applyBorder="1"/>
    <xf numFmtId="49" fontId="4" fillId="4" borderId="0" xfId="0" applyNumberFormat="1" applyFont="1" applyFill="1" applyBorder="1" applyAlignment="1"/>
    <xf numFmtId="43" fontId="0" fillId="4" borderId="0" xfId="0" applyNumberFormat="1" applyFill="1" applyBorder="1"/>
    <xf numFmtId="43" fontId="4" fillId="4" borderId="0" xfId="0" applyNumberFormat="1" applyFont="1" applyFill="1" applyBorder="1"/>
    <xf numFmtId="0" fontId="0" fillId="4" borderId="0" xfId="0" applyFill="1" applyBorder="1" applyAlignment="1">
      <alignment horizontal="left"/>
    </xf>
    <xf numFmtId="38" fontId="4" fillId="4" borderId="0" xfId="0" applyNumberFormat="1" applyFont="1" applyFill="1" applyBorder="1" applyAlignment="1">
      <alignment horizontal="right"/>
    </xf>
    <xf numFmtId="38" fontId="0" fillId="4" borderId="0" xfId="0" applyNumberFormat="1" applyFill="1" applyBorder="1" applyAlignment="1">
      <alignment horizontal="right"/>
    </xf>
    <xf numFmtId="0" fontId="0" fillId="0" borderId="0" xfId="0" applyBorder="1" applyAlignment="1"/>
    <xf numFmtId="0" fontId="29" fillId="0" borderId="0" xfId="0" applyFont="1" applyBorder="1" applyAlignment="1">
      <alignment horizontal="center" wrapText="1"/>
    </xf>
    <xf numFmtId="38" fontId="29" fillId="0" borderId="0" xfId="0" applyNumberFormat="1" applyFont="1" applyBorder="1" applyAlignment="1">
      <alignment horizontal="right" wrapText="1"/>
    </xf>
    <xf numFmtId="38" fontId="6" fillId="0" borderId="0" xfId="0" applyNumberFormat="1" applyFont="1" applyBorder="1" applyAlignment="1">
      <alignment horizontal="right" wrapText="1"/>
    </xf>
    <xf numFmtId="38" fontId="0" fillId="0" borderId="0" xfId="0" applyNumberFormat="1" applyBorder="1" applyAlignment="1">
      <alignment horizontal="right" wrapText="1"/>
    </xf>
    <xf numFmtId="0" fontId="29" fillId="0" borderId="0" xfId="0" applyFont="1" applyBorder="1" applyAlignment="1">
      <alignment horizontal="center"/>
    </xf>
    <xf numFmtId="0" fontId="30" fillId="0" borderId="0" xfId="0" applyFont="1" applyBorder="1"/>
    <xf numFmtId="0" fontId="54" fillId="0" borderId="0" xfId="0" applyFont="1" applyBorder="1"/>
    <xf numFmtId="49" fontId="0" fillId="0" borderId="0" xfId="0" applyNumberFormat="1" applyBorder="1" applyAlignment="1"/>
    <xf numFmtId="49" fontId="0" fillId="0" borderId="0" xfId="0" applyNumberFormat="1" applyBorder="1"/>
    <xf numFmtId="0" fontId="34" fillId="0" borderId="0" xfId="0" applyFont="1" applyBorder="1" applyAlignment="1">
      <alignment horizontal="center"/>
    </xf>
    <xf numFmtId="49" fontId="34" fillId="0" borderId="0" xfId="0" applyNumberFormat="1" applyFont="1" applyBorder="1" applyAlignment="1">
      <alignment horizontal="center"/>
    </xf>
    <xf numFmtId="38" fontId="0" fillId="0" borderId="0" xfId="0" applyNumberFormat="1" applyAlignment="1">
      <alignment horizontal="right" wrapText="1"/>
    </xf>
    <xf numFmtId="0" fontId="0" fillId="0" borderId="0" xfId="0" applyAlignment="1"/>
    <xf numFmtId="49" fontId="0" fillId="0" borderId="0" xfId="0" applyNumberFormat="1"/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165" fontId="29" fillId="2" borderId="4" xfId="2" applyNumberFormat="1" applyFont="1" applyFill="1" applyBorder="1" applyAlignment="1">
      <alignment horizontal="center"/>
    </xf>
    <xf numFmtId="165" fontId="29" fillId="2" borderId="0" xfId="2" applyNumberFormat="1" applyFont="1" applyFill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0" fontId="28" fillId="0" borderId="17" xfId="0" applyFont="1" applyBorder="1" applyAlignment="1">
      <alignment horizontal="center" wrapText="1"/>
    </xf>
    <xf numFmtId="0" fontId="33" fillId="0" borderId="19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6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43" fontId="37" fillId="0" borderId="21" xfId="1" applyFont="1" applyBorder="1"/>
    <xf numFmtId="43" fontId="28" fillId="0" borderId="22" xfId="1" applyFont="1" applyBorder="1"/>
    <xf numFmtId="43" fontId="28" fillId="0" borderId="23" xfId="1" applyFont="1" applyBorder="1"/>
    <xf numFmtId="0" fontId="19" fillId="0" borderId="22" xfId="0" applyFont="1" applyBorder="1"/>
    <xf numFmtId="0" fontId="34" fillId="0" borderId="23" xfId="0" applyFont="1" applyBorder="1"/>
    <xf numFmtId="0" fontId="34" fillId="0" borderId="24" xfId="0" applyFont="1" applyBorder="1"/>
    <xf numFmtId="43" fontId="38" fillId="0" borderId="26" xfId="1" applyFont="1" applyBorder="1"/>
    <xf numFmtId="43" fontId="38" fillId="0" borderId="27" xfId="1" applyFont="1" applyBorder="1"/>
    <xf numFmtId="0" fontId="36" fillId="0" borderId="12" xfId="0" applyFont="1" applyBorder="1"/>
    <xf numFmtId="0" fontId="36" fillId="0" borderId="28" xfId="0" applyFont="1" applyBorder="1"/>
    <xf numFmtId="0" fontId="36" fillId="0" borderId="29" xfId="0" applyFont="1" applyBorder="1"/>
    <xf numFmtId="43" fontId="37" fillId="0" borderId="12" xfId="1" applyFont="1" applyBorder="1"/>
    <xf numFmtId="43" fontId="37" fillId="0" borderId="29" xfId="1" applyFont="1" applyBorder="1"/>
    <xf numFmtId="43" fontId="28" fillId="0" borderId="12" xfId="1" applyFont="1" applyBorder="1"/>
    <xf numFmtId="43" fontId="28" fillId="0" borderId="28" xfId="1" applyFont="1" applyBorder="1"/>
    <xf numFmtId="43" fontId="40" fillId="0" borderId="21" xfId="1" applyFont="1" applyBorder="1"/>
    <xf numFmtId="43" fontId="40" fillId="0" borderId="22" xfId="1" applyFont="1" applyBorder="1"/>
    <xf numFmtId="0" fontId="36" fillId="0" borderId="12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43" fontId="37" fillId="0" borderId="12" xfId="1" applyFont="1" applyBorder="1" applyAlignment="1">
      <alignment horizontal="center"/>
    </xf>
    <xf numFmtId="43" fontId="37" fillId="0" borderId="29" xfId="1" applyFont="1" applyBorder="1" applyAlignment="1">
      <alignment horizontal="center"/>
    </xf>
    <xf numFmtId="43" fontId="39" fillId="0" borderId="12" xfId="1" applyFont="1" applyBorder="1" applyAlignment="1">
      <alignment horizontal="center"/>
    </xf>
    <xf numFmtId="43" fontId="39" fillId="0" borderId="28" xfId="1" applyFont="1" applyBorder="1" applyAlignment="1">
      <alignment horizontal="center"/>
    </xf>
    <xf numFmtId="43" fontId="40" fillId="0" borderId="12" xfId="1" applyFont="1" applyBorder="1" applyAlignment="1">
      <alignment horizontal="center"/>
    </xf>
    <xf numFmtId="43" fontId="40" fillId="0" borderId="28" xfId="1" applyFont="1" applyBorder="1" applyAlignment="1">
      <alignment horizontal="center"/>
    </xf>
    <xf numFmtId="0" fontId="28" fillId="0" borderId="12" xfId="0" applyFont="1" applyBorder="1"/>
    <xf numFmtId="0" fontId="28" fillId="0" borderId="28" xfId="0" applyFont="1" applyBorder="1"/>
    <xf numFmtId="0" fontId="28" fillId="0" borderId="29" xfId="0" applyFont="1" applyBorder="1"/>
    <xf numFmtId="43" fontId="37" fillId="0" borderId="11" xfId="1" applyFont="1" applyBorder="1"/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41" fillId="0" borderId="12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43" fontId="28" fillId="0" borderId="12" xfId="1" applyFont="1" applyBorder="1" applyAlignment="1">
      <alignment horizontal="center"/>
    </xf>
    <xf numFmtId="43" fontId="28" fillId="0" borderId="29" xfId="1" applyFont="1" applyBorder="1" applyAlignment="1">
      <alignment horizontal="center"/>
    </xf>
    <xf numFmtId="43" fontId="28" fillId="0" borderId="28" xfId="1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43" fontId="38" fillId="0" borderId="12" xfId="1" applyFont="1" applyBorder="1" applyAlignment="1">
      <alignment horizontal="center"/>
    </xf>
    <xf numFmtId="43" fontId="38" fillId="0" borderId="28" xfId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 wrapText="1"/>
    </xf>
    <xf numFmtId="0" fontId="12" fillId="0" borderId="28" xfId="0" applyFont="1" applyBorder="1" applyAlignment="1">
      <alignment horizontal="left" wrapText="1"/>
    </xf>
    <xf numFmtId="0" fontId="12" fillId="0" borderId="29" xfId="0" applyFont="1" applyBorder="1" applyAlignment="1">
      <alignment horizontal="left" wrapText="1"/>
    </xf>
    <xf numFmtId="43" fontId="43" fillId="0" borderId="12" xfId="1" applyFont="1" applyBorder="1" applyAlignment="1">
      <alignment horizontal="center"/>
    </xf>
    <xf numFmtId="43" fontId="43" fillId="0" borderId="28" xfId="1" applyFont="1" applyBorder="1" applyAlignment="1">
      <alignment horizontal="center"/>
    </xf>
    <xf numFmtId="49" fontId="44" fillId="0" borderId="12" xfId="0" applyNumberFormat="1" applyFont="1" applyBorder="1" applyAlignment="1">
      <alignment horizontal="left"/>
    </xf>
    <xf numFmtId="49" fontId="44" fillId="0" borderId="28" xfId="0" applyNumberFormat="1" applyFont="1" applyBorder="1" applyAlignment="1">
      <alignment horizontal="left"/>
    </xf>
    <xf numFmtId="49" fontId="44" fillId="0" borderId="29" xfId="0" applyNumberFormat="1" applyFont="1" applyBorder="1" applyAlignment="1">
      <alignment horizontal="left"/>
    </xf>
    <xf numFmtId="0" fontId="44" fillId="0" borderId="12" xfId="0" applyFont="1" applyBorder="1"/>
    <xf numFmtId="0" fontId="44" fillId="0" borderId="28" xfId="0" applyFont="1" applyBorder="1"/>
    <xf numFmtId="0" fontId="44" fillId="0" borderId="29" xfId="0" applyFont="1" applyBorder="1"/>
    <xf numFmtId="43" fontId="28" fillId="0" borderId="11" xfId="1" applyFont="1" applyBorder="1"/>
    <xf numFmtId="43" fontId="46" fillId="0" borderId="12" xfId="1" applyFont="1" applyBorder="1" applyAlignment="1">
      <alignment horizontal="center"/>
    </xf>
    <xf numFmtId="43" fontId="46" fillId="0" borderId="28" xfId="1" applyFont="1" applyBorder="1" applyAlignment="1">
      <alignment horizontal="center"/>
    </xf>
    <xf numFmtId="43" fontId="39" fillId="0" borderId="11" xfId="1" applyFont="1" applyBorder="1"/>
    <xf numFmtId="43" fontId="39" fillId="0" borderId="12" xfId="1" applyFont="1" applyBorder="1"/>
    <xf numFmtId="0" fontId="12" fillId="0" borderId="12" xfId="0" applyFont="1" applyBorder="1"/>
    <xf numFmtId="0" fontId="12" fillId="0" borderId="28" xfId="0" applyFont="1" applyBorder="1"/>
    <xf numFmtId="0" fontId="12" fillId="0" borderId="29" xfId="0" applyFont="1" applyBorder="1"/>
    <xf numFmtId="0" fontId="50" fillId="0" borderId="28" xfId="0" applyFont="1" applyBorder="1" applyAlignment="1">
      <alignment horizontal="center" wrapText="1"/>
    </xf>
    <xf numFmtId="0" fontId="50" fillId="0" borderId="29" xfId="0" applyFont="1" applyBorder="1" applyAlignment="1">
      <alignment horizontal="center" wrapText="1"/>
    </xf>
    <xf numFmtId="0" fontId="28" fillId="3" borderId="12" xfId="0" applyFont="1" applyFill="1" applyBorder="1" applyAlignment="1">
      <alignment horizontal="left" wrapText="1"/>
    </xf>
    <xf numFmtId="0" fontId="28" fillId="3" borderId="28" xfId="0" applyFont="1" applyFill="1" applyBorder="1" applyAlignment="1">
      <alignment horizontal="left" wrapText="1"/>
    </xf>
    <xf numFmtId="0" fontId="28" fillId="3" borderId="29" xfId="0" applyFont="1" applyFill="1" applyBorder="1" applyAlignment="1">
      <alignment horizontal="left" wrapText="1"/>
    </xf>
    <xf numFmtId="0" fontId="52" fillId="0" borderId="12" xfId="0" applyFont="1" applyBorder="1"/>
    <xf numFmtId="0" fontId="52" fillId="0" borderId="28" xfId="0" applyFont="1" applyBorder="1"/>
    <xf numFmtId="0" fontId="52" fillId="0" borderId="29" xfId="0" applyFont="1" applyBorder="1"/>
    <xf numFmtId="0" fontId="39" fillId="0" borderId="12" xfId="0" applyFont="1" applyBorder="1"/>
    <xf numFmtId="0" fontId="53" fillId="0" borderId="28" xfId="0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28" xfId="1" applyFont="1" applyBorder="1" applyAlignment="1">
      <alignment horizontal="center"/>
    </xf>
    <xf numFmtId="0" fontId="52" fillId="0" borderId="12" xfId="0" applyFont="1" applyBorder="1" applyAlignment="1">
      <alignment horizontal="left"/>
    </xf>
    <xf numFmtId="0" fontId="52" fillId="0" borderId="28" xfId="0" applyFont="1" applyBorder="1" applyAlignment="1">
      <alignment horizontal="left"/>
    </xf>
    <xf numFmtId="0" fontId="52" fillId="0" borderId="29" xfId="0" applyFont="1" applyBorder="1" applyAlignment="1">
      <alignment horizontal="left"/>
    </xf>
    <xf numFmtId="0" fontId="39" fillId="0" borderId="12" xfId="0" applyFont="1" applyBorder="1" applyAlignment="1">
      <alignment horizontal="left"/>
    </xf>
    <xf numFmtId="0" fontId="39" fillId="0" borderId="28" xfId="0" applyFont="1" applyBorder="1" applyAlignment="1">
      <alignment horizontal="left"/>
    </xf>
    <xf numFmtId="0" fontId="39" fillId="0" borderId="29" xfId="0" applyFont="1" applyBorder="1" applyAlignment="1">
      <alignment horizontal="left"/>
    </xf>
    <xf numFmtId="43" fontId="59" fillId="0" borderId="12" xfId="1" applyFont="1" applyBorder="1" applyAlignment="1">
      <alignment horizontal="center"/>
    </xf>
    <xf numFmtId="43" fontId="59" fillId="0" borderId="28" xfId="1" applyFont="1" applyBorder="1" applyAlignment="1">
      <alignment horizontal="center"/>
    </xf>
    <xf numFmtId="0" fontId="63" fillId="0" borderId="0" xfId="0" applyFont="1" applyBorder="1"/>
    <xf numFmtId="43" fontId="37" fillId="0" borderId="0" xfId="1" applyFont="1" applyBorder="1"/>
    <xf numFmtId="49" fontId="37" fillId="0" borderId="0" xfId="1" applyNumberFormat="1" applyFont="1" applyBorder="1" applyAlignment="1">
      <alignment horizontal="right"/>
    </xf>
    <xf numFmtId="0" fontId="40" fillId="0" borderId="0" xfId="0" applyFont="1" applyBorder="1"/>
    <xf numFmtId="43" fontId="28" fillId="0" borderId="0" xfId="1" applyFont="1" applyBorder="1"/>
    <xf numFmtId="0" fontId="40" fillId="0" borderId="32" xfId="0" applyFont="1" applyBorder="1"/>
    <xf numFmtId="0" fontId="40" fillId="0" borderId="17" xfId="0" applyFont="1" applyBorder="1"/>
    <xf numFmtId="0" fontId="40" fillId="0" borderId="33" xfId="0" applyFont="1" applyBorder="1"/>
    <xf numFmtId="43" fontId="40" fillId="0" borderId="34" xfId="1" applyFont="1" applyBorder="1"/>
    <xf numFmtId="43" fontId="40" fillId="0" borderId="32" xfId="1" applyFont="1" applyBorder="1"/>
    <xf numFmtId="0" fontId="40" fillId="0" borderId="22" xfId="0" applyFont="1" applyBorder="1"/>
    <xf numFmtId="0" fontId="40" fillId="0" borderId="23" xfId="0" applyFont="1" applyBorder="1"/>
    <xf numFmtId="0" fontId="40" fillId="0" borderId="24" xfId="0" applyFont="1" applyBorder="1"/>
    <xf numFmtId="43" fontId="28" fillId="0" borderId="21" xfId="1" applyFont="1" applyBorder="1"/>
    <xf numFmtId="0" fontId="40" fillId="0" borderId="12" xfId="0" applyFont="1" applyBorder="1"/>
    <xf numFmtId="0" fontId="40" fillId="0" borderId="28" xfId="0" applyFont="1" applyBorder="1"/>
    <xf numFmtId="0" fontId="40" fillId="0" borderId="29" xfId="0" applyFont="1" applyBorder="1"/>
    <xf numFmtId="43" fontId="40" fillId="0" borderId="11" xfId="1" applyFont="1" applyBorder="1"/>
    <xf numFmtId="43" fontId="59" fillId="0" borderId="11" xfId="1" applyFont="1" applyBorder="1"/>
    <xf numFmtId="0" fontId="66" fillId="0" borderId="12" xfId="0" applyFont="1" applyBorder="1" applyAlignment="1">
      <alignment horizontal="center"/>
    </xf>
    <xf numFmtId="0" fontId="66" fillId="0" borderId="28" xfId="0" applyFont="1" applyBorder="1" applyAlignment="1">
      <alignment horizontal="center"/>
    </xf>
    <xf numFmtId="0" fontId="66" fillId="0" borderId="29" xfId="0" applyFont="1" applyBorder="1" applyAlignment="1">
      <alignment horizontal="center"/>
    </xf>
    <xf numFmtId="43" fontId="38" fillId="0" borderId="11" xfId="1" applyFont="1" applyBorder="1"/>
    <xf numFmtId="0" fontId="68" fillId="0" borderId="12" xfId="0" applyFont="1" applyBorder="1" applyAlignment="1">
      <alignment horizontal="left"/>
    </xf>
    <xf numFmtId="0" fontId="68" fillId="0" borderId="28" xfId="0" applyFont="1" applyBorder="1" applyAlignment="1">
      <alignment horizontal="left"/>
    </xf>
    <xf numFmtId="0" fontId="68" fillId="0" borderId="29" xfId="0" applyFont="1" applyBorder="1" applyAlignment="1">
      <alignment horizontal="left"/>
    </xf>
    <xf numFmtId="0" fontId="59" fillId="0" borderId="12" xfId="0" applyFont="1" applyBorder="1"/>
    <xf numFmtId="0" fontId="59" fillId="0" borderId="28" xfId="0" applyFont="1" applyBorder="1"/>
    <xf numFmtId="0" fontId="59" fillId="0" borderId="29" xfId="0" applyFont="1" applyBorder="1"/>
    <xf numFmtId="43" fontId="70" fillId="0" borderId="11" xfId="1" applyFont="1" applyBorder="1"/>
    <xf numFmtId="0" fontId="38" fillId="0" borderId="12" xfId="0" applyFont="1" applyBorder="1"/>
    <xf numFmtId="0" fontId="38" fillId="0" borderId="28" xfId="0" applyFont="1" applyBorder="1"/>
    <xf numFmtId="0" fontId="38" fillId="0" borderId="29" xfId="0" applyFont="1" applyBorder="1"/>
    <xf numFmtId="0" fontId="59" fillId="0" borderId="12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43" fontId="13" fillId="0" borderId="12" xfId="1" applyFont="1" applyBorder="1"/>
    <xf numFmtId="43" fontId="13" fillId="0" borderId="29" xfId="1" applyFont="1" applyBorder="1"/>
    <xf numFmtId="0" fontId="0" fillId="0" borderId="12" xfId="0" applyBorder="1"/>
    <xf numFmtId="0" fontId="0" fillId="0" borderId="28" xfId="0" applyBorder="1"/>
    <xf numFmtId="0" fontId="0" fillId="0" borderId="29" xfId="0" applyBorder="1"/>
    <xf numFmtId="0" fontId="34" fillId="2" borderId="36" xfId="0" applyFont="1" applyFill="1" applyBorder="1" applyAlignment="1">
      <alignment horizontal="center"/>
    </xf>
    <xf numFmtId="0" fontId="34" fillId="2" borderId="37" xfId="0" applyFont="1" applyFill="1" applyBorder="1" applyAlignment="1">
      <alignment horizontal="center"/>
    </xf>
    <xf numFmtId="0" fontId="34" fillId="2" borderId="38" xfId="0" applyFont="1" applyFill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72" fillId="0" borderId="27" xfId="0" applyFont="1" applyBorder="1" applyAlignment="1">
      <alignment horizontal="left"/>
    </xf>
    <xf numFmtId="0" fontId="72" fillId="0" borderId="10" xfId="0" applyFont="1" applyBorder="1" applyAlignment="1">
      <alignment horizontal="left"/>
    </xf>
    <xf numFmtId="0" fontId="72" fillId="0" borderId="41" xfId="0" applyFont="1" applyBorder="1" applyAlignment="1">
      <alignment horizontal="left"/>
    </xf>
    <xf numFmtId="0" fontId="72" fillId="0" borderId="42" xfId="0" applyFont="1" applyBorder="1" applyAlignment="1">
      <alignment horizontal="left"/>
    </xf>
    <xf numFmtId="0" fontId="76" fillId="0" borderId="11" xfId="0" applyFont="1" applyBorder="1"/>
    <xf numFmtId="44" fontId="34" fillId="0" borderId="12" xfId="0" applyNumberFormat="1" applyFont="1" applyBorder="1" applyAlignment="1">
      <alignment horizontal="left" wrapText="1"/>
    </xf>
    <xf numFmtId="44" fontId="34" fillId="0" borderId="28" xfId="0" applyNumberFormat="1" applyFont="1" applyBorder="1" applyAlignment="1">
      <alignment horizontal="left" wrapText="1"/>
    </xf>
    <xf numFmtId="44" fontId="34" fillId="0" borderId="29" xfId="0" applyNumberFormat="1" applyFont="1" applyBorder="1" applyAlignment="1">
      <alignment horizontal="left" wrapText="1"/>
    </xf>
    <xf numFmtId="0" fontId="34" fillId="0" borderId="12" xfId="0" applyFont="1" applyBorder="1" applyAlignment="1"/>
    <xf numFmtId="0" fontId="34" fillId="0" borderId="28" xfId="0" applyFont="1" applyBorder="1" applyAlignment="1"/>
    <xf numFmtId="0" fontId="34" fillId="0" borderId="12" xfId="0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0" fontId="6" fillId="0" borderId="27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3" fillId="0" borderId="41" xfId="0" applyFont="1" applyBorder="1" applyAlignment="1">
      <alignment horizontal="left"/>
    </xf>
    <xf numFmtId="0" fontId="63" fillId="0" borderId="42" xfId="0" applyFont="1" applyBorder="1" applyAlignment="1">
      <alignment horizontal="left"/>
    </xf>
    <xf numFmtId="0" fontId="72" fillId="0" borderId="11" xfId="0" applyFont="1" applyBorder="1"/>
    <xf numFmtId="0" fontId="29" fillId="0" borderId="12" xfId="0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65" fillId="0" borderId="12" xfId="0" applyFont="1" applyBorder="1" applyAlignment="1">
      <alignment horizontal="left"/>
    </xf>
    <xf numFmtId="0" fontId="65" fillId="0" borderId="28" xfId="0" applyFont="1" applyBorder="1" applyAlignment="1">
      <alignment horizontal="left"/>
    </xf>
    <xf numFmtId="0" fontId="37" fillId="0" borderId="12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76" fillId="0" borderId="12" xfId="0" applyFont="1" applyBorder="1" applyAlignment="1">
      <alignment horizontal="left"/>
    </xf>
    <xf numFmtId="0" fontId="76" fillId="0" borderId="28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42" xfId="0" applyFont="1" applyBorder="1" applyAlignment="1">
      <alignment horizontal="left"/>
    </xf>
    <xf numFmtId="0" fontId="13" fillId="0" borderId="11" xfId="0" applyFont="1" applyBorder="1"/>
    <xf numFmtId="0" fontId="81" fillId="0" borderId="27" xfId="0" applyFont="1" applyBorder="1" applyAlignment="1">
      <alignment horizontal="left"/>
    </xf>
    <xf numFmtId="0" fontId="81" fillId="0" borderId="10" xfId="0" applyFont="1" applyBorder="1" applyAlignment="1">
      <alignment horizontal="left"/>
    </xf>
    <xf numFmtId="0" fontId="81" fillId="0" borderId="43" xfId="0" applyFont="1" applyBorder="1" applyAlignment="1">
      <alignment horizontal="left"/>
    </xf>
    <xf numFmtId="0" fontId="34" fillId="7" borderId="12" xfId="0" applyFont="1" applyFill="1" applyBorder="1" applyAlignment="1">
      <alignment horizontal="center"/>
    </xf>
    <xf numFmtId="0" fontId="34" fillId="7" borderId="28" xfId="0" applyFont="1" applyFill="1" applyBorder="1" applyAlignment="1">
      <alignment horizontal="center"/>
    </xf>
    <xf numFmtId="0" fontId="34" fillId="7" borderId="29" xfId="0" applyFont="1" applyFill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34" fillId="7" borderId="12" xfId="0" applyFont="1" applyFill="1" applyBorder="1" applyAlignment="1">
      <alignment horizontal="left"/>
    </xf>
    <xf numFmtId="0" fontId="34" fillId="7" borderId="28" xfId="0" applyFont="1" applyFill="1" applyBorder="1" applyAlignment="1">
      <alignment horizontal="left"/>
    </xf>
    <xf numFmtId="0" fontId="34" fillId="7" borderId="29" xfId="0" applyFont="1" applyFill="1" applyBorder="1" applyAlignment="1">
      <alignment horizontal="left"/>
    </xf>
    <xf numFmtId="0" fontId="29" fillId="0" borderId="12" xfId="0" applyFont="1" applyBorder="1" applyAlignment="1">
      <alignment horizontal="left" wrapText="1"/>
    </xf>
    <xf numFmtId="0" fontId="29" fillId="0" borderId="28" xfId="0" applyFont="1" applyBorder="1" applyAlignment="1">
      <alignment horizontal="left" wrapText="1"/>
    </xf>
    <xf numFmtId="0" fontId="29" fillId="0" borderId="29" xfId="0" applyFont="1" applyBorder="1" applyAlignment="1">
      <alignment horizontal="left" wrapText="1"/>
    </xf>
    <xf numFmtId="0" fontId="29" fillId="0" borderId="2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72" fillId="0" borderId="0" xfId="0" applyFont="1" applyBorder="1" applyAlignment="1">
      <alignment horizontal="center"/>
    </xf>
    <xf numFmtId="0" fontId="3" fillId="0" borderId="0" xfId="0" applyFont="1" applyBorder="1"/>
    <xf numFmtId="0" fontId="72" fillId="0" borderId="0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0" fontId="91" fillId="0" borderId="47" xfId="0" applyFont="1" applyBorder="1" applyAlignment="1">
      <alignment horizontal="left"/>
    </xf>
    <xf numFmtId="0" fontId="91" fillId="0" borderId="44" xfId="0" applyFont="1" applyBorder="1" applyAlignment="1">
      <alignment horizontal="left"/>
    </xf>
    <xf numFmtId="0" fontId="93" fillId="0" borderId="48" xfId="0" applyFont="1" applyBorder="1" applyAlignment="1">
      <alignment horizontal="center"/>
    </xf>
    <xf numFmtId="0" fontId="93" fillId="0" borderId="49" xfId="0" applyFont="1" applyBorder="1" applyAlignment="1">
      <alignment horizontal="center"/>
    </xf>
    <xf numFmtId="0" fontId="94" fillId="2" borderId="26" xfId="0" applyFont="1" applyFill="1" applyBorder="1" applyAlignment="1">
      <alignment horizontal="center"/>
    </xf>
    <xf numFmtId="0" fontId="94" fillId="2" borderId="50" xfId="0" applyFont="1" applyFill="1" applyBorder="1" applyAlignment="1">
      <alignment horizontal="center"/>
    </xf>
    <xf numFmtId="0" fontId="91" fillId="0" borderId="49" xfId="0" applyFont="1" applyBorder="1" applyAlignment="1">
      <alignment horizontal="center"/>
    </xf>
    <xf numFmtId="0" fontId="97" fillId="0" borderId="52" xfId="0" applyFont="1" applyBorder="1" applyAlignment="1">
      <alignment horizontal="center"/>
    </xf>
    <xf numFmtId="0" fontId="97" fillId="0" borderId="53" xfId="0" applyFont="1" applyBorder="1" applyAlignment="1">
      <alignment horizontal="center"/>
    </xf>
    <xf numFmtId="0" fontId="95" fillId="0" borderId="9" xfId="0" applyFont="1" applyBorder="1" applyAlignment="1">
      <alignment horizontal="center" wrapText="1"/>
    </xf>
    <xf numFmtId="0" fontId="95" fillId="0" borderId="54" xfId="0" applyFont="1" applyBorder="1" applyAlignment="1">
      <alignment horizontal="center" wrapText="1"/>
    </xf>
    <xf numFmtId="0" fontId="95" fillId="0" borderId="23" xfId="0" applyFont="1" applyBorder="1" applyAlignment="1">
      <alignment horizontal="center" wrapText="1"/>
    </xf>
    <xf numFmtId="0" fontId="95" fillId="0" borderId="24" xfId="0" applyFont="1" applyBorder="1" applyAlignment="1">
      <alignment horizontal="center" wrapText="1"/>
    </xf>
    <xf numFmtId="0" fontId="97" fillId="0" borderId="22" xfId="0" applyFont="1" applyBorder="1"/>
    <xf numFmtId="0" fontId="97" fillId="0" borderId="23" xfId="0" applyFont="1" applyBorder="1"/>
    <xf numFmtId="0" fontId="97" fillId="0" borderId="24" xfId="0" applyFont="1" applyBorder="1"/>
    <xf numFmtId="0" fontId="99" fillId="0" borderId="21" xfId="0" applyFont="1" applyBorder="1"/>
    <xf numFmtId="43" fontId="100" fillId="0" borderId="22" xfId="1" applyFont="1" applyBorder="1"/>
    <xf numFmtId="43" fontId="100" fillId="0" borderId="24" xfId="1" applyFont="1" applyBorder="1"/>
    <xf numFmtId="0" fontId="97" fillId="3" borderId="22" xfId="0" applyFont="1" applyFill="1" applyBorder="1"/>
    <xf numFmtId="0" fontId="97" fillId="3" borderId="23" xfId="0" applyFont="1" applyFill="1" applyBorder="1"/>
    <xf numFmtId="0" fontId="97" fillId="3" borderId="24" xfId="0" applyFont="1" applyFill="1" applyBorder="1"/>
    <xf numFmtId="0" fontId="63" fillId="0" borderId="56" xfId="0" applyFont="1" applyBorder="1" applyAlignment="1">
      <alignment horizontal="left"/>
    </xf>
    <xf numFmtId="0" fontId="103" fillId="0" borderId="12" xfId="0" applyFont="1" applyBorder="1"/>
    <xf numFmtId="0" fontId="103" fillId="0" borderId="28" xfId="0" applyFont="1" applyBorder="1"/>
    <xf numFmtId="0" fontId="103" fillId="0" borderId="29" xfId="0" applyFont="1" applyBorder="1"/>
    <xf numFmtId="43" fontId="79" fillId="0" borderId="12" xfId="1" applyFont="1" applyBorder="1"/>
    <xf numFmtId="43" fontId="79" fillId="0" borderId="29" xfId="1" applyFont="1" applyBorder="1"/>
    <xf numFmtId="43" fontId="97" fillId="0" borderId="12" xfId="1" applyFont="1" applyBorder="1"/>
    <xf numFmtId="43" fontId="97" fillId="0" borderId="29" xfId="1" applyFont="1" applyBorder="1"/>
    <xf numFmtId="0" fontId="95" fillId="0" borderId="12" xfId="0" applyFont="1" applyBorder="1"/>
    <xf numFmtId="0" fontId="95" fillId="0" borderId="28" xfId="0" applyFont="1" applyBorder="1"/>
    <xf numFmtId="0" fontId="95" fillId="0" borderId="29" xfId="0" applyFont="1" applyBorder="1"/>
    <xf numFmtId="43" fontId="97" fillId="0" borderId="12" xfId="1" applyFont="1" applyBorder="1" applyAlignment="1">
      <alignment horizontal="center"/>
    </xf>
    <xf numFmtId="43" fontId="97" fillId="0" borderId="29" xfId="1" applyFont="1" applyBorder="1" applyAlignment="1">
      <alignment horizontal="center"/>
    </xf>
    <xf numFmtId="0" fontId="95" fillId="0" borderId="28" xfId="0" applyFont="1" applyBorder="1" applyAlignment="1"/>
    <xf numFmtId="43" fontId="101" fillId="0" borderId="12" xfId="1" applyFont="1" applyBorder="1" applyAlignment="1">
      <alignment horizontal="center"/>
    </xf>
    <xf numFmtId="43" fontId="101" fillId="0" borderId="29" xfId="1" applyFont="1" applyBorder="1" applyAlignment="1">
      <alignment horizontal="center"/>
    </xf>
    <xf numFmtId="43" fontId="101" fillId="0" borderId="11" xfId="1" applyFont="1" applyBorder="1"/>
    <xf numFmtId="0" fontId="103" fillId="0" borderId="12" xfId="0" applyFont="1" applyBorder="1" applyAlignment="1">
      <alignment horizontal="left"/>
    </xf>
    <xf numFmtId="0" fontId="103" fillId="0" borderId="28" xfId="0" applyFont="1" applyBorder="1" applyAlignment="1">
      <alignment horizontal="left"/>
    </xf>
    <xf numFmtId="0" fontId="103" fillId="0" borderId="29" xfId="0" applyFont="1" applyBorder="1" applyAlignment="1">
      <alignment horizontal="left"/>
    </xf>
    <xf numFmtId="0" fontId="95" fillId="0" borderId="12" xfId="0" applyFont="1" applyBorder="1" applyAlignment="1">
      <alignment horizontal="left" wrapText="1"/>
    </xf>
    <xf numFmtId="0" fontId="95" fillId="0" borderId="28" xfId="0" applyFont="1" applyBorder="1" applyAlignment="1">
      <alignment horizontal="left" wrapText="1"/>
    </xf>
    <xf numFmtId="0" fontId="95" fillId="0" borderId="29" xfId="0" applyFont="1" applyBorder="1" applyAlignment="1">
      <alignment horizontal="left" wrapText="1"/>
    </xf>
    <xf numFmtId="43" fontId="95" fillId="0" borderId="11" xfId="1" applyFont="1" applyBorder="1"/>
    <xf numFmtId="0" fontId="95" fillId="0" borderId="12" xfId="0" applyFont="1" applyBorder="1" applyAlignment="1">
      <alignment horizontal="left"/>
    </xf>
    <xf numFmtId="0" fontId="95" fillId="0" borderId="28" xfId="0" applyFont="1" applyBorder="1" applyAlignment="1">
      <alignment horizontal="left"/>
    </xf>
    <xf numFmtId="0" fontId="95" fillId="0" borderId="29" xfId="0" applyFont="1" applyBorder="1" applyAlignment="1">
      <alignment horizontal="left"/>
    </xf>
    <xf numFmtId="43" fontId="95" fillId="0" borderId="12" xfId="1" applyFont="1" applyBorder="1" applyAlignment="1">
      <alignment horizontal="center"/>
    </xf>
    <xf numFmtId="43" fontId="95" fillId="0" borderId="29" xfId="1" applyFont="1" applyBorder="1" applyAlignment="1">
      <alignment horizontal="center"/>
    </xf>
    <xf numFmtId="0" fontId="112" fillId="0" borderId="12" xfId="0" applyFont="1" applyBorder="1" applyAlignment="1">
      <alignment horizontal="left"/>
    </xf>
    <xf numFmtId="0" fontId="112" fillId="0" borderId="28" xfId="0" applyFont="1" applyBorder="1" applyAlignment="1">
      <alignment horizontal="left"/>
    </xf>
    <xf numFmtId="0" fontId="112" fillId="0" borderId="29" xfId="0" applyFont="1" applyBorder="1" applyAlignment="1">
      <alignment horizontal="left"/>
    </xf>
    <xf numFmtId="0" fontId="103" fillId="0" borderId="12" xfId="0" applyFont="1" applyBorder="1" applyAlignment="1">
      <alignment horizontal="center"/>
    </xf>
    <xf numFmtId="0" fontId="103" fillId="0" borderId="28" xfId="0" applyFont="1" applyBorder="1" applyAlignment="1">
      <alignment horizontal="center"/>
    </xf>
    <xf numFmtId="0" fontId="103" fillId="0" borderId="29" xfId="0" applyFont="1" applyBorder="1" applyAlignment="1">
      <alignment horizontal="center"/>
    </xf>
    <xf numFmtId="0" fontId="101" fillId="0" borderId="12" xfId="0" applyFont="1" applyBorder="1" applyAlignment="1">
      <alignment horizontal="left"/>
    </xf>
    <xf numFmtId="0" fontId="101" fillId="0" borderId="28" xfId="0" applyFont="1" applyBorder="1" applyAlignment="1">
      <alignment horizontal="left"/>
    </xf>
    <xf numFmtId="0" fontId="101" fillId="0" borderId="29" xfId="0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28" xfId="0" applyFont="1" applyBorder="1" applyAlignment="1">
      <alignment horizontal="left"/>
    </xf>
    <xf numFmtId="0" fontId="40" fillId="0" borderId="29" xfId="0" applyFont="1" applyBorder="1" applyAlignment="1">
      <alignment horizontal="left"/>
    </xf>
    <xf numFmtId="0" fontId="95" fillId="0" borderId="58" xfId="0" applyFont="1" applyBorder="1" applyAlignment="1">
      <alignment horizontal="center"/>
    </xf>
    <xf numFmtId="0" fontId="95" fillId="0" borderId="0" xfId="0" applyFont="1" applyBorder="1" applyAlignment="1">
      <alignment horizontal="center"/>
    </xf>
    <xf numFmtId="0" fontId="115" fillId="0" borderId="12" xfId="0" applyFont="1" applyBorder="1" applyAlignment="1">
      <alignment horizontal="left"/>
    </xf>
    <xf numFmtId="0" fontId="115" fillId="0" borderId="28" xfId="0" applyFont="1" applyBorder="1" applyAlignment="1">
      <alignment horizontal="left"/>
    </xf>
    <xf numFmtId="0" fontId="115" fillId="0" borderId="29" xfId="0" applyFont="1" applyBorder="1" applyAlignment="1">
      <alignment horizontal="left"/>
    </xf>
    <xf numFmtId="0" fontId="116" fillId="0" borderId="12" xfId="0" applyFont="1" applyBorder="1" applyAlignment="1">
      <alignment horizontal="left"/>
    </xf>
    <xf numFmtId="0" fontId="116" fillId="0" borderId="28" xfId="0" applyFont="1" applyBorder="1" applyAlignment="1">
      <alignment horizontal="left"/>
    </xf>
    <xf numFmtId="0" fontId="112" fillId="0" borderId="12" xfId="0" applyFont="1" applyBorder="1"/>
    <xf numFmtId="0" fontId="112" fillId="0" borderId="28" xfId="0" applyFont="1" applyBorder="1"/>
    <xf numFmtId="0" fontId="112" fillId="0" borderId="29" xfId="0" applyFont="1" applyBorder="1"/>
    <xf numFmtId="43" fontId="65" fillId="0" borderId="11" xfId="1" applyFont="1" applyBorder="1"/>
    <xf numFmtId="0" fontId="107" fillId="0" borderId="22" xfId="0" applyFont="1" applyBorder="1"/>
    <xf numFmtId="0" fontId="107" fillId="0" borderId="23" xfId="0" applyFont="1" applyBorder="1"/>
    <xf numFmtId="0" fontId="107" fillId="0" borderId="24" xfId="0" applyFont="1" applyBorder="1"/>
    <xf numFmtId="0" fontId="118" fillId="0" borderId="12" xfId="0" applyFont="1" applyBorder="1"/>
    <xf numFmtId="0" fontId="118" fillId="0" borderId="28" xfId="0" applyFont="1" applyBorder="1"/>
    <xf numFmtId="0" fontId="118" fillId="0" borderId="29" xfId="0" applyFont="1" applyBorder="1"/>
    <xf numFmtId="0" fontId="101" fillId="0" borderId="12" xfId="0" applyFont="1" applyBorder="1" applyAlignment="1"/>
    <xf numFmtId="0" fontId="101" fillId="0" borderId="28" xfId="0" applyFont="1" applyBorder="1" applyAlignment="1"/>
    <xf numFmtId="0" fontId="101" fillId="0" borderId="29" xfId="0" applyFont="1" applyBorder="1" applyAlignment="1"/>
    <xf numFmtId="43" fontId="51" fillId="0" borderId="12" xfId="1" applyFont="1" applyBorder="1" applyAlignment="1">
      <alignment horizontal="center"/>
    </xf>
    <xf numFmtId="43" fontId="51" fillId="0" borderId="29" xfId="1" applyFont="1" applyBorder="1" applyAlignment="1">
      <alignment horizontal="center"/>
    </xf>
    <xf numFmtId="43" fontId="95" fillId="0" borderId="28" xfId="1" applyFont="1" applyBorder="1" applyAlignment="1">
      <alignment horizontal="center"/>
    </xf>
    <xf numFmtId="0" fontId="112" fillId="0" borderId="12" xfId="0" applyFont="1" applyBorder="1" applyAlignment="1"/>
    <xf numFmtId="0" fontId="112" fillId="0" borderId="28" xfId="0" applyFont="1" applyBorder="1" applyAlignment="1"/>
    <xf numFmtId="0" fontId="112" fillId="0" borderId="29" xfId="0" applyFont="1" applyBorder="1" applyAlignment="1"/>
    <xf numFmtId="43" fontId="95" fillId="0" borderId="12" xfId="1" applyFont="1" applyBorder="1"/>
    <xf numFmtId="0" fontId="13" fillId="0" borderId="11" xfId="0" applyFont="1" applyBorder="1" applyAlignment="1">
      <alignment horizontal="center"/>
    </xf>
    <xf numFmtId="0" fontId="107" fillId="0" borderId="12" xfId="0" applyFont="1" applyBorder="1"/>
    <xf numFmtId="0" fontId="107" fillId="0" borderId="28" xfId="0" applyFont="1" applyBorder="1"/>
    <xf numFmtId="0" fontId="107" fillId="0" borderId="29" xfId="0" applyFont="1" applyBorder="1"/>
    <xf numFmtId="0" fontId="13" fillId="0" borderId="1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63" fillId="0" borderId="12" xfId="0" applyFont="1" applyBorder="1"/>
    <xf numFmtId="0" fontId="63" fillId="0" borderId="28" xfId="0" applyFont="1" applyBorder="1"/>
    <xf numFmtId="0" fontId="63" fillId="0" borderId="29" xfId="0" applyFont="1" applyBorder="1"/>
    <xf numFmtId="0" fontId="120" fillId="0" borderId="12" xfId="0" applyFont="1" applyBorder="1" applyAlignment="1">
      <alignment horizontal="center"/>
    </xf>
    <xf numFmtId="0" fontId="120" fillId="0" borderId="28" xfId="0" applyFont="1" applyBorder="1" applyAlignment="1">
      <alignment horizontal="center"/>
    </xf>
    <xf numFmtId="0" fontId="120" fillId="0" borderId="29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13" fillId="0" borderId="12" xfId="0" applyFont="1" applyBorder="1"/>
    <xf numFmtId="0" fontId="13" fillId="0" borderId="29" xfId="0" applyFont="1" applyBorder="1"/>
    <xf numFmtId="0" fontId="13" fillId="0" borderId="28" xfId="0" applyFont="1" applyBorder="1"/>
    <xf numFmtId="0" fontId="121" fillId="3" borderId="9" xfId="0" applyFont="1" applyFill="1" applyBorder="1" applyAlignment="1">
      <alignment horizontal="center"/>
    </xf>
    <xf numFmtId="0" fontId="121" fillId="3" borderId="10" xfId="0" applyFont="1" applyFill="1" applyBorder="1" applyAlignment="1">
      <alignment horizontal="center"/>
    </xf>
    <xf numFmtId="0" fontId="121" fillId="3" borderId="54" xfId="0" applyFont="1" applyFill="1" applyBorder="1" applyAlignment="1">
      <alignment horizontal="center"/>
    </xf>
    <xf numFmtId="0" fontId="124" fillId="3" borderId="11" xfId="0" applyFont="1" applyFill="1" applyBorder="1" applyAlignment="1">
      <alignment horizontal="center"/>
    </xf>
    <xf numFmtId="0" fontId="129" fillId="3" borderId="9" xfId="0" applyFont="1" applyFill="1" applyBorder="1" applyAlignment="1">
      <alignment horizontal="center"/>
    </xf>
    <xf numFmtId="0" fontId="129" fillId="3" borderId="54" xfId="0" applyFont="1" applyFill="1" applyBorder="1" applyAlignment="1">
      <alignment horizontal="center"/>
    </xf>
    <xf numFmtId="0" fontId="96" fillId="0" borderId="0" xfId="0" applyFont="1" applyBorder="1" applyAlignment="1">
      <alignment horizontal="center"/>
    </xf>
    <xf numFmtId="0" fontId="134" fillId="0" borderId="23" xfId="0" applyFont="1" applyBorder="1" applyAlignment="1">
      <alignment horizontal="center"/>
    </xf>
    <xf numFmtId="0" fontId="135" fillId="0" borderId="11" xfId="0" applyFont="1" applyBorder="1" applyAlignment="1">
      <alignment horizontal="center"/>
    </xf>
    <xf numFmtId="0" fontId="103" fillId="0" borderId="11" xfId="0" applyFont="1" applyBorder="1" applyAlignment="1">
      <alignment horizontal="left" wrapText="1"/>
    </xf>
    <xf numFmtId="0" fontId="103" fillId="0" borderId="11" xfId="0" applyFont="1" applyBorder="1" applyAlignment="1">
      <alignment horizontal="left"/>
    </xf>
    <xf numFmtId="0" fontId="50" fillId="0" borderId="11" xfId="0" applyFont="1" applyBorder="1" applyAlignment="1">
      <alignment horizontal="left"/>
    </xf>
    <xf numFmtId="0" fontId="107" fillId="0" borderId="11" xfId="0" applyFont="1" applyBorder="1" applyAlignment="1">
      <alignment horizontal="left"/>
    </xf>
    <xf numFmtId="0" fontId="135" fillId="0" borderId="11" xfId="0" applyFont="1" applyBorder="1" applyAlignment="1">
      <alignment horizontal="center" wrapText="1"/>
    </xf>
    <xf numFmtId="0" fontId="97" fillId="0" borderId="0" xfId="0" applyFont="1" applyBorder="1" applyAlignment="1">
      <alignment horizontal="left"/>
    </xf>
    <xf numFmtId="0" fontId="140" fillId="0" borderId="0" xfId="0" applyFont="1" applyBorder="1" applyAlignment="1">
      <alignment horizontal="left" wrapText="1"/>
    </xf>
    <xf numFmtId="0" fontId="8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138" fillId="0" borderId="0" xfId="0" applyFont="1" applyBorder="1" applyAlignment="1">
      <alignment horizontal="left" wrapText="1"/>
    </xf>
    <xf numFmtId="0" fontId="139" fillId="0" borderId="0" xfId="0" applyFont="1" applyBorder="1" applyAlignment="1">
      <alignment horizontal="left" wrapText="1"/>
    </xf>
    <xf numFmtId="0" fontId="140" fillId="0" borderId="0" xfId="0" applyFont="1" applyFill="1" applyBorder="1" applyAlignment="1">
      <alignment horizontal="left" wrapText="1"/>
    </xf>
    <xf numFmtId="0" fontId="140" fillId="0" borderId="0" xfId="0" applyFont="1" applyBorder="1" applyAlignment="1">
      <alignment wrapText="1"/>
    </xf>
    <xf numFmtId="0" fontId="141" fillId="0" borderId="0" xfId="0" applyFont="1" applyBorder="1" applyAlignment="1">
      <alignment horizontal="left" wrapText="1"/>
    </xf>
    <xf numFmtId="0" fontId="142" fillId="0" borderId="0" xfId="0" applyFont="1" applyBorder="1" applyAlignment="1">
      <alignment wrapText="1"/>
    </xf>
    <xf numFmtId="0" fontId="140" fillId="0" borderId="0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left"/>
    </xf>
    <xf numFmtId="0" fontId="140" fillId="0" borderId="0" xfId="0" applyFont="1" applyFill="1" applyBorder="1" applyAlignment="1">
      <alignment wrapText="1"/>
    </xf>
    <xf numFmtId="0" fontId="145" fillId="3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Percent" xfId="2" builtinId="5"/>
    <cellStyle name="Standard_Tabelle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Rossmann&amp;Lala%20Shteti%20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QE 1"/>
      <sheetName val="PASH"/>
      <sheetName val="aktiv Pasiv"/>
      <sheetName val="fluksi monetar"/>
      <sheetName val="permbledhje e aktiveve"/>
      <sheetName val="pasqyra e kap"/>
      <sheetName val="sqarime"/>
      <sheetName val="Kliente "/>
      <sheetName val="furnitore"/>
      <sheetName val="banka"/>
      <sheetName val="arka"/>
      <sheetName val="PASH BRUTO F5"/>
      <sheetName val="BILANC BRUTO F5"/>
      <sheetName val="INventari"/>
      <sheetName val="permbl sig shoq"/>
      <sheetName val="Aneks AAM"/>
      <sheetName val="Aneks P1"/>
      <sheetName val="Aneks P2"/>
      <sheetName val="Aneks P3"/>
      <sheetName val="permbledhese per tatim fitimin"/>
      <sheetName val="detaje asetet fikse +amorizimi"/>
      <sheetName val=" import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>
            <v>874242119.76999998</v>
          </cell>
        </row>
        <row r="5">
          <cell r="G5">
            <v>876711</v>
          </cell>
        </row>
        <row r="6">
          <cell r="G6">
            <v>258447.93</v>
          </cell>
        </row>
        <row r="7">
          <cell r="G7">
            <v>6632757.7199999997</v>
          </cell>
        </row>
        <row r="11">
          <cell r="G11">
            <v>-132750639</v>
          </cell>
        </row>
        <row r="14">
          <cell r="G14">
            <v>713741712.97000003</v>
          </cell>
        </row>
        <row r="15">
          <cell r="G15">
            <v>1388810</v>
          </cell>
        </row>
        <row r="16">
          <cell r="G16">
            <v>98347.66</v>
          </cell>
        </row>
        <row r="22">
          <cell r="G22">
            <v>578976.24</v>
          </cell>
        </row>
        <row r="37">
          <cell r="G37">
            <v>69551156.760000005</v>
          </cell>
        </row>
        <row r="38">
          <cell r="G38">
            <v>1456810.13</v>
          </cell>
        </row>
        <row r="39">
          <cell r="G39">
            <v>34273630</v>
          </cell>
        </row>
        <row r="40">
          <cell r="G40">
            <v>11260513</v>
          </cell>
        </row>
        <row r="41">
          <cell r="G41">
            <v>694991</v>
          </cell>
          <cell r="R41">
            <v>90388748.860000029</v>
          </cell>
        </row>
        <row r="42">
          <cell r="G42">
            <v>189183</v>
          </cell>
        </row>
        <row r="44">
          <cell r="G44">
            <v>56096</v>
          </cell>
        </row>
        <row r="45">
          <cell r="G45">
            <v>51344403.899999999</v>
          </cell>
        </row>
        <row r="46">
          <cell r="G46">
            <v>7268336</v>
          </cell>
        </row>
        <row r="47">
          <cell r="I47">
            <v>2622726.3593100002</v>
          </cell>
          <cell r="J47">
            <v>1458896.2206899999</v>
          </cell>
        </row>
        <row r="48">
          <cell r="G48">
            <v>145000</v>
          </cell>
        </row>
        <row r="50">
          <cell r="G50">
            <v>8231434.7400000002</v>
          </cell>
        </row>
        <row r="51">
          <cell r="G51">
            <v>-344.29</v>
          </cell>
        </row>
        <row r="52">
          <cell r="G52">
            <v>2284.1999999999998</v>
          </cell>
          <cell r="I52">
            <v>256163.72999999998</v>
          </cell>
        </row>
        <row r="53">
          <cell r="G53">
            <v>1042472.35</v>
          </cell>
        </row>
        <row r="54">
          <cell r="G54">
            <v>20783515.960000001</v>
          </cell>
        </row>
        <row r="55">
          <cell r="G55">
            <v>3077872</v>
          </cell>
        </row>
      </sheetData>
      <sheetData sheetId="12">
        <row r="4">
          <cell r="J4">
            <v>60000000</v>
          </cell>
        </row>
        <row r="7">
          <cell r="J7">
            <v>837667676.37</v>
          </cell>
        </row>
        <row r="8">
          <cell r="J8">
            <v>157669</v>
          </cell>
        </row>
        <row r="9">
          <cell r="J9">
            <v>1308969</v>
          </cell>
        </row>
        <row r="10">
          <cell r="J10">
            <v>-78750</v>
          </cell>
        </row>
        <row r="11">
          <cell r="J11">
            <v>736033</v>
          </cell>
        </row>
        <row r="12">
          <cell r="J12">
            <v>3150.08</v>
          </cell>
        </row>
        <row r="13">
          <cell r="J13">
            <v>-1940000</v>
          </cell>
        </row>
        <row r="14">
          <cell r="J14">
            <v>-43769171</v>
          </cell>
        </row>
        <row r="15">
          <cell r="J15">
            <v>0</v>
          </cell>
        </row>
        <row r="16">
          <cell r="J16">
            <v>1062471</v>
          </cell>
        </row>
        <row r="17">
          <cell r="J17">
            <v>3077872</v>
          </cell>
        </row>
        <row r="42">
          <cell r="G42">
            <v>246229790</v>
          </cell>
        </row>
        <row r="43">
          <cell r="G43">
            <v>562035</v>
          </cell>
        </row>
        <row r="44">
          <cell r="G44">
            <v>24735</v>
          </cell>
        </row>
        <row r="45">
          <cell r="G45">
            <v>61604.82</v>
          </cell>
        </row>
        <row r="46">
          <cell r="G46">
            <v>269986843.99000001</v>
          </cell>
        </row>
        <row r="47">
          <cell r="G47">
            <v>6239093.4500000002</v>
          </cell>
        </row>
        <row r="48">
          <cell r="G48">
            <v>26337158</v>
          </cell>
        </row>
        <row r="49">
          <cell r="G49">
            <v>16356301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K72" sqref="K72"/>
    </sheetView>
  </sheetViews>
  <sheetFormatPr defaultRowHeight="12.75"/>
  <cols>
    <col min="3" max="3" width="21.85546875" style="44" customWidth="1"/>
    <col min="4" max="4" width="3.7109375" customWidth="1"/>
    <col min="6" max="6" width="10.28515625" customWidth="1"/>
    <col min="8" max="8" width="10.140625" bestFit="1" customWidth="1"/>
    <col min="9" max="9" width="11.71093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4"/>
    </row>
    <row r="2" spans="1:10">
      <c r="A2" s="5"/>
      <c r="B2" s="6"/>
      <c r="C2" s="7"/>
      <c r="D2" s="6"/>
      <c r="E2" s="6"/>
      <c r="F2" s="6"/>
      <c r="G2" s="6"/>
      <c r="H2" s="6"/>
      <c r="I2" s="6"/>
      <c r="J2" s="8"/>
    </row>
    <row r="3" spans="1:10" ht="15">
      <c r="A3" s="604" t="s">
        <v>0</v>
      </c>
      <c r="B3" s="605"/>
      <c r="C3" s="605"/>
      <c r="D3" s="605"/>
      <c r="E3" s="605" t="s">
        <v>1</v>
      </c>
      <c r="F3" s="605"/>
      <c r="G3" s="605"/>
      <c r="H3" s="605"/>
      <c r="I3" s="605"/>
      <c r="J3" s="606"/>
    </row>
    <row r="4" spans="1:10" ht="15">
      <c r="A4" s="9"/>
      <c r="B4" s="10"/>
      <c r="C4" s="11"/>
      <c r="D4" s="10"/>
      <c r="E4" s="10"/>
      <c r="F4" s="10"/>
      <c r="G4" s="10"/>
      <c r="H4" s="10"/>
      <c r="I4" s="10"/>
      <c r="J4" s="12"/>
    </row>
    <row r="5" spans="1:10" ht="15">
      <c r="A5" s="607" t="s">
        <v>2</v>
      </c>
      <c r="B5" s="608"/>
      <c r="C5" s="608"/>
      <c r="D5" s="608"/>
      <c r="E5" s="603" t="s">
        <v>3</v>
      </c>
      <c r="F5" s="603"/>
      <c r="G5" s="13"/>
      <c r="H5" s="13"/>
      <c r="I5" s="13"/>
      <c r="J5" s="14"/>
    </row>
    <row r="6" spans="1:10" ht="15">
      <c r="A6" s="15"/>
      <c r="B6" s="16"/>
      <c r="C6" s="17"/>
      <c r="D6" s="16"/>
      <c r="E6" s="18"/>
      <c r="F6" s="18"/>
      <c r="G6" s="13"/>
      <c r="H6" s="13"/>
      <c r="I6" s="13"/>
      <c r="J6" s="14"/>
    </row>
    <row r="7" spans="1:10" ht="15">
      <c r="A7" s="607" t="s">
        <v>4</v>
      </c>
      <c r="B7" s="608"/>
      <c r="C7" s="608"/>
      <c r="D7" s="608"/>
      <c r="E7" s="605" t="s">
        <v>5</v>
      </c>
      <c r="F7" s="605"/>
      <c r="G7" s="605"/>
      <c r="H7" s="605"/>
      <c r="I7" s="605"/>
      <c r="J7" s="606"/>
    </row>
    <row r="8" spans="1:10" ht="14.25">
      <c r="A8" s="19"/>
      <c r="B8" s="20"/>
      <c r="C8" s="7"/>
      <c r="D8" s="20"/>
      <c r="E8" s="20"/>
      <c r="F8" s="20"/>
      <c r="G8" s="20"/>
      <c r="H8" s="20"/>
      <c r="I8" s="20"/>
      <c r="J8" s="21"/>
    </row>
    <row r="9" spans="1:10" ht="15">
      <c r="A9" s="604" t="s">
        <v>6</v>
      </c>
      <c r="B9" s="605"/>
      <c r="C9" s="605"/>
      <c r="D9" s="22"/>
      <c r="E9" s="609">
        <v>39650</v>
      </c>
      <c r="F9" s="605"/>
      <c r="G9" s="605"/>
      <c r="H9" s="20"/>
      <c r="I9" s="20"/>
      <c r="J9" s="21"/>
    </row>
    <row r="10" spans="1:10" ht="15">
      <c r="A10" s="23"/>
      <c r="B10" s="22"/>
      <c r="C10" s="24"/>
      <c r="D10" s="22"/>
      <c r="E10" s="20"/>
      <c r="F10" s="20"/>
      <c r="G10" s="20"/>
      <c r="H10" s="20"/>
      <c r="I10" s="20"/>
      <c r="J10" s="21"/>
    </row>
    <row r="11" spans="1:10" ht="15">
      <c r="A11" s="604" t="s">
        <v>7</v>
      </c>
      <c r="B11" s="605"/>
      <c r="C11" s="605"/>
      <c r="D11" s="605"/>
      <c r="E11" s="605" t="s">
        <v>8</v>
      </c>
      <c r="F11" s="605"/>
      <c r="G11" s="605"/>
      <c r="H11" s="20"/>
      <c r="I11" s="20"/>
      <c r="J11" s="21"/>
    </row>
    <row r="12" spans="1:10" ht="14.25">
      <c r="A12" s="19"/>
      <c r="B12" s="20"/>
      <c r="C12" s="7"/>
      <c r="D12" s="20"/>
      <c r="E12" s="20"/>
      <c r="F12" s="20"/>
      <c r="G12" s="20"/>
      <c r="H12" s="20"/>
      <c r="I12" s="20"/>
      <c r="J12" s="21"/>
    </row>
    <row r="13" spans="1:10" ht="15">
      <c r="A13" s="604" t="s">
        <v>9</v>
      </c>
      <c r="B13" s="605"/>
      <c r="C13" s="605"/>
      <c r="D13" s="605"/>
      <c r="E13" s="25" t="s">
        <v>10</v>
      </c>
      <c r="F13" s="25"/>
      <c r="G13" s="25"/>
      <c r="H13" s="25"/>
      <c r="I13" s="25"/>
      <c r="J13" s="21"/>
    </row>
    <row r="14" spans="1:10" ht="15">
      <c r="A14" s="19"/>
      <c r="B14" s="20"/>
      <c r="C14" s="7"/>
      <c r="D14" s="20"/>
      <c r="E14" s="603"/>
      <c r="F14" s="603"/>
      <c r="G14" s="603"/>
      <c r="H14" s="603"/>
      <c r="I14" s="603"/>
      <c r="J14" s="21"/>
    </row>
    <row r="15" spans="1:10" ht="15">
      <c r="A15" s="19"/>
      <c r="B15" s="20"/>
      <c r="C15" s="7"/>
      <c r="D15" s="20"/>
      <c r="E15" s="603"/>
      <c r="F15" s="603"/>
      <c r="G15" s="603"/>
      <c r="H15" s="603"/>
      <c r="I15" s="603"/>
      <c r="J15" s="21"/>
    </row>
    <row r="16" spans="1:10" ht="15">
      <c r="A16" s="26"/>
      <c r="B16" s="27"/>
      <c r="C16" s="24"/>
      <c r="D16" s="27"/>
      <c r="E16" s="6"/>
      <c r="F16" s="6"/>
      <c r="G16" s="6"/>
      <c r="H16" s="6"/>
      <c r="I16" s="6"/>
      <c r="J16" s="8"/>
    </row>
    <row r="17" spans="1:10" ht="15">
      <c r="A17" s="26"/>
      <c r="B17" s="27"/>
      <c r="C17" s="24"/>
      <c r="D17" s="27"/>
      <c r="E17" s="6"/>
      <c r="F17" s="6"/>
      <c r="G17" s="6"/>
      <c r="H17" s="6"/>
      <c r="I17" s="6"/>
      <c r="J17" s="8"/>
    </row>
    <row r="18" spans="1:10" ht="16.5">
      <c r="A18" s="26"/>
      <c r="B18" s="611" t="s">
        <v>11</v>
      </c>
      <c r="C18" s="611"/>
      <c r="D18" s="611"/>
      <c r="E18" s="611"/>
      <c r="F18" s="611"/>
      <c r="G18" s="611"/>
      <c r="H18" s="611"/>
      <c r="I18" s="6"/>
      <c r="J18" s="8"/>
    </row>
    <row r="19" spans="1:10" ht="15">
      <c r="A19" s="26"/>
      <c r="B19" s="28"/>
      <c r="C19" s="29" t="s">
        <v>12</v>
      </c>
      <c r="D19" s="28"/>
      <c r="E19" s="30"/>
      <c r="F19" s="30"/>
      <c r="G19" s="30"/>
      <c r="H19" s="30"/>
      <c r="I19" s="30"/>
      <c r="J19" s="31"/>
    </row>
    <row r="20" spans="1:10" ht="15">
      <c r="A20" s="26"/>
      <c r="B20" s="28" t="s">
        <v>13</v>
      </c>
      <c r="C20" s="29"/>
      <c r="D20" s="28"/>
      <c r="E20" s="30"/>
      <c r="F20" s="30"/>
      <c r="G20" s="30"/>
      <c r="H20" s="30"/>
      <c r="I20" s="30"/>
      <c r="J20" s="31"/>
    </row>
    <row r="21" spans="1:10" ht="15">
      <c r="A21" s="26"/>
      <c r="B21" s="27"/>
      <c r="C21" s="24"/>
      <c r="D21" s="27"/>
      <c r="E21" s="6"/>
      <c r="F21" s="6"/>
      <c r="G21" s="6"/>
      <c r="H21" s="6"/>
      <c r="I21" s="6"/>
      <c r="J21" s="8"/>
    </row>
    <row r="22" spans="1:10" ht="20.25">
      <c r="A22" s="5"/>
      <c r="B22" s="6"/>
      <c r="C22" s="7"/>
      <c r="D22" s="6"/>
      <c r="E22" s="612" t="s">
        <v>14</v>
      </c>
      <c r="F22" s="612"/>
      <c r="G22" s="612"/>
      <c r="H22" s="6"/>
      <c r="I22" s="6"/>
      <c r="J22" s="8"/>
    </row>
    <row r="23" spans="1:10">
      <c r="A23" s="5"/>
      <c r="B23" s="6"/>
      <c r="C23" s="7"/>
      <c r="D23" s="6"/>
      <c r="E23" s="6"/>
      <c r="F23" s="6"/>
      <c r="G23" s="6"/>
      <c r="H23" s="6"/>
      <c r="I23" s="6"/>
      <c r="J23" s="8"/>
    </row>
    <row r="24" spans="1:10">
      <c r="A24" s="5"/>
      <c r="B24" s="6"/>
      <c r="C24" s="7"/>
      <c r="D24" s="6"/>
      <c r="E24" s="6"/>
      <c r="F24" s="6"/>
      <c r="G24" s="6"/>
      <c r="H24" s="6"/>
      <c r="I24" s="6"/>
      <c r="J24" s="8"/>
    </row>
    <row r="25" spans="1:10">
      <c r="A25" s="5"/>
      <c r="B25" s="6"/>
      <c r="C25" s="7"/>
      <c r="D25" s="6"/>
      <c r="E25" s="6"/>
      <c r="F25" s="6"/>
      <c r="G25" s="6"/>
      <c r="H25" s="6"/>
      <c r="I25" s="6"/>
      <c r="J25" s="8"/>
    </row>
    <row r="26" spans="1:10">
      <c r="A26" s="5"/>
      <c r="B26" s="6"/>
      <c r="C26" s="7"/>
      <c r="D26" s="6"/>
      <c r="E26" s="6"/>
      <c r="F26" s="6"/>
      <c r="G26" s="6"/>
      <c r="H26" s="6"/>
      <c r="I26" s="6"/>
      <c r="J26" s="8"/>
    </row>
    <row r="27" spans="1:10">
      <c r="A27" s="5"/>
      <c r="B27" s="6"/>
      <c r="C27" s="7"/>
      <c r="D27" s="6"/>
      <c r="E27" s="6"/>
      <c r="F27" s="6"/>
      <c r="G27" s="6"/>
      <c r="H27" s="6"/>
      <c r="I27" s="6"/>
      <c r="J27" s="8"/>
    </row>
    <row r="28" spans="1:10">
      <c r="A28" s="5"/>
      <c r="B28" s="610" t="s">
        <v>15</v>
      </c>
      <c r="C28" s="610"/>
      <c r="D28" s="610"/>
      <c r="E28" s="610"/>
      <c r="F28" s="610"/>
      <c r="G28" s="32"/>
      <c r="H28" s="613"/>
      <c r="I28" s="613"/>
      <c r="J28" s="614"/>
    </row>
    <row r="29" spans="1:10">
      <c r="A29" s="5"/>
      <c r="B29" s="33"/>
      <c r="C29" s="34"/>
      <c r="D29" s="33"/>
      <c r="E29" s="33"/>
      <c r="F29" s="33"/>
      <c r="G29" s="33"/>
      <c r="H29" s="32"/>
      <c r="I29" s="33"/>
      <c r="J29" s="35"/>
    </row>
    <row r="30" spans="1:10">
      <c r="A30" s="5"/>
      <c r="B30" s="610" t="s">
        <v>16</v>
      </c>
      <c r="C30" s="610"/>
      <c r="D30" s="610"/>
      <c r="E30" s="610"/>
      <c r="F30" s="610"/>
      <c r="G30" s="33"/>
      <c r="H30" s="615"/>
      <c r="I30" s="615"/>
      <c r="J30" s="616"/>
    </row>
    <row r="31" spans="1:10">
      <c r="A31" s="5"/>
      <c r="B31" s="33"/>
      <c r="C31" s="34"/>
      <c r="D31" s="32"/>
      <c r="E31" s="32"/>
      <c r="F31" s="32"/>
      <c r="G31" s="32"/>
      <c r="H31" s="33"/>
      <c r="I31" s="33"/>
      <c r="J31" s="35"/>
    </row>
    <row r="32" spans="1:10">
      <c r="A32" s="5"/>
      <c r="B32" s="610" t="s">
        <v>17</v>
      </c>
      <c r="C32" s="610"/>
      <c r="D32" s="610"/>
      <c r="E32" s="610"/>
      <c r="F32" s="610"/>
      <c r="G32" s="32"/>
      <c r="H32" s="617"/>
      <c r="I32" s="617"/>
      <c r="J32" s="618"/>
    </row>
    <row r="33" spans="1:10">
      <c r="A33" s="5"/>
      <c r="B33" s="33"/>
      <c r="C33" s="34"/>
      <c r="D33" s="32"/>
      <c r="E33" s="32"/>
      <c r="F33" s="32"/>
      <c r="G33" s="32"/>
      <c r="H33" s="32"/>
      <c r="I33" s="32"/>
      <c r="J33" s="36"/>
    </row>
    <row r="34" spans="1:10">
      <c r="A34" s="5"/>
      <c r="B34" s="610" t="s">
        <v>18</v>
      </c>
      <c r="C34" s="610"/>
      <c r="D34" s="610"/>
      <c r="E34" s="610"/>
      <c r="F34" s="610"/>
      <c r="G34" s="610"/>
      <c r="H34" s="617"/>
      <c r="I34" s="617"/>
      <c r="J34" s="618"/>
    </row>
    <row r="35" spans="1:10">
      <c r="A35" s="5"/>
      <c r="B35" s="33"/>
      <c r="C35" s="34"/>
      <c r="D35" s="33"/>
      <c r="E35" s="33"/>
      <c r="F35" s="33"/>
      <c r="G35" s="33"/>
      <c r="H35" s="32"/>
      <c r="I35" s="32"/>
      <c r="J35" s="36"/>
    </row>
    <row r="36" spans="1:10">
      <c r="A36" s="5"/>
      <c r="B36" s="33"/>
      <c r="C36" s="34"/>
      <c r="D36" s="33"/>
      <c r="E36" s="33"/>
      <c r="F36" s="33"/>
      <c r="G36" s="33"/>
      <c r="H36" s="33"/>
      <c r="I36" s="33"/>
      <c r="J36" s="35"/>
    </row>
    <row r="37" spans="1:10">
      <c r="A37" s="5"/>
      <c r="B37" s="33"/>
      <c r="C37" s="34"/>
      <c r="D37" s="33"/>
      <c r="E37" s="33"/>
      <c r="F37" s="33"/>
      <c r="G37" s="32"/>
      <c r="H37" s="32"/>
      <c r="I37" s="32"/>
      <c r="J37" s="36"/>
    </row>
    <row r="38" spans="1:10">
      <c r="A38" s="5"/>
      <c r="B38" s="610" t="s">
        <v>19</v>
      </c>
      <c r="C38" s="610"/>
      <c r="D38" s="610"/>
      <c r="E38" s="610"/>
      <c r="F38" s="610"/>
      <c r="G38" s="33"/>
      <c r="H38" s="37" t="s">
        <v>20</v>
      </c>
      <c r="I38" s="37"/>
      <c r="J38" s="35"/>
    </row>
    <row r="39" spans="1:10">
      <c r="A39" s="5"/>
      <c r="B39" s="33"/>
      <c r="C39" s="34"/>
      <c r="D39" s="32"/>
      <c r="E39" s="32"/>
      <c r="F39" s="32"/>
      <c r="G39" s="32"/>
      <c r="H39" s="38" t="s">
        <v>21</v>
      </c>
      <c r="I39" s="38"/>
      <c r="J39" s="36"/>
    </row>
    <row r="40" spans="1:10">
      <c r="A40" s="5"/>
      <c r="B40" s="33"/>
      <c r="C40" s="34"/>
      <c r="D40" s="33"/>
      <c r="E40" s="33"/>
      <c r="F40" s="33"/>
      <c r="G40" s="33"/>
      <c r="H40" s="33"/>
      <c r="I40" s="33"/>
      <c r="J40" s="35"/>
    </row>
    <row r="41" spans="1:10">
      <c r="A41" s="5"/>
      <c r="B41" s="610" t="s">
        <v>22</v>
      </c>
      <c r="C41" s="610"/>
      <c r="D41" s="610"/>
      <c r="E41" s="610"/>
      <c r="F41" s="610"/>
      <c r="G41" s="33"/>
      <c r="H41" s="39">
        <v>40626</v>
      </c>
      <c r="I41" s="30"/>
      <c r="J41" s="8"/>
    </row>
    <row r="42" spans="1:10">
      <c r="A42" s="5"/>
      <c r="B42" s="6"/>
      <c r="C42" s="7"/>
      <c r="D42" s="6"/>
      <c r="E42" s="6"/>
      <c r="F42" s="6"/>
      <c r="G42" s="6"/>
      <c r="H42" s="6"/>
      <c r="I42" s="6"/>
      <c r="J42" s="8"/>
    </row>
    <row r="43" spans="1:10" ht="13.5" thickBot="1">
      <c r="A43" s="40"/>
      <c r="B43" s="41"/>
      <c r="C43" s="42"/>
      <c r="D43" s="41"/>
      <c r="E43" s="41"/>
      <c r="F43" s="41"/>
      <c r="G43" s="41"/>
      <c r="H43" s="41"/>
      <c r="I43" s="41"/>
      <c r="J43" s="43"/>
    </row>
  </sheetData>
  <mergeCells count="25">
    <mergeCell ref="B41:F41"/>
    <mergeCell ref="E15:I15"/>
    <mergeCell ref="B18:H18"/>
    <mergeCell ref="E22:G22"/>
    <mergeCell ref="B28:F28"/>
    <mergeCell ref="H28:J28"/>
    <mergeCell ref="B30:F30"/>
    <mergeCell ref="H30:J30"/>
    <mergeCell ref="B32:F32"/>
    <mergeCell ref="H32:J32"/>
    <mergeCell ref="B34:G34"/>
    <mergeCell ref="H34:J34"/>
    <mergeCell ref="B38:F38"/>
    <mergeCell ref="E14:I14"/>
    <mergeCell ref="A3:D3"/>
    <mergeCell ref="E3:J3"/>
    <mergeCell ref="A5:D5"/>
    <mergeCell ref="E5:F5"/>
    <mergeCell ref="A7:D7"/>
    <mergeCell ref="E7:J7"/>
    <mergeCell ref="A9:C9"/>
    <mergeCell ref="E9:G9"/>
    <mergeCell ref="A11:D11"/>
    <mergeCell ref="E11:G11"/>
    <mergeCell ref="A13:D13"/>
  </mergeCells>
  <pageMargins left="0.51" right="0.25" top="1" bottom="1" header="0.51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4"/>
  <sheetViews>
    <sheetView topLeftCell="G1" workbookViewId="0">
      <selection activeCell="E84" sqref="E84"/>
    </sheetView>
  </sheetViews>
  <sheetFormatPr defaultRowHeight="15"/>
  <cols>
    <col min="1" max="1" width="4.28515625" customWidth="1"/>
    <col min="3" max="3" width="21.85546875" style="44" customWidth="1"/>
    <col min="6" max="6" width="10.28515625" customWidth="1"/>
    <col min="7" max="7" width="8.5703125" customWidth="1"/>
    <col min="11" max="11" width="6" customWidth="1"/>
    <col min="12" max="12" width="5.5703125" customWidth="1"/>
    <col min="18" max="18" width="8.28515625" customWidth="1"/>
    <col min="19" max="19" width="9.5703125" style="106" customWidth="1"/>
    <col min="20" max="20" width="15.28515625" style="169" customWidth="1"/>
    <col min="21" max="21" width="16.28515625" style="169" customWidth="1"/>
    <col min="22" max="23" width="0" hidden="1" customWidth="1"/>
    <col min="24" max="24" width="6.42578125" style="52" customWidth="1"/>
    <col min="25" max="25" width="5.85546875" style="52" customWidth="1"/>
    <col min="26" max="26" width="14.5703125" bestFit="1" customWidth="1"/>
    <col min="27" max="27" width="13.5703125" bestFit="1" customWidth="1"/>
  </cols>
  <sheetData>
    <row r="1" spans="1:26" ht="25.5" customHeight="1" thickBot="1">
      <c r="A1" s="629" t="s">
        <v>23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45"/>
      <c r="M1" s="46" t="s">
        <v>23</v>
      </c>
      <c r="N1" s="46"/>
      <c r="O1" s="46"/>
      <c r="P1" s="46"/>
      <c r="Q1" s="46"/>
      <c r="R1" s="46"/>
      <c r="S1" s="47"/>
      <c r="T1" s="48"/>
      <c r="U1" s="48"/>
      <c r="V1" s="49"/>
      <c r="W1" s="50"/>
      <c r="X1" s="51"/>
    </row>
    <row r="2" spans="1:26" ht="18.75" customHeight="1">
      <c r="A2" s="53"/>
      <c r="B2" s="630" t="s">
        <v>24</v>
      </c>
      <c r="C2" s="630"/>
      <c r="D2" s="630"/>
      <c r="E2" s="630"/>
      <c r="F2" s="630"/>
      <c r="G2" s="630"/>
      <c r="H2" s="630"/>
      <c r="I2" s="53"/>
      <c r="J2" s="53"/>
      <c r="K2" s="53"/>
      <c r="L2" s="54"/>
      <c r="M2" s="630" t="s">
        <v>25</v>
      </c>
      <c r="N2" s="630"/>
      <c r="O2" s="630"/>
      <c r="P2" s="630"/>
      <c r="Q2" s="630"/>
      <c r="R2" s="630"/>
      <c r="S2" s="630"/>
      <c r="T2" s="630"/>
      <c r="U2" s="630"/>
      <c r="V2" s="55"/>
      <c r="W2" s="56"/>
      <c r="X2" s="51"/>
    </row>
    <row r="3" spans="1:26" ht="24" thickBot="1">
      <c r="A3" s="57"/>
      <c r="B3" s="58"/>
      <c r="C3" s="59"/>
      <c r="D3" s="60"/>
      <c r="E3" s="60"/>
      <c r="F3" s="60"/>
      <c r="G3" s="60"/>
      <c r="H3" s="619">
        <v>2011</v>
      </c>
      <c r="I3" s="619"/>
      <c r="J3" s="619">
        <v>2010</v>
      </c>
      <c r="K3" s="631"/>
      <c r="L3" s="54"/>
      <c r="M3" s="605" t="s">
        <v>1</v>
      </c>
      <c r="N3" s="605"/>
      <c r="O3" s="605"/>
      <c r="P3" s="605"/>
      <c r="Q3" s="605"/>
      <c r="R3" s="606"/>
      <c r="S3" s="61"/>
      <c r="T3" s="62">
        <v>2011</v>
      </c>
      <c r="U3" s="62">
        <v>2010</v>
      </c>
      <c r="V3" s="619">
        <v>2009</v>
      </c>
      <c r="W3" s="620"/>
      <c r="X3" s="621" t="s">
        <v>26</v>
      </c>
      <c r="Y3" s="622"/>
    </row>
    <row r="4" spans="1:26" ht="28.5" customHeight="1" thickTop="1" thickBot="1">
      <c r="A4" s="63" t="s">
        <v>27</v>
      </c>
      <c r="B4" s="623" t="s">
        <v>28</v>
      </c>
      <c r="C4" s="623"/>
      <c r="D4" s="623"/>
      <c r="E4" s="623"/>
      <c r="F4" s="623"/>
      <c r="G4" s="623"/>
      <c r="H4" s="624" t="s">
        <v>29</v>
      </c>
      <c r="I4" s="625"/>
      <c r="J4" s="624" t="s">
        <v>30</v>
      </c>
      <c r="K4" s="626"/>
      <c r="L4" s="64" t="s">
        <v>27</v>
      </c>
      <c r="M4" s="627" t="s">
        <v>28</v>
      </c>
      <c r="N4" s="623"/>
      <c r="O4" s="623"/>
      <c r="P4" s="623"/>
      <c r="Q4" s="623"/>
      <c r="R4" s="628"/>
      <c r="S4" s="65" t="s">
        <v>31</v>
      </c>
      <c r="T4" s="66" t="s">
        <v>29</v>
      </c>
      <c r="U4" s="66" t="s">
        <v>29</v>
      </c>
      <c r="V4" s="626" t="s">
        <v>30</v>
      </c>
      <c r="W4" s="625"/>
      <c r="X4" s="67"/>
      <c r="Y4" s="68"/>
    </row>
    <row r="5" spans="1:26" thickTop="1" thickBot="1">
      <c r="A5" s="69">
        <v>1</v>
      </c>
      <c r="B5" s="632" t="s">
        <v>32</v>
      </c>
      <c r="C5" s="633"/>
      <c r="D5" s="633"/>
      <c r="E5" s="633"/>
      <c r="F5" s="633"/>
      <c r="G5" s="634"/>
      <c r="H5" s="635"/>
      <c r="I5" s="635"/>
      <c r="J5" s="636"/>
      <c r="K5" s="637"/>
      <c r="L5" s="70">
        <v>1</v>
      </c>
      <c r="M5" s="638" t="s">
        <v>33</v>
      </c>
      <c r="N5" s="639"/>
      <c r="O5" s="639"/>
      <c r="P5" s="639"/>
      <c r="Q5" s="639"/>
      <c r="R5" s="640"/>
      <c r="S5" s="71">
        <v>8</v>
      </c>
      <c r="T5" s="72">
        <f>SUM(T6:T10)</f>
        <v>874242119.76999998</v>
      </c>
      <c r="U5" s="72">
        <f>SUM(U6:U10)</f>
        <v>683455672.16999996</v>
      </c>
      <c r="V5" s="641">
        <f>SUM(V6:W10)</f>
        <v>317027672</v>
      </c>
      <c r="W5" s="642"/>
      <c r="X5" s="73"/>
      <c r="Y5" s="74"/>
    </row>
    <row r="6" spans="1:26" ht="13.5">
      <c r="A6" s="69">
        <v>2</v>
      </c>
      <c r="B6" s="643" t="s">
        <v>34</v>
      </c>
      <c r="C6" s="644"/>
      <c r="D6" s="644"/>
      <c r="E6" s="644"/>
      <c r="F6" s="644"/>
      <c r="G6" s="645"/>
      <c r="H6" s="646"/>
      <c r="I6" s="647"/>
      <c r="J6" s="648"/>
      <c r="K6" s="649"/>
      <c r="L6" s="75"/>
      <c r="M6" s="632" t="s">
        <v>35</v>
      </c>
      <c r="N6" s="633"/>
      <c r="O6" s="633"/>
      <c r="P6" s="633"/>
      <c r="Q6" s="633"/>
      <c r="R6" s="634"/>
      <c r="S6" s="76">
        <v>8.1</v>
      </c>
      <c r="T6" s="77">
        <f>'[1]PASH BRUTO F5'!G4</f>
        <v>874242119.76999998</v>
      </c>
      <c r="U6" s="77">
        <v>683455672.16999996</v>
      </c>
      <c r="V6" s="650">
        <v>316779576</v>
      </c>
      <c r="W6" s="651"/>
      <c r="X6" s="74"/>
      <c r="Y6" s="74"/>
      <c r="Z6" s="78"/>
    </row>
    <row r="7" spans="1:26" ht="12.75">
      <c r="A7" s="69"/>
      <c r="B7" s="652" t="s">
        <v>36</v>
      </c>
      <c r="C7" s="653"/>
      <c r="D7" s="653"/>
      <c r="E7" s="653"/>
      <c r="F7" s="653"/>
      <c r="G7" s="654"/>
      <c r="H7" s="655"/>
      <c r="I7" s="656"/>
      <c r="J7" s="657">
        <v>0</v>
      </c>
      <c r="K7" s="658"/>
      <c r="L7" s="75"/>
      <c r="M7" s="643" t="s">
        <v>36</v>
      </c>
      <c r="N7" s="644"/>
      <c r="O7" s="644"/>
      <c r="P7" s="644"/>
      <c r="Q7" s="644"/>
      <c r="R7" s="645"/>
      <c r="S7" s="79"/>
      <c r="T7" s="80"/>
      <c r="U7" s="80"/>
      <c r="V7" s="659">
        <v>10748</v>
      </c>
      <c r="W7" s="660"/>
      <c r="X7" s="81"/>
      <c r="Y7" s="74"/>
    </row>
    <row r="8" spans="1:26" ht="12.75">
      <c r="A8" s="82"/>
      <c r="B8" s="652" t="s">
        <v>36</v>
      </c>
      <c r="C8" s="653"/>
      <c r="D8" s="653"/>
      <c r="E8" s="653"/>
      <c r="F8" s="653"/>
      <c r="G8" s="654"/>
      <c r="H8" s="655"/>
      <c r="I8" s="656"/>
      <c r="J8" s="657">
        <v>0</v>
      </c>
      <c r="K8" s="658"/>
      <c r="L8" s="75"/>
      <c r="M8" s="643" t="s">
        <v>36</v>
      </c>
      <c r="N8" s="644"/>
      <c r="O8" s="644"/>
      <c r="P8" s="644"/>
      <c r="Q8" s="644"/>
      <c r="R8" s="645"/>
      <c r="S8" s="79"/>
      <c r="T8" s="83"/>
      <c r="U8" s="83"/>
      <c r="V8" s="659">
        <v>237348</v>
      </c>
      <c r="W8" s="660"/>
      <c r="X8" s="81"/>
      <c r="Y8" s="74"/>
    </row>
    <row r="9" spans="1:26" ht="13.5">
      <c r="A9" s="69">
        <v>3</v>
      </c>
      <c r="B9" s="661" t="s">
        <v>37</v>
      </c>
      <c r="C9" s="662"/>
      <c r="D9" s="662"/>
      <c r="E9" s="662"/>
      <c r="F9" s="662"/>
      <c r="G9" s="663"/>
      <c r="H9" s="664"/>
      <c r="I9" s="664"/>
      <c r="J9" s="664"/>
      <c r="K9" s="646"/>
      <c r="L9" s="75"/>
      <c r="M9" s="643" t="s">
        <v>36</v>
      </c>
      <c r="N9" s="644"/>
      <c r="O9" s="644"/>
      <c r="P9" s="644"/>
      <c r="Q9" s="644"/>
      <c r="R9" s="645"/>
      <c r="S9" s="79"/>
      <c r="T9" s="84"/>
      <c r="U9" s="84"/>
      <c r="V9" s="665"/>
      <c r="W9" s="666"/>
      <c r="X9" s="81"/>
      <c r="Y9" s="74"/>
    </row>
    <row r="10" spans="1:26">
      <c r="A10" s="69">
        <v>4</v>
      </c>
      <c r="B10" s="661" t="s">
        <v>38</v>
      </c>
      <c r="C10" s="662"/>
      <c r="D10" s="662"/>
      <c r="E10" s="662"/>
      <c r="F10" s="662"/>
      <c r="G10" s="663"/>
      <c r="H10" s="664"/>
      <c r="I10" s="664"/>
      <c r="J10" s="664"/>
      <c r="K10" s="646"/>
      <c r="L10" s="75"/>
      <c r="M10" s="661" t="s">
        <v>39</v>
      </c>
      <c r="N10" s="662"/>
      <c r="O10" s="662"/>
      <c r="P10" s="662"/>
      <c r="Q10" s="662"/>
      <c r="R10" s="663"/>
      <c r="S10" s="85"/>
      <c r="T10" s="86">
        <v>0</v>
      </c>
      <c r="U10" s="86">
        <v>0</v>
      </c>
      <c r="V10" s="664"/>
      <c r="W10" s="646"/>
      <c r="X10" s="87"/>
      <c r="Y10" s="74"/>
    </row>
    <row r="11" spans="1:26" ht="13.5">
      <c r="A11" s="69"/>
      <c r="B11" s="667" t="s">
        <v>40</v>
      </c>
      <c r="C11" s="668"/>
      <c r="D11" s="668"/>
      <c r="E11" s="668"/>
      <c r="F11" s="668"/>
      <c r="G11" s="669"/>
      <c r="H11" s="670"/>
      <c r="I11" s="671"/>
      <c r="J11" s="670"/>
      <c r="K11" s="672"/>
      <c r="L11" s="88">
        <v>2</v>
      </c>
      <c r="M11" s="661" t="s">
        <v>41</v>
      </c>
      <c r="N11" s="662"/>
      <c r="O11" s="662"/>
      <c r="P11" s="662"/>
      <c r="Q11" s="662"/>
      <c r="R11" s="663"/>
      <c r="S11" s="89">
        <v>9</v>
      </c>
      <c r="T11" s="86">
        <f>T12+T13+T14</f>
        <v>698258522.38999999</v>
      </c>
      <c r="U11" s="86">
        <f>U12+U13+U14</f>
        <v>607498567.50999999</v>
      </c>
      <c r="V11" s="664">
        <f>V12+V13+V14</f>
        <v>260113849.89000002</v>
      </c>
      <c r="W11" s="646"/>
      <c r="X11" s="87">
        <f>T11/$T$5</f>
        <v>0.79870153427714208</v>
      </c>
      <c r="Y11" s="74">
        <f>U11/$U$6</f>
        <v>0.88886315857349896</v>
      </c>
    </row>
    <row r="12" spans="1:26">
      <c r="A12" s="69"/>
      <c r="B12" s="673" t="s">
        <v>42</v>
      </c>
      <c r="C12" s="674"/>
      <c r="D12" s="674"/>
      <c r="E12" s="674"/>
      <c r="F12" s="674"/>
      <c r="G12" s="675"/>
      <c r="H12" s="670"/>
      <c r="I12" s="671"/>
      <c r="J12" s="670"/>
      <c r="K12" s="672"/>
      <c r="L12" s="75"/>
      <c r="M12" s="90" t="s">
        <v>40</v>
      </c>
      <c r="N12" s="91"/>
      <c r="O12" s="91"/>
      <c r="P12" s="91"/>
      <c r="Q12" s="91"/>
      <c r="R12" s="92"/>
      <c r="S12" s="93"/>
      <c r="T12" s="94">
        <v>0</v>
      </c>
      <c r="U12" s="94">
        <v>0</v>
      </c>
      <c r="V12" s="676"/>
      <c r="W12" s="677"/>
      <c r="X12" s="87">
        <f t="shared" ref="X12:X35" si="0">T12/$T$5</f>
        <v>0</v>
      </c>
      <c r="Y12" s="74">
        <f t="shared" ref="Y12:Y35" si="1">U12/$U$6</f>
        <v>0</v>
      </c>
    </row>
    <row r="13" spans="1:26">
      <c r="A13" s="69"/>
      <c r="B13" s="678" t="s">
        <v>43</v>
      </c>
      <c r="C13" s="668"/>
      <c r="D13" s="668"/>
      <c r="E13" s="668"/>
      <c r="F13" s="668"/>
      <c r="G13" s="669"/>
      <c r="H13" s="655"/>
      <c r="I13" s="656"/>
      <c r="J13" s="670"/>
      <c r="K13" s="672"/>
      <c r="L13" s="75"/>
      <c r="M13" s="95" t="s">
        <v>44</v>
      </c>
      <c r="N13" s="96"/>
      <c r="O13" s="96"/>
      <c r="P13" s="96"/>
      <c r="Q13" s="96"/>
      <c r="R13" s="97"/>
      <c r="S13" s="93">
        <v>9.1</v>
      </c>
      <c r="T13" s="80">
        <f>'[1]PASH BRUTO F5'!G14+'[1]PASH BRUTO F5'!G15+'[1]PASH BRUTO F5'!G16+'[1]PASH BRUTO F5'!G11</f>
        <v>582478231.63</v>
      </c>
      <c r="U13" s="80">
        <f>6934268.44+497914055.11+387976</f>
        <v>505236299.55000001</v>
      </c>
      <c r="V13" s="659">
        <f>321902909.6-120413419.44</f>
        <v>201489490.16000003</v>
      </c>
      <c r="W13" s="660"/>
      <c r="X13" s="87">
        <f t="shared" si="0"/>
        <v>0.66626649352383216</v>
      </c>
      <c r="Y13" s="74">
        <f t="shared" si="1"/>
        <v>0.73923784690505812</v>
      </c>
      <c r="Z13" s="98"/>
    </row>
    <row r="14" spans="1:26" ht="26.25" customHeight="1">
      <c r="A14" s="69">
        <v>5</v>
      </c>
      <c r="B14" s="661" t="s">
        <v>45</v>
      </c>
      <c r="C14" s="662"/>
      <c r="D14" s="662"/>
      <c r="E14" s="662"/>
      <c r="F14" s="662"/>
      <c r="G14" s="663"/>
      <c r="H14" s="664"/>
      <c r="I14" s="664"/>
      <c r="J14" s="664"/>
      <c r="K14" s="646"/>
      <c r="L14" s="75"/>
      <c r="M14" s="679" t="s">
        <v>46</v>
      </c>
      <c r="N14" s="680"/>
      <c r="O14" s="680"/>
      <c r="P14" s="680"/>
      <c r="Q14" s="680"/>
      <c r="R14" s="681"/>
      <c r="S14" s="99">
        <v>9.1999999999999993</v>
      </c>
      <c r="T14" s="100">
        <f>'[1]PASH BRUTO F5'!G37+'[1]PASH BRUTO F5'!G39+'[1]PASH BRUTO F5'!G40+'[1]PASH BRUTO F5'!G41</f>
        <v>115780290.76000001</v>
      </c>
      <c r="U14" s="100">
        <f>58672464.96+25374255+4275699+13939849</f>
        <v>102262267.96000001</v>
      </c>
      <c r="V14" s="682">
        <f>16033033.05+18362688+22042087.68+2186551</f>
        <v>58624359.729999997</v>
      </c>
      <c r="W14" s="683"/>
      <c r="X14" s="87">
        <f t="shared" si="0"/>
        <v>0.13243504075330992</v>
      </c>
      <c r="Y14" s="74">
        <f t="shared" si="1"/>
        <v>0.1496253116684409</v>
      </c>
      <c r="Z14" s="98"/>
    </row>
    <row r="15" spans="1:26" ht="13.5">
      <c r="A15" s="69"/>
      <c r="B15" s="687" t="s">
        <v>47</v>
      </c>
      <c r="C15" s="688"/>
      <c r="D15" s="688"/>
      <c r="E15" s="688"/>
      <c r="F15" s="688"/>
      <c r="G15" s="689"/>
      <c r="H15" s="690"/>
      <c r="I15" s="690"/>
      <c r="J15" s="690"/>
      <c r="K15" s="648"/>
      <c r="L15" s="88">
        <v>3</v>
      </c>
      <c r="M15" s="101" t="s">
        <v>48</v>
      </c>
      <c r="N15" s="102"/>
      <c r="O15" s="102"/>
      <c r="P15" s="102"/>
      <c r="Q15" s="102"/>
      <c r="R15" s="103"/>
      <c r="S15" s="104">
        <v>10</v>
      </c>
      <c r="T15" s="105">
        <f>T5-T11</f>
        <v>175983597.38</v>
      </c>
      <c r="U15" s="105">
        <f>U5-U11</f>
        <v>75957104.659999967</v>
      </c>
      <c r="V15" s="691">
        <f>V5-V11</f>
        <v>56913822.109999985</v>
      </c>
      <c r="W15" s="692"/>
      <c r="X15" s="87">
        <f t="shared" si="0"/>
        <v>0.20129846572285792</v>
      </c>
      <c r="Y15" s="74">
        <f t="shared" si="1"/>
        <v>0.11113684142650104</v>
      </c>
      <c r="Z15" s="98"/>
    </row>
    <row r="16" spans="1:26">
      <c r="A16" s="69"/>
      <c r="B16" s="687" t="s">
        <v>49</v>
      </c>
      <c r="C16" s="688"/>
      <c r="D16" s="688"/>
      <c r="E16" s="688"/>
      <c r="F16" s="688"/>
      <c r="G16" s="689"/>
      <c r="H16" s="690"/>
      <c r="I16" s="690"/>
      <c r="J16" s="690"/>
      <c r="K16" s="648"/>
      <c r="L16" s="75"/>
      <c r="M16" s="101" t="s">
        <v>50</v>
      </c>
      <c r="N16" s="102"/>
      <c r="O16" s="102"/>
      <c r="P16" s="102"/>
      <c r="Q16" s="102"/>
      <c r="R16" s="103"/>
      <c r="T16" s="80">
        <v>0</v>
      </c>
      <c r="U16" s="80">
        <v>0</v>
      </c>
      <c r="V16" s="659">
        <f>287381</f>
        <v>287381</v>
      </c>
      <c r="W16" s="660"/>
      <c r="X16" s="87">
        <f t="shared" si="0"/>
        <v>0</v>
      </c>
      <c r="Y16" s="74">
        <f t="shared" si="1"/>
        <v>0</v>
      </c>
    </row>
    <row r="17" spans="1:27">
      <c r="A17" s="69"/>
      <c r="B17" s="684" t="s">
        <v>51</v>
      </c>
      <c r="C17" s="685"/>
      <c r="D17" s="685"/>
      <c r="E17" s="685"/>
      <c r="F17" s="685"/>
      <c r="G17" s="686"/>
      <c r="H17" s="670"/>
      <c r="I17" s="671"/>
      <c r="J17" s="670"/>
      <c r="K17" s="672"/>
      <c r="L17" s="75"/>
      <c r="M17" s="107" t="s">
        <v>52</v>
      </c>
      <c r="N17" s="108"/>
      <c r="O17" s="108"/>
      <c r="P17" s="108"/>
      <c r="Q17" s="108"/>
      <c r="R17" s="109"/>
      <c r="S17" s="93">
        <v>10.1</v>
      </c>
      <c r="T17" s="80">
        <f>'[1]PASH BRUTO F5'!G45</f>
        <v>51344403.899999999</v>
      </c>
      <c r="U17" s="80">
        <v>38088948.469999999</v>
      </c>
      <c r="V17" s="659">
        <v>15795378</v>
      </c>
      <c r="W17" s="660"/>
      <c r="X17" s="87">
        <f>T17/$T$5</f>
        <v>5.8730187826580516E-2</v>
      </c>
      <c r="Y17" s="74">
        <f t="shared" si="1"/>
        <v>5.5729947121612167E-2</v>
      </c>
      <c r="Z17" s="98"/>
    </row>
    <row r="18" spans="1:27" ht="13.5">
      <c r="A18" s="69">
        <v>6</v>
      </c>
      <c r="B18" s="661" t="s">
        <v>53</v>
      </c>
      <c r="C18" s="662"/>
      <c r="D18" s="662"/>
      <c r="E18" s="662"/>
      <c r="F18" s="662"/>
      <c r="G18" s="663"/>
      <c r="H18" s="664"/>
      <c r="I18" s="664"/>
      <c r="J18" s="664"/>
      <c r="K18" s="646"/>
      <c r="L18" s="75"/>
      <c r="M18" s="107" t="s">
        <v>54</v>
      </c>
      <c r="N18" s="108"/>
      <c r="O18" s="108"/>
      <c r="P18" s="108"/>
      <c r="Q18" s="108"/>
      <c r="R18" s="109"/>
      <c r="S18" s="110"/>
      <c r="T18" s="111"/>
      <c r="U18" s="111"/>
      <c r="V18" s="659"/>
      <c r="W18" s="660"/>
      <c r="X18" s="87">
        <f t="shared" si="0"/>
        <v>0</v>
      </c>
      <c r="Y18" s="74">
        <f t="shared" si="1"/>
        <v>0</v>
      </c>
      <c r="Z18" s="98"/>
    </row>
    <row r="19" spans="1:27" ht="13.5">
      <c r="A19" s="69">
        <v>7</v>
      </c>
      <c r="B19" s="661" t="s">
        <v>55</v>
      </c>
      <c r="C19" s="662"/>
      <c r="D19" s="662"/>
      <c r="E19" s="662"/>
      <c r="F19" s="662"/>
      <c r="G19" s="663"/>
      <c r="H19" s="664"/>
      <c r="I19" s="664"/>
      <c r="J19" s="664"/>
      <c r="K19" s="646"/>
      <c r="L19" s="75"/>
      <c r="M19" s="107" t="s">
        <v>56</v>
      </c>
      <c r="N19" s="108"/>
      <c r="O19" s="108"/>
      <c r="P19" s="108"/>
      <c r="Q19" s="108"/>
      <c r="R19" s="109"/>
      <c r="S19" s="110">
        <v>10.3</v>
      </c>
      <c r="T19" s="80">
        <f>'[1]PASH BRUTO F5'!G46</f>
        <v>7268336</v>
      </c>
      <c r="U19" s="80">
        <v>5234979.7300000004</v>
      </c>
      <c r="V19" s="659">
        <v>2147852</v>
      </c>
      <c r="W19" s="660"/>
      <c r="X19" s="87">
        <f t="shared" si="0"/>
        <v>8.3138707637561444E-3</v>
      </c>
      <c r="Y19" s="74">
        <f t="shared" si="1"/>
        <v>7.6595746339754908E-3</v>
      </c>
      <c r="AA19" s="98"/>
    </row>
    <row r="20" spans="1:27">
      <c r="A20" s="112"/>
      <c r="B20" s="661" t="s">
        <v>57</v>
      </c>
      <c r="C20" s="662"/>
      <c r="D20" s="662"/>
      <c r="E20" s="662"/>
      <c r="F20" s="662"/>
      <c r="G20" s="663"/>
      <c r="H20" s="690"/>
      <c r="I20" s="690"/>
      <c r="J20" s="690"/>
      <c r="K20" s="648"/>
      <c r="L20" s="75"/>
      <c r="M20" s="101" t="s">
        <v>58</v>
      </c>
      <c r="N20" s="102"/>
      <c r="O20" s="102"/>
      <c r="P20" s="102"/>
      <c r="Q20" s="102"/>
      <c r="R20" s="103"/>
      <c r="S20" s="93">
        <v>10.4</v>
      </c>
      <c r="T20" s="80">
        <f>'[1]PASH BRUTO F5'!G54</f>
        <v>20783515.960000001</v>
      </c>
      <c r="U20" s="80">
        <v>14523092.060000001</v>
      </c>
      <c r="V20" s="659">
        <v>3681660.87</v>
      </c>
      <c r="W20" s="660"/>
      <c r="X20" s="87">
        <f t="shared" si="0"/>
        <v>2.3773180781392497E-2</v>
      </c>
      <c r="Y20" s="74">
        <f t="shared" si="1"/>
        <v>2.1249501103544264E-2</v>
      </c>
    </row>
    <row r="21" spans="1:27">
      <c r="A21" s="112"/>
      <c r="B21" s="678" t="s">
        <v>59</v>
      </c>
      <c r="C21" s="668"/>
      <c r="D21" s="668"/>
      <c r="E21" s="668"/>
      <c r="F21" s="668"/>
      <c r="G21" s="669"/>
      <c r="H21" s="690"/>
      <c r="I21" s="690"/>
      <c r="J21" s="690"/>
      <c r="K21" s="648"/>
      <c r="L21" s="75"/>
      <c r="M21" s="101" t="s">
        <v>60</v>
      </c>
      <c r="N21" s="102"/>
      <c r="O21" s="102"/>
      <c r="P21" s="102"/>
      <c r="Q21" s="102"/>
      <c r="R21" s="103"/>
      <c r="S21" s="93">
        <v>10.5</v>
      </c>
      <c r="T21" s="113">
        <f>'[1]PASH BRUTO F5'!I47</f>
        <v>2622726.3593100002</v>
      </c>
      <c r="U21" s="113">
        <v>2657736.2000000002</v>
      </c>
      <c r="V21" s="670">
        <v>5741712.0599999996</v>
      </c>
      <c r="W21" s="672"/>
      <c r="X21" s="87">
        <f t="shared" si="0"/>
        <v>3.0000000000000005E-3</v>
      </c>
      <c r="Y21" s="74">
        <f t="shared" si="1"/>
        <v>3.8886738499975836E-3</v>
      </c>
      <c r="Z21" s="98"/>
    </row>
    <row r="22" spans="1:27">
      <c r="A22" s="69">
        <v>8</v>
      </c>
      <c r="B22" s="661" t="s">
        <v>61</v>
      </c>
      <c r="C22" s="662"/>
      <c r="D22" s="662"/>
      <c r="E22" s="662"/>
      <c r="F22" s="662"/>
      <c r="G22" s="663"/>
      <c r="H22" s="693">
        <f>H19+H14+H10+H13+H18</f>
        <v>0</v>
      </c>
      <c r="I22" s="693"/>
      <c r="J22" s="693">
        <f>J19+J14+J10+J13+J18</f>
        <v>0</v>
      </c>
      <c r="K22" s="694"/>
      <c r="L22" s="75"/>
      <c r="M22" s="114" t="s">
        <v>62</v>
      </c>
      <c r="N22" s="91"/>
      <c r="O22" s="91"/>
      <c r="P22" s="91"/>
      <c r="Q22" s="91"/>
      <c r="R22" s="92"/>
      <c r="S22" s="93">
        <v>10.6</v>
      </c>
      <c r="T22" s="80">
        <f>'[1]PASH BRUTO F5'!G44+'[1]PASH BRUTO F5'!G42</f>
        <v>245279</v>
      </c>
      <c r="U22" s="80">
        <f>121860+13666.66+338589</f>
        <v>474115.66000000003</v>
      </c>
      <c r="V22" s="659">
        <f>30847+3172553</f>
        <v>3203400</v>
      </c>
      <c r="W22" s="660"/>
      <c r="X22" s="87">
        <f t="shared" si="0"/>
        <v>2.8056186547558386E-4</v>
      </c>
      <c r="Y22" s="74">
        <f t="shared" si="1"/>
        <v>6.9370359967115827E-4</v>
      </c>
      <c r="Z22" s="98"/>
    </row>
    <row r="23" spans="1:27" ht="44.25" customHeight="1">
      <c r="A23" s="69">
        <v>9</v>
      </c>
      <c r="B23" s="661" t="s">
        <v>63</v>
      </c>
      <c r="C23" s="662"/>
      <c r="D23" s="662"/>
      <c r="E23" s="662"/>
      <c r="F23" s="662"/>
      <c r="G23" s="663"/>
      <c r="H23" s="664">
        <f>H5+H6+H9+H7+H8-H22</f>
        <v>0</v>
      </c>
      <c r="I23" s="664"/>
      <c r="J23" s="664">
        <f>J5+J6+J9+J7+J8-J22</f>
        <v>0</v>
      </c>
      <c r="K23" s="646"/>
      <c r="L23" s="88">
        <v>4</v>
      </c>
      <c r="M23" s="679" t="s">
        <v>64</v>
      </c>
      <c r="N23" s="680"/>
      <c r="O23" s="680"/>
      <c r="P23" s="680"/>
      <c r="Q23" s="680"/>
      <c r="R23" s="681"/>
      <c r="S23" s="115">
        <v>11</v>
      </c>
      <c r="T23" s="80">
        <f>'[1]PASH BRUTO F5'!R41</f>
        <v>90388748.860000029</v>
      </c>
      <c r="U23" s="80">
        <f>3035924.45+119150+1899328+216916+55950+1519852.67+7137833.35+38966242.06+10113828.66+14461029.03+896061.43+544397.5+86966+23982.24+4082588.5+15000+662629.9+19576.09+691664.32+1679698.71+32700+49267+275260</f>
        <v>86585845.909999996</v>
      </c>
      <c r="V23" s="682">
        <f>843780+48310+497810+289067+3965580.98+247500+14297816.13+27688000+356184.65+34749+1612351.2+1171989.49+194122+150573+190929+150060+194207+33330+503704.3+782988+526971.37+80221+208121.2+406519.49+4000</f>
        <v>54478884.810000002</v>
      </c>
      <c r="W23" s="683"/>
      <c r="X23" s="87">
        <f t="shared" si="0"/>
        <v>0.10339097924471993</v>
      </c>
      <c r="Y23" s="74">
        <f t="shared" si="1"/>
        <v>0.12668831269639824</v>
      </c>
      <c r="Z23" s="98"/>
    </row>
    <row r="24" spans="1:27" ht="13.5">
      <c r="A24" s="69">
        <v>10</v>
      </c>
      <c r="B24" s="695" t="s">
        <v>65</v>
      </c>
      <c r="C24" s="696"/>
      <c r="D24" s="696"/>
      <c r="E24" s="696"/>
      <c r="F24" s="696"/>
      <c r="G24" s="697"/>
      <c r="H24" s="690"/>
      <c r="I24" s="690"/>
      <c r="J24" s="690"/>
      <c r="K24" s="648"/>
      <c r="L24" s="70">
        <v>5</v>
      </c>
      <c r="M24" s="116" t="s">
        <v>66</v>
      </c>
      <c r="N24" s="102"/>
      <c r="O24" s="102"/>
      <c r="P24" s="102"/>
      <c r="Q24" s="698">
        <v>7088</v>
      </c>
      <c r="R24" s="699"/>
      <c r="S24" s="104">
        <v>12</v>
      </c>
      <c r="T24" s="117">
        <f>'[1]PASH BRUTO F5'!G5</f>
        <v>876711</v>
      </c>
      <c r="U24" s="117">
        <f>528673+1152025.66+549500</f>
        <v>2230198.66</v>
      </c>
      <c r="V24" s="682"/>
      <c r="W24" s="683"/>
      <c r="X24" s="87">
        <f t="shared" si="0"/>
        <v>1.0028240234303165E-3</v>
      </c>
      <c r="Y24" s="74">
        <f t="shared" si="1"/>
        <v>3.263121151543051E-3</v>
      </c>
    </row>
    <row r="25" spans="1:27" ht="29.25" customHeight="1">
      <c r="A25" s="69">
        <v>11</v>
      </c>
      <c r="B25" s="695" t="s">
        <v>67</v>
      </c>
      <c r="C25" s="696"/>
      <c r="D25" s="696"/>
      <c r="E25" s="696"/>
      <c r="F25" s="696"/>
      <c r="G25" s="697"/>
      <c r="H25" s="664"/>
      <c r="I25" s="664"/>
      <c r="J25" s="664"/>
      <c r="K25" s="646"/>
      <c r="L25" s="70">
        <v>6</v>
      </c>
      <c r="M25" s="700" t="s">
        <v>68</v>
      </c>
      <c r="N25" s="701"/>
      <c r="O25" s="701"/>
      <c r="P25" s="701"/>
      <c r="Q25" s="701"/>
      <c r="R25" s="702"/>
      <c r="S25" s="118">
        <v>13</v>
      </c>
      <c r="T25" s="119">
        <f>'[1]PASH BRUTO F5'!G48+'[1]PASH BRUTO F5'!J47+'[1]PASH BRUTO F5'!G50+'[1]PASH BRUTO F5'!G55+'[1]PASH BRUTO F5'!G22</f>
        <v>13492179.200689999</v>
      </c>
      <c r="U25" s="120">
        <f>71600+130267.36+849308.5</f>
        <v>1051175.8599999999</v>
      </c>
      <c r="V25" s="682">
        <f>210000+1425886.8</f>
        <v>1635886.8</v>
      </c>
      <c r="W25" s="683"/>
      <c r="X25" s="87">
        <f t="shared" si="0"/>
        <v>1.5433000647737711E-2</v>
      </c>
      <c r="Y25" s="74">
        <f t="shared" si="1"/>
        <v>1.5380307791761727E-3</v>
      </c>
      <c r="Z25" s="121">
        <f>T31+T6+T32+T24-T13-T14-T17-T19-T20-T21-T22</f>
        <v>100442840.55068997</v>
      </c>
      <c r="AA25" s="121">
        <f>Z25-T23</f>
        <v>10054091.690689936</v>
      </c>
    </row>
    <row r="26" spans="1:27" ht="13.5">
      <c r="A26" s="69">
        <v>12</v>
      </c>
      <c r="B26" s="695" t="s">
        <v>69</v>
      </c>
      <c r="C26" s="696"/>
      <c r="D26" s="696"/>
      <c r="E26" s="696"/>
      <c r="F26" s="696"/>
      <c r="G26" s="697"/>
      <c r="H26" s="664"/>
      <c r="I26" s="664"/>
      <c r="J26" s="664">
        <f>J27+J28+J29+J30+J32+J31</f>
        <v>0</v>
      </c>
      <c r="K26" s="646"/>
      <c r="L26" s="70">
        <v>7</v>
      </c>
      <c r="M26" s="101" t="s">
        <v>70</v>
      </c>
      <c r="N26" s="102"/>
      <c r="O26" s="102"/>
      <c r="P26" s="102"/>
      <c r="Q26" s="102"/>
      <c r="R26" s="103"/>
      <c r="S26" s="104">
        <v>14</v>
      </c>
      <c r="T26" s="105">
        <f>T15+T24-SUM(T16:T23)-T25</f>
        <v>-9284880.9000000339</v>
      </c>
      <c r="U26" s="105">
        <f>U15+U24-SUM(U16:U23)-U25</f>
        <v>-70428590.570000038</v>
      </c>
      <c r="V26" s="691">
        <f>V15-SUM(V16:W25)</f>
        <v>-30058333.430000022</v>
      </c>
      <c r="W26" s="692"/>
      <c r="X26" s="87">
        <f t="shared" si="0"/>
        <v>-1.0620491383374148E-2</v>
      </c>
      <c r="Y26" s="74">
        <f t="shared" si="1"/>
        <v>-0.103047781206331</v>
      </c>
    </row>
    <row r="27" spans="1:27">
      <c r="A27" s="112"/>
      <c r="B27" s="703" t="s">
        <v>71</v>
      </c>
      <c r="C27" s="704"/>
      <c r="D27" s="704"/>
      <c r="E27" s="704"/>
      <c r="F27" s="704"/>
      <c r="G27" s="705"/>
      <c r="H27" s="690"/>
      <c r="I27" s="690"/>
      <c r="J27" s="690"/>
      <c r="K27" s="648"/>
      <c r="L27" s="70">
        <v>8</v>
      </c>
      <c r="M27" s="101" t="s">
        <v>67</v>
      </c>
      <c r="N27" s="102"/>
      <c r="O27" s="102"/>
      <c r="P27" s="102"/>
      <c r="Q27" s="102"/>
      <c r="R27" s="103"/>
      <c r="S27" s="93"/>
      <c r="T27" s="94"/>
      <c r="U27" s="94"/>
      <c r="V27" s="676"/>
      <c r="W27" s="677"/>
      <c r="X27" s="87">
        <f t="shared" si="0"/>
        <v>0</v>
      </c>
      <c r="Y27" s="74">
        <f t="shared" si="1"/>
        <v>0</v>
      </c>
    </row>
    <row r="28" spans="1:27">
      <c r="A28" s="112"/>
      <c r="B28" s="703" t="s">
        <v>72</v>
      </c>
      <c r="C28" s="704"/>
      <c r="D28" s="704"/>
      <c r="E28" s="704"/>
      <c r="F28" s="704"/>
      <c r="G28" s="705"/>
      <c r="H28" s="690"/>
      <c r="I28" s="690"/>
      <c r="J28" s="690"/>
      <c r="K28" s="648"/>
      <c r="L28" s="70">
        <v>9</v>
      </c>
      <c r="M28" s="101" t="s">
        <v>65</v>
      </c>
      <c r="N28" s="102"/>
      <c r="O28" s="102"/>
      <c r="P28" s="102"/>
      <c r="Q28" s="102"/>
      <c r="R28" s="103"/>
      <c r="S28" s="93"/>
      <c r="T28" s="94"/>
      <c r="U28" s="94"/>
      <c r="V28" s="676"/>
      <c r="W28" s="677"/>
      <c r="X28" s="87">
        <f t="shared" si="0"/>
        <v>0</v>
      </c>
      <c r="Y28" s="74">
        <f t="shared" si="1"/>
        <v>0</v>
      </c>
    </row>
    <row r="29" spans="1:27">
      <c r="A29" s="112"/>
      <c r="B29" s="703" t="s">
        <v>73</v>
      </c>
      <c r="C29" s="704"/>
      <c r="D29" s="704"/>
      <c r="E29" s="704"/>
      <c r="F29" s="704"/>
      <c r="G29" s="705"/>
      <c r="H29" s="690"/>
      <c r="I29" s="690"/>
      <c r="J29" s="690"/>
      <c r="K29" s="648"/>
      <c r="L29" s="70">
        <v>10</v>
      </c>
      <c r="M29" s="95" t="s">
        <v>69</v>
      </c>
      <c r="N29" s="96"/>
      <c r="O29" s="96"/>
      <c r="P29" s="96"/>
      <c r="Q29" s="96"/>
      <c r="R29" s="97"/>
      <c r="S29" s="93"/>
      <c r="T29" s="94"/>
      <c r="U29" s="94"/>
      <c r="V29" s="676"/>
      <c r="W29" s="677"/>
      <c r="X29" s="87">
        <f t="shared" si="0"/>
        <v>0</v>
      </c>
      <c r="Y29" s="74">
        <f t="shared" si="1"/>
        <v>0</v>
      </c>
    </row>
    <row r="30" spans="1:27" ht="14.25">
      <c r="A30" s="112"/>
      <c r="B30" s="703" t="s">
        <v>74</v>
      </c>
      <c r="C30" s="704"/>
      <c r="D30" s="704"/>
      <c r="E30" s="704"/>
      <c r="F30" s="704"/>
      <c r="G30" s="705"/>
      <c r="H30" s="690"/>
      <c r="I30" s="690"/>
      <c r="J30" s="690"/>
      <c r="K30" s="648"/>
      <c r="L30" s="70">
        <v>11</v>
      </c>
      <c r="M30" s="107" t="s">
        <v>75</v>
      </c>
      <c r="N30" s="108"/>
      <c r="O30" s="108"/>
      <c r="P30" s="108"/>
      <c r="Q30" s="108"/>
      <c r="R30" s="109"/>
      <c r="S30" s="110"/>
      <c r="T30" s="94"/>
      <c r="U30" s="94"/>
      <c r="V30" s="676"/>
      <c r="W30" s="677"/>
      <c r="X30" s="87">
        <f t="shared" si="0"/>
        <v>0</v>
      </c>
      <c r="Y30" s="74">
        <f t="shared" si="1"/>
        <v>0</v>
      </c>
    </row>
    <row r="31" spans="1:27" ht="14.25">
      <c r="A31" s="122"/>
      <c r="B31" s="703" t="s">
        <v>76</v>
      </c>
      <c r="C31" s="704"/>
      <c r="D31" s="704"/>
      <c r="E31" s="704"/>
      <c r="F31" s="704"/>
      <c r="G31" s="705"/>
      <c r="H31" s="670"/>
      <c r="I31" s="671"/>
      <c r="J31" s="670"/>
      <c r="K31" s="672"/>
      <c r="L31" s="88">
        <v>12</v>
      </c>
      <c r="M31" s="107" t="s">
        <v>77</v>
      </c>
      <c r="N31" s="108"/>
      <c r="O31" s="108"/>
      <c r="P31" s="108"/>
      <c r="Q31" s="707" t="s">
        <v>78</v>
      </c>
      <c r="R31" s="707"/>
      <c r="S31" s="123">
        <v>15</v>
      </c>
      <c r="T31" s="124">
        <f>'[1]PASH BRUTO F5'!G6-'[1]PASH BRUTO F5'!G52</f>
        <v>256163.72999999998</v>
      </c>
      <c r="U31" s="124">
        <f>438760.92-1702.37</f>
        <v>437058.55</v>
      </c>
      <c r="V31" s="708">
        <v>746675.43</v>
      </c>
      <c r="W31" s="709"/>
      <c r="X31" s="87">
        <f t="shared" si="0"/>
        <v>2.9301234086890346E-4</v>
      </c>
      <c r="Y31" s="74">
        <f t="shared" si="1"/>
        <v>6.3948338977467417E-4</v>
      </c>
    </row>
    <row r="32" spans="1:27" ht="14.25">
      <c r="A32" s="122"/>
      <c r="B32" s="710" t="s">
        <v>79</v>
      </c>
      <c r="C32" s="711"/>
      <c r="D32" s="711"/>
      <c r="E32" s="711"/>
      <c r="F32" s="711"/>
      <c r="G32" s="712"/>
      <c r="H32" s="670"/>
      <c r="I32" s="671"/>
      <c r="J32" s="670"/>
      <c r="K32" s="672"/>
      <c r="L32" s="88">
        <v>13</v>
      </c>
      <c r="M32" s="107" t="s">
        <v>80</v>
      </c>
      <c r="N32" s="108"/>
      <c r="O32" s="108"/>
      <c r="P32" s="108"/>
      <c r="Q32" s="125" t="s">
        <v>81</v>
      </c>
      <c r="R32" s="108"/>
      <c r="S32" s="123">
        <v>16</v>
      </c>
      <c r="T32" s="80">
        <f>'[1]PASH BRUTO F5'!G7-'[1]PASH BRUTO F5'!G53-'[1]PASH BRUTO F5'!G51</f>
        <v>5590629.6600000001</v>
      </c>
      <c r="U32" s="80">
        <f>1066052.7-3034930.91-55669.53</f>
        <v>-2024547.7400000002</v>
      </c>
      <c r="V32" s="659">
        <f>1950077.26-38458.34-4982548.6+173000</f>
        <v>-2897929.6799999997</v>
      </c>
      <c r="W32" s="660"/>
      <c r="X32" s="87">
        <f t="shared" si="0"/>
        <v>6.394829914475879E-3</v>
      </c>
      <c r="Y32" s="74">
        <f t="shared" si="1"/>
        <v>-2.9622224563181656E-3</v>
      </c>
    </row>
    <row r="33" spans="1:26" ht="13.5">
      <c r="A33" s="69">
        <v>13</v>
      </c>
      <c r="B33" s="661" t="s">
        <v>82</v>
      </c>
      <c r="C33" s="662"/>
      <c r="D33" s="662"/>
      <c r="E33" s="662"/>
      <c r="F33" s="662"/>
      <c r="G33" s="663"/>
      <c r="H33" s="664">
        <f>SUM(H24:I26)</f>
        <v>0</v>
      </c>
      <c r="I33" s="664"/>
      <c r="J33" s="664">
        <f>SUM(J24:K26)</f>
        <v>0</v>
      </c>
      <c r="K33" s="646"/>
      <c r="L33" s="88">
        <v>14</v>
      </c>
      <c r="M33" s="107" t="s">
        <v>83</v>
      </c>
      <c r="N33" s="108"/>
      <c r="O33" s="108"/>
      <c r="P33" s="108"/>
      <c r="Q33" s="108"/>
      <c r="R33" s="126">
        <v>628</v>
      </c>
      <c r="S33" s="127"/>
      <c r="T33" s="80">
        <f>-'[1]PASH BRUTO F5'!G38</f>
        <v>-1456810.13</v>
      </c>
      <c r="U33" s="80">
        <v>-1257523.4099999999</v>
      </c>
      <c r="V33" s="659"/>
      <c r="W33" s="660"/>
      <c r="X33" s="87">
        <f t="shared" si="0"/>
        <v>-1.6663691865855936E-3</v>
      </c>
      <c r="Y33" s="74">
        <f t="shared" si="1"/>
        <v>-1.8399487504541607E-3</v>
      </c>
    </row>
    <row r="34" spans="1:26">
      <c r="A34" s="69">
        <v>14</v>
      </c>
      <c r="B34" s="706" t="s">
        <v>84</v>
      </c>
      <c r="C34" s="662"/>
      <c r="D34" s="662"/>
      <c r="E34" s="662"/>
      <c r="F34" s="662"/>
      <c r="G34" s="663"/>
      <c r="H34" s="693">
        <f>H23+H33</f>
        <v>0</v>
      </c>
      <c r="I34" s="693"/>
      <c r="J34" s="693">
        <f>J23+J33</f>
        <v>0</v>
      </c>
      <c r="K34" s="694"/>
      <c r="L34" s="88">
        <v>15</v>
      </c>
      <c r="M34" s="101" t="s">
        <v>82</v>
      </c>
      <c r="N34" s="102"/>
      <c r="O34" s="102"/>
      <c r="P34" s="102"/>
      <c r="Q34" s="102"/>
      <c r="R34" s="103"/>
      <c r="S34" s="93"/>
      <c r="T34" s="105">
        <f>SUM(T27:T33)</f>
        <v>4389983.2600000007</v>
      </c>
      <c r="U34" s="105">
        <f>SUM(U27:U33)</f>
        <v>-2845012.6</v>
      </c>
      <c r="V34" s="691">
        <f>SUM(V27:W33)</f>
        <v>-2151254.2499999995</v>
      </c>
      <c r="W34" s="692"/>
      <c r="X34" s="87">
        <f t="shared" si="0"/>
        <v>5.0214730687591896E-3</v>
      </c>
      <c r="Y34" s="74">
        <f t="shared" si="1"/>
        <v>-4.1626878169976518E-3</v>
      </c>
    </row>
    <row r="35" spans="1:26">
      <c r="A35" s="69">
        <v>15</v>
      </c>
      <c r="B35" s="661" t="s">
        <v>85</v>
      </c>
      <c r="C35" s="662"/>
      <c r="D35" s="662"/>
      <c r="E35" s="662"/>
      <c r="F35" s="662"/>
      <c r="G35" s="663"/>
      <c r="H35" s="664"/>
      <c r="I35" s="664"/>
      <c r="J35" s="664"/>
      <c r="K35" s="646"/>
      <c r="L35" s="88">
        <v>16</v>
      </c>
      <c r="M35" s="128" t="s">
        <v>86</v>
      </c>
      <c r="N35" s="102"/>
      <c r="O35" s="102"/>
      <c r="P35" s="102"/>
      <c r="Q35" s="102"/>
      <c r="R35" s="103"/>
      <c r="S35" s="93"/>
      <c r="T35" s="94">
        <f>T26+T34</f>
        <v>-4894897.6400000332</v>
      </c>
      <c r="U35" s="94">
        <f>U26+U34</f>
        <v>-73273603.170000032</v>
      </c>
      <c r="V35" s="676">
        <f>V26+V34</f>
        <v>-32209587.680000022</v>
      </c>
      <c r="W35" s="677"/>
      <c r="X35" s="87">
        <f t="shared" si="0"/>
        <v>-5.5990183146149572E-3</v>
      </c>
      <c r="Y35" s="74">
        <f t="shared" si="1"/>
        <v>-0.10721046902332863</v>
      </c>
      <c r="Z35" s="98"/>
    </row>
    <row r="36" spans="1:26">
      <c r="A36" s="69">
        <v>16</v>
      </c>
      <c r="B36" s="706" t="s">
        <v>87</v>
      </c>
      <c r="C36" s="662"/>
      <c r="D36" s="662"/>
      <c r="E36" s="662"/>
      <c r="F36" s="662"/>
      <c r="G36" s="663"/>
      <c r="H36" s="693">
        <f>H34-H35</f>
        <v>0</v>
      </c>
      <c r="I36" s="693"/>
      <c r="J36" s="693">
        <f>J34-J35</f>
        <v>0</v>
      </c>
      <c r="K36" s="694"/>
      <c r="L36" s="129">
        <v>17</v>
      </c>
      <c r="M36" s="101" t="s">
        <v>88</v>
      </c>
      <c r="N36" s="102"/>
      <c r="O36" s="102"/>
      <c r="P36" s="102"/>
      <c r="Q36" s="102"/>
      <c r="R36" s="103"/>
      <c r="S36" s="93"/>
      <c r="T36" s="130"/>
      <c r="U36" s="130"/>
      <c r="V36" s="716"/>
      <c r="W36" s="717"/>
      <c r="X36" s="131"/>
      <c r="Y36" s="132"/>
    </row>
    <row r="37" spans="1:26" ht="16.5">
      <c r="A37" s="133">
        <v>17</v>
      </c>
      <c r="B37" s="713" t="s">
        <v>89</v>
      </c>
      <c r="C37" s="714"/>
      <c r="D37" s="714"/>
      <c r="E37" s="714"/>
      <c r="F37" s="714"/>
      <c r="G37" s="715"/>
      <c r="H37" s="693"/>
      <c r="I37" s="693"/>
      <c r="J37" s="693"/>
      <c r="K37" s="694"/>
      <c r="L37" s="134"/>
      <c r="M37" s="128" t="s">
        <v>90</v>
      </c>
      <c r="N37" s="102"/>
      <c r="O37" s="102"/>
      <c r="P37" s="102"/>
      <c r="Q37" s="102"/>
      <c r="R37" s="103"/>
      <c r="S37" s="93"/>
      <c r="T37" s="130"/>
      <c r="U37" s="130"/>
      <c r="V37" s="716"/>
      <c r="W37" s="717"/>
      <c r="X37" s="131"/>
      <c r="Y37" s="74"/>
    </row>
    <row r="38" spans="1:26" ht="18">
      <c r="A38" s="6"/>
      <c r="B38" s="718"/>
      <c r="C38" s="718"/>
      <c r="D38" s="718"/>
      <c r="E38" s="718"/>
      <c r="F38" s="718"/>
      <c r="G38" s="718"/>
      <c r="H38" s="719"/>
      <c r="I38" s="719"/>
      <c r="J38" s="720"/>
      <c r="K38" s="720"/>
      <c r="L38" s="135"/>
      <c r="M38" s="136" t="s">
        <v>89</v>
      </c>
      <c r="N38" s="137"/>
      <c r="O38" s="137"/>
      <c r="P38" s="137"/>
      <c r="Q38" s="137"/>
      <c r="R38" s="138"/>
      <c r="S38" s="139"/>
      <c r="T38" s="130"/>
      <c r="U38" s="130"/>
      <c r="V38" s="716"/>
      <c r="W38" s="717"/>
      <c r="X38" s="131"/>
      <c r="Y38" s="74"/>
    </row>
    <row r="39" spans="1:26" ht="17.25" thickBot="1">
      <c r="A39" s="140"/>
      <c r="B39" s="721"/>
      <c r="C39" s="721"/>
      <c r="D39" s="721"/>
      <c r="E39" s="721"/>
      <c r="F39" s="721"/>
      <c r="G39" s="721"/>
      <c r="H39" s="722"/>
      <c r="I39" s="722"/>
      <c r="J39" s="720" t="s">
        <v>91</v>
      </c>
      <c r="K39" s="720"/>
      <c r="L39" s="141"/>
      <c r="M39" s="723"/>
      <c r="N39" s="724"/>
      <c r="O39" s="724"/>
      <c r="P39" s="724"/>
      <c r="Q39" s="724"/>
      <c r="R39" s="725"/>
      <c r="S39" s="142"/>
      <c r="T39" s="143"/>
      <c r="U39" s="143"/>
      <c r="V39" s="726"/>
      <c r="W39" s="727"/>
      <c r="X39" s="74"/>
      <c r="Y39" s="74"/>
    </row>
    <row r="40" spans="1:26" ht="16.5">
      <c r="A40" s="144"/>
      <c r="B40" s="728"/>
      <c r="C40" s="729"/>
      <c r="D40" s="729"/>
      <c r="E40" s="729"/>
      <c r="F40" s="729"/>
      <c r="G40" s="730"/>
      <c r="H40" s="731"/>
      <c r="I40" s="731"/>
      <c r="J40" s="731"/>
      <c r="K40" s="731"/>
      <c r="L40" s="145"/>
      <c r="M40" s="728"/>
      <c r="N40" s="729"/>
      <c r="O40" s="729"/>
      <c r="P40" s="729"/>
      <c r="Q40" s="729"/>
      <c r="R40" s="730"/>
      <c r="S40" s="146"/>
      <c r="T40" s="147"/>
      <c r="U40" s="147"/>
      <c r="V40" s="650"/>
      <c r="W40" s="650"/>
      <c r="X40" s="148"/>
    </row>
    <row r="41" spans="1:26" ht="16.5">
      <c r="A41" s="149"/>
      <c r="B41" s="732"/>
      <c r="C41" s="733"/>
      <c r="D41" s="733"/>
      <c r="E41" s="733"/>
      <c r="F41" s="733"/>
      <c r="G41" s="734"/>
      <c r="H41" s="690"/>
      <c r="I41" s="690"/>
      <c r="J41" s="690"/>
      <c r="K41" s="690"/>
      <c r="L41" s="150"/>
      <c r="M41" s="732"/>
      <c r="N41" s="733"/>
      <c r="O41" s="733"/>
      <c r="P41" s="733"/>
      <c r="Q41" s="733"/>
      <c r="R41" s="734"/>
      <c r="S41" s="85"/>
      <c r="T41" s="151"/>
      <c r="U41" s="151"/>
      <c r="V41" s="735"/>
      <c r="W41" s="735"/>
      <c r="X41" s="148"/>
    </row>
    <row r="42" spans="1:26" ht="16.5">
      <c r="A42" s="149"/>
      <c r="B42" s="732"/>
      <c r="C42" s="733"/>
      <c r="D42" s="733"/>
      <c r="E42" s="733"/>
      <c r="F42" s="733"/>
      <c r="G42" s="734"/>
      <c r="H42" s="690"/>
      <c r="I42" s="690"/>
      <c r="J42" s="690"/>
      <c r="K42" s="690"/>
      <c r="L42" s="150"/>
      <c r="M42" s="732"/>
      <c r="N42" s="733"/>
      <c r="O42" s="733"/>
      <c r="P42" s="733"/>
      <c r="Q42" s="733"/>
      <c r="R42" s="734"/>
      <c r="S42" s="85"/>
      <c r="T42" s="152"/>
      <c r="U42" s="152"/>
      <c r="V42" s="736"/>
      <c r="W42" s="736"/>
      <c r="X42" s="153"/>
    </row>
    <row r="43" spans="1:26" ht="16.5">
      <c r="A43" s="149"/>
      <c r="B43" s="732"/>
      <c r="C43" s="733"/>
      <c r="D43" s="733"/>
      <c r="E43" s="733"/>
      <c r="F43" s="733"/>
      <c r="G43" s="734"/>
      <c r="H43" s="690"/>
      <c r="I43" s="690"/>
      <c r="J43" s="690"/>
      <c r="K43" s="690"/>
      <c r="L43" s="150"/>
      <c r="M43" s="737"/>
      <c r="N43" s="738"/>
      <c r="O43" s="738"/>
      <c r="P43" s="738"/>
      <c r="Q43" s="738"/>
      <c r="R43" s="739"/>
      <c r="S43" s="154"/>
      <c r="T43" s="155"/>
      <c r="U43" s="155"/>
      <c r="V43" s="740"/>
      <c r="W43" s="740"/>
      <c r="X43" s="156"/>
      <c r="Y43" s="157"/>
    </row>
    <row r="44" spans="1:26" ht="16.5">
      <c r="A44" s="149"/>
      <c r="B44" s="741"/>
      <c r="C44" s="742"/>
      <c r="D44" s="742"/>
      <c r="E44" s="742"/>
      <c r="F44" s="742"/>
      <c r="G44" s="743"/>
      <c r="H44" s="693"/>
      <c r="I44" s="693"/>
      <c r="J44" s="693"/>
      <c r="K44" s="693"/>
      <c r="L44" s="158"/>
      <c r="M44" s="732"/>
      <c r="N44" s="733"/>
      <c r="O44" s="733"/>
      <c r="P44" s="733"/>
      <c r="Q44" s="733"/>
      <c r="R44" s="734"/>
      <c r="S44" s="85"/>
      <c r="T44" s="152"/>
      <c r="U44" s="152"/>
      <c r="V44" s="736"/>
      <c r="W44" s="736"/>
      <c r="X44" s="153"/>
    </row>
    <row r="45" spans="1:26" ht="16.5">
      <c r="A45" s="149"/>
      <c r="B45" s="744"/>
      <c r="C45" s="745"/>
      <c r="D45" s="745"/>
      <c r="E45" s="745"/>
      <c r="F45" s="745"/>
      <c r="G45" s="746"/>
      <c r="H45" s="747"/>
      <c r="I45" s="747"/>
      <c r="J45" s="747"/>
      <c r="K45" s="747"/>
      <c r="L45" s="150"/>
      <c r="M45" s="748"/>
      <c r="N45" s="733"/>
      <c r="O45" s="733"/>
      <c r="P45" s="733"/>
      <c r="Q45" s="733"/>
      <c r="R45" s="734"/>
      <c r="S45" s="85"/>
      <c r="T45" s="152"/>
      <c r="U45" s="152"/>
      <c r="V45" s="736"/>
      <c r="W45" s="736"/>
      <c r="X45" s="153"/>
    </row>
    <row r="46" spans="1:26" ht="16.5">
      <c r="A46" s="149"/>
      <c r="B46" s="748"/>
      <c r="C46" s="749"/>
      <c r="D46" s="749"/>
      <c r="E46" s="749"/>
      <c r="F46" s="749"/>
      <c r="G46" s="750"/>
      <c r="H46" s="747"/>
      <c r="I46" s="747"/>
      <c r="J46" s="747"/>
      <c r="K46" s="747"/>
      <c r="L46" s="150"/>
      <c r="M46" s="732"/>
      <c r="N46" s="733"/>
      <c r="O46" s="733"/>
      <c r="P46" s="733"/>
      <c r="Q46" s="733"/>
      <c r="R46" s="734"/>
      <c r="S46" s="85"/>
      <c r="T46" s="152"/>
      <c r="U46" s="152"/>
      <c r="V46" s="736"/>
      <c r="W46" s="736"/>
      <c r="X46" s="153"/>
    </row>
    <row r="47" spans="1:26" ht="18">
      <c r="A47" s="149"/>
      <c r="B47" s="748"/>
      <c r="C47" s="749"/>
      <c r="D47" s="749"/>
      <c r="E47" s="749"/>
      <c r="F47" s="749"/>
      <c r="G47" s="750"/>
      <c r="H47" s="747"/>
      <c r="I47" s="747"/>
      <c r="J47" s="747"/>
      <c r="K47" s="747"/>
      <c r="L47" s="159"/>
      <c r="M47" s="748"/>
      <c r="N47" s="749"/>
      <c r="O47" s="749"/>
      <c r="P47" s="749"/>
      <c r="Q47" s="749"/>
      <c r="R47" s="750"/>
      <c r="S47" s="160"/>
      <c r="T47" s="152"/>
      <c r="U47" s="152"/>
      <c r="V47" s="736"/>
      <c r="W47" s="736"/>
      <c r="X47" s="153"/>
    </row>
    <row r="48" spans="1:26" ht="16.5">
      <c r="A48" s="149"/>
      <c r="B48" s="744"/>
      <c r="C48" s="745"/>
      <c r="D48" s="745"/>
      <c r="E48" s="745"/>
      <c r="F48" s="745"/>
      <c r="G48" s="746"/>
      <c r="H48" s="664"/>
      <c r="I48" s="664"/>
      <c r="J48" s="664"/>
      <c r="K48" s="664"/>
      <c r="L48" s="150"/>
      <c r="M48" s="732"/>
      <c r="N48" s="733"/>
      <c r="O48" s="733"/>
      <c r="P48" s="733"/>
      <c r="Q48" s="733"/>
      <c r="R48" s="734"/>
      <c r="S48" s="85"/>
      <c r="T48" s="152"/>
      <c r="U48" s="152"/>
      <c r="V48" s="736"/>
      <c r="W48" s="736"/>
      <c r="X48" s="153"/>
    </row>
    <row r="49" spans="1:24" ht="16.5">
      <c r="A49" s="149"/>
      <c r="B49" s="748"/>
      <c r="C49" s="749"/>
      <c r="D49" s="749"/>
      <c r="E49" s="749"/>
      <c r="F49" s="749"/>
      <c r="G49" s="750"/>
      <c r="H49" s="747"/>
      <c r="I49" s="747"/>
      <c r="J49" s="747"/>
      <c r="K49" s="747"/>
      <c r="L49" s="150"/>
      <c r="M49" s="732"/>
      <c r="N49" s="733"/>
      <c r="O49" s="733"/>
      <c r="P49" s="733"/>
      <c r="Q49" s="733"/>
      <c r="R49" s="734"/>
      <c r="S49" s="85"/>
      <c r="T49" s="152"/>
      <c r="U49" s="152"/>
      <c r="V49" s="736"/>
      <c r="W49" s="736"/>
      <c r="X49" s="153"/>
    </row>
    <row r="50" spans="1:24" ht="20.25">
      <c r="A50" s="149"/>
      <c r="B50" s="732"/>
      <c r="C50" s="733"/>
      <c r="D50" s="733"/>
      <c r="E50" s="733"/>
      <c r="F50" s="733"/>
      <c r="G50" s="734"/>
      <c r="H50" s="747"/>
      <c r="I50" s="747"/>
      <c r="J50" s="747"/>
      <c r="K50" s="747"/>
      <c r="L50" s="161"/>
      <c r="M50" s="744"/>
      <c r="N50" s="745"/>
      <c r="O50" s="745"/>
      <c r="P50" s="745"/>
      <c r="Q50" s="745"/>
      <c r="R50" s="746"/>
      <c r="S50" s="162"/>
      <c r="T50" s="152"/>
      <c r="U50" s="152"/>
      <c r="V50" s="736"/>
      <c r="W50" s="736"/>
      <c r="X50" s="153"/>
    </row>
    <row r="51" spans="1:24" ht="16.5">
      <c r="A51" s="149"/>
      <c r="B51" s="732"/>
      <c r="C51" s="733"/>
      <c r="D51" s="733"/>
      <c r="E51" s="733"/>
      <c r="F51" s="733"/>
      <c r="G51" s="734"/>
      <c r="H51" s="664"/>
      <c r="I51" s="664"/>
      <c r="J51" s="664"/>
      <c r="K51" s="664"/>
      <c r="L51" s="150"/>
      <c r="M51" s="732"/>
      <c r="N51" s="733"/>
      <c r="O51" s="733"/>
      <c r="P51" s="733"/>
      <c r="Q51" s="733"/>
      <c r="R51" s="734"/>
      <c r="S51" s="85"/>
      <c r="T51" s="152"/>
      <c r="U51" s="152"/>
      <c r="V51" s="736"/>
      <c r="W51" s="736"/>
      <c r="X51" s="153"/>
    </row>
    <row r="52" spans="1:24" ht="16.5">
      <c r="A52" s="149"/>
      <c r="B52" s="732"/>
      <c r="C52" s="733"/>
      <c r="D52" s="733"/>
      <c r="E52" s="733"/>
      <c r="F52" s="733"/>
      <c r="G52" s="734"/>
      <c r="H52" s="664"/>
      <c r="I52" s="664"/>
      <c r="J52" s="664"/>
      <c r="K52" s="664"/>
      <c r="L52" s="150"/>
      <c r="M52" s="732"/>
      <c r="N52" s="733"/>
      <c r="O52" s="733"/>
      <c r="P52" s="733"/>
      <c r="Q52" s="733"/>
      <c r="R52" s="734"/>
      <c r="S52" s="85"/>
      <c r="T52" s="152"/>
      <c r="U52" s="152"/>
      <c r="V52" s="736"/>
      <c r="W52" s="736"/>
      <c r="X52" s="153"/>
    </row>
    <row r="53" spans="1:24" ht="16.5">
      <c r="A53" s="149"/>
      <c r="B53" s="732"/>
      <c r="C53" s="733"/>
      <c r="D53" s="733"/>
      <c r="E53" s="733"/>
      <c r="F53" s="733"/>
      <c r="G53" s="734"/>
      <c r="H53" s="747"/>
      <c r="I53" s="747"/>
      <c r="J53" s="747"/>
      <c r="K53" s="747"/>
      <c r="L53" s="150"/>
      <c r="M53" s="732"/>
      <c r="N53" s="733"/>
      <c r="O53" s="733"/>
      <c r="P53" s="733"/>
      <c r="Q53" s="733"/>
      <c r="R53" s="734"/>
      <c r="S53" s="85"/>
      <c r="T53" s="152"/>
      <c r="U53" s="152"/>
      <c r="V53" s="736"/>
      <c r="W53" s="736"/>
      <c r="X53" s="153"/>
    </row>
    <row r="54" spans="1:24" ht="16.5">
      <c r="A54" s="149" t="s">
        <v>92</v>
      </c>
      <c r="B54" s="751" t="s">
        <v>93</v>
      </c>
      <c r="C54" s="752"/>
      <c r="D54" s="752"/>
      <c r="E54" s="752"/>
      <c r="F54" s="752"/>
      <c r="G54" s="753"/>
      <c r="H54" s="693">
        <v>3835509.8</v>
      </c>
      <c r="I54" s="693"/>
      <c r="J54" s="693">
        <v>2769723.94</v>
      </c>
      <c r="K54" s="693"/>
      <c r="L54" s="158"/>
      <c r="M54" s="732"/>
      <c r="N54" s="733"/>
      <c r="O54" s="733"/>
      <c r="P54" s="733"/>
      <c r="Q54" s="733"/>
      <c r="R54" s="734"/>
      <c r="S54" s="85"/>
      <c r="T54" s="152"/>
      <c r="U54" s="152"/>
      <c r="V54" s="736"/>
      <c r="W54" s="736"/>
      <c r="X54" s="153"/>
    </row>
    <row r="55" spans="1:24" ht="16.5">
      <c r="A55" s="149"/>
      <c r="B55" s="732"/>
      <c r="C55" s="733"/>
      <c r="D55" s="733"/>
      <c r="E55" s="733"/>
      <c r="F55" s="733"/>
      <c r="G55" s="734"/>
      <c r="H55" s="747"/>
      <c r="I55" s="747"/>
      <c r="J55" s="754"/>
      <c r="K55" s="755"/>
      <c r="L55" s="150"/>
      <c r="M55" s="756"/>
      <c r="N55" s="757"/>
      <c r="O55" s="757"/>
      <c r="P55" s="757"/>
      <c r="Q55" s="757"/>
      <c r="R55" s="758"/>
      <c r="S55" s="85"/>
      <c r="T55" s="152"/>
      <c r="U55" s="152"/>
      <c r="V55" s="736"/>
      <c r="W55" s="736"/>
      <c r="X55" s="153"/>
    </row>
    <row r="56" spans="1:24" ht="18.75">
      <c r="A56" s="163"/>
      <c r="B56" s="756"/>
      <c r="C56" s="757"/>
      <c r="D56" s="757"/>
      <c r="E56" s="757"/>
      <c r="F56" s="757"/>
      <c r="G56" s="758"/>
      <c r="H56" s="747"/>
      <c r="I56" s="747"/>
      <c r="J56" s="754"/>
      <c r="K56" s="755"/>
      <c r="L56" s="150"/>
      <c r="M56" s="756"/>
      <c r="N56" s="757"/>
      <c r="O56" s="757"/>
      <c r="P56" s="757"/>
      <c r="Q56" s="757"/>
      <c r="R56" s="758"/>
      <c r="S56" s="85"/>
      <c r="T56" s="152"/>
      <c r="U56" s="152"/>
      <c r="V56" s="736"/>
      <c r="W56" s="736"/>
      <c r="X56" s="153"/>
    </row>
    <row r="57" spans="1:24" ht="18.75">
      <c r="A57" s="163"/>
      <c r="B57" s="756"/>
      <c r="C57" s="757"/>
      <c r="D57" s="757"/>
      <c r="E57" s="757"/>
      <c r="F57" s="757"/>
      <c r="G57" s="758"/>
      <c r="H57" s="747"/>
      <c r="I57" s="747"/>
      <c r="J57" s="754"/>
      <c r="K57" s="755"/>
      <c r="L57" s="150"/>
      <c r="M57" s="756"/>
      <c r="N57" s="757"/>
      <c r="O57" s="757"/>
      <c r="P57" s="757"/>
      <c r="Q57" s="757"/>
      <c r="R57" s="758"/>
      <c r="S57" s="85"/>
      <c r="T57" s="152"/>
      <c r="U57" s="152"/>
      <c r="V57" s="756"/>
      <c r="W57" s="758"/>
      <c r="X57" s="148"/>
    </row>
    <row r="58" spans="1:24" ht="18.75">
      <c r="A58" s="163"/>
      <c r="B58" s="756"/>
      <c r="C58" s="757"/>
      <c r="D58" s="757"/>
      <c r="E58" s="757"/>
      <c r="F58" s="757"/>
      <c r="G58" s="758"/>
      <c r="H58" s="747"/>
      <c r="I58" s="747"/>
      <c r="J58" s="754"/>
      <c r="K58" s="755"/>
      <c r="L58" s="150"/>
      <c r="M58" s="756"/>
      <c r="N58" s="757"/>
      <c r="O58" s="757"/>
      <c r="P58" s="757"/>
      <c r="Q58" s="757"/>
      <c r="R58" s="758"/>
      <c r="S58" s="85"/>
      <c r="T58" s="152"/>
      <c r="U58" s="152"/>
      <c r="V58" s="756"/>
      <c r="W58" s="758"/>
      <c r="X58" s="148"/>
    </row>
    <row r="59" spans="1:24" ht="18.75">
      <c r="A59" s="163"/>
      <c r="B59" s="756"/>
      <c r="C59" s="757"/>
      <c r="D59" s="757"/>
      <c r="E59" s="757"/>
      <c r="F59" s="757"/>
      <c r="G59" s="758"/>
      <c r="H59" s="164"/>
      <c r="I59" s="165"/>
      <c r="J59" s="754"/>
      <c r="K59" s="755"/>
      <c r="L59" s="150"/>
      <c r="M59" s="756"/>
      <c r="N59" s="757"/>
      <c r="O59" s="757"/>
      <c r="P59" s="757"/>
      <c r="Q59" s="757"/>
      <c r="R59" s="758"/>
      <c r="S59" s="166"/>
      <c r="T59" s="167"/>
      <c r="U59" s="167"/>
      <c r="V59" s="756"/>
      <c r="W59" s="758"/>
      <c r="X59" s="148"/>
    </row>
    <row r="60" spans="1:24">
      <c r="H60" s="168"/>
      <c r="I60" s="168"/>
      <c r="J60" s="168"/>
      <c r="K60" s="168"/>
    </row>
    <row r="61" spans="1:24">
      <c r="H61" s="168"/>
      <c r="I61" s="168"/>
      <c r="J61" s="168"/>
      <c r="K61" s="168"/>
    </row>
    <row r="62" spans="1:24" ht="18.75">
      <c r="A62" s="170"/>
      <c r="G62" s="98"/>
      <c r="H62" s="168"/>
      <c r="I62" s="168"/>
      <c r="J62" s="168"/>
      <c r="K62" s="168"/>
      <c r="L62" s="171"/>
    </row>
    <row r="63" spans="1:24">
      <c r="H63" s="168"/>
      <c r="I63" s="168"/>
      <c r="J63" s="168"/>
      <c r="K63" s="168"/>
    </row>
    <row r="64" spans="1:24">
      <c r="H64" s="168"/>
      <c r="I64" s="168"/>
      <c r="J64" s="168"/>
      <c r="K64" s="168"/>
    </row>
    <row r="65" spans="3:11">
      <c r="C65" s="44" t="s">
        <v>94</v>
      </c>
      <c r="H65" s="168"/>
      <c r="I65" s="168"/>
      <c r="J65" s="168"/>
      <c r="K65" s="168"/>
    </row>
    <row r="66" spans="3:11">
      <c r="H66" s="168"/>
      <c r="I66" s="168"/>
      <c r="J66" s="168"/>
      <c r="K66" s="168"/>
    </row>
    <row r="67" spans="3:11">
      <c r="H67" s="168"/>
      <c r="I67" s="168"/>
      <c r="J67" s="168"/>
      <c r="K67" s="168"/>
    </row>
    <row r="68" spans="3:11">
      <c r="H68" s="168"/>
      <c r="I68" s="168"/>
      <c r="J68" s="168"/>
      <c r="K68" s="168"/>
    </row>
    <row r="69" spans="3:11">
      <c r="H69" s="168"/>
      <c r="I69" s="168"/>
      <c r="J69" s="168"/>
      <c r="K69" s="168"/>
    </row>
    <row r="70" spans="3:11">
      <c r="H70" s="168"/>
      <c r="I70" s="168"/>
      <c r="J70" s="168"/>
      <c r="K70" s="168"/>
    </row>
    <row r="71" spans="3:11">
      <c r="H71" s="168"/>
      <c r="I71" s="168"/>
      <c r="J71" s="168"/>
      <c r="K71" s="168"/>
    </row>
    <row r="72" spans="3:11">
      <c r="H72" s="168"/>
      <c r="I72" s="168"/>
      <c r="J72" s="168"/>
      <c r="K72" s="168"/>
    </row>
    <row r="73" spans="3:11">
      <c r="H73" s="168"/>
      <c r="I73" s="168"/>
      <c r="J73" s="168"/>
      <c r="K73" s="168"/>
    </row>
    <row r="74" spans="3:11">
      <c r="H74" s="168"/>
      <c r="I74" s="168"/>
      <c r="J74" s="168"/>
      <c r="K74" s="168"/>
    </row>
    <row r="75" spans="3:11">
      <c r="H75" s="168"/>
      <c r="I75" s="168"/>
      <c r="J75" s="168"/>
      <c r="K75" s="168"/>
    </row>
    <row r="76" spans="3:11">
      <c r="H76" s="168"/>
      <c r="I76" s="168"/>
      <c r="J76" s="168"/>
      <c r="K76" s="168"/>
    </row>
    <row r="77" spans="3:11">
      <c r="H77" s="168"/>
      <c r="I77" s="168"/>
      <c r="J77" s="168"/>
      <c r="K77" s="168"/>
    </row>
    <row r="78" spans="3:11">
      <c r="H78" s="168"/>
      <c r="I78" s="168"/>
      <c r="J78" s="168"/>
      <c r="K78" s="168"/>
    </row>
    <row r="79" spans="3:11">
      <c r="H79" s="168"/>
      <c r="I79" s="168"/>
      <c r="J79" s="168"/>
      <c r="K79" s="168"/>
    </row>
    <row r="80" spans="3:11">
      <c r="H80" s="168"/>
      <c r="I80" s="168"/>
      <c r="J80" s="168"/>
      <c r="K80" s="168"/>
    </row>
    <row r="81" spans="8:11">
      <c r="H81" s="168"/>
      <c r="I81" s="168"/>
      <c r="J81" s="168"/>
      <c r="K81" s="168"/>
    </row>
    <row r="82" spans="8:11">
      <c r="H82" s="168"/>
      <c r="I82" s="168"/>
      <c r="J82" s="168"/>
      <c r="K82" s="168"/>
    </row>
    <row r="83" spans="8:11">
      <c r="H83" s="168"/>
      <c r="I83" s="168"/>
      <c r="J83" s="168"/>
      <c r="K83" s="168"/>
    </row>
    <row r="84" spans="8:11">
      <c r="H84" s="168"/>
      <c r="I84" s="168"/>
      <c r="J84" s="168"/>
      <c r="K84" s="168"/>
    </row>
    <row r="85" spans="8:11">
      <c r="H85" s="168"/>
      <c r="I85" s="168"/>
      <c r="J85" s="168"/>
      <c r="K85" s="168"/>
    </row>
    <row r="86" spans="8:11">
      <c r="H86" s="168"/>
      <c r="I86" s="168"/>
      <c r="J86" s="168"/>
      <c r="K86" s="168"/>
    </row>
    <row r="87" spans="8:11">
      <c r="H87" s="168"/>
      <c r="I87" s="168"/>
      <c r="J87" s="168"/>
      <c r="K87" s="168"/>
    </row>
    <row r="88" spans="8:11">
      <c r="H88" s="168"/>
      <c r="I88" s="168"/>
      <c r="J88" s="168"/>
      <c r="K88" s="168"/>
    </row>
    <row r="89" spans="8:11">
      <c r="H89" s="168"/>
      <c r="I89" s="168"/>
      <c r="J89" s="168"/>
      <c r="K89" s="168"/>
    </row>
    <row r="90" spans="8:11">
      <c r="H90" s="168"/>
      <c r="I90" s="168"/>
      <c r="J90" s="168"/>
      <c r="K90" s="168"/>
    </row>
    <row r="91" spans="8:11">
      <c r="H91" s="168"/>
      <c r="I91" s="168"/>
      <c r="J91" s="168"/>
      <c r="K91" s="168"/>
    </row>
    <row r="92" spans="8:11">
      <c r="H92" s="168"/>
      <c r="I92" s="168"/>
      <c r="J92" s="168"/>
      <c r="K92" s="168"/>
    </row>
    <row r="93" spans="8:11">
      <c r="H93" s="168"/>
      <c r="I93" s="168"/>
      <c r="J93" s="168"/>
      <c r="K93" s="168"/>
    </row>
    <row r="94" spans="8:11">
      <c r="H94" s="168"/>
      <c r="I94" s="168"/>
      <c r="J94" s="168"/>
      <c r="K94" s="168"/>
    </row>
  </sheetData>
  <mergeCells count="265">
    <mergeCell ref="B59:G59"/>
    <mergeCell ref="J59:K59"/>
    <mergeCell ref="M59:R59"/>
    <mergeCell ref="V59:W59"/>
    <mergeCell ref="B57:G57"/>
    <mergeCell ref="H57:I57"/>
    <mergeCell ref="J57:K57"/>
    <mergeCell ref="M57:R57"/>
    <mergeCell ref="V57:W57"/>
    <mergeCell ref="B58:G58"/>
    <mergeCell ref="H58:I58"/>
    <mergeCell ref="J58:K58"/>
    <mergeCell ref="M58:R58"/>
    <mergeCell ref="V58:W58"/>
    <mergeCell ref="B55:G55"/>
    <mergeCell ref="H55:I55"/>
    <mergeCell ref="J55:K55"/>
    <mergeCell ref="M55:R55"/>
    <mergeCell ref="V55:W55"/>
    <mergeCell ref="B56:G56"/>
    <mergeCell ref="H56:I56"/>
    <mergeCell ref="J56:K56"/>
    <mergeCell ref="M56:R56"/>
    <mergeCell ref="V56:W56"/>
    <mergeCell ref="B53:G53"/>
    <mergeCell ref="H53:I53"/>
    <mergeCell ref="J53:K53"/>
    <mergeCell ref="M53:R53"/>
    <mergeCell ref="V53:W53"/>
    <mergeCell ref="B54:G54"/>
    <mergeCell ref="H54:I54"/>
    <mergeCell ref="J54:K54"/>
    <mergeCell ref="M54:R54"/>
    <mergeCell ref="V54:W54"/>
    <mergeCell ref="B51:G51"/>
    <mergeCell ref="H51:I51"/>
    <mergeCell ref="J51:K51"/>
    <mergeCell ref="M51:R51"/>
    <mergeCell ref="V51:W51"/>
    <mergeCell ref="B52:G52"/>
    <mergeCell ref="H52:I52"/>
    <mergeCell ref="J52:K52"/>
    <mergeCell ref="M52:R52"/>
    <mergeCell ref="V52:W52"/>
    <mergeCell ref="B49:G49"/>
    <mergeCell ref="H49:I49"/>
    <mergeCell ref="J49:K49"/>
    <mergeCell ref="M49:R49"/>
    <mergeCell ref="V49:W49"/>
    <mergeCell ref="B50:G50"/>
    <mergeCell ref="H50:I50"/>
    <mergeCell ref="J50:K50"/>
    <mergeCell ref="M50:R50"/>
    <mergeCell ref="V50:W50"/>
    <mergeCell ref="B47:G47"/>
    <mergeCell ref="H47:I47"/>
    <mergeCell ref="J47:K47"/>
    <mergeCell ref="M47:R47"/>
    <mergeCell ref="V47:W47"/>
    <mergeCell ref="B48:G48"/>
    <mergeCell ref="H48:I48"/>
    <mergeCell ref="J48:K48"/>
    <mergeCell ref="M48:R48"/>
    <mergeCell ref="V48:W48"/>
    <mergeCell ref="B45:G45"/>
    <mergeCell ref="H45:I45"/>
    <mergeCell ref="J45:K45"/>
    <mergeCell ref="M45:R45"/>
    <mergeCell ref="V45:W45"/>
    <mergeCell ref="B46:G46"/>
    <mergeCell ref="H46:I46"/>
    <mergeCell ref="J46:K46"/>
    <mergeCell ref="M46:R46"/>
    <mergeCell ref="V46:W46"/>
    <mergeCell ref="B43:G43"/>
    <mergeCell ref="H43:I43"/>
    <mergeCell ref="J43:K43"/>
    <mergeCell ref="M43:R43"/>
    <mergeCell ref="V43:W43"/>
    <mergeCell ref="B44:G44"/>
    <mergeCell ref="H44:I44"/>
    <mergeCell ref="J44:K44"/>
    <mergeCell ref="M44:R44"/>
    <mergeCell ref="V44:W44"/>
    <mergeCell ref="B41:G41"/>
    <mergeCell ref="H41:I41"/>
    <mergeCell ref="J41:K41"/>
    <mergeCell ref="M41:R41"/>
    <mergeCell ref="V41:W41"/>
    <mergeCell ref="B42:G42"/>
    <mergeCell ref="H42:I42"/>
    <mergeCell ref="J42:K42"/>
    <mergeCell ref="M42:R42"/>
    <mergeCell ref="V42:W42"/>
    <mergeCell ref="B39:G39"/>
    <mergeCell ref="H39:I39"/>
    <mergeCell ref="J39:K39"/>
    <mergeCell ref="M39:R39"/>
    <mergeCell ref="V39:W39"/>
    <mergeCell ref="B40:G40"/>
    <mergeCell ref="H40:I40"/>
    <mergeCell ref="J40:K40"/>
    <mergeCell ref="M40:R40"/>
    <mergeCell ref="V40:W40"/>
    <mergeCell ref="B37:G37"/>
    <mergeCell ref="H37:I37"/>
    <mergeCell ref="J37:K37"/>
    <mergeCell ref="V37:W37"/>
    <mergeCell ref="B38:G38"/>
    <mergeCell ref="H38:I38"/>
    <mergeCell ref="J38:K38"/>
    <mergeCell ref="V38:W38"/>
    <mergeCell ref="B35:G35"/>
    <mergeCell ref="H35:I35"/>
    <mergeCell ref="J35:K35"/>
    <mergeCell ref="V35:W35"/>
    <mergeCell ref="B36:G36"/>
    <mergeCell ref="H36:I36"/>
    <mergeCell ref="J36:K36"/>
    <mergeCell ref="V36:W36"/>
    <mergeCell ref="B33:G33"/>
    <mergeCell ref="H33:I33"/>
    <mergeCell ref="J33:K33"/>
    <mergeCell ref="V33:W33"/>
    <mergeCell ref="B34:G34"/>
    <mergeCell ref="H34:I34"/>
    <mergeCell ref="J34:K34"/>
    <mergeCell ref="V34:W34"/>
    <mergeCell ref="B31:G31"/>
    <mergeCell ref="H31:I31"/>
    <mergeCell ref="J31:K31"/>
    <mergeCell ref="Q31:R31"/>
    <mergeCell ref="V31:W31"/>
    <mergeCell ref="B32:G32"/>
    <mergeCell ref="H32:I32"/>
    <mergeCell ref="J32:K32"/>
    <mergeCell ref="V32:W32"/>
    <mergeCell ref="B29:G29"/>
    <mergeCell ref="H29:I29"/>
    <mergeCell ref="J29:K29"/>
    <mergeCell ref="V29:W29"/>
    <mergeCell ref="B30:G30"/>
    <mergeCell ref="H30:I30"/>
    <mergeCell ref="J30:K30"/>
    <mergeCell ref="V30:W30"/>
    <mergeCell ref="B27:G27"/>
    <mergeCell ref="H27:I27"/>
    <mergeCell ref="J27:K27"/>
    <mergeCell ref="V27:W27"/>
    <mergeCell ref="B28:G28"/>
    <mergeCell ref="H28:I28"/>
    <mergeCell ref="J28:K28"/>
    <mergeCell ref="V28:W28"/>
    <mergeCell ref="B25:G25"/>
    <mergeCell ref="H25:I25"/>
    <mergeCell ref="J25:K25"/>
    <mergeCell ref="M25:R25"/>
    <mergeCell ref="V25:W25"/>
    <mergeCell ref="B26:G26"/>
    <mergeCell ref="H26:I26"/>
    <mergeCell ref="J26:K26"/>
    <mergeCell ref="V26:W26"/>
    <mergeCell ref="B23:G23"/>
    <mergeCell ref="H23:I23"/>
    <mergeCell ref="J23:K23"/>
    <mergeCell ref="M23:R23"/>
    <mergeCell ref="V23:W23"/>
    <mergeCell ref="B24:G24"/>
    <mergeCell ref="H24:I24"/>
    <mergeCell ref="J24:K24"/>
    <mergeCell ref="Q24:R24"/>
    <mergeCell ref="V24:W24"/>
    <mergeCell ref="B21:G21"/>
    <mergeCell ref="H21:I21"/>
    <mergeCell ref="J21:K21"/>
    <mergeCell ref="V21:W21"/>
    <mergeCell ref="B22:G22"/>
    <mergeCell ref="H22:I22"/>
    <mergeCell ref="J22:K22"/>
    <mergeCell ref="V22:W22"/>
    <mergeCell ref="B19:G19"/>
    <mergeCell ref="H19:I19"/>
    <mergeCell ref="J19:K19"/>
    <mergeCell ref="V19:W19"/>
    <mergeCell ref="B20:G20"/>
    <mergeCell ref="H20:I20"/>
    <mergeCell ref="J20:K20"/>
    <mergeCell ref="V20:W20"/>
    <mergeCell ref="B17:G17"/>
    <mergeCell ref="H17:I17"/>
    <mergeCell ref="J17:K17"/>
    <mergeCell ref="V17:W17"/>
    <mergeCell ref="B18:G18"/>
    <mergeCell ref="H18:I18"/>
    <mergeCell ref="J18:K18"/>
    <mergeCell ref="V18:W18"/>
    <mergeCell ref="B15:G15"/>
    <mergeCell ref="H15:I15"/>
    <mergeCell ref="J15:K15"/>
    <mergeCell ref="V15:W15"/>
    <mergeCell ref="B16:G16"/>
    <mergeCell ref="H16:I16"/>
    <mergeCell ref="J16:K16"/>
    <mergeCell ref="V16:W16"/>
    <mergeCell ref="B13:G13"/>
    <mergeCell ref="H13:I13"/>
    <mergeCell ref="J13:K13"/>
    <mergeCell ref="V13:W13"/>
    <mergeCell ref="B14:G14"/>
    <mergeCell ref="H14:I14"/>
    <mergeCell ref="J14:K14"/>
    <mergeCell ref="M14:R14"/>
    <mergeCell ref="V14:W14"/>
    <mergeCell ref="B11:G11"/>
    <mergeCell ref="H11:I11"/>
    <mergeCell ref="J11:K11"/>
    <mergeCell ref="M11:R11"/>
    <mergeCell ref="V11:W11"/>
    <mergeCell ref="B12:G12"/>
    <mergeCell ref="H12:I12"/>
    <mergeCell ref="J12:K12"/>
    <mergeCell ref="V12:W12"/>
    <mergeCell ref="B9:G9"/>
    <mergeCell ref="H9:I9"/>
    <mergeCell ref="J9:K9"/>
    <mergeCell ref="M9:R9"/>
    <mergeCell ref="V9:W9"/>
    <mergeCell ref="B10:G10"/>
    <mergeCell ref="H10:I10"/>
    <mergeCell ref="J10:K10"/>
    <mergeCell ref="M10:R10"/>
    <mergeCell ref="V10:W10"/>
    <mergeCell ref="B7:G7"/>
    <mergeCell ref="H7:I7"/>
    <mergeCell ref="J7:K7"/>
    <mergeCell ref="M7:R7"/>
    <mergeCell ref="V7:W7"/>
    <mergeCell ref="B8:G8"/>
    <mergeCell ref="H8:I8"/>
    <mergeCell ref="J8:K8"/>
    <mergeCell ref="M8:R8"/>
    <mergeCell ref="V8:W8"/>
    <mergeCell ref="B5:G5"/>
    <mergeCell ref="H5:I5"/>
    <mergeCell ref="J5:K5"/>
    <mergeCell ref="M5:R5"/>
    <mergeCell ref="V5:W5"/>
    <mergeCell ref="B6:G6"/>
    <mergeCell ref="H6:I6"/>
    <mergeCell ref="J6:K6"/>
    <mergeCell ref="M6:R6"/>
    <mergeCell ref="V6:W6"/>
    <mergeCell ref="V3:W3"/>
    <mergeCell ref="X3:Y3"/>
    <mergeCell ref="B4:G4"/>
    <mergeCell ref="H4:I4"/>
    <mergeCell ref="J4:K4"/>
    <mergeCell ref="M4:R4"/>
    <mergeCell ref="V4:W4"/>
    <mergeCell ref="A1:K1"/>
    <mergeCell ref="B2:H2"/>
    <mergeCell ref="M2:U2"/>
    <mergeCell ref="H3:I3"/>
    <mergeCell ref="J3:K3"/>
    <mergeCell ref="M3:R3"/>
  </mergeCells>
  <pageMargins left="0.51" right="0.25" top="1" bottom="1" header="0.51" footer="0.5"/>
  <pageSetup scale="95" orientation="portrait" r:id="rId1"/>
  <headerFooter alignWithMargins="0">
    <oddFooter>&amp;R
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70"/>
  <sheetViews>
    <sheetView workbookViewId="0">
      <selection activeCell="E84" sqref="E84"/>
    </sheetView>
  </sheetViews>
  <sheetFormatPr defaultRowHeight="15"/>
  <cols>
    <col min="1" max="1" width="4.140625" customWidth="1"/>
    <col min="3" max="3" width="21.85546875" style="44" customWidth="1"/>
    <col min="6" max="6" width="3.7109375" customWidth="1"/>
    <col min="7" max="7" width="8.42578125" style="211" customWidth="1"/>
    <col min="8" max="8" width="20.7109375" style="78" customWidth="1"/>
    <col min="9" max="9" width="16.42578125" style="78" customWidth="1"/>
    <col min="10" max="10" width="15.28515625" hidden="1" customWidth="1"/>
    <col min="11" max="11" width="1" style="250" customWidth="1"/>
    <col min="16" max="16" width="15.140625" customWidth="1"/>
    <col min="17" max="17" width="9" style="211" customWidth="1"/>
    <col min="18" max="18" width="18.28515625" style="211" customWidth="1"/>
    <col min="19" max="19" width="18.28515625" style="173" customWidth="1"/>
    <col min="20" max="20" width="15.85546875" hidden="1" customWidth="1"/>
    <col min="22" max="22" width="11.28515625" bestFit="1" customWidth="1"/>
  </cols>
  <sheetData>
    <row r="1" spans="1:20" ht="15.75">
      <c r="A1" s="172"/>
      <c r="B1" s="605" t="s">
        <v>1</v>
      </c>
      <c r="C1" s="605"/>
      <c r="D1" s="605"/>
      <c r="E1" s="605"/>
      <c r="F1" s="605"/>
      <c r="G1" s="606"/>
      <c r="H1" s="173"/>
      <c r="I1" s="173"/>
      <c r="J1" s="58"/>
      <c r="K1" s="764"/>
      <c r="L1" s="764"/>
      <c r="M1" s="605" t="s">
        <v>1</v>
      </c>
      <c r="N1" s="605"/>
      <c r="O1" s="605"/>
      <c r="P1" s="605"/>
      <c r="Q1" s="605"/>
      <c r="R1" s="605"/>
      <c r="S1" s="606"/>
      <c r="T1" s="58"/>
    </row>
    <row r="2" spans="1:20" ht="16.5" thickBot="1">
      <c r="A2" s="172"/>
      <c r="B2" s="765" t="s">
        <v>95</v>
      </c>
      <c r="C2" s="765"/>
      <c r="D2" s="765"/>
      <c r="E2" s="765"/>
      <c r="F2" s="765"/>
      <c r="G2" s="174"/>
      <c r="H2" s="175">
        <v>2011</v>
      </c>
      <c r="I2" s="175">
        <v>2010</v>
      </c>
      <c r="J2" s="176">
        <v>2009</v>
      </c>
      <c r="K2" s="177"/>
      <c r="L2" s="765" t="s">
        <v>95</v>
      </c>
      <c r="M2" s="765"/>
      <c r="N2" s="765"/>
      <c r="O2" s="765"/>
      <c r="P2" s="765"/>
      <c r="Q2" s="174"/>
      <c r="R2" s="175">
        <v>2011</v>
      </c>
      <c r="S2" s="175">
        <v>2010</v>
      </c>
      <c r="T2" s="176">
        <v>2009</v>
      </c>
    </row>
    <row r="3" spans="1:20" ht="26.25" thickBot="1">
      <c r="A3" s="178"/>
      <c r="B3" s="759" t="s">
        <v>96</v>
      </c>
      <c r="C3" s="760"/>
      <c r="D3" s="760"/>
      <c r="E3" s="760"/>
      <c r="F3" s="761"/>
      <c r="G3" s="179" t="s">
        <v>97</v>
      </c>
      <c r="H3" s="180" t="s">
        <v>98</v>
      </c>
      <c r="I3" s="181" t="s">
        <v>99</v>
      </c>
      <c r="J3" s="181" t="s">
        <v>99</v>
      </c>
      <c r="K3" s="182" t="s">
        <v>27</v>
      </c>
      <c r="L3" s="762" t="s">
        <v>100</v>
      </c>
      <c r="M3" s="763"/>
      <c r="N3" s="763"/>
      <c r="O3" s="763"/>
      <c r="P3" s="763"/>
      <c r="Q3" s="183" t="s">
        <v>97</v>
      </c>
      <c r="R3" s="180" t="s">
        <v>98</v>
      </c>
      <c r="S3" s="181" t="s">
        <v>99</v>
      </c>
      <c r="T3" s="181" t="s">
        <v>99</v>
      </c>
    </row>
    <row r="4" spans="1:20" ht="13.5" thickBot="1">
      <c r="A4" s="184" t="s">
        <v>101</v>
      </c>
      <c r="B4" s="766" t="s">
        <v>102</v>
      </c>
      <c r="C4" s="767"/>
      <c r="D4" s="767"/>
      <c r="E4" s="767"/>
      <c r="F4" s="767"/>
      <c r="G4" s="185" t="s">
        <v>103</v>
      </c>
      <c r="H4" s="186">
        <f>H5+H9+H18+H31</f>
        <v>611582332.18000007</v>
      </c>
      <c r="I4" s="186">
        <f>I5+I9+I18+I31</f>
        <v>179834348.58000001</v>
      </c>
      <c r="J4" s="186">
        <v>196863399.72</v>
      </c>
      <c r="K4" s="184" t="s">
        <v>101</v>
      </c>
      <c r="L4" s="766" t="s">
        <v>104</v>
      </c>
      <c r="M4" s="767"/>
      <c r="N4" s="767"/>
      <c r="O4" s="767"/>
      <c r="P4" s="767"/>
      <c r="Q4" s="187" t="s">
        <v>105</v>
      </c>
      <c r="R4" s="188">
        <f>R5+R6+R9+R23+R24</f>
        <v>844010690.37</v>
      </c>
      <c r="S4" s="188">
        <f>S5+S6+S9+S23+S24</f>
        <v>298985133.61000001</v>
      </c>
      <c r="T4" s="188">
        <v>247317538.00999999</v>
      </c>
    </row>
    <row r="5" spans="1:20" ht="14.25">
      <c r="A5" s="189"/>
      <c r="B5" s="768" t="s">
        <v>106</v>
      </c>
      <c r="C5" s="769"/>
      <c r="D5" s="769"/>
      <c r="E5" s="769"/>
      <c r="F5" s="769"/>
      <c r="G5" s="190">
        <v>1</v>
      </c>
      <c r="H5" s="191">
        <f>SUM(H6:H7)</f>
        <v>318919396.44</v>
      </c>
      <c r="I5" s="191">
        <f>SUM(I6:I7)</f>
        <v>47770285.150000006</v>
      </c>
      <c r="J5" s="191">
        <v>47606576.100000001</v>
      </c>
      <c r="K5" s="192">
        <f>H5-I5</f>
        <v>271149111.28999996</v>
      </c>
      <c r="L5" s="770" t="s">
        <v>107</v>
      </c>
      <c r="M5" s="770"/>
      <c r="N5" s="770"/>
      <c r="O5" s="770"/>
      <c r="P5" s="770"/>
      <c r="Q5" s="193"/>
      <c r="R5" s="194"/>
      <c r="S5" s="194"/>
      <c r="T5" s="194"/>
    </row>
    <row r="6" spans="1:20" ht="27" customHeight="1">
      <c r="A6" s="195"/>
      <c r="B6" s="771" t="s">
        <v>108</v>
      </c>
      <c r="C6" s="772"/>
      <c r="D6" s="772"/>
      <c r="E6" s="772"/>
      <c r="F6" s="773"/>
      <c r="G6" s="196">
        <v>1.1000000000000001</v>
      </c>
      <c r="H6" s="197">
        <f>'[1]BILANC BRUTO F5'!G46+'[1]BILANC BRUTO F5'!G47+'[1]BILANC BRUTO F5'!G48</f>
        <v>302563095.44</v>
      </c>
      <c r="I6" s="197">
        <f>33823468.38+5175536.77</f>
        <v>38999005.150000006</v>
      </c>
      <c r="J6" s="197">
        <v>43242512.100000001</v>
      </c>
      <c r="K6" s="198"/>
      <c r="L6" s="770" t="s">
        <v>109</v>
      </c>
      <c r="M6" s="770"/>
      <c r="N6" s="770"/>
      <c r="O6" s="770"/>
      <c r="P6" s="770"/>
      <c r="Q6" s="196"/>
      <c r="R6" s="199">
        <f>R7+R8</f>
        <v>0</v>
      </c>
      <c r="S6" s="199">
        <f>S7+S8</f>
        <v>0</v>
      </c>
      <c r="T6" s="199">
        <v>0</v>
      </c>
    </row>
    <row r="7" spans="1:20" ht="15.75" thickBot="1">
      <c r="A7" s="195"/>
      <c r="B7" s="774" t="s">
        <v>110</v>
      </c>
      <c r="C7" s="775"/>
      <c r="D7" s="775"/>
      <c r="E7" s="775"/>
      <c r="F7" s="775"/>
      <c r="G7" s="196">
        <v>1.2</v>
      </c>
      <c r="H7" s="197">
        <f>'[1]BILANC BRUTO F5'!G49</f>
        <v>16356301</v>
      </c>
      <c r="I7" s="197">
        <v>8771280</v>
      </c>
      <c r="J7" s="197">
        <v>4364064</v>
      </c>
      <c r="K7" s="198"/>
      <c r="L7" s="776" t="s">
        <v>111</v>
      </c>
      <c r="M7" s="777"/>
      <c r="N7" s="777"/>
      <c r="O7" s="777"/>
      <c r="P7" s="777"/>
      <c r="Q7" s="196"/>
      <c r="R7" s="199"/>
      <c r="S7" s="199"/>
      <c r="T7" s="199"/>
    </row>
    <row r="8" spans="1:20" ht="17.25" customHeight="1" thickBot="1">
      <c r="A8" s="195"/>
      <c r="B8" s="778" t="s">
        <v>112</v>
      </c>
      <c r="C8" s="779"/>
      <c r="D8" s="779"/>
      <c r="E8" s="779"/>
      <c r="F8" s="780"/>
      <c r="G8" s="200">
        <v>2</v>
      </c>
      <c r="H8" s="197"/>
      <c r="I8" s="197"/>
      <c r="J8" s="197"/>
      <c r="K8" s="198"/>
      <c r="L8" s="776" t="s">
        <v>113</v>
      </c>
      <c r="M8" s="777"/>
      <c r="N8" s="777"/>
      <c r="O8" s="777"/>
      <c r="P8" s="777"/>
      <c r="Q8" s="196"/>
      <c r="R8" s="199"/>
      <c r="S8" s="199"/>
      <c r="T8" s="199"/>
    </row>
    <row r="9" spans="1:20">
      <c r="A9" s="195"/>
      <c r="B9" s="781" t="s">
        <v>114</v>
      </c>
      <c r="C9" s="782"/>
      <c r="D9" s="782"/>
      <c r="E9" s="782"/>
      <c r="F9" s="782"/>
      <c r="G9" s="200">
        <v>3</v>
      </c>
      <c r="H9" s="201">
        <f>SUM(H10:H17)</f>
        <v>46371540.920000002</v>
      </c>
      <c r="I9" s="201">
        <f>SUM(I10:I17)</f>
        <v>18584912.43</v>
      </c>
      <c r="J9" s="202">
        <v>28768594.18</v>
      </c>
      <c r="K9" s="203">
        <f>H9-I9</f>
        <v>27786628.490000002</v>
      </c>
      <c r="L9" s="783" t="s">
        <v>115</v>
      </c>
      <c r="M9" s="783"/>
      <c r="N9" s="783"/>
      <c r="O9" s="783"/>
      <c r="P9" s="783"/>
      <c r="Q9" s="200">
        <v>6</v>
      </c>
      <c r="R9" s="204">
        <f>SUM(R10:R22)</f>
        <v>840932818.37</v>
      </c>
      <c r="S9" s="204">
        <f>SUM(S10:S22)</f>
        <v>298985133.61000001</v>
      </c>
      <c r="T9" s="204">
        <v>247317538.00999999</v>
      </c>
    </row>
    <row r="10" spans="1:20">
      <c r="A10" s="195"/>
      <c r="B10" s="784" t="s">
        <v>116</v>
      </c>
      <c r="C10" s="785"/>
      <c r="D10" s="785"/>
      <c r="E10" s="785"/>
      <c r="F10" s="785"/>
      <c r="G10" s="196">
        <v>3.1</v>
      </c>
      <c r="H10" s="199">
        <f>'[1]BILANC BRUTO F5'!G43</f>
        <v>562035</v>
      </c>
      <c r="I10" s="197">
        <v>111584</v>
      </c>
      <c r="J10" s="197">
        <v>31704</v>
      </c>
      <c r="K10" s="198"/>
      <c r="L10" s="784" t="s">
        <v>117</v>
      </c>
      <c r="M10" s="785"/>
      <c r="N10" s="785"/>
      <c r="O10" s="785"/>
      <c r="P10" s="785"/>
      <c r="Q10" s="196">
        <v>6.1</v>
      </c>
      <c r="R10" s="199">
        <f>'[1]BILANC BRUTO F5'!J7</f>
        <v>837667676.37</v>
      </c>
      <c r="S10" s="199">
        <v>297129223.50999999</v>
      </c>
      <c r="T10" s="199">
        <v>242886911.00999999</v>
      </c>
    </row>
    <row r="11" spans="1:20" ht="12" customHeight="1">
      <c r="A11" s="195"/>
      <c r="B11" s="784" t="s">
        <v>118</v>
      </c>
      <c r="C11" s="785"/>
      <c r="D11" s="785"/>
      <c r="E11" s="785"/>
      <c r="F11" s="785"/>
      <c r="G11" s="196">
        <v>3.2</v>
      </c>
      <c r="H11" s="199">
        <f>-'[1]BILANC BRUTO F5'!J15</f>
        <v>0</v>
      </c>
      <c r="I11" s="197">
        <v>0</v>
      </c>
      <c r="J11" s="197">
        <v>1670011.56</v>
      </c>
      <c r="K11" s="198"/>
      <c r="L11" s="784" t="s">
        <v>119</v>
      </c>
      <c r="M11" s="785"/>
      <c r="N11" s="785"/>
      <c r="O11" s="785"/>
      <c r="P11" s="785"/>
      <c r="Q11" s="196">
        <v>6.2</v>
      </c>
      <c r="R11" s="199">
        <f>'[1]BILANC BRUTO F5'!J8</f>
        <v>157669</v>
      </c>
      <c r="S11" s="199">
        <v>696802.1</v>
      </c>
      <c r="T11" s="199"/>
    </row>
    <row r="12" spans="1:20" ht="12.75" customHeight="1">
      <c r="A12" s="195"/>
      <c r="B12" s="784" t="s">
        <v>120</v>
      </c>
      <c r="C12" s="785"/>
      <c r="D12" s="785"/>
      <c r="E12" s="785"/>
      <c r="F12" s="785"/>
      <c r="G12" s="196">
        <v>3.3</v>
      </c>
      <c r="H12" s="199">
        <f>-'[1]BILANC BRUTO F5'!J13</f>
        <v>1940000</v>
      </c>
      <c r="I12" s="197">
        <v>1400000</v>
      </c>
      <c r="J12" s="197">
        <v>540000</v>
      </c>
      <c r="K12" s="198"/>
      <c r="L12" s="784" t="s">
        <v>121</v>
      </c>
      <c r="M12" s="785"/>
      <c r="N12" s="785"/>
      <c r="O12" s="785"/>
      <c r="P12" s="785"/>
      <c r="Q12" s="196">
        <v>6.3</v>
      </c>
      <c r="R12" s="199">
        <f>'[1]BILANC BRUTO F5'!J9</f>
        <v>1308969</v>
      </c>
      <c r="S12" s="199">
        <v>739499</v>
      </c>
      <c r="T12" s="199">
        <v>860880</v>
      </c>
    </row>
    <row r="13" spans="1:20" ht="12.75" customHeight="1">
      <c r="A13" s="195"/>
      <c r="B13" s="784" t="s">
        <v>122</v>
      </c>
      <c r="C13" s="785"/>
      <c r="D13" s="785"/>
      <c r="E13" s="785"/>
      <c r="F13" s="785"/>
      <c r="G13" s="196"/>
      <c r="H13" s="205"/>
      <c r="I13" s="78">
        <v>540000</v>
      </c>
      <c r="J13" s="112"/>
      <c r="K13" s="198"/>
      <c r="L13" s="784" t="s">
        <v>123</v>
      </c>
      <c r="M13" s="785"/>
      <c r="N13" s="785"/>
      <c r="O13" s="785"/>
      <c r="P13" s="785"/>
      <c r="Q13" s="196">
        <v>6.4</v>
      </c>
      <c r="R13" s="199">
        <f>'[1]BILANC BRUTO F5'!J11</f>
        <v>736033</v>
      </c>
      <c r="S13" s="199">
        <v>419609</v>
      </c>
      <c r="T13" s="173">
        <v>347194</v>
      </c>
    </row>
    <row r="14" spans="1:20" ht="12" customHeight="1">
      <c r="A14" s="195"/>
      <c r="B14" s="784" t="s">
        <v>124</v>
      </c>
      <c r="C14" s="785"/>
      <c r="D14" s="785"/>
      <c r="E14" s="785"/>
      <c r="F14" s="785"/>
      <c r="G14" s="196">
        <v>3.4</v>
      </c>
      <c r="H14" s="199">
        <f>'[1]BILANC BRUTO F5'!G44</f>
        <v>24735</v>
      </c>
      <c r="I14" s="206"/>
      <c r="J14" s="112"/>
      <c r="K14" s="198"/>
      <c r="L14" s="207"/>
      <c r="M14" s="208"/>
      <c r="N14" s="208"/>
      <c r="O14" s="208"/>
      <c r="P14" s="208"/>
      <c r="Q14" s="196"/>
      <c r="R14" s="199"/>
      <c r="S14" s="199"/>
      <c r="T14" s="199"/>
    </row>
    <row r="15" spans="1:20">
      <c r="A15" s="195"/>
      <c r="B15" s="207" t="s">
        <v>125</v>
      </c>
      <c r="C15" s="208"/>
      <c r="D15" s="208"/>
      <c r="E15" s="208"/>
      <c r="F15" s="208"/>
      <c r="G15" s="196">
        <v>3.5</v>
      </c>
      <c r="H15" s="199">
        <f>-'[1]BILANC BRUTO F5'!J14</f>
        <v>43769171</v>
      </c>
      <c r="I15" s="197">
        <v>16451453</v>
      </c>
      <c r="J15" s="197">
        <v>26524802</v>
      </c>
      <c r="K15" s="209">
        <f>(H15-I15)/I15</f>
        <v>1.660504880632732</v>
      </c>
      <c r="L15" s="784" t="s">
        <v>126</v>
      </c>
      <c r="M15" s="785"/>
      <c r="N15" s="785"/>
      <c r="O15" s="785"/>
      <c r="P15" s="785"/>
      <c r="Q15" s="196"/>
      <c r="R15" s="199"/>
      <c r="S15" s="199"/>
      <c r="T15" s="199"/>
    </row>
    <row r="16" spans="1:20">
      <c r="A16" s="195"/>
      <c r="B16" s="207" t="s">
        <v>127</v>
      </c>
      <c r="C16" s="208"/>
      <c r="D16" s="208"/>
      <c r="E16" s="208"/>
      <c r="F16" s="208"/>
      <c r="G16" s="196">
        <v>3.6</v>
      </c>
      <c r="H16" s="199">
        <f>-'[1]BILANC BRUTO F5'!J12</f>
        <v>-3150.08</v>
      </c>
      <c r="I16" s="197">
        <v>3125.43</v>
      </c>
      <c r="J16" s="197">
        <v>2076.62</v>
      </c>
      <c r="K16" s="198"/>
      <c r="L16" s="784" t="s">
        <v>128</v>
      </c>
      <c r="M16" s="785"/>
      <c r="N16" s="785"/>
      <c r="O16" s="785"/>
      <c r="P16" s="785"/>
      <c r="Q16" s="196"/>
      <c r="R16" s="199"/>
      <c r="S16" s="199"/>
      <c r="T16" s="199">
        <v>50000</v>
      </c>
    </row>
    <row r="17" spans="1:20" ht="16.5" customHeight="1" thickBot="1">
      <c r="A17" s="195"/>
      <c r="B17" s="784" t="s">
        <v>129</v>
      </c>
      <c r="C17" s="785"/>
      <c r="D17" s="785"/>
      <c r="E17" s="785"/>
      <c r="F17" s="785"/>
      <c r="G17" s="196">
        <v>3.7</v>
      </c>
      <c r="H17" s="199">
        <f>-'[1]BILANC BRUTO F5'!J10</f>
        <v>78750</v>
      </c>
      <c r="I17" s="197">
        <v>78750</v>
      </c>
      <c r="J17" s="197"/>
      <c r="K17" s="198"/>
      <c r="L17" s="784" t="s">
        <v>130</v>
      </c>
      <c r="M17" s="785"/>
      <c r="N17" s="785"/>
      <c r="O17" s="785"/>
      <c r="P17" s="785"/>
      <c r="Q17" s="196"/>
      <c r="R17" s="199"/>
      <c r="S17" s="199"/>
      <c r="T17" s="199">
        <v>3172553</v>
      </c>
    </row>
    <row r="18" spans="1:20">
      <c r="A18" s="195"/>
      <c r="B18" s="781" t="s">
        <v>131</v>
      </c>
      <c r="C18" s="782"/>
      <c r="D18" s="782"/>
      <c r="E18" s="782"/>
      <c r="F18" s="782"/>
      <c r="G18" s="200">
        <v>4</v>
      </c>
      <c r="H18" s="202">
        <f>SUM(H19:H26)</f>
        <v>246229790</v>
      </c>
      <c r="I18" s="202">
        <f>SUM(I19:I26)</f>
        <v>113479151</v>
      </c>
      <c r="J18" s="202">
        <f>SUM(J19:J26)</f>
        <v>120413419.44</v>
      </c>
      <c r="K18" s="210">
        <f>H18-I18</f>
        <v>132750639</v>
      </c>
      <c r="L18" s="784" t="s">
        <v>132</v>
      </c>
      <c r="M18" s="785"/>
      <c r="N18" s="785"/>
      <c r="O18" s="785"/>
      <c r="P18" s="785"/>
      <c r="Q18" s="196">
        <v>6.5</v>
      </c>
      <c r="R18" s="199">
        <f>'[1]BILANC BRUTO F5'!J16</f>
        <v>1062471</v>
      </c>
      <c r="S18" s="199">
        <v>0</v>
      </c>
      <c r="T18" s="199">
        <v>0</v>
      </c>
    </row>
    <row r="19" spans="1:20">
      <c r="A19" s="195"/>
      <c r="B19" s="776" t="s">
        <v>133</v>
      </c>
      <c r="C19" s="777"/>
      <c r="D19" s="777"/>
      <c r="E19" s="777"/>
      <c r="F19" s="777"/>
      <c r="G19" s="196"/>
      <c r="H19" s="197"/>
      <c r="I19" s="197"/>
      <c r="J19" s="197"/>
      <c r="K19" s="198"/>
      <c r="L19" s="784" t="s">
        <v>134</v>
      </c>
      <c r="M19" s="785"/>
      <c r="N19" s="785"/>
      <c r="O19" s="785"/>
      <c r="P19" s="785"/>
      <c r="Q19" s="196"/>
      <c r="R19" s="199">
        <v>0</v>
      </c>
      <c r="S19" s="199">
        <v>0</v>
      </c>
      <c r="T19" s="199">
        <v>0</v>
      </c>
    </row>
    <row r="20" spans="1:20">
      <c r="A20" s="195"/>
      <c r="B20" s="776" t="s">
        <v>135</v>
      </c>
      <c r="C20" s="777"/>
      <c r="D20" s="777"/>
      <c r="E20" s="777"/>
      <c r="F20" s="777"/>
      <c r="G20" s="196"/>
      <c r="H20" s="197"/>
      <c r="I20" s="197"/>
      <c r="J20" s="197"/>
      <c r="K20" s="198"/>
      <c r="Q20" s="196">
        <v>6.6</v>
      </c>
      <c r="S20" s="199"/>
      <c r="T20" s="199"/>
    </row>
    <row r="21" spans="1:20">
      <c r="A21" s="195"/>
      <c r="B21" s="776" t="s">
        <v>135</v>
      </c>
      <c r="C21" s="777"/>
      <c r="D21" s="777"/>
      <c r="E21" s="777"/>
      <c r="F21" s="777"/>
      <c r="G21" s="196"/>
      <c r="H21" s="197"/>
      <c r="I21" s="197"/>
      <c r="J21" s="197"/>
      <c r="K21" s="198"/>
      <c r="L21" s="786"/>
      <c r="M21" s="787"/>
      <c r="N21" s="787"/>
      <c r="O21" s="787"/>
      <c r="P21" s="788"/>
      <c r="Q21" s="196"/>
      <c r="R21" s="199"/>
      <c r="S21" s="199"/>
      <c r="T21" s="199"/>
    </row>
    <row r="22" spans="1:20">
      <c r="A22" s="195"/>
      <c r="B22" s="776" t="s">
        <v>136</v>
      </c>
      <c r="C22" s="777"/>
      <c r="D22" s="777"/>
      <c r="E22" s="777"/>
      <c r="F22" s="777"/>
      <c r="G22" s="196"/>
      <c r="H22" s="197"/>
      <c r="I22" s="197"/>
      <c r="J22" s="197"/>
      <c r="K22" s="198"/>
      <c r="L22" s="789" t="s">
        <v>137</v>
      </c>
      <c r="M22" s="790"/>
      <c r="N22" s="790"/>
      <c r="O22" s="790"/>
      <c r="P22" s="790"/>
      <c r="Q22" s="196"/>
      <c r="R22" s="199"/>
      <c r="S22" s="199"/>
      <c r="T22" s="199"/>
    </row>
    <row r="23" spans="1:20">
      <c r="A23" s="195"/>
      <c r="B23" s="776" t="s">
        <v>138</v>
      </c>
      <c r="C23" s="777"/>
      <c r="D23" s="777"/>
      <c r="E23" s="777"/>
      <c r="F23" s="777"/>
      <c r="G23" s="196"/>
      <c r="H23" s="197"/>
      <c r="I23" s="197"/>
      <c r="J23" s="197"/>
      <c r="K23" s="198"/>
      <c r="L23" s="770" t="s">
        <v>139</v>
      </c>
      <c r="M23" s="770"/>
      <c r="N23" s="770"/>
      <c r="O23" s="770"/>
      <c r="P23" s="770"/>
      <c r="Q23" s="196"/>
      <c r="R23" s="212"/>
      <c r="S23" s="212"/>
      <c r="T23" s="212"/>
    </row>
    <row r="24" spans="1:20">
      <c r="A24" s="195"/>
      <c r="B24" s="776" t="s">
        <v>140</v>
      </c>
      <c r="C24" s="777"/>
      <c r="D24" s="777"/>
      <c r="E24" s="777"/>
      <c r="F24" s="777"/>
      <c r="G24" s="196"/>
      <c r="H24" s="197"/>
      <c r="I24" s="197"/>
      <c r="J24" s="197"/>
      <c r="K24" s="198"/>
      <c r="L24" s="770" t="s">
        <v>141</v>
      </c>
      <c r="M24" s="770"/>
      <c r="N24" s="770"/>
      <c r="O24" s="770"/>
      <c r="P24" s="770"/>
      <c r="Q24" s="196">
        <v>6.7</v>
      </c>
      <c r="R24" s="212">
        <f>'[1]BILANC BRUTO F5'!J17</f>
        <v>3077872</v>
      </c>
      <c r="S24" s="212"/>
      <c r="T24" s="212"/>
    </row>
    <row r="25" spans="1:20" ht="15.75" thickBot="1">
      <c r="A25" s="195"/>
      <c r="B25" s="776" t="s">
        <v>142</v>
      </c>
      <c r="C25" s="777"/>
      <c r="D25" s="777"/>
      <c r="E25" s="777"/>
      <c r="F25" s="777"/>
      <c r="G25" s="196">
        <v>4.0999999999999996</v>
      </c>
      <c r="H25" s="197">
        <f>'[1]BILANC BRUTO F5'!G42</f>
        <v>246229790</v>
      </c>
      <c r="I25" s="197">
        <v>113479151</v>
      </c>
      <c r="J25" s="197">
        <v>120413419.44</v>
      </c>
      <c r="K25" s="209">
        <f>(H25-I25)/I25</f>
        <v>1.1698240410698879</v>
      </c>
      <c r="L25" s="791" t="s">
        <v>143</v>
      </c>
      <c r="M25" s="792"/>
      <c r="N25" s="792"/>
      <c r="O25" s="792"/>
      <c r="P25" s="792"/>
      <c r="Q25" s="196"/>
      <c r="R25" s="213"/>
      <c r="S25" s="213"/>
      <c r="T25" s="213"/>
    </row>
    <row r="26" spans="1:20" ht="15.75" thickBot="1">
      <c r="A26" s="214"/>
      <c r="B26" s="793" t="s">
        <v>144</v>
      </c>
      <c r="C26" s="794"/>
      <c r="D26" s="794"/>
      <c r="E26" s="794"/>
      <c r="F26" s="794"/>
      <c r="G26" s="196"/>
      <c r="H26" s="215"/>
      <c r="I26" s="215"/>
      <c r="J26" s="215"/>
      <c r="K26" s="198" t="s">
        <v>145</v>
      </c>
      <c r="L26" s="766" t="s">
        <v>146</v>
      </c>
      <c r="M26" s="767"/>
      <c r="N26" s="767"/>
      <c r="O26" s="767"/>
      <c r="P26" s="767"/>
      <c r="Q26" s="216"/>
      <c r="R26" s="217">
        <f>R27+R30+R31+R32</f>
        <v>0</v>
      </c>
      <c r="S26" s="217">
        <f>S27+S30+S31+S32</f>
        <v>0</v>
      </c>
      <c r="T26" s="217">
        <v>0</v>
      </c>
    </row>
    <row r="27" spans="1:20" ht="13.5" thickBot="1">
      <c r="A27" s="189"/>
      <c r="B27" s="791" t="s">
        <v>143</v>
      </c>
      <c r="C27" s="792"/>
      <c r="D27" s="792"/>
      <c r="E27" s="792"/>
      <c r="F27" s="792"/>
      <c r="G27" s="196"/>
      <c r="H27" s="191"/>
      <c r="I27" s="191"/>
      <c r="J27" s="191"/>
      <c r="K27" s="218"/>
      <c r="L27" s="795" t="s">
        <v>147</v>
      </c>
      <c r="M27" s="796"/>
      <c r="N27" s="796"/>
      <c r="O27" s="796"/>
      <c r="P27" s="796"/>
      <c r="Q27" s="196"/>
      <c r="R27" s="194">
        <f>R28+R29</f>
        <v>0</v>
      </c>
      <c r="S27" s="194">
        <f>S28+S29</f>
        <v>0</v>
      </c>
      <c r="T27" s="194">
        <v>0</v>
      </c>
    </row>
    <row r="28" spans="1:20" ht="13.5" thickBot="1">
      <c r="A28" s="195"/>
      <c r="B28" s="781" t="s">
        <v>148</v>
      </c>
      <c r="C28" s="782"/>
      <c r="D28" s="782"/>
      <c r="E28" s="782"/>
      <c r="F28" s="782"/>
      <c r="G28" s="196"/>
      <c r="H28" s="219"/>
      <c r="I28" s="219"/>
      <c r="J28" s="219"/>
      <c r="K28" s="198"/>
      <c r="L28" s="776" t="s">
        <v>149</v>
      </c>
      <c r="M28" s="777"/>
      <c r="N28" s="777"/>
      <c r="O28" s="777"/>
      <c r="P28" s="777"/>
      <c r="Q28" s="196"/>
      <c r="R28" s="212"/>
      <c r="S28" s="212"/>
      <c r="T28" s="212"/>
    </row>
    <row r="29" spans="1:20" ht="15.75" thickBot="1">
      <c r="A29" s="195"/>
      <c r="B29" s="781" t="s">
        <v>150</v>
      </c>
      <c r="C29" s="782"/>
      <c r="D29" s="782"/>
      <c r="E29" s="782"/>
      <c r="F29" s="782"/>
      <c r="G29" s="196"/>
      <c r="H29" s="197"/>
      <c r="I29" s="197"/>
      <c r="J29" s="197"/>
      <c r="K29" s="198"/>
      <c r="L29" s="776" t="s">
        <v>151</v>
      </c>
      <c r="M29" s="777"/>
      <c r="N29" s="777"/>
      <c r="O29" s="777"/>
      <c r="P29" s="777"/>
      <c r="Q29" s="196"/>
      <c r="R29" s="199"/>
      <c r="S29" s="199"/>
      <c r="T29" s="199"/>
    </row>
    <row r="30" spans="1:20">
      <c r="A30" s="195"/>
      <c r="B30" s="781" t="s">
        <v>152</v>
      </c>
      <c r="C30" s="782"/>
      <c r="D30" s="782"/>
      <c r="E30" s="782"/>
      <c r="F30" s="782"/>
      <c r="G30" s="196"/>
      <c r="H30" s="220"/>
      <c r="I30" s="220"/>
      <c r="J30" s="220"/>
      <c r="K30" s="198"/>
      <c r="L30" s="795" t="s">
        <v>153</v>
      </c>
      <c r="M30" s="796"/>
      <c r="N30" s="796"/>
      <c r="O30" s="796"/>
      <c r="P30" s="796"/>
      <c r="Q30" s="196"/>
      <c r="R30" s="199"/>
      <c r="S30" s="199"/>
      <c r="T30" s="199"/>
    </row>
    <row r="31" spans="1:20" ht="17.25" customHeight="1">
      <c r="A31" s="195"/>
      <c r="B31" s="784" t="s">
        <v>154</v>
      </c>
      <c r="C31" s="785"/>
      <c r="D31" s="785"/>
      <c r="E31" s="785"/>
      <c r="F31" s="785"/>
      <c r="G31" s="196">
        <v>4.2</v>
      </c>
      <c r="H31" s="201">
        <f>'[1]BILANC BRUTO F5'!G45</f>
        <v>61604.82</v>
      </c>
      <c r="I31" s="201">
        <v>0</v>
      </c>
      <c r="J31" s="201">
        <v>74810</v>
      </c>
      <c r="K31" s="221">
        <f>H31-I31</f>
        <v>61604.82</v>
      </c>
      <c r="L31" s="795" t="s">
        <v>155</v>
      </c>
      <c r="M31" s="796"/>
      <c r="N31" s="796"/>
      <c r="O31" s="796"/>
      <c r="P31" s="796"/>
      <c r="Q31" s="196"/>
      <c r="R31" s="199"/>
      <c r="S31" s="199"/>
      <c r="T31" s="199"/>
    </row>
    <row r="32" spans="1:20" ht="15.75" thickBot="1">
      <c r="A32" s="195"/>
      <c r="B32" s="791" t="s">
        <v>143</v>
      </c>
      <c r="C32" s="792"/>
      <c r="D32" s="792"/>
      <c r="E32" s="792"/>
      <c r="F32" s="792"/>
      <c r="G32" s="196"/>
      <c r="H32" s="222"/>
      <c r="I32" s="222"/>
      <c r="J32" s="222"/>
      <c r="K32" s="198"/>
      <c r="L32" s="770" t="s">
        <v>156</v>
      </c>
      <c r="M32" s="770"/>
      <c r="N32" s="770"/>
      <c r="O32" s="770"/>
      <c r="P32" s="770"/>
      <c r="Q32" s="196"/>
      <c r="R32" s="199"/>
      <c r="S32" s="199"/>
      <c r="T32" s="199"/>
    </row>
    <row r="33" spans="1:22" ht="15.75" thickBot="1">
      <c r="A33" s="195" t="s">
        <v>145</v>
      </c>
      <c r="B33" s="797" t="s">
        <v>157</v>
      </c>
      <c r="C33" s="798"/>
      <c r="D33" s="798"/>
      <c r="E33" s="798"/>
      <c r="F33" s="798"/>
      <c r="G33" s="223" t="s">
        <v>158</v>
      </c>
      <c r="H33" s="188">
        <f>H34+H37+H46+H45+H49+H50+H47</f>
        <v>182050269.68836141</v>
      </c>
      <c r="I33" s="188">
        <f>I34+I37+I46+I45+I49+I50+I47</f>
        <v>19667594.180000007</v>
      </c>
      <c r="J33" s="188">
        <v>24244550.61999999</v>
      </c>
      <c r="K33" s="198"/>
      <c r="L33" s="791" t="s">
        <v>143</v>
      </c>
      <c r="M33" s="792"/>
      <c r="N33" s="792"/>
      <c r="O33" s="792"/>
      <c r="P33" s="792"/>
      <c r="Q33" s="196"/>
      <c r="R33" s="199"/>
      <c r="S33" s="199"/>
      <c r="T33" s="199"/>
    </row>
    <row r="34" spans="1:22" ht="15.75" thickBot="1">
      <c r="A34" s="195"/>
      <c r="B34" s="781" t="s">
        <v>159</v>
      </c>
      <c r="C34" s="782"/>
      <c r="D34" s="782"/>
      <c r="E34" s="782"/>
      <c r="F34" s="782"/>
      <c r="G34" s="196"/>
      <c r="H34" s="224">
        <f>H35+H36</f>
        <v>0</v>
      </c>
      <c r="I34" s="224">
        <f>I35+I36</f>
        <v>0</v>
      </c>
      <c r="J34" s="224">
        <v>0</v>
      </c>
      <c r="K34" s="198"/>
      <c r="L34" s="799"/>
      <c r="M34" s="799"/>
      <c r="N34" s="799"/>
      <c r="O34" s="799"/>
      <c r="P34" s="799"/>
      <c r="Q34" s="196"/>
      <c r="R34" s="199"/>
      <c r="S34" s="199"/>
      <c r="T34" s="199"/>
    </row>
    <row r="35" spans="1:22" ht="14.25" thickBot="1">
      <c r="A35" s="195"/>
      <c r="B35" s="800" t="s">
        <v>160</v>
      </c>
      <c r="C35" s="801"/>
      <c r="D35" s="801"/>
      <c r="E35" s="801"/>
      <c r="F35" s="802"/>
      <c r="G35" s="196"/>
      <c r="H35" s="219"/>
      <c r="I35" s="219"/>
      <c r="J35" s="219"/>
      <c r="K35" s="198"/>
      <c r="L35" s="803" t="s">
        <v>161</v>
      </c>
      <c r="M35" s="804"/>
      <c r="N35" s="804"/>
      <c r="O35" s="804"/>
      <c r="P35" s="805"/>
      <c r="Q35" s="196"/>
      <c r="R35" s="212">
        <f>R26+R4</f>
        <v>844010690.37</v>
      </c>
      <c r="S35" s="212">
        <f>S26+S4</f>
        <v>298985133.61000001</v>
      </c>
      <c r="T35" s="212">
        <v>247317538.00999999</v>
      </c>
      <c r="V35" s="78"/>
    </row>
    <row r="36" spans="1:22" ht="14.25" thickBot="1">
      <c r="A36" s="195"/>
      <c r="B36" s="800" t="s">
        <v>162</v>
      </c>
      <c r="C36" s="801"/>
      <c r="D36" s="801"/>
      <c r="E36" s="801"/>
      <c r="F36" s="802"/>
      <c r="G36" s="196"/>
      <c r="H36" s="219"/>
      <c r="I36" s="219"/>
      <c r="J36" s="219"/>
      <c r="K36" s="198" t="s">
        <v>163</v>
      </c>
      <c r="L36" s="806" t="s">
        <v>164</v>
      </c>
      <c r="M36" s="807"/>
      <c r="N36" s="807"/>
      <c r="O36" s="807"/>
      <c r="P36" s="808"/>
      <c r="Q36" s="196" t="s">
        <v>165</v>
      </c>
      <c r="R36" s="212">
        <f>SUM(R37:R50)</f>
        <v>-50378088.490000054</v>
      </c>
      <c r="S36" s="212">
        <f>SUM(S37:S50)</f>
        <v>-99483190.850000024</v>
      </c>
      <c r="T36" s="212">
        <v>-26209587.680000022</v>
      </c>
    </row>
    <row r="37" spans="1:22">
      <c r="A37" s="195"/>
      <c r="B37" s="781" t="s">
        <v>166</v>
      </c>
      <c r="C37" s="782"/>
      <c r="D37" s="782"/>
      <c r="E37" s="782"/>
      <c r="F37" s="782"/>
      <c r="G37" s="196">
        <v>5</v>
      </c>
      <c r="H37" s="202">
        <f>SUM(H38:H44)</f>
        <v>181347010.59575868</v>
      </c>
      <c r="I37" s="202">
        <f>SUM(I38:I44)</f>
        <v>73989899.180000007</v>
      </c>
      <c r="J37" s="202">
        <v>79307021.61999999</v>
      </c>
      <c r="K37" s="198"/>
      <c r="L37" s="225" t="s">
        <v>167</v>
      </c>
      <c r="M37" s="226"/>
      <c r="N37" s="226"/>
      <c r="O37" s="226" t="s">
        <v>168</v>
      </c>
      <c r="P37" s="226"/>
      <c r="Q37" s="196">
        <v>7.1</v>
      </c>
      <c r="R37" s="199">
        <f>'[1]BILANC BRUTO F5'!J4*0.25</f>
        <v>15000000</v>
      </c>
      <c r="S37" s="199">
        <v>1500000</v>
      </c>
      <c r="T37" s="199">
        <v>1500000</v>
      </c>
    </row>
    <row r="38" spans="1:22" ht="16.5" customHeight="1">
      <c r="A38" s="195"/>
      <c r="B38" s="784" t="s">
        <v>169</v>
      </c>
      <c r="C38" s="785"/>
      <c r="D38" s="785"/>
      <c r="E38" s="785"/>
      <c r="F38" s="785"/>
      <c r="G38" s="196"/>
      <c r="H38" s="197"/>
      <c r="I38" s="197"/>
      <c r="J38" s="197"/>
      <c r="K38" s="198"/>
      <c r="L38" s="225" t="s">
        <v>170</v>
      </c>
      <c r="M38" s="226"/>
      <c r="N38" s="226"/>
      <c r="O38" s="226"/>
      <c r="P38" s="226"/>
      <c r="Q38" s="196">
        <v>7.2</v>
      </c>
      <c r="R38" s="199">
        <f>'[1]BILANC BRUTO F5'!J4*0.75</f>
        <v>45000000</v>
      </c>
      <c r="S38" s="199">
        <v>4500000</v>
      </c>
      <c r="T38" s="199">
        <v>4500000</v>
      </c>
    </row>
    <row r="39" spans="1:22">
      <c r="A39" s="195"/>
      <c r="B39" s="784" t="s">
        <v>171</v>
      </c>
      <c r="C39" s="785"/>
      <c r="D39" s="785"/>
      <c r="E39" s="785"/>
      <c r="F39" s="785"/>
      <c r="G39" s="196">
        <v>5.0999999999999996</v>
      </c>
      <c r="H39" s="197">
        <f>'permbledhje e aktiveve'!O49</f>
        <v>31400920.113203287</v>
      </c>
      <c r="I39" s="197">
        <f>14612355+(-969342.68)</f>
        <v>13643012.32</v>
      </c>
      <c r="J39" s="197">
        <v>13181603.880000001</v>
      </c>
      <c r="K39" s="198"/>
      <c r="L39" s="225"/>
      <c r="M39" s="226"/>
      <c r="N39" s="226"/>
      <c r="O39" s="226"/>
      <c r="P39" s="226"/>
      <c r="Q39" s="196"/>
      <c r="R39" s="199"/>
      <c r="S39" s="199"/>
      <c r="T39" s="199"/>
    </row>
    <row r="40" spans="1:22" ht="27.75" customHeight="1">
      <c r="A40" s="195"/>
      <c r="B40" s="812" t="s">
        <v>172</v>
      </c>
      <c r="C40" s="813"/>
      <c r="D40" s="813"/>
      <c r="E40" s="813"/>
      <c r="F40" s="814"/>
      <c r="G40" s="196">
        <v>5.2</v>
      </c>
      <c r="H40" s="197">
        <f>'permbledhje e aktiveve'!K50+'permbledhje e aktiveve'!K51+'permbledhje e aktiveve'!K52+'permbledhje e aktiveve'!K53+'permbledhje e aktiveve'!K54+'permbledhje e aktiveve'!K58</f>
        <v>56820655.473969519</v>
      </c>
      <c r="I40" s="197">
        <f>6788864.37+2488032+(-505435.42)+(-113835.98)+1200252+10178.96-250737.58-1776.7</f>
        <v>9615541.6500000022</v>
      </c>
      <c r="J40" s="197">
        <v>6696173.4100000001</v>
      </c>
      <c r="K40" s="198"/>
      <c r="L40" s="225" t="s">
        <v>173</v>
      </c>
      <c r="M40" s="226"/>
      <c r="N40" s="226"/>
      <c r="O40" s="226"/>
      <c r="P40" s="226"/>
      <c r="Q40" s="196"/>
      <c r="R40" s="227"/>
      <c r="S40" s="227"/>
      <c r="T40" s="227"/>
    </row>
    <row r="41" spans="1:22">
      <c r="A41" s="195"/>
      <c r="B41" s="784" t="s">
        <v>174</v>
      </c>
      <c r="C41" s="785"/>
      <c r="D41" s="785"/>
      <c r="E41" s="785"/>
      <c r="F41" s="785"/>
      <c r="G41" s="196">
        <v>5.3</v>
      </c>
      <c r="H41" s="199">
        <f>'permbledhje e aktiveve'!O55</f>
        <v>65216615.190105438</v>
      </c>
      <c r="I41" s="199">
        <f>49347985.1+(-12125445.28)</f>
        <v>37222539.82</v>
      </c>
      <c r="J41" s="199">
        <v>45977164.649999999</v>
      </c>
      <c r="K41" s="198"/>
      <c r="L41" s="225" t="s">
        <v>175</v>
      </c>
      <c r="M41" s="226"/>
      <c r="N41" s="226"/>
      <c r="O41" s="226"/>
      <c r="P41" s="226"/>
      <c r="Q41" s="196"/>
      <c r="R41" s="199"/>
      <c r="S41" s="199"/>
      <c r="T41" s="199"/>
    </row>
    <row r="42" spans="1:22">
      <c r="A42" s="195"/>
      <c r="B42" s="784" t="s">
        <v>176</v>
      </c>
      <c r="C42" s="785"/>
      <c r="D42" s="785"/>
      <c r="E42" s="785"/>
      <c r="F42" s="815"/>
      <c r="G42" s="196">
        <v>5.4</v>
      </c>
      <c r="H42" s="228">
        <f>'permbledhje e aktiveve'!O47</f>
        <v>8008399.4700000007</v>
      </c>
      <c r="I42" s="228">
        <f>3804265.71+(-760853.14)</f>
        <v>3043412.57</v>
      </c>
      <c r="J42" s="228">
        <v>3804265.71</v>
      </c>
      <c r="K42" s="198"/>
      <c r="L42" s="225" t="s">
        <v>177</v>
      </c>
      <c r="M42" s="226"/>
      <c r="N42" s="226"/>
      <c r="O42" s="226"/>
      <c r="P42" s="226"/>
      <c r="Q42" s="196"/>
      <c r="R42" s="199"/>
      <c r="S42" s="199"/>
      <c r="T42" s="199"/>
    </row>
    <row r="43" spans="1:22">
      <c r="A43" s="195"/>
      <c r="B43" s="784" t="s">
        <v>178</v>
      </c>
      <c r="C43" s="785"/>
      <c r="D43" s="785"/>
      <c r="E43" s="785"/>
      <c r="F43" s="815"/>
      <c r="G43" s="196">
        <v>5.5</v>
      </c>
      <c r="H43" s="199">
        <f>'permbledhje e aktiveve'!O56</f>
        <v>17909106.72888191</v>
      </c>
      <c r="I43" s="199">
        <f>10338273.17-2498096.68</f>
        <v>7840176.4900000002</v>
      </c>
      <c r="J43" s="199">
        <v>6181958.6699999999</v>
      </c>
      <c r="K43" s="198"/>
      <c r="L43" s="225" t="s">
        <v>179</v>
      </c>
      <c r="M43" s="226"/>
      <c r="N43" s="226"/>
      <c r="O43" s="226"/>
      <c r="P43" s="226"/>
      <c r="Q43" s="196"/>
      <c r="R43" s="199"/>
      <c r="S43" s="199"/>
      <c r="T43" s="199"/>
    </row>
    <row r="44" spans="1:22" ht="15.75" thickBot="1">
      <c r="A44" s="195"/>
      <c r="B44" s="207" t="s">
        <v>180</v>
      </c>
      <c r="C44" s="208"/>
      <c r="D44" s="208"/>
      <c r="E44" s="208"/>
      <c r="F44" s="208" t="s">
        <v>181</v>
      </c>
      <c r="G44" s="196">
        <v>5.6</v>
      </c>
      <c r="H44" s="197">
        <f>'permbledhje e aktiveve'!O57</f>
        <v>1991313.6195985018</v>
      </c>
      <c r="I44" s="197">
        <f>3604445.81-979229.48</f>
        <v>2625216.33</v>
      </c>
      <c r="J44" s="197">
        <v>3465855.3</v>
      </c>
      <c r="K44" s="198"/>
      <c r="L44" s="229"/>
      <c r="M44" s="230"/>
      <c r="N44" s="230"/>
      <c r="O44" s="230"/>
      <c r="P44" s="231"/>
      <c r="Q44" s="196"/>
      <c r="R44" s="199"/>
      <c r="S44" s="199"/>
      <c r="T44" s="199"/>
    </row>
    <row r="45" spans="1:22" ht="15.75" thickBot="1">
      <c r="A45" s="195"/>
      <c r="B45" s="232" t="s">
        <v>182</v>
      </c>
      <c r="C45" s="233"/>
      <c r="D45" s="233"/>
      <c r="E45" s="233"/>
      <c r="F45" s="234">
        <v>231</v>
      </c>
      <c r="G45" s="196">
        <v>5.7</v>
      </c>
      <c r="H45" s="201">
        <f>'permbledhje e aktiveve'!K48</f>
        <v>703259.09260273958</v>
      </c>
      <c r="I45" s="201">
        <v>740166</v>
      </c>
      <c r="J45" s="197"/>
      <c r="K45" s="198"/>
      <c r="L45" s="229"/>
      <c r="M45" s="230"/>
      <c r="N45" s="230"/>
      <c r="O45" s="230"/>
      <c r="P45" s="230"/>
      <c r="Q45" s="196"/>
      <c r="R45" s="199"/>
      <c r="S45" s="199"/>
      <c r="T45" s="199"/>
    </row>
    <row r="46" spans="1:22" ht="12" customHeight="1" thickBot="1">
      <c r="A46" s="195"/>
      <c r="B46" s="781" t="s">
        <v>183</v>
      </c>
      <c r="C46" s="782"/>
      <c r="D46" s="782"/>
      <c r="E46" s="782"/>
      <c r="F46" s="782"/>
      <c r="G46" s="196"/>
      <c r="H46" s="197"/>
      <c r="I46" s="197"/>
      <c r="J46" s="197"/>
      <c r="K46" s="198"/>
      <c r="L46" s="225" t="s">
        <v>184</v>
      </c>
      <c r="M46" s="226"/>
      <c r="N46" s="226"/>
      <c r="O46" s="226"/>
      <c r="P46" s="226"/>
      <c r="Q46" s="196"/>
      <c r="R46" s="227"/>
      <c r="S46" s="227"/>
      <c r="T46" s="227"/>
    </row>
    <row r="47" spans="1:22" ht="13.5" customHeight="1" thickBot="1">
      <c r="A47" s="195"/>
      <c r="B47" s="781" t="s">
        <v>185</v>
      </c>
      <c r="C47" s="782"/>
      <c r="D47" s="782"/>
      <c r="E47" s="782"/>
      <c r="F47" s="782"/>
      <c r="G47" s="196"/>
      <c r="J47" s="197">
        <v>0</v>
      </c>
      <c r="K47" s="198"/>
      <c r="L47" s="235" t="s">
        <v>186</v>
      </c>
      <c r="M47" s="226"/>
      <c r="N47" s="226"/>
      <c r="O47" s="226"/>
      <c r="P47" s="236"/>
      <c r="Q47" s="196"/>
      <c r="R47" s="199"/>
      <c r="S47" s="199"/>
      <c r="T47" s="199"/>
    </row>
    <row r="48" spans="1:22" ht="15.75" thickBot="1">
      <c r="A48" s="195"/>
      <c r="B48" s="237" t="s">
        <v>187</v>
      </c>
      <c r="C48" s="238"/>
      <c r="D48" s="238"/>
      <c r="E48" s="238"/>
      <c r="F48" s="239"/>
      <c r="G48" s="196"/>
      <c r="H48" s="240"/>
      <c r="I48" s="240"/>
      <c r="J48" s="197"/>
      <c r="K48" s="198"/>
      <c r="L48" s="225" t="s">
        <v>188</v>
      </c>
      <c r="M48" s="226"/>
      <c r="N48" s="226"/>
      <c r="O48" s="226"/>
      <c r="P48" s="226"/>
      <c r="Q48" s="196"/>
      <c r="R48" s="199"/>
      <c r="S48" s="199"/>
      <c r="T48" s="199"/>
    </row>
    <row r="49" spans="1:22" ht="15.75" thickBot="1">
      <c r="A49" s="195"/>
      <c r="B49" s="816" t="s">
        <v>189</v>
      </c>
      <c r="C49" s="817"/>
      <c r="D49" s="817"/>
      <c r="E49" s="817"/>
      <c r="F49" s="817"/>
      <c r="G49" s="196">
        <v>5.8</v>
      </c>
      <c r="H49" s="197"/>
      <c r="I49" s="197">
        <f>-(654471+54408000)</f>
        <v>-55062471</v>
      </c>
      <c r="J49" s="197">
        <v>-55062471</v>
      </c>
      <c r="K49" s="198"/>
      <c r="L49" s="241" t="s">
        <v>190</v>
      </c>
      <c r="M49" s="226"/>
      <c r="N49" s="226"/>
      <c r="P49" s="242" t="s">
        <v>191</v>
      </c>
      <c r="Q49" s="196">
        <v>7.3</v>
      </c>
      <c r="R49" s="227">
        <f>S49+S50</f>
        <v>-105483190.85000002</v>
      </c>
      <c r="S49" s="227">
        <v>-32209587.68</v>
      </c>
      <c r="T49" s="227"/>
    </row>
    <row r="50" spans="1:22" ht="13.5" thickBot="1">
      <c r="A50" s="195"/>
      <c r="B50" s="243" t="s">
        <v>192</v>
      </c>
      <c r="C50" s="244"/>
      <c r="D50" s="245"/>
      <c r="E50" s="245"/>
      <c r="F50" s="245"/>
      <c r="G50" s="196"/>
      <c r="H50" s="219"/>
      <c r="I50" s="219"/>
      <c r="J50" s="219"/>
      <c r="K50" s="133"/>
      <c r="L50" s="225" t="s">
        <v>193</v>
      </c>
      <c r="M50" s="226"/>
      <c r="N50" s="226"/>
      <c r="O50" s="226"/>
      <c r="P50" s="246" t="s">
        <v>194</v>
      </c>
      <c r="Q50" s="196">
        <v>7.4</v>
      </c>
      <c r="R50" s="227">
        <f>PASH!T35</f>
        <v>-4894897.6400000332</v>
      </c>
      <c r="S50" s="227">
        <f>PASH!U35</f>
        <v>-73273603.170000032</v>
      </c>
      <c r="T50" s="227">
        <v>-32209587.680000022</v>
      </c>
    </row>
    <row r="51" spans="1:22" ht="13.5" thickBot="1">
      <c r="A51" s="195"/>
      <c r="B51" s="803" t="s">
        <v>195</v>
      </c>
      <c r="C51" s="804"/>
      <c r="D51" s="804"/>
      <c r="E51" s="804"/>
      <c r="F51" s="805"/>
      <c r="G51" s="216"/>
      <c r="H51" s="247">
        <f>H33+H4</f>
        <v>793632601.86836147</v>
      </c>
      <c r="I51" s="247">
        <f>I33+I4</f>
        <v>199501942.76000002</v>
      </c>
      <c r="J51" s="247">
        <f>J33+J4</f>
        <v>221107950.33999997</v>
      </c>
      <c r="K51" s="248"/>
      <c r="L51" s="809" t="s">
        <v>196</v>
      </c>
      <c r="M51" s="810"/>
      <c r="N51" s="810"/>
      <c r="O51" s="810"/>
      <c r="P51" s="811"/>
      <c r="Q51" s="216"/>
      <c r="R51" s="247">
        <f>R35+R36</f>
        <v>793632601.88</v>
      </c>
      <c r="S51" s="247">
        <f>S35+S36</f>
        <v>199501942.75999999</v>
      </c>
      <c r="T51" s="247">
        <f>T35+T36</f>
        <v>221107950.32999998</v>
      </c>
    </row>
    <row r="52" spans="1:22" ht="12.75">
      <c r="A52" s="195"/>
      <c r="J52" s="249" t="s">
        <v>197</v>
      </c>
      <c r="R52" s="251">
        <f>R51-H51</f>
        <v>1.1638522148132324E-2</v>
      </c>
      <c r="S52" s="251">
        <f>S51-I51</f>
        <v>0</v>
      </c>
      <c r="T52" s="249" t="s">
        <v>198</v>
      </c>
    </row>
    <row r="53" spans="1:22">
      <c r="R53" s="173">
        <f>R49+R50+R37+R38</f>
        <v>-50378088.490000054</v>
      </c>
      <c r="S53" s="173">
        <f>S49+S50+S37+S38-I49</f>
        <v>-44420719.850000024</v>
      </c>
    </row>
    <row r="54" spans="1:22" ht="12.75">
      <c r="A54" s="6"/>
      <c r="B54" s="6"/>
      <c r="C54" s="7"/>
      <c r="D54" s="6"/>
      <c r="E54" s="6"/>
      <c r="F54" s="6"/>
      <c r="G54" s="252"/>
      <c r="H54" s="253"/>
      <c r="I54" s="253"/>
      <c r="J54" s="6"/>
      <c r="K54" s="254"/>
      <c r="L54" s="6"/>
      <c r="M54" s="6"/>
      <c r="N54" s="6"/>
      <c r="O54" s="6"/>
      <c r="P54" s="6"/>
      <c r="Q54" s="252"/>
      <c r="R54" s="255">
        <f>R53/138.93</f>
        <v>-362614.90311667783</v>
      </c>
      <c r="S54" s="255">
        <f>S53/138.93</f>
        <v>-319734.54149571742</v>
      </c>
      <c r="T54" s="6"/>
      <c r="U54" s="6"/>
      <c r="V54" s="6"/>
    </row>
    <row r="55" spans="1:22">
      <c r="A55" s="256"/>
      <c r="B55" s="6"/>
      <c r="C55" s="7"/>
      <c r="D55" s="6"/>
      <c r="E55" s="6"/>
      <c r="F55" s="6"/>
      <c r="G55" s="252"/>
      <c r="H55" s="253"/>
      <c r="I55" s="253"/>
      <c r="J55" s="6"/>
      <c r="K55" s="254"/>
      <c r="L55" s="818"/>
      <c r="M55" s="818"/>
      <c r="N55" s="818"/>
      <c r="O55" s="818"/>
      <c r="P55" s="818"/>
      <c r="Q55" s="252"/>
      <c r="R55" s="252"/>
      <c r="S55" s="257"/>
      <c r="T55" s="258"/>
      <c r="U55" s="6"/>
      <c r="V55" s="6"/>
    </row>
    <row r="56" spans="1:22">
      <c r="A56" s="256"/>
      <c r="B56" s="819"/>
      <c r="C56" s="819"/>
      <c r="D56" s="819"/>
      <c r="E56" s="819"/>
      <c r="F56" s="819"/>
      <c r="G56" s="252"/>
      <c r="H56" s="257"/>
      <c r="I56" s="257"/>
      <c r="J56" s="259"/>
      <c r="K56" s="254"/>
      <c r="L56" s="820"/>
      <c r="M56" s="820"/>
      <c r="N56" s="820"/>
      <c r="O56" s="820"/>
      <c r="P56" s="820"/>
      <c r="Q56" s="252"/>
      <c r="R56" s="252"/>
      <c r="S56" s="257"/>
      <c r="T56" s="258"/>
      <c r="U56" s="6"/>
      <c r="V56" s="6"/>
    </row>
    <row r="57" spans="1:22" ht="15.75">
      <c r="A57" s="256"/>
      <c r="B57" s="6"/>
      <c r="C57" s="7"/>
      <c r="D57" s="6"/>
      <c r="E57" s="6"/>
      <c r="F57" s="6"/>
      <c r="G57" s="252"/>
      <c r="H57" s="260"/>
      <c r="I57" s="260"/>
      <c r="J57" s="261"/>
      <c r="K57" s="254"/>
      <c r="L57" s="821"/>
      <c r="M57" s="821"/>
      <c r="N57" s="821"/>
      <c r="O57" s="821"/>
      <c r="P57" s="821"/>
      <c r="Q57" s="252"/>
      <c r="R57" s="262">
        <f>SUM(R49:R50)</f>
        <v>-110378088.49000005</v>
      </c>
      <c r="S57" s="257"/>
      <c r="T57" s="258"/>
      <c r="U57" s="6"/>
      <c r="V57" s="6"/>
    </row>
    <row r="58" spans="1:22">
      <c r="A58" s="256"/>
      <c r="B58" s="822"/>
      <c r="C58" s="822"/>
      <c r="D58" s="822"/>
      <c r="E58" s="822"/>
      <c r="F58" s="822"/>
      <c r="G58" s="252"/>
      <c r="H58" s="257"/>
      <c r="I58" s="257"/>
      <c r="J58" s="259"/>
      <c r="K58" s="254"/>
      <c r="L58" s="821"/>
      <c r="M58" s="821"/>
      <c r="N58" s="821"/>
      <c r="O58" s="821"/>
      <c r="P58" s="821"/>
      <c r="Q58" s="252"/>
      <c r="R58" s="252"/>
      <c r="S58" s="257"/>
      <c r="T58" s="258"/>
      <c r="U58" s="6"/>
      <c r="V58" s="6"/>
    </row>
    <row r="59" spans="1:22">
      <c r="A59" s="256"/>
      <c r="B59" s="819"/>
      <c r="C59" s="819"/>
      <c r="D59" s="819"/>
      <c r="E59" s="819"/>
      <c r="F59" s="819"/>
      <c r="G59" s="252"/>
      <c r="H59" s="257"/>
      <c r="I59" s="257"/>
      <c r="J59" s="259"/>
      <c r="K59" s="254"/>
      <c r="L59" s="821"/>
      <c r="M59" s="821"/>
      <c r="N59" s="821"/>
      <c r="O59" s="821"/>
      <c r="P59" s="821"/>
      <c r="Q59" s="252"/>
      <c r="R59" s="252"/>
      <c r="S59" s="257"/>
      <c r="T59" s="258"/>
      <c r="U59" s="6"/>
      <c r="V59" s="6"/>
    </row>
    <row r="60" spans="1:22">
      <c r="A60" s="256"/>
      <c r="B60" s="819"/>
      <c r="C60" s="819"/>
      <c r="D60" s="819"/>
      <c r="E60" s="819"/>
      <c r="F60" s="819"/>
      <c r="G60" s="252"/>
      <c r="H60" s="257"/>
      <c r="I60" s="257"/>
      <c r="J60" s="259"/>
      <c r="K60" s="254"/>
      <c r="L60" s="821"/>
      <c r="M60" s="821"/>
      <c r="N60" s="821"/>
      <c r="O60" s="821"/>
      <c r="P60" s="821"/>
      <c r="Q60" s="252"/>
      <c r="R60" s="252"/>
      <c r="S60" s="257"/>
      <c r="T60" s="258"/>
      <c r="U60" s="6"/>
      <c r="V60" s="6"/>
    </row>
    <row r="61" spans="1:22">
      <c r="A61" s="256"/>
      <c r="B61" s="819"/>
      <c r="C61" s="819"/>
      <c r="D61" s="819"/>
      <c r="E61" s="819"/>
      <c r="F61" s="819"/>
      <c r="G61" s="252"/>
      <c r="H61" s="257"/>
      <c r="I61" s="257"/>
      <c r="J61" s="259"/>
      <c r="K61" s="254"/>
      <c r="L61" s="821"/>
      <c r="M61" s="821"/>
      <c r="N61" s="821"/>
      <c r="O61" s="821"/>
      <c r="P61" s="821"/>
      <c r="Q61" s="252"/>
      <c r="R61" s="252"/>
      <c r="S61" s="257"/>
      <c r="T61" s="258"/>
      <c r="U61" s="6"/>
      <c r="V61" s="6"/>
    </row>
    <row r="62" spans="1:22" ht="15.75">
      <c r="A62" s="263"/>
      <c r="B62" s="264"/>
      <c r="C62" s="265"/>
      <c r="D62" s="264"/>
      <c r="E62" s="264"/>
      <c r="F62" s="264"/>
      <c r="G62" s="252"/>
      <c r="H62" s="257"/>
      <c r="I62" s="257"/>
      <c r="J62" s="27"/>
      <c r="K62" s="254"/>
      <c r="L62" s="6"/>
      <c r="M62" s="6"/>
      <c r="N62" s="6"/>
      <c r="O62" s="6"/>
      <c r="P62" s="6"/>
      <c r="Q62" s="252"/>
      <c r="R62" s="252"/>
      <c r="S62" s="257"/>
      <c r="T62" s="266"/>
      <c r="U62" s="6"/>
      <c r="V62" s="6"/>
    </row>
    <row r="63" spans="1:22" ht="15.75">
      <c r="A63" s="263"/>
      <c r="B63" s="264"/>
      <c r="C63" s="265"/>
      <c r="D63" s="264"/>
      <c r="E63" s="264"/>
      <c r="F63" s="264"/>
      <c r="G63" s="252"/>
      <c r="H63" s="257"/>
      <c r="I63" s="257"/>
      <c r="J63" s="27"/>
      <c r="K63" s="254"/>
      <c r="L63" s="6"/>
      <c r="M63" s="6"/>
      <c r="N63" s="6"/>
      <c r="O63" s="6"/>
      <c r="P63" s="6"/>
      <c r="Q63" s="252"/>
      <c r="R63" s="252"/>
      <c r="S63" s="257"/>
      <c r="T63" s="266"/>
      <c r="U63" s="6"/>
      <c r="V63" s="6"/>
    </row>
    <row r="64" spans="1:22" ht="15.75">
      <c r="A64" s="267"/>
      <c r="B64" s="268"/>
      <c r="C64" s="269"/>
      <c r="D64" s="268"/>
      <c r="E64" s="268"/>
      <c r="F64" s="268"/>
      <c r="H64" s="173"/>
      <c r="I64" s="173"/>
      <c r="J64" s="270"/>
      <c r="K64" s="271"/>
      <c r="T64" s="272"/>
    </row>
    <row r="65" spans="1:20" ht="15.75">
      <c r="A65" s="267"/>
      <c r="B65" s="268"/>
      <c r="C65" s="269" t="s">
        <v>94</v>
      </c>
      <c r="D65" s="268"/>
      <c r="E65" s="268"/>
      <c r="F65" s="268"/>
      <c r="H65" s="173"/>
      <c r="I65" s="173"/>
      <c r="J65" s="58"/>
      <c r="K65" s="271"/>
      <c r="T65" s="272"/>
    </row>
    <row r="66" spans="1:20" ht="15.75">
      <c r="A66" s="267"/>
      <c r="B66" s="268"/>
      <c r="C66" s="269"/>
      <c r="D66" s="268"/>
      <c r="E66" s="268"/>
      <c r="F66" s="268"/>
      <c r="H66" s="173"/>
      <c r="I66" s="173"/>
      <c r="J66" s="58"/>
      <c r="K66" s="271"/>
      <c r="T66" s="272"/>
    </row>
    <row r="67" spans="1:20" ht="15.75">
      <c r="A67" s="267"/>
      <c r="B67" s="268"/>
      <c r="C67" s="269"/>
      <c r="D67" s="268"/>
      <c r="E67" s="268"/>
      <c r="F67" s="268"/>
      <c r="H67" s="273"/>
      <c r="I67" s="273"/>
      <c r="K67" s="271"/>
      <c r="T67" s="272"/>
    </row>
    <row r="68" spans="1:20" ht="15.75">
      <c r="A68" s="267"/>
      <c r="B68" s="268"/>
      <c r="C68" s="269"/>
      <c r="D68" s="268"/>
      <c r="E68" s="268"/>
      <c r="F68" s="268"/>
      <c r="H68" s="273"/>
      <c r="I68" s="273"/>
      <c r="K68" s="271"/>
      <c r="T68" s="272"/>
    </row>
    <row r="69" spans="1:20" ht="15.75">
      <c r="A69" s="267"/>
      <c r="B69" s="268"/>
      <c r="C69" s="269"/>
      <c r="D69" s="268"/>
      <c r="E69" s="268"/>
      <c r="F69" s="268"/>
      <c r="H69" s="273"/>
      <c r="I69" s="273"/>
      <c r="K69" s="271"/>
      <c r="T69" s="272"/>
    </row>
    <row r="70" spans="1:20" ht="15.75">
      <c r="A70" s="267"/>
      <c r="B70" s="268"/>
      <c r="C70" s="269"/>
      <c r="D70" s="268"/>
      <c r="E70" s="268"/>
      <c r="F70" s="268"/>
      <c r="H70" s="273"/>
      <c r="I70" s="273"/>
      <c r="K70" s="271"/>
      <c r="T70" s="272"/>
    </row>
  </sheetData>
  <mergeCells count="93">
    <mergeCell ref="B59:F59"/>
    <mergeCell ref="L59:P59"/>
    <mergeCell ref="B60:F60"/>
    <mergeCell ref="L60:P60"/>
    <mergeCell ref="B61:F61"/>
    <mergeCell ref="L61:P61"/>
    <mergeCell ref="L55:P55"/>
    <mergeCell ref="B56:F56"/>
    <mergeCell ref="L56:P56"/>
    <mergeCell ref="L57:P57"/>
    <mergeCell ref="B58:F58"/>
    <mergeCell ref="L58:P58"/>
    <mergeCell ref="L51:P51"/>
    <mergeCell ref="B37:F37"/>
    <mergeCell ref="B38:F38"/>
    <mergeCell ref="B39:F39"/>
    <mergeCell ref="B40:F40"/>
    <mergeCell ref="B41:F41"/>
    <mergeCell ref="B42:F42"/>
    <mergeCell ref="B43:F43"/>
    <mergeCell ref="B46:F46"/>
    <mergeCell ref="B47:F47"/>
    <mergeCell ref="B49:F49"/>
    <mergeCell ref="B51:F51"/>
    <mergeCell ref="B34:F34"/>
    <mergeCell ref="L34:P34"/>
    <mergeCell ref="B35:F35"/>
    <mergeCell ref="L35:P35"/>
    <mergeCell ref="B36:F36"/>
    <mergeCell ref="L36:P36"/>
    <mergeCell ref="B31:F31"/>
    <mergeCell ref="L31:P31"/>
    <mergeCell ref="B32:F32"/>
    <mergeCell ref="L32:P32"/>
    <mergeCell ref="B33:F33"/>
    <mergeCell ref="L33:P33"/>
    <mergeCell ref="B28:F28"/>
    <mergeCell ref="L28:P28"/>
    <mergeCell ref="B29:F29"/>
    <mergeCell ref="L29:P29"/>
    <mergeCell ref="B30:F30"/>
    <mergeCell ref="L30:P30"/>
    <mergeCell ref="B25:F25"/>
    <mergeCell ref="L25:P25"/>
    <mergeCell ref="B26:F26"/>
    <mergeCell ref="L26:P26"/>
    <mergeCell ref="B27:F27"/>
    <mergeCell ref="L27:P27"/>
    <mergeCell ref="B22:F22"/>
    <mergeCell ref="L22:P22"/>
    <mergeCell ref="B23:F23"/>
    <mergeCell ref="L23:P23"/>
    <mergeCell ref="B24:F24"/>
    <mergeCell ref="L24:P24"/>
    <mergeCell ref="B21:F21"/>
    <mergeCell ref="L21:P21"/>
    <mergeCell ref="B13:F13"/>
    <mergeCell ref="L13:P13"/>
    <mergeCell ref="B14:F14"/>
    <mergeCell ref="L15:P15"/>
    <mergeCell ref="L16:P16"/>
    <mergeCell ref="B17:F17"/>
    <mergeCell ref="L17:P17"/>
    <mergeCell ref="B18:F18"/>
    <mergeCell ref="L18:P18"/>
    <mergeCell ref="B19:F19"/>
    <mergeCell ref="L19:P19"/>
    <mergeCell ref="B20:F20"/>
    <mergeCell ref="B10:F10"/>
    <mergeCell ref="L10:P10"/>
    <mergeCell ref="B11:F11"/>
    <mergeCell ref="L11:P11"/>
    <mergeCell ref="B12:F12"/>
    <mergeCell ref="L12:P12"/>
    <mergeCell ref="B7:F7"/>
    <mergeCell ref="L7:P7"/>
    <mergeCell ref="B8:F8"/>
    <mergeCell ref="L8:P8"/>
    <mergeCell ref="B9:F9"/>
    <mergeCell ref="L9:P9"/>
    <mergeCell ref="B4:F4"/>
    <mergeCell ref="L4:P4"/>
    <mergeCell ref="B5:F5"/>
    <mergeCell ref="L5:P5"/>
    <mergeCell ref="B6:F6"/>
    <mergeCell ref="L6:P6"/>
    <mergeCell ref="B3:F3"/>
    <mergeCell ref="L3:P3"/>
    <mergeCell ref="B1:G1"/>
    <mergeCell ref="K1:L1"/>
    <mergeCell ref="M1:S1"/>
    <mergeCell ref="B2:F2"/>
    <mergeCell ref="L2:P2"/>
  </mergeCells>
  <pageMargins left="0.22" right="0.25" top="0.35" bottom="0.34" header="0.23" footer="0.21"/>
  <pageSetup scale="9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9"/>
  <sheetViews>
    <sheetView topLeftCell="A4" workbookViewId="0">
      <selection activeCell="E84" sqref="E84"/>
    </sheetView>
  </sheetViews>
  <sheetFormatPr defaultColWidth="8.5703125" defaultRowHeight="15"/>
  <cols>
    <col min="1" max="2" width="8.5703125" style="58"/>
    <col min="3" max="3" width="21.85546875" style="59" customWidth="1"/>
    <col min="4" max="5" width="8.5703125" style="58"/>
    <col min="6" max="6" width="10.28515625" style="58" customWidth="1"/>
    <col min="7" max="8" width="8.5703125" style="58"/>
    <col min="9" max="9" width="7.140625" style="58" customWidth="1"/>
    <col min="10" max="10" width="8.5703125" style="58"/>
    <col min="11" max="11" width="7.28515625" style="58" customWidth="1"/>
    <col min="12" max="12" width="8.5703125" style="58" customWidth="1"/>
    <col min="13" max="15" width="8.5703125" style="58"/>
    <col min="16" max="16" width="10.7109375" style="58" customWidth="1"/>
    <col min="17" max="17" width="12.85546875" style="58" customWidth="1"/>
    <col min="18" max="18" width="12.28515625" style="58" customWidth="1"/>
    <col min="19" max="19" width="16.85546875" style="173" customWidth="1"/>
    <col min="20" max="20" width="19.85546875" style="173" customWidth="1"/>
    <col min="21" max="21" width="14.42578125" style="58" hidden="1" customWidth="1"/>
    <col min="22" max="22" width="14.42578125" style="58" customWidth="1"/>
    <col min="23" max="26" width="8.5703125" style="58"/>
    <col min="27" max="27" width="16.140625" style="277" customWidth="1"/>
    <col min="28" max="28" width="16.85546875" style="277" bestFit="1" customWidth="1"/>
    <col min="29" max="29" width="15.85546875" style="278" bestFit="1" customWidth="1"/>
    <col min="30" max="30" width="14.85546875" style="278" customWidth="1"/>
    <col min="31" max="31" width="19.5703125" style="279" hidden="1" customWidth="1"/>
    <col min="32" max="32" width="17.7109375" style="280" hidden="1" customWidth="1"/>
    <col min="33" max="33" width="9.85546875" style="279" hidden="1" customWidth="1"/>
    <col min="34" max="34" width="20.42578125" style="58" customWidth="1"/>
    <col min="35" max="16384" width="8.5703125" style="58"/>
  </cols>
  <sheetData>
    <row r="1" spans="1:35" ht="25.5" customHeight="1" thickBot="1">
      <c r="A1" s="823" t="s">
        <v>199</v>
      </c>
      <c r="B1" s="824"/>
      <c r="C1" s="824"/>
      <c r="D1" s="824"/>
      <c r="E1" s="824"/>
      <c r="F1" s="824"/>
      <c r="G1" s="824"/>
      <c r="H1" s="824"/>
      <c r="I1" s="824"/>
      <c r="J1" s="824"/>
      <c r="K1" s="825"/>
      <c r="L1" s="274" t="s">
        <v>200</v>
      </c>
      <c r="M1" s="275"/>
      <c r="N1" s="275"/>
      <c r="O1" s="275"/>
      <c r="P1" s="275"/>
      <c r="Q1" s="275"/>
      <c r="R1" s="275"/>
      <c r="S1" s="276"/>
      <c r="T1" s="276"/>
      <c r="U1" s="275"/>
      <c r="V1" s="27"/>
      <c r="AA1" s="58"/>
      <c r="AB1" s="58"/>
      <c r="AC1" s="277"/>
      <c r="AD1" s="277"/>
      <c r="AE1" s="278"/>
      <c r="AF1" s="278"/>
      <c r="AH1" s="280"/>
      <c r="AI1" s="279"/>
    </row>
    <row r="2" spans="1:35" ht="24" customHeight="1" thickBot="1">
      <c r="A2" s="826"/>
      <c r="B2" s="827"/>
      <c r="C2" s="827"/>
      <c r="D2" s="827"/>
      <c r="E2" s="827"/>
      <c r="F2" s="827"/>
      <c r="G2" s="827"/>
      <c r="H2" s="828">
        <v>2011</v>
      </c>
      <c r="I2" s="829"/>
      <c r="J2" s="828">
        <v>2010</v>
      </c>
      <c r="K2" s="829"/>
      <c r="L2" s="830" t="s">
        <v>1</v>
      </c>
      <c r="M2" s="830"/>
      <c r="N2" s="830"/>
      <c r="O2" s="830"/>
      <c r="P2" s="830"/>
      <c r="Q2" s="830"/>
      <c r="R2" s="830"/>
      <c r="S2" s="281">
        <v>2011</v>
      </c>
      <c r="T2" s="281">
        <v>2010</v>
      </c>
      <c r="U2" s="282">
        <v>2009</v>
      </c>
      <c r="V2" s="283"/>
      <c r="AA2" s="58"/>
      <c r="AB2" s="58"/>
      <c r="AC2" s="277"/>
      <c r="AD2" s="277"/>
      <c r="AE2" s="278"/>
      <c r="AF2" s="278"/>
      <c r="AH2" s="280"/>
      <c r="AI2" s="279"/>
    </row>
    <row r="3" spans="1:35" ht="28.5" customHeight="1" thickTop="1" thickBot="1">
      <c r="A3" s="284" t="s">
        <v>27</v>
      </c>
      <c r="B3" s="831" t="s">
        <v>201</v>
      </c>
      <c r="C3" s="831"/>
      <c r="D3" s="831"/>
      <c r="E3" s="831"/>
      <c r="F3" s="831"/>
      <c r="G3" s="832"/>
      <c r="H3" s="833" t="s">
        <v>29</v>
      </c>
      <c r="I3" s="834"/>
      <c r="J3" s="835" t="s">
        <v>30</v>
      </c>
      <c r="K3" s="836"/>
      <c r="L3" s="284" t="s">
        <v>27</v>
      </c>
      <c r="M3" s="831" t="s">
        <v>202</v>
      </c>
      <c r="N3" s="831"/>
      <c r="O3" s="831"/>
      <c r="P3" s="831"/>
      <c r="Q3" s="831"/>
      <c r="R3" s="831"/>
      <c r="S3" s="285" t="s">
        <v>29</v>
      </c>
      <c r="T3" s="286" t="s">
        <v>30</v>
      </c>
      <c r="U3" s="287" t="s">
        <v>30</v>
      </c>
      <c r="V3" s="288"/>
      <c r="AA3" s="58"/>
      <c r="AB3" s="58"/>
      <c r="AC3" s="289">
        <v>2011</v>
      </c>
      <c r="AD3" s="289">
        <v>2010</v>
      </c>
      <c r="AE3" s="290">
        <v>2009</v>
      </c>
      <c r="AF3" s="291" t="s">
        <v>203</v>
      </c>
      <c r="AH3" s="292" t="s">
        <v>204</v>
      </c>
      <c r="AI3" s="279"/>
    </row>
    <row r="4" spans="1:35" ht="45">
      <c r="A4" s="293"/>
      <c r="B4" s="837" t="s">
        <v>205</v>
      </c>
      <c r="C4" s="838"/>
      <c r="D4" s="838"/>
      <c r="E4" s="838"/>
      <c r="F4" s="838"/>
      <c r="G4" s="839"/>
      <c r="H4" s="840"/>
      <c r="I4" s="840"/>
      <c r="J4" s="841"/>
      <c r="K4" s="842"/>
      <c r="L4" s="293">
        <v>1</v>
      </c>
      <c r="M4" s="843" t="s">
        <v>205</v>
      </c>
      <c r="N4" s="844"/>
      <c r="O4" s="844"/>
      <c r="P4" s="844"/>
      <c r="Q4" s="844"/>
      <c r="R4" s="845"/>
      <c r="S4" s="294">
        <f>SUM(S5:S18)</f>
        <v>399058272.85999995</v>
      </c>
      <c r="T4" s="294">
        <f>SUM(T5:T17)</f>
        <v>10109844.92999997</v>
      </c>
      <c r="U4" s="294">
        <v>69532787.579999983</v>
      </c>
      <c r="V4" s="295"/>
      <c r="W4" s="781" t="s">
        <v>114</v>
      </c>
      <c r="X4" s="782"/>
      <c r="Y4" s="782"/>
      <c r="Z4" s="782"/>
      <c r="AA4" s="846"/>
      <c r="AB4" s="196">
        <v>3</v>
      </c>
      <c r="AC4" s="296">
        <f>SUM(AC5:AC12)</f>
        <v>46371540.920000002</v>
      </c>
      <c r="AD4" s="296">
        <f>SUM(AD5:AD12)</f>
        <v>18584912.43</v>
      </c>
      <c r="AE4" s="296">
        <f>SUM(AE5:AE49)</f>
        <v>645607440.20000005</v>
      </c>
      <c r="AF4" s="296">
        <f>SUM(AF5:AF13)</f>
        <v>10258491.75</v>
      </c>
      <c r="AG4" s="296">
        <f>SUM(AG5:AG49)</f>
        <v>0</v>
      </c>
      <c r="AH4" s="296">
        <f>SUM(AH5:AH12)</f>
        <v>-27786628.489999998</v>
      </c>
      <c r="AI4" s="279" t="s">
        <v>206</v>
      </c>
    </row>
    <row r="5" spans="1:35">
      <c r="A5" s="293"/>
      <c r="B5" s="847" t="s">
        <v>207</v>
      </c>
      <c r="C5" s="848"/>
      <c r="D5" s="848"/>
      <c r="E5" s="848"/>
      <c r="F5" s="848"/>
      <c r="G5" s="849"/>
      <c r="H5" s="850"/>
      <c r="I5" s="851"/>
      <c r="J5" s="852"/>
      <c r="K5" s="853"/>
      <c r="L5" s="293"/>
      <c r="M5" s="854" t="s">
        <v>208</v>
      </c>
      <c r="N5" s="855"/>
      <c r="O5" s="855"/>
      <c r="P5" s="855"/>
      <c r="Q5" s="855"/>
      <c r="R5" s="856"/>
      <c r="S5" s="297">
        <f>PASH!T35</f>
        <v>-4894897.6400000332</v>
      </c>
      <c r="T5" s="297">
        <f>PASH!U35</f>
        <v>-73273603.170000032</v>
      </c>
      <c r="U5" s="297">
        <v>-32209587.680000022</v>
      </c>
      <c r="V5" s="298"/>
      <c r="W5" s="784" t="s">
        <v>116</v>
      </c>
      <c r="X5" s="785"/>
      <c r="Y5" s="785"/>
      <c r="Z5" s="785"/>
      <c r="AA5" s="815"/>
      <c r="AB5" s="196">
        <f>'aktiv Pasiv'!G10</f>
        <v>3.1</v>
      </c>
      <c r="AC5" s="299">
        <f>'aktiv Pasiv'!H10</f>
        <v>562035</v>
      </c>
      <c r="AD5" s="299">
        <v>111584</v>
      </c>
      <c r="AE5" s="300">
        <v>31704</v>
      </c>
      <c r="AF5" s="301">
        <f>AE5-AD5</f>
        <v>-79880</v>
      </c>
      <c r="AG5" s="279" t="s">
        <v>209</v>
      </c>
      <c r="AH5" s="302">
        <f>AD5-AC5</f>
        <v>-450451</v>
      </c>
      <c r="AI5" s="279"/>
    </row>
    <row r="6" spans="1:35">
      <c r="A6" s="293"/>
      <c r="B6" s="847" t="s">
        <v>210</v>
      </c>
      <c r="C6" s="848"/>
      <c r="D6" s="848"/>
      <c r="E6" s="848"/>
      <c r="F6" s="848"/>
      <c r="G6" s="849"/>
      <c r="H6" s="857"/>
      <c r="I6" s="858"/>
      <c r="J6" s="857"/>
      <c r="K6" s="858"/>
      <c r="L6" s="293"/>
      <c r="M6" s="303" t="s">
        <v>211</v>
      </c>
      <c r="N6" s="304"/>
      <c r="O6" s="304"/>
      <c r="P6" s="304"/>
      <c r="Q6" s="304"/>
      <c r="R6" s="305"/>
      <c r="S6" s="297"/>
      <c r="T6" s="297"/>
      <c r="U6" s="297"/>
      <c r="V6" s="283"/>
      <c r="W6" s="784" t="s">
        <v>118</v>
      </c>
      <c r="X6" s="785"/>
      <c r="Y6" s="785"/>
      <c r="Z6" s="785"/>
      <c r="AA6" s="815"/>
      <c r="AB6" s="196">
        <f>'aktiv Pasiv'!G11</f>
        <v>3.2</v>
      </c>
      <c r="AC6" s="299">
        <f>'aktiv Pasiv'!H11</f>
        <v>0</v>
      </c>
      <c r="AD6" s="299">
        <v>0</v>
      </c>
      <c r="AE6" s="300">
        <v>1670011.56</v>
      </c>
      <c r="AF6" s="301">
        <f t="shared" ref="AF6:AF12" si="0">AE6-AD6</f>
        <v>1670011.56</v>
      </c>
      <c r="AH6" s="302">
        <f t="shared" ref="AH6:AH12" si="1">AD6-AC6</f>
        <v>0</v>
      </c>
      <c r="AI6" s="279"/>
    </row>
    <row r="7" spans="1:35">
      <c r="A7" s="293"/>
      <c r="B7" s="847" t="s">
        <v>212</v>
      </c>
      <c r="C7" s="848"/>
      <c r="D7" s="848"/>
      <c r="E7" s="848"/>
      <c r="F7" s="848"/>
      <c r="G7" s="849"/>
      <c r="H7" s="857"/>
      <c r="I7" s="858"/>
      <c r="J7" s="857"/>
      <c r="K7" s="858"/>
      <c r="L7" s="293"/>
      <c r="M7" s="306" t="s">
        <v>213</v>
      </c>
      <c r="N7" s="307"/>
      <c r="O7" s="307"/>
      <c r="P7" s="859" t="s">
        <v>214</v>
      </c>
      <c r="Q7" s="859"/>
      <c r="R7" s="308"/>
      <c r="S7" s="297">
        <f>PASH!T20</f>
        <v>20783515.960000001</v>
      </c>
      <c r="T7" s="297">
        <f>PASH!U20</f>
        <v>14523092.060000001</v>
      </c>
      <c r="U7" s="297">
        <v>3681660.87</v>
      </c>
      <c r="V7" s="298"/>
      <c r="W7" s="784" t="s">
        <v>215</v>
      </c>
      <c r="X7" s="785"/>
      <c r="Y7" s="785"/>
      <c r="Z7" s="785"/>
      <c r="AA7" s="815"/>
      <c r="AB7" s="196">
        <f>'aktiv Pasiv'!G12</f>
        <v>3.3</v>
      </c>
      <c r="AC7" s="299">
        <f>'aktiv Pasiv'!H12</f>
        <v>1940000</v>
      </c>
      <c r="AD7" s="299">
        <v>1400000</v>
      </c>
      <c r="AE7" s="300">
        <v>540000</v>
      </c>
      <c r="AF7" s="301">
        <f t="shared" si="0"/>
        <v>-860000</v>
      </c>
      <c r="AH7" s="302">
        <f t="shared" si="1"/>
        <v>-540000</v>
      </c>
      <c r="AI7" s="279"/>
    </row>
    <row r="8" spans="1:35">
      <c r="A8" s="293"/>
      <c r="B8" s="847" t="s">
        <v>216</v>
      </c>
      <c r="C8" s="848"/>
      <c r="D8" s="848"/>
      <c r="E8" s="848"/>
      <c r="F8" s="848"/>
      <c r="G8" s="849"/>
      <c r="H8" s="857"/>
      <c r="I8" s="858"/>
      <c r="J8" s="857"/>
      <c r="K8" s="858"/>
      <c r="L8" s="293"/>
      <c r="M8" s="306" t="s">
        <v>217</v>
      </c>
      <c r="N8" s="307"/>
      <c r="O8" s="307"/>
      <c r="P8" s="307"/>
      <c r="Q8" s="309"/>
      <c r="R8" s="310" t="s">
        <v>218</v>
      </c>
      <c r="S8" s="297"/>
      <c r="T8" s="297"/>
      <c r="U8" s="297"/>
      <c r="V8" s="283"/>
      <c r="W8" s="784" t="s">
        <v>219</v>
      </c>
      <c r="X8" s="785"/>
      <c r="Y8" s="785"/>
      <c r="Z8" s="785"/>
      <c r="AA8" s="815"/>
      <c r="AB8" s="196">
        <f>'aktiv Pasiv'!G13</f>
        <v>0</v>
      </c>
      <c r="AC8" s="299">
        <f>'aktiv Pasiv'!H13</f>
        <v>0</v>
      </c>
      <c r="AD8" s="311">
        <v>540000</v>
      </c>
      <c r="AE8" s="301">
        <v>0</v>
      </c>
      <c r="AF8" s="301">
        <f t="shared" si="0"/>
        <v>-540000</v>
      </c>
      <c r="AH8" s="302">
        <f t="shared" si="1"/>
        <v>540000</v>
      </c>
      <c r="AI8" s="279"/>
    </row>
    <row r="9" spans="1:35">
      <c r="A9" s="293"/>
      <c r="B9" s="847" t="s">
        <v>220</v>
      </c>
      <c r="C9" s="848"/>
      <c r="D9" s="848"/>
      <c r="E9" s="848"/>
      <c r="F9" s="848"/>
      <c r="G9" s="849"/>
      <c r="H9" s="862"/>
      <c r="I9" s="862"/>
      <c r="J9" s="862"/>
      <c r="K9" s="862"/>
      <c r="L9" s="293"/>
      <c r="M9" s="306" t="s">
        <v>221</v>
      </c>
      <c r="N9" s="307" t="s">
        <v>222</v>
      </c>
      <c r="O9" s="307"/>
      <c r="P9" s="307"/>
      <c r="Q9" s="307"/>
      <c r="R9" s="308"/>
      <c r="S9" s="297">
        <f>'[1]BILANC BRUTO F5'!J17</f>
        <v>3077872</v>
      </c>
      <c r="T9" s="297"/>
      <c r="U9" s="297"/>
      <c r="V9" s="283"/>
      <c r="W9" s="784" t="s">
        <v>124</v>
      </c>
      <c r="X9" s="785"/>
      <c r="Y9" s="785"/>
      <c r="Z9" s="785"/>
      <c r="AA9" s="785"/>
      <c r="AB9" s="196">
        <v>3.4</v>
      </c>
      <c r="AC9" s="199">
        <v>24735</v>
      </c>
      <c r="AD9" s="300">
        <v>0</v>
      </c>
      <c r="AE9" s="301">
        <v>0</v>
      </c>
      <c r="AF9" s="301">
        <f t="shared" si="0"/>
        <v>0</v>
      </c>
      <c r="AH9" s="302">
        <f t="shared" si="1"/>
        <v>-24735</v>
      </c>
      <c r="AI9" s="279"/>
    </row>
    <row r="10" spans="1:35">
      <c r="A10" s="293"/>
      <c r="B10" s="847" t="s">
        <v>223</v>
      </c>
      <c r="C10" s="848"/>
      <c r="D10" s="848"/>
      <c r="E10" s="848"/>
      <c r="F10" s="848"/>
      <c r="G10" s="849"/>
      <c r="H10" s="860"/>
      <c r="I10" s="861"/>
      <c r="J10" s="862"/>
      <c r="K10" s="862"/>
      <c r="L10" s="293"/>
      <c r="M10" s="306" t="s">
        <v>224</v>
      </c>
      <c r="N10" s="307"/>
      <c r="O10" s="307"/>
      <c r="P10" s="307"/>
      <c r="Q10" s="307"/>
      <c r="R10" s="308"/>
      <c r="S10" s="297">
        <f>-'[1]PASH BRUTO F5'!I52</f>
        <v>-256163.72999999998</v>
      </c>
      <c r="T10" s="297"/>
      <c r="U10" s="297"/>
      <c r="V10" s="283"/>
      <c r="W10" s="207" t="s">
        <v>125</v>
      </c>
      <c r="X10" s="208"/>
      <c r="Y10" s="208"/>
      <c r="Z10" s="208"/>
      <c r="AA10" s="208"/>
      <c r="AB10" s="196">
        <f>'aktiv Pasiv'!G15</f>
        <v>3.5</v>
      </c>
      <c r="AC10" s="299">
        <f>'aktiv Pasiv'!H15</f>
        <v>43769171</v>
      </c>
      <c r="AD10" s="299">
        <v>16451453</v>
      </c>
      <c r="AE10" s="300">
        <v>26524802</v>
      </c>
      <c r="AF10" s="301">
        <f t="shared" si="0"/>
        <v>10073349</v>
      </c>
      <c r="AH10" s="302">
        <f t="shared" si="1"/>
        <v>-27317718</v>
      </c>
      <c r="AI10" s="279"/>
    </row>
    <row r="11" spans="1:35" ht="27" customHeight="1">
      <c r="A11" s="293"/>
      <c r="B11" s="847" t="s">
        <v>225</v>
      </c>
      <c r="C11" s="848"/>
      <c r="D11" s="848"/>
      <c r="E11" s="848"/>
      <c r="F11" s="848"/>
      <c r="G11" s="849"/>
      <c r="H11" s="860"/>
      <c r="I11" s="861"/>
      <c r="J11" s="862"/>
      <c r="K11" s="862"/>
      <c r="L11" s="293"/>
      <c r="M11" s="866" t="s">
        <v>226</v>
      </c>
      <c r="N11" s="867"/>
      <c r="O11" s="867"/>
      <c r="P11" s="867"/>
      <c r="Q11" s="867"/>
      <c r="R11" s="868"/>
      <c r="S11" s="297">
        <f>AH4</f>
        <v>-27786628.489999998</v>
      </c>
      <c r="T11" s="297">
        <v>10258492</v>
      </c>
      <c r="U11" s="297">
        <v>-28843404.18</v>
      </c>
      <c r="V11" s="312"/>
      <c r="W11" s="207" t="s">
        <v>127</v>
      </c>
      <c r="X11" s="208"/>
      <c r="Y11" s="208"/>
      <c r="Z11" s="208"/>
      <c r="AA11" s="208"/>
      <c r="AB11" s="196">
        <f>'aktiv Pasiv'!G16</f>
        <v>3.6</v>
      </c>
      <c r="AC11" s="299">
        <f>'aktiv Pasiv'!H16</f>
        <v>-3150.08</v>
      </c>
      <c r="AD11" s="299">
        <v>3125.43</v>
      </c>
      <c r="AE11" s="300">
        <v>2076.62</v>
      </c>
      <c r="AF11" s="301">
        <f t="shared" si="0"/>
        <v>-1048.81</v>
      </c>
      <c r="AH11" s="302">
        <f t="shared" si="1"/>
        <v>6275.51</v>
      </c>
      <c r="AI11" s="279"/>
    </row>
    <row r="12" spans="1:35" ht="16.5" customHeight="1">
      <c r="A12" s="293"/>
      <c r="B12" s="863" t="s">
        <v>227</v>
      </c>
      <c r="C12" s="864"/>
      <c r="D12" s="864"/>
      <c r="E12" s="864"/>
      <c r="F12" s="864"/>
      <c r="G12" s="865"/>
      <c r="H12" s="860"/>
      <c r="I12" s="861"/>
      <c r="J12" s="860"/>
      <c r="K12" s="861"/>
      <c r="L12" s="293"/>
      <c r="M12" s="870" t="s">
        <v>228</v>
      </c>
      <c r="N12" s="871"/>
      <c r="O12" s="871"/>
      <c r="P12" s="871"/>
      <c r="Q12" s="871"/>
      <c r="R12" s="872"/>
      <c r="S12" s="297">
        <f>-('aktiv Pasiv'!H18-'aktiv Pasiv'!I18)</f>
        <v>-132750639</v>
      </c>
      <c r="T12" s="297">
        <f>-('aktiv Pasiv'!I18-'aktiv Pasiv'!J18)</f>
        <v>6934268.4399999976</v>
      </c>
      <c r="U12" s="297">
        <v>-120413419.44</v>
      </c>
      <c r="V12" s="283"/>
      <c r="W12" s="784" t="s">
        <v>129</v>
      </c>
      <c r="X12" s="785"/>
      <c r="Y12" s="785"/>
      <c r="Z12" s="785"/>
      <c r="AA12" s="815"/>
      <c r="AB12" s="196">
        <f>'aktiv Pasiv'!G17</f>
        <v>3.7</v>
      </c>
      <c r="AC12" s="299">
        <f>'aktiv Pasiv'!H17</f>
        <v>78750</v>
      </c>
      <c r="AD12" s="299">
        <v>78750</v>
      </c>
      <c r="AE12" s="300">
        <v>0</v>
      </c>
      <c r="AF12" s="301">
        <f t="shared" si="0"/>
        <v>-78750</v>
      </c>
      <c r="AH12" s="302">
        <f t="shared" si="1"/>
        <v>0</v>
      </c>
      <c r="AI12" s="279"/>
    </row>
    <row r="13" spans="1:35" ht="24.75" customHeight="1">
      <c r="A13" s="293"/>
      <c r="B13" s="863" t="s">
        <v>229</v>
      </c>
      <c r="C13" s="864"/>
      <c r="D13" s="864"/>
      <c r="E13" s="864"/>
      <c r="F13" s="864"/>
      <c r="G13" s="865"/>
      <c r="H13" s="860"/>
      <c r="I13" s="861"/>
      <c r="J13" s="860"/>
      <c r="K13" s="861"/>
      <c r="L13" s="293"/>
      <c r="M13" s="866" t="s">
        <v>230</v>
      </c>
      <c r="N13" s="867"/>
      <c r="O13" s="867"/>
      <c r="P13" s="867"/>
      <c r="Q13" s="867"/>
      <c r="R13" s="868"/>
      <c r="S13" s="297">
        <f>-AH16-AH31</f>
        <v>540885213.75999999</v>
      </c>
      <c r="T13" s="297">
        <f>AF16</f>
        <v>51667595.600000001</v>
      </c>
      <c r="U13" s="297">
        <v>247317538.00999999</v>
      </c>
      <c r="V13" s="283"/>
      <c r="AF13" s="301">
        <f>AE49-AD49</f>
        <v>74810</v>
      </c>
      <c r="AI13" s="279"/>
    </row>
    <row r="14" spans="1:35" ht="16.5" customHeight="1">
      <c r="A14" s="293"/>
      <c r="B14" s="863" t="s">
        <v>231</v>
      </c>
      <c r="C14" s="864"/>
      <c r="D14" s="864"/>
      <c r="E14" s="864"/>
      <c r="F14" s="864"/>
      <c r="G14" s="865"/>
      <c r="H14" s="862"/>
      <c r="I14" s="862"/>
      <c r="J14" s="869"/>
      <c r="K14" s="869"/>
      <c r="L14" s="293"/>
      <c r="M14" s="870" t="s">
        <v>232</v>
      </c>
      <c r="N14" s="871"/>
      <c r="O14" s="871"/>
      <c r="P14" s="871"/>
      <c r="Q14" s="871"/>
      <c r="R14" s="872"/>
      <c r="S14" s="297"/>
      <c r="T14" s="297"/>
      <c r="U14" s="297"/>
      <c r="V14" s="283"/>
      <c r="W14" s="313"/>
      <c r="X14" s="313"/>
      <c r="Y14" s="313"/>
      <c r="Z14" s="313"/>
      <c r="AA14" s="313"/>
      <c r="AB14" s="252"/>
      <c r="AC14" s="314"/>
      <c r="AD14" s="201"/>
      <c r="AE14" s="201"/>
      <c r="AF14" s="301"/>
      <c r="AH14" s="302"/>
      <c r="AI14" s="279"/>
    </row>
    <row r="15" spans="1:35" ht="18" customHeight="1">
      <c r="A15" s="293"/>
      <c r="B15" s="863" t="s">
        <v>233</v>
      </c>
      <c r="C15" s="864"/>
      <c r="D15" s="864"/>
      <c r="E15" s="864"/>
      <c r="F15" s="864"/>
      <c r="G15" s="865"/>
      <c r="H15" s="862"/>
      <c r="I15" s="862"/>
      <c r="J15" s="869"/>
      <c r="K15" s="869"/>
      <c r="L15" s="293"/>
      <c r="M15" s="870" t="s">
        <v>234</v>
      </c>
      <c r="N15" s="871"/>
      <c r="O15" s="871"/>
      <c r="P15" s="871"/>
      <c r="Q15" s="871"/>
      <c r="R15" s="872"/>
      <c r="T15" s="297"/>
      <c r="U15" s="297"/>
      <c r="V15" s="283"/>
      <c r="AA15" s="58"/>
      <c r="AB15" s="58"/>
      <c r="AC15" s="289">
        <v>2011</v>
      </c>
      <c r="AD15" s="289">
        <v>2010</v>
      </c>
      <c r="AE15" s="290">
        <v>2009</v>
      </c>
      <c r="AF15" s="290" t="s">
        <v>203</v>
      </c>
      <c r="AG15" s="315"/>
      <c r="AH15" s="290" t="str">
        <f>AH3</f>
        <v>Efekti 2011-2010</v>
      </c>
      <c r="AI15" s="316" t="s">
        <v>235</v>
      </c>
    </row>
    <row r="16" spans="1:35" ht="26.25">
      <c r="A16" s="293"/>
      <c r="B16" s="863" t="s">
        <v>236</v>
      </c>
      <c r="C16" s="864"/>
      <c r="D16" s="864"/>
      <c r="E16" s="864"/>
      <c r="F16" s="864"/>
      <c r="G16" s="865"/>
      <c r="H16" s="860"/>
      <c r="I16" s="861"/>
      <c r="J16" s="873"/>
      <c r="K16" s="874"/>
      <c r="L16" s="293"/>
      <c r="M16" s="870" t="s">
        <v>237</v>
      </c>
      <c r="N16" s="871"/>
      <c r="O16" s="871"/>
      <c r="P16" s="871"/>
      <c r="Q16" s="871"/>
      <c r="R16" s="872"/>
      <c r="T16" s="297"/>
      <c r="U16" s="297"/>
      <c r="V16" s="298"/>
      <c r="W16" s="783" t="s">
        <v>115</v>
      </c>
      <c r="X16" s="783"/>
      <c r="Y16" s="783"/>
      <c r="Z16" s="783"/>
      <c r="AA16" s="783"/>
      <c r="AB16" s="196">
        <v>6</v>
      </c>
      <c r="AC16" s="317">
        <f>SUM(AC17:AC28)</f>
        <v>840932818.37</v>
      </c>
      <c r="AD16" s="317">
        <f>SUM(AD17:AD28)</f>
        <v>298985133.61000001</v>
      </c>
      <c r="AE16" s="318">
        <v>247317538.00999999</v>
      </c>
      <c r="AF16" s="319">
        <f>SUM(AF17:AF28)</f>
        <v>51667595.600000001</v>
      </c>
      <c r="AG16" s="320" t="s">
        <v>235</v>
      </c>
      <c r="AH16" s="321">
        <f>SUM(AH17:AH28)</f>
        <v>-541947684.75999999</v>
      </c>
      <c r="AI16" s="279"/>
    </row>
    <row r="17" spans="1:35">
      <c r="A17" s="293"/>
      <c r="B17" s="863" t="s">
        <v>238</v>
      </c>
      <c r="C17" s="864"/>
      <c r="D17" s="864"/>
      <c r="E17" s="864"/>
      <c r="F17" s="864"/>
      <c r="G17" s="865"/>
      <c r="H17" s="862"/>
      <c r="I17" s="862"/>
      <c r="J17" s="869"/>
      <c r="K17" s="869"/>
      <c r="L17" s="293"/>
      <c r="M17" s="870" t="s">
        <v>239</v>
      </c>
      <c r="N17" s="871"/>
      <c r="O17" s="871"/>
      <c r="P17" s="871"/>
      <c r="Q17" s="871"/>
      <c r="R17" s="872"/>
      <c r="S17" s="297"/>
      <c r="T17" s="297"/>
      <c r="U17" s="297"/>
      <c r="V17" s="283"/>
      <c r="W17" s="784" t="s">
        <v>117</v>
      </c>
      <c r="X17" s="785"/>
      <c r="Y17" s="785"/>
      <c r="Z17" s="785"/>
      <c r="AA17" s="785"/>
      <c r="AB17" s="322">
        <f>'aktiv Pasiv'!Q10</f>
        <v>6.1</v>
      </c>
      <c r="AC17" s="323">
        <f>'aktiv Pasiv'!R10</f>
        <v>837667676.37</v>
      </c>
      <c r="AD17" s="324">
        <v>297129223.50999999</v>
      </c>
      <c r="AE17" s="325">
        <v>242886911.00999999</v>
      </c>
      <c r="AF17" s="301">
        <f>AD17-AE17</f>
        <v>54242312.5</v>
      </c>
      <c r="AH17" s="302">
        <f>AD17-AC17</f>
        <v>-540538452.86000001</v>
      </c>
      <c r="AI17" s="279"/>
    </row>
    <row r="18" spans="1:35">
      <c r="A18" s="293"/>
      <c r="B18" s="863" t="s">
        <v>240</v>
      </c>
      <c r="C18" s="864"/>
      <c r="D18" s="864"/>
      <c r="E18" s="864"/>
      <c r="F18" s="864"/>
      <c r="G18" s="865"/>
      <c r="H18" s="860"/>
      <c r="I18" s="861"/>
      <c r="J18" s="869"/>
      <c r="K18" s="869"/>
      <c r="L18" s="293"/>
      <c r="M18" s="875" t="s">
        <v>241</v>
      </c>
      <c r="N18" s="876"/>
      <c r="O18" s="876"/>
      <c r="P18" s="876"/>
      <c r="Q18" s="876"/>
      <c r="R18" s="877"/>
      <c r="S18" s="326"/>
      <c r="T18" s="326"/>
      <c r="U18" s="326"/>
      <c r="V18" s="283"/>
      <c r="W18" s="784" t="s">
        <v>119</v>
      </c>
      <c r="X18" s="785"/>
      <c r="Y18" s="785"/>
      <c r="Z18" s="785"/>
      <c r="AA18" s="785"/>
      <c r="AB18" s="322">
        <f>'aktiv Pasiv'!Q11</f>
        <v>6.2</v>
      </c>
      <c r="AC18" s="323">
        <f>'aktiv Pasiv'!R11</f>
        <v>157669</v>
      </c>
      <c r="AD18" s="324">
        <v>696802.1</v>
      </c>
      <c r="AE18" s="327"/>
      <c r="AF18" s="328">
        <f t="shared" ref="AF18:AF25" si="2">AD18-AE18</f>
        <v>696802.1</v>
      </c>
      <c r="AH18" s="302">
        <f t="shared" ref="AH18:AH28" si="3">AD18-AC18</f>
        <v>539133.1</v>
      </c>
      <c r="AI18" s="279"/>
    </row>
    <row r="19" spans="1:35">
      <c r="A19" s="293"/>
      <c r="B19" s="863" t="s">
        <v>242</v>
      </c>
      <c r="C19" s="864"/>
      <c r="D19" s="864"/>
      <c r="E19" s="864"/>
      <c r="F19" s="864"/>
      <c r="G19" s="865"/>
      <c r="H19" s="860"/>
      <c r="I19" s="861"/>
      <c r="J19" s="873"/>
      <c r="K19" s="874"/>
      <c r="L19" s="293">
        <v>2</v>
      </c>
      <c r="M19" s="329" t="s">
        <v>243</v>
      </c>
      <c r="N19" s="330"/>
      <c r="O19" s="330"/>
      <c r="P19" s="330"/>
      <c r="Q19" s="330"/>
      <c r="R19" s="331"/>
      <c r="S19" s="326">
        <f>SUM(S20:S40)</f>
        <v>-127909161.5722886</v>
      </c>
      <c r="T19" s="326">
        <f>SUM(T20:T29)</f>
        <v>-9946135.6099999994</v>
      </c>
      <c r="U19" s="326">
        <v>-21926211.5</v>
      </c>
      <c r="V19" s="283"/>
      <c r="W19" s="784" t="s">
        <v>121</v>
      </c>
      <c r="X19" s="785"/>
      <c r="Y19" s="785"/>
      <c r="Z19" s="785"/>
      <c r="AA19" s="785"/>
      <c r="AB19" s="322">
        <f>'aktiv Pasiv'!Q12</f>
        <v>6.3</v>
      </c>
      <c r="AC19" s="323">
        <f>'aktiv Pasiv'!R12</f>
        <v>1308969</v>
      </c>
      <c r="AD19" s="324">
        <v>739499</v>
      </c>
      <c r="AE19" s="327">
        <v>860880</v>
      </c>
      <c r="AF19" s="328">
        <f t="shared" si="2"/>
        <v>-121381</v>
      </c>
      <c r="AH19" s="302">
        <f t="shared" si="3"/>
        <v>-569470</v>
      </c>
      <c r="AI19" s="279"/>
    </row>
    <row r="20" spans="1:35">
      <c r="A20" s="293"/>
      <c r="B20" s="863" t="s">
        <v>244</v>
      </c>
      <c r="C20" s="864"/>
      <c r="D20" s="864"/>
      <c r="E20" s="864"/>
      <c r="F20" s="864"/>
      <c r="G20" s="865"/>
      <c r="H20" s="860"/>
      <c r="I20" s="861"/>
      <c r="J20" s="873"/>
      <c r="K20" s="874"/>
      <c r="L20" s="293"/>
      <c r="M20" s="332" t="s">
        <v>245</v>
      </c>
      <c r="N20" s="333"/>
      <c r="O20" s="333"/>
      <c r="P20" s="333"/>
      <c r="Q20" s="333"/>
      <c r="R20" s="334"/>
      <c r="S20" s="297"/>
      <c r="T20" s="297"/>
      <c r="U20" s="297"/>
      <c r="V20" s="283"/>
      <c r="W20" s="784" t="s">
        <v>123</v>
      </c>
      <c r="X20" s="785"/>
      <c r="Y20" s="785"/>
      <c r="Z20" s="785"/>
      <c r="AA20" s="785"/>
      <c r="AB20" s="322">
        <f>'aktiv Pasiv'!Q13</f>
        <v>6.4</v>
      </c>
      <c r="AC20" s="323">
        <f>'aktiv Pasiv'!R13</f>
        <v>736033</v>
      </c>
      <c r="AD20" s="324">
        <v>419609</v>
      </c>
      <c r="AE20" s="335">
        <v>347194</v>
      </c>
      <c r="AF20" s="328">
        <f t="shared" si="2"/>
        <v>72415</v>
      </c>
      <c r="AH20" s="302">
        <f t="shared" si="3"/>
        <v>-316424</v>
      </c>
      <c r="AI20" s="279"/>
    </row>
    <row r="21" spans="1:35">
      <c r="A21" s="293"/>
      <c r="B21" s="863" t="s">
        <v>246</v>
      </c>
      <c r="C21" s="864"/>
      <c r="D21" s="864"/>
      <c r="E21" s="864"/>
      <c r="F21" s="864"/>
      <c r="G21" s="865"/>
      <c r="H21" s="862"/>
      <c r="I21" s="862"/>
      <c r="J21" s="869"/>
      <c r="K21" s="869"/>
      <c r="L21" s="293"/>
      <c r="M21" s="863" t="s">
        <v>247</v>
      </c>
      <c r="N21" s="864"/>
      <c r="O21" s="864"/>
      <c r="P21" s="864"/>
      <c r="Q21" s="864"/>
      <c r="R21" s="865"/>
      <c r="S21" s="297"/>
      <c r="T21" s="297">
        <f>'aktiv Pasiv'!T37+'aktiv Pasiv'!T38+'aktiv Pasiv'!J49-('aktiv Pasiv'!S37+'aktiv Pasiv'!S38+'aktiv Pasiv'!I49)</f>
        <v>0</v>
      </c>
      <c r="U21" s="297">
        <v>61062471</v>
      </c>
      <c r="V21" s="283"/>
      <c r="W21" s="207"/>
      <c r="X21" s="208"/>
      <c r="Y21" s="208"/>
      <c r="Z21" s="208"/>
      <c r="AA21" s="208"/>
      <c r="AB21" s="322">
        <f>'aktiv Pasiv'!Q14</f>
        <v>0</v>
      </c>
      <c r="AC21" s="323">
        <f>'aktiv Pasiv'!R14</f>
        <v>0</v>
      </c>
      <c r="AD21" s="336"/>
      <c r="AE21" s="327"/>
      <c r="AF21" s="328">
        <f t="shared" si="2"/>
        <v>0</v>
      </c>
      <c r="AH21" s="302">
        <f t="shared" si="3"/>
        <v>0</v>
      </c>
      <c r="AI21" s="279"/>
    </row>
    <row r="22" spans="1:35" ht="13.5" customHeight="1">
      <c r="A22" s="293"/>
      <c r="B22" s="863" t="s">
        <v>248</v>
      </c>
      <c r="C22" s="864"/>
      <c r="D22" s="864"/>
      <c r="E22" s="864"/>
      <c r="F22" s="864"/>
      <c r="G22" s="865"/>
      <c r="H22" s="862"/>
      <c r="I22" s="862"/>
      <c r="J22" s="869"/>
      <c r="K22" s="869"/>
      <c r="L22" s="293"/>
      <c r="M22" s="878"/>
      <c r="N22" s="879"/>
      <c r="O22" s="879"/>
      <c r="P22" s="879"/>
      <c r="Q22" s="879"/>
      <c r="R22" s="880"/>
      <c r="S22" s="297"/>
      <c r="T22" s="297"/>
      <c r="U22" s="297"/>
      <c r="V22" s="283"/>
      <c r="W22" s="784" t="s">
        <v>126</v>
      </c>
      <c r="X22" s="785"/>
      <c r="Y22" s="785"/>
      <c r="Z22" s="785"/>
      <c r="AA22" s="785"/>
      <c r="AB22" s="322">
        <f>'aktiv Pasiv'!Q15</f>
        <v>0</v>
      </c>
      <c r="AC22" s="323">
        <f>'aktiv Pasiv'!R15</f>
        <v>0</v>
      </c>
      <c r="AD22" s="336"/>
      <c r="AE22" s="327"/>
      <c r="AF22" s="328">
        <f t="shared" si="2"/>
        <v>0</v>
      </c>
      <c r="AH22" s="302">
        <f t="shared" si="3"/>
        <v>0</v>
      </c>
      <c r="AI22" s="279"/>
    </row>
    <row r="23" spans="1:35" ht="16.5" customHeight="1">
      <c r="A23" s="293"/>
      <c r="B23" s="863" t="s">
        <v>249</v>
      </c>
      <c r="C23" s="864"/>
      <c r="D23" s="864"/>
      <c r="E23" s="864"/>
      <c r="F23" s="864"/>
      <c r="G23" s="865"/>
      <c r="H23" s="862"/>
      <c r="I23" s="862"/>
      <c r="J23" s="869"/>
      <c r="K23" s="869"/>
      <c r="L23" s="293"/>
      <c r="M23" s="881" t="s">
        <v>250</v>
      </c>
      <c r="N23" s="882"/>
      <c r="O23" s="882"/>
      <c r="P23" s="882"/>
      <c r="Q23" s="882"/>
      <c r="R23" s="883"/>
      <c r="S23" s="297">
        <f>-SUM(Q24:Q35)</f>
        <v>-128103720.4822886</v>
      </c>
      <c r="T23" s="297">
        <f>-'permbledhje e aktiveve'!D28</f>
        <v>-9946135.6099999994</v>
      </c>
      <c r="U23" s="297">
        <v>-82988682.5</v>
      </c>
      <c r="V23" s="283"/>
      <c r="W23" s="784" t="s">
        <v>128</v>
      </c>
      <c r="X23" s="785"/>
      <c r="Y23" s="785"/>
      <c r="Z23" s="785"/>
      <c r="AA23" s="785"/>
      <c r="AB23" s="322">
        <f>'aktiv Pasiv'!Q16</f>
        <v>0</v>
      </c>
      <c r="AC23" s="323">
        <f>'aktiv Pasiv'!R16</f>
        <v>0</v>
      </c>
      <c r="AD23" s="336"/>
      <c r="AE23" s="327">
        <v>50000</v>
      </c>
      <c r="AF23" s="328">
        <f t="shared" si="2"/>
        <v>-50000</v>
      </c>
      <c r="AH23" s="302">
        <f t="shared" si="3"/>
        <v>0</v>
      </c>
      <c r="AI23" s="279"/>
    </row>
    <row r="24" spans="1:35" ht="12" customHeight="1">
      <c r="A24" s="293"/>
      <c r="B24" s="863" t="s">
        <v>251</v>
      </c>
      <c r="C24" s="864"/>
      <c r="D24" s="864"/>
      <c r="E24" s="864"/>
      <c r="F24" s="864"/>
      <c r="G24" s="865"/>
      <c r="H24" s="860"/>
      <c r="I24" s="861"/>
      <c r="J24" s="873"/>
      <c r="K24" s="874"/>
      <c r="L24" s="337"/>
      <c r="M24" s="338">
        <v>215</v>
      </c>
      <c r="N24" s="884" t="s">
        <v>252</v>
      </c>
      <c r="O24" s="885"/>
      <c r="P24" s="886"/>
      <c r="Q24" s="339">
        <v>5891054.0000000009</v>
      </c>
      <c r="R24" s="340"/>
      <c r="S24" s="341"/>
      <c r="T24" s="341"/>
      <c r="U24" s="341"/>
      <c r="V24" s="887"/>
      <c r="W24" s="784" t="s">
        <v>130</v>
      </c>
      <c r="X24" s="785"/>
      <c r="Y24" s="785"/>
      <c r="Z24" s="785"/>
      <c r="AA24" s="785"/>
      <c r="AB24" s="322">
        <f>'aktiv Pasiv'!Q17</f>
        <v>0</v>
      </c>
      <c r="AC24" s="323">
        <f>'aktiv Pasiv'!R17</f>
        <v>0</v>
      </c>
      <c r="AD24" s="336"/>
      <c r="AE24" s="327">
        <v>3172553</v>
      </c>
      <c r="AF24" s="328">
        <f t="shared" si="2"/>
        <v>-3172553</v>
      </c>
      <c r="AH24" s="302">
        <f t="shared" si="3"/>
        <v>0</v>
      </c>
      <c r="AI24" s="279"/>
    </row>
    <row r="25" spans="1:35">
      <c r="A25" s="293"/>
      <c r="B25" s="863" t="s">
        <v>253</v>
      </c>
      <c r="C25" s="864"/>
      <c r="D25" s="864"/>
      <c r="E25" s="864"/>
      <c r="F25" s="864"/>
      <c r="G25" s="865"/>
      <c r="H25" s="860"/>
      <c r="I25" s="861"/>
      <c r="J25" s="873"/>
      <c r="K25" s="874"/>
      <c r="L25" s="342"/>
      <c r="M25" s="343">
        <v>231</v>
      </c>
      <c r="N25" s="889" t="s">
        <v>254</v>
      </c>
      <c r="O25" s="890"/>
      <c r="P25" s="891"/>
      <c r="Q25" s="344">
        <v>0</v>
      </c>
      <c r="R25" s="197"/>
      <c r="S25" s="341"/>
      <c r="T25" s="341"/>
      <c r="U25" s="341"/>
      <c r="V25" s="887"/>
      <c r="W25" s="784" t="s">
        <v>132</v>
      </c>
      <c r="X25" s="785"/>
      <c r="Y25" s="785"/>
      <c r="Z25" s="785"/>
      <c r="AA25" s="785"/>
      <c r="AB25" s="322">
        <f>'aktiv Pasiv'!Q18</f>
        <v>6.5</v>
      </c>
      <c r="AC25" s="323">
        <f>'aktiv Pasiv'!R18</f>
        <v>1062471</v>
      </c>
      <c r="AD25" s="336">
        <v>0</v>
      </c>
      <c r="AE25" s="327">
        <v>0</v>
      </c>
      <c r="AF25" s="328">
        <f t="shared" si="2"/>
        <v>0</v>
      </c>
      <c r="AH25" s="302">
        <f t="shared" si="3"/>
        <v>-1062471</v>
      </c>
      <c r="AI25" s="279"/>
    </row>
    <row r="26" spans="1:35">
      <c r="A26" s="293"/>
      <c r="B26" s="863" t="s">
        <v>255</v>
      </c>
      <c r="C26" s="864"/>
      <c r="D26" s="864"/>
      <c r="E26" s="864"/>
      <c r="F26" s="864"/>
      <c r="G26" s="865"/>
      <c r="H26" s="860"/>
      <c r="I26" s="861"/>
      <c r="J26" s="873"/>
      <c r="K26" s="874"/>
      <c r="L26" s="342"/>
      <c r="M26" s="343">
        <v>2121</v>
      </c>
      <c r="N26" s="889" t="s">
        <v>256</v>
      </c>
      <c r="O26" s="890"/>
      <c r="P26" s="891"/>
      <c r="Q26" s="344">
        <v>18566684.699999999</v>
      </c>
      <c r="R26" s="197"/>
      <c r="S26" s="341"/>
      <c r="T26" s="341"/>
      <c r="U26" s="341"/>
      <c r="V26" s="887"/>
      <c r="W26" s="784" t="s">
        <v>134</v>
      </c>
      <c r="X26" s="785"/>
      <c r="Y26" s="785"/>
      <c r="Z26" s="785"/>
      <c r="AA26" s="785"/>
      <c r="AB26" s="322">
        <f>'aktiv Pasiv'!Q19</f>
        <v>0</v>
      </c>
      <c r="AC26" s="323">
        <f>'aktiv Pasiv'!R19</f>
        <v>0</v>
      </c>
      <c r="AD26" s="336">
        <v>0</v>
      </c>
      <c r="AE26" s="327">
        <v>0</v>
      </c>
      <c r="AF26" s="328">
        <f>AE26-AD26</f>
        <v>0</v>
      </c>
      <c r="AH26" s="302">
        <f t="shared" si="3"/>
        <v>0</v>
      </c>
      <c r="AI26" s="279"/>
    </row>
    <row r="27" spans="1:35">
      <c r="A27" s="293"/>
      <c r="B27" s="863" t="s">
        <v>257</v>
      </c>
      <c r="C27" s="864"/>
      <c r="D27" s="864"/>
      <c r="E27" s="864"/>
      <c r="F27" s="864"/>
      <c r="G27" s="865"/>
      <c r="H27" s="860"/>
      <c r="I27" s="861"/>
      <c r="J27" s="873"/>
      <c r="K27" s="874"/>
      <c r="L27" s="345"/>
      <c r="M27" s="343">
        <v>2131</v>
      </c>
      <c r="N27" s="884" t="s">
        <v>258</v>
      </c>
      <c r="O27" s="885"/>
      <c r="P27" s="886"/>
      <c r="Q27" s="344">
        <v>4425388.6935000001</v>
      </c>
      <c r="R27" s="197"/>
      <c r="S27" s="341"/>
      <c r="T27" s="341"/>
      <c r="U27" s="341"/>
      <c r="V27" s="887"/>
      <c r="W27" s="784"/>
      <c r="X27" s="785"/>
      <c r="Y27" s="785"/>
      <c r="Z27" s="785"/>
      <c r="AA27" s="785"/>
      <c r="AB27" s="322"/>
      <c r="AC27" s="323"/>
      <c r="AD27" s="336"/>
      <c r="AE27" s="327"/>
      <c r="AF27" s="328"/>
      <c r="AH27" s="302"/>
      <c r="AI27" s="279"/>
    </row>
    <row r="28" spans="1:35">
      <c r="A28" s="293"/>
      <c r="B28" s="863" t="s">
        <v>259</v>
      </c>
      <c r="C28" s="864"/>
      <c r="D28" s="864"/>
      <c r="E28" s="864"/>
      <c r="F28" s="864"/>
      <c r="G28" s="865"/>
      <c r="H28" s="860"/>
      <c r="I28" s="861"/>
      <c r="J28" s="873"/>
      <c r="K28" s="874"/>
      <c r="L28" s="293"/>
      <c r="M28" s="343">
        <v>2132</v>
      </c>
      <c r="N28" s="884" t="s">
        <v>260</v>
      </c>
      <c r="O28" s="885"/>
      <c r="P28" s="886"/>
      <c r="Q28" s="344">
        <v>11317541.553094</v>
      </c>
      <c r="R28" s="346"/>
      <c r="S28" s="341"/>
      <c r="T28" s="341"/>
      <c r="U28" s="341"/>
      <c r="V28" s="887"/>
      <c r="W28" s="789" t="s">
        <v>137</v>
      </c>
      <c r="X28" s="790"/>
      <c r="Y28" s="790"/>
      <c r="Z28" s="790"/>
      <c r="AA28" s="790"/>
      <c r="AB28" s="196"/>
      <c r="AC28" s="336"/>
      <c r="AD28" s="336"/>
      <c r="AE28" s="327"/>
      <c r="AF28" s="328">
        <f>AE28-AD28</f>
        <v>0</v>
      </c>
      <c r="AH28" s="302">
        <f t="shared" si="3"/>
        <v>0</v>
      </c>
      <c r="AI28" s="279"/>
    </row>
    <row r="29" spans="1:35">
      <c r="A29" s="293"/>
      <c r="B29" s="863" t="s">
        <v>261</v>
      </c>
      <c r="C29" s="864"/>
      <c r="D29" s="864"/>
      <c r="E29" s="864"/>
      <c r="F29" s="864"/>
      <c r="G29" s="865"/>
      <c r="H29" s="862"/>
      <c r="I29" s="862"/>
      <c r="J29" s="869"/>
      <c r="K29" s="869"/>
      <c r="L29" s="293"/>
      <c r="M29" s="343">
        <v>2133</v>
      </c>
      <c r="N29" s="884" t="s">
        <v>260</v>
      </c>
      <c r="O29" s="885"/>
      <c r="P29" s="886"/>
      <c r="Q29" s="344">
        <v>17025283.854499999</v>
      </c>
      <c r="R29" s="197"/>
      <c r="S29" s="341"/>
      <c r="T29" s="341"/>
      <c r="U29" s="341"/>
      <c r="V29" s="887"/>
      <c r="AI29" s="279"/>
    </row>
    <row r="30" spans="1:35" ht="15.75">
      <c r="A30" s="293"/>
      <c r="B30" s="863" t="s">
        <v>262</v>
      </c>
      <c r="C30" s="864"/>
      <c r="D30" s="864"/>
      <c r="E30" s="864"/>
      <c r="F30" s="864"/>
      <c r="G30" s="865"/>
      <c r="H30" s="860"/>
      <c r="I30" s="861"/>
      <c r="J30" s="873"/>
      <c r="K30" s="874"/>
      <c r="L30" s="293"/>
      <c r="M30" s="343">
        <v>2134</v>
      </c>
      <c r="N30" s="884" t="s">
        <v>263</v>
      </c>
      <c r="O30" s="885"/>
      <c r="P30" s="886"/>
      <c r="Q30" s="344">
        <v>15250</v>
      </c>
      <c r="R30" s="197"/>
      <c r="S30" s="341"/>
      <c r="T30" s="341"/>
      <c r="U30" s="341"/>
      <c r="V30" s="887"/>
      <c r="AA30" s="58"/>
      <c r="AB30" s="58"/>
      <c r="AC30" s="289">
        <v>2011</v>
      </c>
      <c r="AD30" s="289">
        <v>2010</v>
      </c>
      <c r="AE30" s="290">
        <v>2009</v>
      </c>
      <c r="AF30" s="290" t="s">
        <v>203</v>
      </c>
      <c r="AG30" s="315"/>
      <c r="AH30" s="347" t="s">
        <v>204</v>
      </c>
      <c r="AI30" s="279"/>
    </row>
    <row r="31" spans="1:35">
      <c r="A31" s="293"/>
      <c r="B31" s="332"/>
      <c r="C31" s="333"/>
      <c r="D31" s="333"/>
      <c r="E31" s="333"/>
      <c r="F31" s="333"/>
      <c r="G31" s="334"/>
      <c r="H31" s="348"/>
      <c r="I31" s="349"/>
      <c r="J31" s="350"/>
      <c r="K31" s="351"/>
      <c r="L31" s="293"/>
      <c r="M31" s="343">
        <v>2135</v>
      </c>
      <c r="N31" s="884" t="s">
        <v>264</v>
      </c>
      <c r="O31" s="885"/>
      <c r="P31" s="886"/>
      <c r="Q31" s="344">
        <v>18434024.2234</v>
      </c>
      <c r="R31" s="197"/>
      <c r="S31" s="341"/>
      <c r="T31" s="341"/>
      <c r="U31" s="341"/>
      <c r="V31" s="887"/>
      <c r="W31" s="806" t="s">
        <v>164</v>
      </c>
      <c r="X31" s="807"/>
      <c r="Y31" s="807"/>
      <c r="Z31" s="807"/>
      <c r="AA31" s="808"/>
      <c r="AB31" s="196" t="s">
        <v>165</v>
      </c>
      <c r="AC31" s="317">
        <f t="shared" ref="AC31:AH31" si="4">SUM(AC32:AC45)</f>
        <v>60000000</v>
      </c>
      <c r="AD31" s="317">
        <f t="shared" si="4"/>
        <v>61062471</v>
      </c>
      <c r="AE31" s="317">
        <f t="shared" si="4"/>
        <v>61062471</v>
      </c>
      <c r="AF31" s="317">
        <f t="shared" si="4"/>
        <v>0</v>
      </c>
      <c r="AG31" s="317">
        <f t="shared" si="4"/>
        <v>0</v>
      </c>
      <c r="AH31" s="317">
        <f t="shared" si="4"/>
        <v>1062471</v>
      </c>
      <c r="AI31" s="279"/>
    </row>
    <row r="32" spans="1:35">
      <c r="A32" s="293"/>
      <c r="B32" s="332"/>
      <c r="C32" s="333"/>
      <c r="D32" s="333"/>
      <c r="E32" s="333"/>
      <c r="F32" s="333"/>
      <c r="G32" s="334"/>
      <c r="H32" s="348"/>
      <c r="I32" s="349"/>
      <c r="J32" s="350"/>
      <c r="K32" s="351"/>
      <c r="L32" s="293"/>
      <c r="M32" s="343">
        <v>2181</v>
      </c>
      <c r="N32" s="892" t="s">
        <v>265</v>
      </c>
      <c r="O32" s="893"/>
      <c r="P32" s="893"/>
      <c r="Q32" s="344">
        <v>39326801.296428099</v>
      </c>
      <c r="R32" s="197"/>
      <c r="S32" s="341"/>
      <c r="T32" s="341"/>
      <c r="U32" s="341"/>
      <c r="V32" s="887"/>
      <c r="W32" s="225" t="s">
        <v>266</v>
      </c>
      <c r="X32" s="226"/>
      <c r="Y32" s="226"/>
      <c r="Z32" s="226"/>
      <c r="AA32" s="226"/>
      <c r="AB32" s="196">
        <v>7.1</v>
      </c>
      <c r="AC32" s="352">
        <v>15000000</v>
      </c>
      <c r="AD32" s="352">
        <v>1500000</v>
      </c>
      <c r="AE32" s="352">
        <v>1500000</v>
      </c>
      <c r="AF32" s="278"/>
      <c r="AH32" s="302">
        <f>AD32-AC32</f>
        <v>-13500000</v>
      </c>
      <c r="AI32" s="279"/>
    </row>
    <row r="33" spans="1:35">
      <c r="A33" s="293"/>
      <c r="B33" s="332"/>
      <c r="C33" s="333"/>
      <c r="D33" s="333"/>
      <c r="E33" s="333"/>
      <c r="F33" s="333"/>
      <c r="G33" s="334"/>
      <c r="H33" s="348"/>
      <c r="I33" s="349"/>
      <c r="J33" s="350"/>
      <c r="K33" s="351"/>
      <c r="L33" s="293"/>
      <c r="M33" s="353">
        <v>2182</v>
      </c>
      <c r="N33" s="892" t="s">
        <v>267</v>
      </c>
      <c r="O33" s="893"/>
      <c r="P33" s="893"/>
      <c r="Q33" s="344">
        <v>13101692.1613665</v>
      </c>
      <c r="R33" s="197"/>
      <c r="S33" s="341"/>
      <c r="T33" s="341"/>
      <c r="U33" s="341"/>
      <c r="V33" s="887"/>
      <c r="W33" s="225" t="s">
        <v>268</v>
      </c>
      <c r="X33" s="226"/>
      <c r="Y33" s="226"/>
      <c r="Z33" s="226"/>
      <c r="AA33" s="226"/>
      <c r="AB33" s="196">
        <v>7.2</v>
      </c>
      <c r="AC33" s="352">
        <v>45000000</v>
      </c>
      <c r="AD33" s="352">
        <v>4500000</v>
      </c>
      <c r="AE33" s="352">
        <v>4500000</v>
      </c>
      <c r="AF33" s="278"/>
      <c r="AH33" s="302">
        <f t="shared" ref="AH33:AH43" si="5">AD33-AC33</f>
        <v>-40500000</v>
      </c>
      <c r="AI33" s="279"/>
    </row>
    <row r="34" spans="1:35">
      <c r="A34" s="293"/>
      <c r="B34" s="332"/>
      <c r="C34" s="333"/>
      <c r="D34" s="333"/>
      <c r="E34" s="333"/>
      <c r="F34" s="333"/>
      <c r="G34" s="334"/>
      <c r="H34" s="348"/>
      <c r="I34" s="349"/>
      <c r="J34" s="350"/>
      <c r="K34" s="351"/>
      <c r="L34" s="293"/>
      <c r="M34" s="343">
        <v>2188</v>
      </c>
      <c r="N34" s="892" t="s">
        <v>269</v>
      </c>
      <c r="O34" s="893"/>
      <c r="P34" s="893"/>
      <c r="Q34" s="344">
        <v>0</v>
      </c>
      <c r="R34" s="197"/>
      <c r="S34" s="341"/>
      <c r="T34" s="341"/>
      <c r="U34" s="341"/>
      <c r="V34" s="887"/>
      <c r="W34" s="225"/>
      <c r="X34" s="226"/>
      <c r="Y34" s="226"/>
      <c r="Z34" s="226"/>
      <c r="AA34" s="226"/>
      <c r="AB34" s="196"/>
      <c r="AC34" s="352"/>
      <c r="AD34" s="352"/>
      <c r="AE34" s="352"/>
      <c r="AF34" s="278"/>
      <c r="AH34" s="302">
        <f t="shared" si="5"/>
        <v>0</v>
      </c>
      <c r="AI34" s="279"/>
    </row>
    <row r="35" spans="1:35" ht="15.75" thickBot="1">
      <c r="A35" s="293"/>
      <c r="B35" s="332"/>
      <c r="C35" s="333"/>
      <c r="D35" s="333"/>
      <c r="E35" s="333"/>
      <c r="F35" s="333"/>
      <c r="G35" s="334"/>
      <c r="H35" s="348"/>
      <c r="I35" s="349"/>
      <c r="J35" s="350"/>
      <c r="K35" s="351"/>
      <c r="L35" s="293"/>
      <c r="M35" s="354">
        <v>2813</v>
      </c>
      <c r="N35" s="892" t="s">
        <v>270</v>
      </c>
      <c r="O35" s="893"/>
      <c r="P35" s="893"/>
      <c r="Q35" s="355">
        <v>0</v>
      </c>
      <c r="R35" s="197"/>
      <c r="S35" s="341"/>
      <c r="T35" s="341"/>
      <c r="U35" s="356"/>
      <c r="V35" s="888"/>
      <c r="W35" s="225" t="s">
        <v>173</v>
      </c>
      <c r="X35" s="226"/>
      <c r="Y35" s="226"/>
      <c r="Z35" s="226"/>
      <c r="AA35" s="226"/>
      <c r="AB35" s="196"/>
      <c r="AC35" s="352"/>
      <c r="AD35" s="352"/>
      <c r="AE35" s="352"/>
      <c r="AF35" s="278"/>
      <c r="AH35" s="302">
        <f t="shared" si="5"/>
        <v>0</v>
      </c>
      <c r="AI35" s="279"/>
    </row>
    <row r="36" spans="1:35">
      <c r="A36" s="293"/>
      <c r="B36" s="863" t="s">
        <v>271</v>
      </c>
      <c r="C36" s="864"/>
      <c r="D36" s="864"/>
      <c r="E36" s="864"/>
      <c r="F36" s="864"/>
      <c r="G36" s="865"/>
      <c r="H36" s="860"/>
      <c r="I36" s="861"/>
      <c r="J36" s="873"/>
      <c r="K36" s="874"/>
      <c r="L36" s="293"/>
      <c r="M36" s="357" t="s">
        <v>272</v>
      </c>
      <c r="N36" s="358"/>
      <c r="O36" s="358"/>
      <c r="P36" s="358"/>
      <c r="Q36" s="358"/>
      <c r="R36" s="359"/>
      <c r="S36" s="341"/>
      <c r="T36" s="341"/>
      <c r="U36" s="356"/>
      <c r="V36" s="888"/>
      <c r="W36" s="225" t="s">
        <v>175</v>
      </c>
      <c r="X36" s="226"/>
      <c r="Y36" s="226"/>
      <c r="Z36" s="226"/>
      <c r="AA36" s="226"/>
      <c r="AB36" s="196"/>
      <c r="AC36" s="352"/>
      <c r="AD36" s="352"/>
      <c r="AE36" s="352"/>
      <c r="AF36" s="278"/>
      <c r="AH36" s="302">
        <f t="shared" si="5"/>
        <v>0</v>
      </c>
      <c r="AI36" s="279"/>
    </row>
    <row r="37" spans="1:35">
      <c r="A37" s="293"/>
      <c r="B37" s="847" t="s">
        <v>273</v>
      </c>
      <c r="C37" s="848"/>
      <c r="D37" s="848"/>
      <c r="E37" s="848"/>
      <c r="F37" s="848"/>
      <c r="G37" s="849"/>
      <c r="H37" s="862"/>
      <c r="I37" s="862"/>
      <c r="J37" s="869"/>
      <c r="K37" s="869"/>
      <c r="L37" s="293"/>
      <c r="M37" s="357" t="s">
        <v>274</v>
      </c>
      <c r="N37" s="358"/>
      <c r="O37" s="358"/>
      <c r="P37" s="358"/>
      <c r="Q37" s="358"/>
      <c r="R37" s="359"/>
      <c r="S37" s="297">
        <f>-('fluksi monetar'!S10+'aktiv Pasiv'!H31)</f>
        <v>194558.90999999997</v>
      </c>
      <c r="T37" s="341"/>
      <c r="U37" s="356"/>
      <c r="V37" s="283"/>
      <c r="W37" s="225" t="s">
        <v>177</v>
      </c>
      <c r="X37" s="226"/>
      <c r="Y37" s="226"/>
      <c r="Z37" s="226"/>
      <c r="AA37" s="226"/>
      <c r="AB37" s="196"/>
      <c r="AC37" s="199"/>
      <c r="AD37" s="199"/>
      <c r="AE37" s="199"/>
      <c r="AF37" s="278"/>
      <c r="AH37" s="302">
        <f t="shared" si="5"/>
        <v>0</v>
      </c>
      <c r="AI37" s="279"/>
    </row>
    <row r="38" spans="1:35" ht="21.75" customHeight="1">
      <c r="A38" s="293"/>
      <c r="B38" s="847" t="s">
        <v>275</v>
      </c>
      <c r="C38" s="848"/>
      <c r="D38" s="848"/>
      <c r="E38" s="848"/>
      <c r="F38" s="848"/>
      <c r="G38" s="849"/>
      <c r="H38" s="862"/>
      <c r="I38" s="862"/>
      <c r="J38" s="862"/>
      <c r="K38" s="862"/>
      <c r="L38" s="360"/>
      <c r="M38" s="357" t="s">
        <v>276</v>
      </c>
      <c r="N38" s="358"/>
      <c r="O38" s="358"/>
      <c r="P38" s="358"/>
      <c r="Q38" s="358"/>
      <c r="R38" s="359"/>
      <c r="T38" s="341"/>
      <c r="U38" s="356"/>
      <c r="V38" s="361"/>
      <c r="W38" s="225" t="s">
        <v>179</v>
      </c>
      <c r="X38" s="226"/>
      <c r="Y38" s="226"/>
      <c r="Z38" s="226"/>
      <c r="AA38" s="226"/>
      <c r="AB38" s="196"/>
      <c r="AC38" s="199"/>
      <c r="AD38" s="199"/>
      <c r="AE38" s="199"/>
      <c r="AF38" s="278"/>
      <c r="AH38" s="302">
        <f t="shared" si="5"/>
        <v>0</v>
      </c>
      <c r="AI38" s="279"/>
    </row>
    <row r="39" spans="1:35" ht="16.5">
      <c r="A39" s="293"/>
      <c r="B39" s="847" t="s">
        <v>277</v>
      </c>
      <c r="C39" s="848"/>
      <c r="D39" s="848"/>
      <c r="E39" s="848"/>
      <c r="F39" s="848"/>
      <c r="G39" s="849"/>
      <c r="H39" s="862"/>
      <c r="I39" s="862"/>
      <c r="J39" s="862"/>
      <c r="K39" s="862"/>
      <c r="L39" s="360"/>
      <c r="M39" s="95" t="s">
        <v>239</v>
      </c>
      <c r="N39" s="96"/>
      <c r="O39" s="96"/>
      <c r="P39" s="96"/>
      <c r="Q39" s="96"/>
      <c r="R39" s="97"/>
      <c r="S39" s="341"/>
      <c r="T39" s="341"/>
      <c r="U39" s="356"/>
      <c r="V39" s="362"/>
      <c r="W39" s="229"/>
      <c r="X39" s="230"/>
      <c r="Y39" s="230"/>
      <c r="Z39" s="230"/>
      <c r="AA39" s="231"/>
      <c r="AB39" s="196"/>
      <c r="AC39" s="199"/>
      <c r="AD39" s="199"/>
      <c r="AE39" s="199"/>
      <c r="AF39" s="278"/>
      <c r="AH39" s="302">
        <f t="shared" si="5"/>
        <v>0</v>
      </c>
      <c r="AI39" s="279"/>
    </row>
    <row r="40" spans="1:35" ht="20.25" customHeight="1">
      <c r="A40" s="293"/>
      <c r="B40" s="894" t="s">
        <v>278</v>
      </c>
      <c r="C40" s="895"/>
      <c r="D40" s="895"/>
      <c r="E40" s="895"/>
      <c r="F40" s="895"/>
      <c r="G40" s="896"/>
      <c r="H40" s="897"/>
      <c r="I40" s="897"/>
      <c r="J40" s="869"/>
      <c r="K40" s="869"/>
      <c r="L40" s="360"/>
      <c r="M40" s="363" t="s">
        <v>279</v>
      </c>
      <c r="N40" s="364"/>
      <c r="O40" s="364"/>
      <c r="P40" s="364"/>
      <c r="Q40" s="364"/>
      <c r="R40" s="365"/>
      <c r="S40" s="341"/>
      <c r="T40" s="341"/>
      <c r="U40" s="356"/>
      <c r="V40" s="362"/>
      <c r="W40" s="229"/>
      <c r="X40" s="230"/>
      <c r="Y40" s="230"/>
      <c r="Z40" s="230"/>
      <c r="AA40" s="230"/>
      <c r="AB40" s="196"/>
      <c r="AC40" s="199"/>
      <c r="AD40" s="199"/>
      <c r="AE40" s="199"/>
      <c r="AF40" s="278"/>
      <c r="AH40" s="302">
        <f t="shared" si="5"/>
        <v>0</v>
      </c>
      <c r="AI40" s="279"/>
    </row>
    <row r="41" spans="1:35" ht="16.5">
      <c r="A41" s="293"/>
      <c r="B41" s="898" t="s">
        <v>243</v>
      </c>
      <c r="C41" s="899"/>
      <c r="D41" s="899"/>
      <c r="E41" s="899"/>
      <c r="F41" s="899"/>
      <c r="G41" s="900"/>
      <c r="H41" s="869"/>
      <c r="I41" s="869"/>
      <c r="J41" s="869"/>
      <c r="K41" s="869"/>
      <c r="L41" s="360"/>
      <c r="M41" s="366" t="s">
        <v>280</v>
      </c>
      <c r="N41" s="367"/>
      <c r="O41" s="367"/>
      <c r="P41" s="367"/>
      <c r="Q41" s="367"/>
      <c r="R41" s="368"/>
      <c r="S41" s="341"/>
      <c r="T41" s="341"/>
      <c r="U41" s="356"/>
      <c r="V41" s="362"/>
      <c r="W41" s="225" t="s">
        <v>184</v>
      </c>
      <c r="X41" s="226"/>
      <c r="Y41" s="226"/>
      <c r="Z41" s="226"/>
      <c r="AA41" s="226"/>
      <c r="AB41" s="196"/>
      <c r="AC41" s="199"/>
      <c r="AD41" s="199"/>
      <c r="AE41" s="199"/>
      <c r="AF41" s="278"/>
      <c r="AH41" s="302">
        <f t="shared" si="5"/>
        <v>0</v>
      </c>
      <c r="AI41" s="279"/>
    </row>
    <row r="42" spans="1:35" ht="16.5">
      <c r="A42" s="369"/>
      <c r="B42" s="847" t="s">
        <v>281</v>
      </c>
      <c r="C42" s="848"/>
      <c r="D42" s="848"/>
      <c r="E42" s="848"/>
      <c r="F42" s="848"/>
      <c r="G42" s="849"/>
      <c r="H42" s="862"/>
      <c r="I42" s="862"/>
      <c r="J42" s="862"/>
      <c r="K42" s="862"/>
      <c r="L42" s="370"/>
      <c r="M42" s="306" t="s">
        <v>282</v>
      </c>
      <c r="N42" s="307"/>
      <c r="O42" s="307"/>
      <c r="P42" s="307"/>
      <c r="Q42" s="307"/>
      <c r="R42" s="308"/>
      <c r="S42" s="341"/>
      <c r="T42" s="341"/>
      <c r="U42" s="356"/>
      <c r="V42" s="362"/>
      <c r="W42" s="235" t="s">
        <v>186</v>
      </c>
      <c r="X42" s="226"/>
      <c r="Y42" s="226"/>
      <c r="Z42" s="226"/>
      <c r="AA42" s="236"/>
      <c r="AB42" s="196"/>
      <c r="AC42" s="199"/>
      <c r="AD42" s="199"/>
      <c r="AE42" s="199"/>
      <c r="AF42" s="278"/>
      <c r="AH42" s="302">
        <f t="shared" si="5"/>
        <v>0</v>
      </c>
      <c r="AI42" s="279"/>
    </row>
    <row r="43" spans="1:35" ht="15.75" thickBot="1">
      <c r="A43" s="369"/>
      <c r="B43" s="847" t="s">
        <v>250</v>
      </c>
      <c r="C43" s="848"/>
      <c r="D43" s="848"/>
      <c r="E43" s="848"/>
      <c r="F43" s="848"/>
      <c r="G43" s="849"/>
      <c r="H43" s="862"/>
      <c r="I43" s="862"/>
      <c r="J43" s="862"/>
      <c r="K43" s="862"/>
      <c r="L43" s="371"/>
      <c r="M43" s="306" t="s">
        <v>283</v>
      </c>
      <c r="N43" s="307"/>
      <c r="O43" s="307"/>
      <c r="P43" s="307"/>
      <c r="Q43" s="307"/>
      <c r="R43" s="308"/>
      <c r="S43" s="341"/>
      <c r="T43" s="341"/>
      <c r="U43" s="342"/>
      <c r="W43" s="225" t="s">
        <v>188</v>
      </c>
      <c r="X43" s="226"/>
      <c r="Y43" s="226"/>
      <c r="Z43" s="226"/>
      <c r="AA43" s="226"/>
      <c r="AB43" s="196"/>
      <c r="AC43" s="199"/>
      <c r="AD43" s="199"/>
      <c r="AE43" s="199"/>
      <c r="AF43" s="278"/>
      <c r="AH43" s="302">
        <f t="shared" si="5"/>
        <v>0</v>
      </c>
    </row>
    <row r="44" spans="1:35">
      <c r="A44" s="293"/>
      <c r="B44" s="847" t="s">
        <v>272</v>
      </c>
      <c r="C44" s="848"/>
      <c r="D44" s="848"/>
      <c r="E44" s="848"/>
      <c r="F44" s="848"/>
      <c r="G44" s="849"/>
      <c r="H44" s="869"/>
      <c r="I44" s="869"/>
      <c r="J44" s="869"/>
      <c r="K44" s="869"/>
      <c r="L44" s="293"/>
      <c r="M44" s="306" t="s">
        <v>284</v>
      </c>
      <c r="N44" s="307"/>
      <c r="O44" s="307"/>
      <c r="P44" s="307"/>
      <c r="Q44" s="307"/>
      <c r="R44" s="308"/>
      <c r="S44" s="341"/>
      <c r="T44" s="341"/>
      <c r="U44" s="342"/>
      <c r="W44" s="816" t="s">
        <v>189</v>
      </c>
      <c r="X44" s="817"/>
      <c r="Y44" s="817"/>
      <c r="Z44" s="817"/>
      <c r="AA44" s="817"/>
      <c r="AB44" s="196">
        <v>5.8</v>
      </c>
      <c r="AC44" s="197"/>
      <c r="AD44" s="197">
        <f>(654471+54408000)</f>
        <v>55062471</v>
      </c>
      <c r="AE44" s="197">
        <v>55062471</v>
      </c>
      <c r="AH44" s="302">
        <f>AD44-AC44</f>
        <v>55062471</v>
      </c>
    </row>
    <row r="45" spans="1:35">
      <c r="A45" s="293"/>
      <c r="B45" s="847" t="s">
        <v>285</v>
      </c>
      <c r="C45" s="848"/>
      <c r="D45" s="848"/>
      <c r="E45" s="848"/>
      <c r="F45" s="848"/>
      <c r="G45" s="849"/>
      <c r="H45" s="869"/>
      <c r="I45" s="869"/>
      <c r="J45" s="869"/>
      <c r="K45" s="869"/>
      <c r="L45" s="345"/>
      <c r="M45" s="306" t="s">
        <v>286</v>
      </c>
      <c r="N45" s="307"/>
      <c r="O45" s="307"/>
      <c r="P45" s="307"/>
      <c r="Q45" s="307"/>
      <c r="R45" s="308"/>
      <c r="S45" s="341"/>
      <c r="T45" s="341"/>
      <c r="U45" s="342"/>
      <c r="W45" s="784" t="s">
        <v>132</v>
      </c>
      <c r="X45" s="785"/>
      <c r="Y45" s="785"/>
      <c r="Z45" s="785"/>
      <c r="AA45" s="785"/>
      <c r="AB45" s="196">
        <f>'aktiv Pasiv'!Q18</f>
        <v>6.5</v>
      </c>
      <c r="AC45" s="372"/>
      <c r="AD45" s="373">
        <f>'aktiv Pasiv'!S18</f>
        <v>0</v>
      </c>
      <c r="AE45" s="373">
        <f>'aktiv Pasiv'!T18</f>
        <v>0</v>
      </c>
      <c r="AH45" s="302">
        <f>AD45-AC45</f>
        <v>0</v>
      </c>
    </row>
    <row r="46" spans="1:35">
      <c r="A46" s="293"/>
      <c r="B46" s="863" t="s">
        <v>287</v>
      </c>
      <c r="C46" s="864"/>
      <c r="D46" s="864"/>
      <c r="E46" s="864"/>
      <c r="F46" s="864"/>
      <c r="G46" s="865"/>
      <c r="H46" s="907"/>
      <c r="I46" s="908"/>
      <c r="J46" s="873"/>
      <c r="K46" s="909"/>
      <c r="L46" s="345"/>
      <c r="M46" s="910" t="s">
        <v>288</v>
      </c>
      <c r="N46" s="911"/>
      <c r="O46" s="911"/>
      <c r="P46" s="911"/>
      <c r="Q46" s="911"/>
      <c r="R46" s="912"/>
      <c r="S46" s="374"/>
      <c r="T46" s="341"/>
      <c r="U46" s="342"/>
      <c r="AF46" s="375"/>
    </row>
    <row r="47" spans="1:35">
      <c r="A47" s="293"/>
      <c r="B47" s="847" t="s">
        <v>276</v>
      </c>
      <c r="C47" s="848"/>
      <c r="D47" s="848"/>
      <c r="E47" s="848"/>
      <c r="F47" s="848"/>
      <c r="G47" s="849"/>
      <c r="H47" s="869"/>
      <c r="I47" s="869"/>
      <c r="J47" s="869"/>
      <c r="K47" s="913"/>
      <c r="L47" s="376" t="s">
        <v>289</v>
      </c>
      <c r="M47" s="904" t="s">
        <v>290</v>
      </c>
      <c r="N47" s="905"/>
      <c r="O47" s="905"/>
      <c r="P47" s="905"/>
      <c r="Q47" s="905"/>
      <c r="R47" s="906"/>
      <c r="S47" s="377">
        <f>S4+S19</f>
        <v>271149111.28771138</v>
      </c>
      <c r="T47" s="377">
        <f>T4+T19</f>
        <v>163709.3199999705</v>
      </c>
      <c r="U47" s="377">
        <f>U4+U19</f>
        <v>47606576.079999983</v>
      </c>
      <c r="AF47" s="375"/>
    </row>
    <row r="48" spans="1:35">
      <c r="A48" s="293"/>
      <c r="B48" s="901" t="s">
        <v>279</v>
      </c>
      <c r="C48" s="902"/>
      <c r="D48" s="902"/>
      <c r="E48" s="902"/>
      <c r="F48" s="902"/>
      <c r="G48" s="903"/>
      <c r="H48" s="869"/>
      <c r="I48" s="869"/>
      <c r="J48" s="869"/>
      <c r="K48" s="869"/>
      <c r="L48" s="376" t="s">
        <v>197</v>
      </c>
      <c r="M48" s="904" t="s">
        <v>291</v>
      </c>
      <c r="N48" s="905"/>
      <c r="O48" s="905"/>
      <c r="P48" s="905"/>
      <c r="Q48" s="905"/>
      <c r="R48" s="906"/>
      <c r="S48" s="377">
        <f>T49</f>
        <v>47770285.399999954</v>
      </c>
      <c r="T48" s="377">
        <f>U49</f>
        <v>47606576.079999983</v>
      </c>
      <c r="U48" s="342">
        <v>0</v>
      </c>
      <c r="AF48" s="375"/>
    </row>
    <row r="49" spans="1:34">
      <c r="A49" s="293"/>
      <c r="B49" s="898" t="s">
        <v>292</v>
      </c>
      <c r="C49" s="899"/>
      <c r="D49" s="899"/>
      <c r="E49" s="899"/>
      <c r="F49" s="899"/>
      <c r="G49" s="900"/>
      <c r="H49" s="862"/>
      <c r="I49" s="862"/>
      <c r="J49" s="862"/>
      <c r="K49" s="862"/>
      <c r="L49" s="376" t="s">
        <v>293</v>
      </c>
      <c r="M49" s="904" t="s">
        <v>294</v>
      </c>
      <c r="N49" s="905"/>
      <c r="O49" s="905"/>
      <c r="P49" s="905"/>
      <c r="Q49" s="905"/>
      <c r="R49" s="906"/>
      <c r="S49" s="378">
        <f>S47+S48</f>
        <v>318919396.68771136</v>
      </c>
      <c r="T49" s="379">
        <f>T47+T48</f>
        <v>47770285.399999954</v>
      </c>
      <c r="U49" s="379">
        <f>U47+U48</f>
        <v>47606576.079999983</v>
      </c>
      <c r="W49" s="776" t="s">
        <v>295</v>
      </c>
      <c r="X49" s="777"/>
      <c r="Y49" s="777"/>
      <c r="Z49" s="777"/>
      <c r="AA49" s="777"/>
      <c r="AB49" s="196">
        <f>'aktiv Pasiv'!G31</f>
        <v>4.2</v>
      </c>
      <c r="AC49" s="314">
        <f>'aktiv Pasiv'!H31</f>
        <v>61604.82</v>
      </c>
      <c r="AD49" s="201">
        <v>0</v>
      </c>
      <c r="AE49" s="201">
        <v>74810</v>
      </c>
      <c r="AH49" s="302">
        <f>AD49-AC49</f>
        <v>-61604.82</v>
      </c>
    </row>
    <row r="50" spans="1:34">
      <c r="A50" s="293"/>
      <c r="B50" s="847" t="s">
        <v>282</v>
      </c>
      <c r="C50" s="848"/>
      <c r="D50" s="848"/>
      <c r="E50" s="848"/>
      <c r="F50" s="848"/>
      <c r="G50" s="849"/>
      <c r="H50" s="869"/>
      <c r="I50" s="869"/>
      <c r="J50" s="869"/>
      <c r="K50" s="869"/>
      <c r="S50" s="173">
        <f>S49-'aktiv Pasiv'!H5</f>
        <v>0.24771136045455933</v>
      </c>
      <c r="T50" s="173">
        <f>T49-'aktiv Pasiv'!I5</f>
        <v>0.24999994784593582</v>
      </c>
      <c r="U50" s="342"/>
      <c r="AF50" s="375"/>
    </row>
    <row r="51" spans="1:34">
      <c r="A51" s="369"/>
      <c r="B51" s="847" t="s">
        <v>283</v>
      </c>
      <c r="C51" s="848"/>
      <c r="D51" s="848"/>
      <c r="E51" s="848"/>
      <c r="F51" s="848"/>
      <c r="G51" s="849"/>
      <c r="H51" s="869"/>
      <c r="I51" s="869"/>
      <c r="J51" s="869"/>
      <c r="K51" s="869"/>
      <c r="AF51" s="375"/>
    </row>
    <row r="52" spans="1:34">
      <c r="A52" s="369"/>
      <c r="B52" s="847" t="s">
        <v>284</v>
      </c>
      <c r="C52" s="848"/>
      <c r="D52" s="848"/>
      <c r="E52" s="848"/>
      <c r="F52" s="848"/>
      <c r="G52" s="849"/>
      <c r="H52" s="869"/>
      <c r="I52" s="869"/>
      <c r="J52" s="869"/>
      <c r="K52" s="869"/>
      <c r="W52" s="770" t="s">
        <v>141</v>
      </c>
      <c r="X52" s="770"/>
      <c r="Y52" s="770"/>
      <c r="Z52" s="770"/>
      <c r="AA52" s="770"/>
      <c r="AB52" s="196">
        <f>'aktiv Pasiv'!Q24</f>
        <v>6.7</v>
      </c>
      <c r="AC52" s="322">
        <f>'aktiv Pasiv'!R24</f>
        <v>3077872</v>
      </c>
      <c r="AD52" s="196">
        <f>'aktiv Pasiv'!S24</f>
        <v>0</v>
      </c>
      <c r="AE52" s="196">
        <f>'aktiv Pasiv'!T24</f>
        <v>0</v>
      </c>
      <c r="AF52" s="196">
        <f>'aktiv Pasiv'!U24</f>
        <v>0</v>
      </c>
      <c r="AH52" s="302">
        <f>AD52-AC52</f>
        <v>-3077872</v>
      </c>
    </row>
    <row r="53" spans="1:34">
      <c r="A53" s="369"/>
      <c r="B53" s="863" t="s">
        <v>296</v>
      </c>
      <c r="C53" s="864"/>
      <c r="D53" s="864"/>
      <c r="E53" s="864"/>
      <c r="F53" s="864"/>
      <c r="G53" s="865"/>
      <c r="H53" s="873"/>
      <c r="I53" s="874"/>
      <c r="J53" s="873"/>
      <c r="K53" s="874"/>
      <c r="AF53" s="375"/>
    </row>
    <row r="54" spans="1:34" ht="16.5">
      <c r="A54" s="369"/>
      <c r="B54" s="847" t="s">
        <v>286</v>
      </c>
      <c r="C54" s="848"/>
      <c r="D54" s="848"/>
      <c r="E54" s="848"/>
      <c r="F54" s="848"/>
      <c r="G54" s="849"/>
      <c r="H54" s="862"/>
      <c r="I54" s="862"/>
      <c r="J54" s="862"/>
      <c r="K54" s="862"/>
      <c r="L54" s="360"/>
      <c r="M54" s="914"/>
      <c r="N54" s="914"/>
      <c r="O54" s="914"/>
      <c r="P54" s="914"/>
      <c r="Q54" s="914"/>
      <c r="R54" s="914"/>
      <c r="S54" s="374"/>
      <c r="T54" s="374"/>
      <c r="AF54" s="55"/>
    </row>
    <row r="55" spans="1:34" ht="16.5">
      <c r="A55" s="369"/>
      <c r="B55" s="901" t="s">
        <v>288</v>
      </c>
      <c r="C55" s="902"/>
      <c r="D55" s="902"/>
      <c r="E55" s="902"/>
      <c r="F55" s="902"/>
      <c r="G55" s="903"/>
      <c r="H55" s="869"/>
      <c r="I55" s="869"/>
      <c r="J55" s="869"/>
      <c r="K55" s="869"/>
      <c r="L55" s="360"/>
      <c r="M55" s="914"/>
      <c r="N55" s="914"/>
      <c r="O55" s="914"/>
      <c r="P55" s="914"/>
      <c r="Q55" s="914"/>
      <c r="R55" s="914"/>
      <c r="S55" s="374"/>
      <c r="T55" s="374"/>
      <c r="AF55" s="55"/>
    </row>
    <row r="56" spans="1:34" ht="18.75">
      <c r="A56" s="293"/>
      <c r="B56" s="915" t="s">
        <v>290</v>
      </c>
      <c r="C56" s="916"/>
      <c r="D56" s="916"/>
      <c r="E56" s="916"/>
      <c r="F56" s="916"/>
      <c r="G56" s="917"/>
      <c r="H56" s="869"/>
      <c r="I56" s="869"/>
      <c r="J56" s="869"/>
      <c r="K56" s="869"/>
      <c r="L56" s="380"/>
      <c r="M56" s="914"/>
      <c r="N56" s="914"/>
      <c r="O56" s="914"/>
      <c r="P56" s="914"/>
      <c r="Q56" s="914"/>
      <c r="R56" s="914"/>
      <c r="S56" s="374"/>
      <c r="T56" s="374"/>
    </row>
    <row r="57" spans="1:34" ht="15.75">
      <c r="A57" s="293"/>
      <c r="B57" s="915" t="s">
        <v>291</v>
      </c>
      <c r="C57" s="848"/>
      <c r="D57" s="848"/>
      <c r="E57" s="848"/>
      <c r="F57" s="848"/>
      <c r="G57" s="849"/>
      <c r="H57" s="869"/>
      <c r="I57" s="869"/>
      <c r="J57" s="869"/>
      <c r="K57" s="869"/>
      <c r="L57" s="381"/>
      <c r="M57" s="914"/>
      <c r="N57" s="914"/>
      <c r="O57" s="914"/>
      <c r="P57" s="914"/>
      <c r="Q57" s="914"/>
      <c r="R57" s="914"/>
      <c r="S57" s="374"/>
      <c r="T57" s="374"/>
    </row>
    <row r="58" spans="1:34" ht="15.75">
      <c r="A58" s="293"/>
      <c r="B58" s="915" t="s">
        <v>297</v>
      </c>
      <c r="C58" s="848"/>
      <c r="D58" s="848"/>
      <c r="E58" s="848"/>
      <c r="F58" s="848"/>
      <c r="G58" s="849"/>
      <c r="H58" s="869"/>
      <c r="I58" s="869"/>
      <c r="J58" s="869"/>
      <c r="K58" s="869"/>
      <c r="L58" s="382"/>
      <c r="M58" s="914"/>
      <c r="N58" s="914"/>
      <c r="O58" s="914"/>
      <c r="P58" s="914"/>
      <c r="Q58" s="914"/>
      <c r="R58" s="914"/>
      <c r="S58" s="374"/>
      <c r="T58" s="374"/>
    </row>
    <row r="59" spans="1:34" ht="16.5">
      <c r="A59" s="383"/>
      <c r="B59" s="854"/>
      <c r="C59" s="855"/>
      <c r="D59" s="855"/>
      <c r="E59" s="855"/>
      <c r="F59" s="855"/>
      <c r="G59" s="856"/>
      <c r="H59" s="869"/>
      <c r="I59" s="869"/>
      <c r="J59" s="869"/>
      <c r="K59" s="869"/>
      <c r="L59" s="360"/>
      <c r="M59" s="914"/>
      <c r="N59" s="914"/>
      <c r="O59" s="914"/>
      <c r="P59" s="914"/>
      <c r="Q59" s="914"/>
      <c r="R59" s="914"/>
      <c r="S59" s="374"/>
      <c r="T59" s="374"/>
    </row>
    <row r="60" spans="1:34" ht="15.75" customHeight="1">
      <c r="A60" s="383"/>
      <c r="B60" s="854"/>
      <c r="C60" s="855"/>
      <c r="D60" s="855"/>
      <c r="E60" s="855"/>
      <c r="F60" s="855"/>
      <c r="G60" s="856"/>
      <c r="H60" s="869"/>
      <c r="I60" s="869"/>
      <c r="J60" s="869"/>
      <c r="K60" s="869"/>
      <c r="L60" s="360"/>
      <c r="M60" s="914"/>
      <c r="N60" s="914"/>
      <c r="O60" s="914"/>
      <c r="P60" s="914"/>
      <c r="Q60" s="914"/>
      <c r="R60" s="914"/>
      <c r="S60" s="374"/>
      <c r="T60" s="374"/>
    </row>
    <row r="61" spans="1:34" ht="15.75" customHeight="1">
      <c r="A61" s="384"/>
      <c r="B61" s="661"/>
      <c r="C61" s="662"/>
      <c r="D61" s="662"/>
      <c r="E61" s="662"/>
      <c r="F61" s="662"/>
      <c r="G61" s="663"/>
      <c r="H61" s="690"/>
      <c r="I61" s="690"/>
      <c r="J61" s="690"/>
      <c r="K61" s="690"/>
      <c r="L61" s="385"/>
      <c r="M61" s="918"/>
      <c r="N61" s="919"/>
      <c r="O61" s="919"/>
      <c r="P61" s="919"/>
      <c r="Q61" s="919"/>
      <c r="R61" s="920"/>
      <c r="S61" s="374"/>
      <c r="T61" s="374"/>
    </row>
    <row r="62" spans="1:34" ht="16.5">
      <c r="A62" s="384"/>
      <c r="B62" s="661"/>
      <c r="C62" s="662"/>
      <c r="D62" s="662"/>
      <c r="E62" s="662"/>
      <c r="F62" s="662"/>
      <c r="G62" s="663"/>
      <c r="H62" s="690"/>
      <c r="I62" s="690"/>
      <c r="J62" s="690"/>
      <c r="K62" s="690"/>
      <c r="L62" s="385"/>
      <c r="M62" s="918"/>
      <c r="N62" s="919"/>
      <c r="O62" s="919"/>
      <c r="P62" s="919"/>
      <c r="Q62" s="919"/>
      <c r="R62" s="920"/>
      <c r="S62" s="374"/>
      <c r="T62" s="374"/>
    </row>
    <row r="63" spans="1:34" ht="16.5">
      <c r="A63" s="384"/>
      <c r="B63" s="661"/>
      <c r="C63" s="662"/>
      <c r="D63" s="662"/>
      <c r="E63" s="662"/>
      <c r="F63" s="662"/>
      <c r="G63" s="663"/>
      <c r="H63" s="690"/>
      <c r="I63" s="690"/>
      <c r="J63" s="690"/>
      <c r="K63" s="690"/>
      <c r="L63" s="385"/>
      <c r="M63" s="918"/>
      <c r="N63" s="919"/>
      <c r="O63" s="919"/>
      <c r="P63" s="919"/>
      <c r="Q63" s="919"/>
      <c r="R63" s="920"/>
      <c r="S63" s="386"/>
      <c r="T63" s="386"/>
    </row>
    <row r="64" spans="1:34" ht="16.5">
      <c r="A64" s="384"/>
      <c r="B64" s="713"/>
      <c r="C64" s="714"/>
      <c r="D64" s="714"/>
      <c r="E64" s="714"/>
      <c r="F64" s="714"/>
      <c r="G64" s="715"/>
      <c r="H64" s="693"/>
      <c r="I64" s="693"/>
      <c r="J64" s="693"/>
      <c r="K64" s="693"/>
      <c r="L64" s="387"/>
      <c r="M64" s="918"/>
      <c r="N64" s="919"/>
      <c r="O64" s="919"/>
      <c r="P64" s="919"/>
      <c r="Q64" s="919"/>
      <c r="R64" s="920"/>
      <c r="S64" s="388"/>
      <c r="T64" s="388"/>
    </row>
    <row r="65" spans="1:20" ht="16.5">
      <c r="A65" s="384"/>
      <c r="B65" s="921"/>
      <c r="C65" s="922"/>
      <c r="D65" s="922"/>
      <c r="E65" s="922"/>
      <c r="F65" s="922"/>
      <c r="G65" s="923"/>
      <c r="H65" s="747"/>
      <c r="I65" s="747"/>
      <c r="J65" s="747"/>
      <c r="K65" s="747"/>
      <c r="L65" s="385"/>
      <c r="M65" s="918"/>
      <c r="N65" s="919"/>
      <c r="O65" s="919"/>
      <c r="P65" s="919"/>
      <c r="Q65" s="919"/>
      <c r="R65" s="920"/>
      <c r="S65" s="388"/>
      <c r="T65" s="388"/>
    </row>
    <row r="66" spans="1:20" ht="16.5">
      <c r="A66" s="384"/>
      <c r="B66" s="643"/>
      <c r="C66" s="644"/>
      <c r="D66" s="644"/>
      <c r="E66" s="644"/>
      <c r="F66" s="644"/>
      <c r="G66" s="645"/>
      <c r="H66" s="747"/>
      <c r="I66" s="747"/>
      <c r="J66" s="747"/>
      <c r="K66" s="747"/>
      <c r="L66" s="385"/>
      <c r="M66" s="918"/>
      <c r="N66" s="919"/>
      <c r="O66" s="919"/>
      <c r="P66" s="919"/>
      <c r="Q66" s="919"/>
      <c r="R66" s="920"/>
      <c r="S66" s="388"/>
      <c r="T66" s="388"/>
    </row>
    <row r="67" spans="1:20" ht="18.75">
      <c r="A67" s="384"/>
      <c r="B67" s="643"/>
      <c r="C67" s="644"/>
      <c r="D67" s="644"/>
      <c r="E67" s="644"/>
      <c r="F67" s="644"/>
      <c r="G67" s="645"/>
      <c r="H67" s="747"/>
      <c r="I67" s="747"/>
      <c r="J67" s="747"/>
      <c r="K67" s="747"/>
      <c r="L67" s="389"/>
      <c r="M67" s="918"/>
      <c r="N67" s="919"/>
      <c r="O67" s="919"/>
      <c r="P67" s="919"/>
      <c r="Q67" s="919"/>
      <c r="R67" s="920"/>
      <c r="S67" s="388"/>
      <c r="T67" s="388"/>
    </row>
    <row r="68" spans="1:20" ht="16.5">
      <c r="A68" s="384"/>
      <c r="B68" s="921"/>
      <c r="C68" s="922"/>
      <c r="D68" s="922"/>
      <c r="E68" s="922"/>
      <c r="F68" s="922"/>
      <c r="G68" s="923"/>
      <c r="H68" s="664"/>
      <c r="I68" s="664"/>
      <c r="J68" s="664"/>
      <c r="K68" s="664"/>
      <c r="L68" s="385"/>
      <c r="M68" s="918"/>
      <c r="N68" s="919"/>
      <c r="O68" s="919"/>
      <c r="P68" s="919"/>
      <c r="Q68" s="919"/>
      <c r="R68" s="920"/>
      <c r="S68" s="388"/>
      <c r="T68" s="388"/>
    </row>
    <row r="69" spans="1:20" ht="16.5">
      <c r="A69" s="384"/>
      <c r="B69" s="643"/>
      <c r="C69" s="644"/>
      <c r="D69" s="644"/>
      <c r="E69" s="644"/>
      <c r="F69" s="644"/>
      <c r="G69" s="645"/>
      <c r="H69" s="747"/>
      <c r="I69" s="747"/>
      <c r="J69" s="747"/>
      <c r="K69" s="747"/>
      <c r="L69" s="385"/>
      <c r="M69" s="918"/>
      <c r="N69" s="919"/>
      <c r="O69" s="919"/>
      <c r="P69" s="919"/>
      <c r="Q69" s="919"/>
      <c r="R69" s="920"/>
      <c r="S69" s="388"/>
      <c r="T69" s="388"/>
    </row>
    <row r="70" spans="1:20" ht="20.25">
      <c r="A70" s="384"/>
      <c r="B70" s="661"/>
      <c r="C70" s="662"/>
      <c r="D70" s="662"/>
      <c r="E70" s="662"/>
      <c r="F70" s="662"/>
      <c r="G70" s="663"/>
      <c r="H70" s="747"/>
      <c r="I70" s="747"/>
      <c r="J70" s="747"/>
      <c r="K70" s="747"/>
      <c r="L70" s="390"/>
      <c r="M70" s="918"/>
      <c r="N70" s="919"/>
      <c r="O70" s="919"/>
      <c r="P70" s="919"/>
      <c r="Q70" s="919"/>
      <c r="R70" s="920"/>
      <c r="S70" s="388"/>
      <c r="T70" s="388"/>
    </row>
    <row r="71" spans="1:20" ht="16.5">
      <c r="A71" s="384"/>
      <c r="B71" s="661"/>
      <c r="C71" s="662"/>
      <c r="D71" s="662"/>
      <c r="E71" s="662"/>
      <c r="F71" s="662"/>
      <c r="G71" s="663"/>
      <c r="H71" s="664"/>
      <c r="I71" s="664"/>
      <c r="J71" s="664"/>
      <c r="K71" s="664"/>
      <c r="L71" s="385"/>
      <c r="M71" s="924"/>
      <c r="N71" s="925"/>
      <c r="O71" s="925"/>
      <c r="P71" s="925"/>
      <c r="Q71" s="925"/>
      <c r="R71" s="926"/>
      <c r="S71" s="388"/>
      <c r="T71" s="388"/>
    </row>
    <row r="72" spans="1:20" ht="16.5">
      <c r="A72" s="384"/>
      <c r="B72" s="661"/>
      <c r="C72" s="662"/>
      <c r="D72" s="662"/>
      <c r="E72" s="662"/>
      <c r="F72" s="662"/>
      <c r="G72" s="663"/>
      <c r="H72" s="664"/>
      <c r="I72" s="664"/>
      <c r="J72" s="664"/>
      <c r="K72" s="664"/>
      <c r="L72" s="385"/>
      <c r="M72" s="661"/>
      <c r="N72" s="662"/>
      <c r="O72" s="662"/>
      <c r="P72" s="662"/>
      <c r="Q72" s="662"/>
      <c r="R72" s="663"/>
      <c r="S72" s="388"/>
      <c r="T72" s="388"/>
    </row>
    <row r="73" spans="1:20" ht="16.5">
      <c r="A73" s="384"/>
      <c r="B73" s="661"/>
      <c r="C73" s="662"/>
      <c r="D73" s="662"/>
      <c r="E73" s="662"/>
      <c r="F73" s="662"/>
      <c r="G73" s="663"/>
      <c r="H73" s="747"/>
      <c r="I73" s="747"/>
      <c r="J73" s="747"/>
      <c r="K73" s="747"/>
      <c r="L73" s="385"/>
      <c r="M73" s="643"/>
      <c r="N73" s="662"/>
      <c r="O73" s="662"/>
      <c r="P73" s="662"/>
      <c r="Q73" s="662"/>
      <c r="R73" s="663"/>
      <c r="S73" s="388"/>
      <c r="T73" s="388"/>
    </row>
    <row r="74" spans="1:20" ht="16.5">
      <c r="A74" s="384"/>
      <c r="B74" s="927"/>
      <c r="C74" s="928"/>
      <c r="D74" s="928"/>
      <c r="E74" s="928"/>
      <c r="F74" s="928"/>
      <c r="G74" s="929"/>
      <c r="H74" s="693"/>
      <c r="I74" s="693"/>
      <c r="J74" s="693"/>
      <c r="K74" s="693"/>
      <c r="L74" s="387"/>
      <c r="M74" s="661"/>
      <c r="N74" s="662"/>
      <c r="O74" s="662"/>
      <c r="P74" s="662"/>
      <c r="Q74" s="662"/>
      <c r="R74" s="663"/>
      <c r="S74" s="388"/>
      <c r="T74" s="388"/>
    </row>
    <row r="75" spans="1:20" ht="16.5">
      <c r="A75" s="384"/>
      <c r="B75" s="661"/>
      <c r="C75" s="662"/>
      <c r="D75" s="662"/>
      <c r="E75" s="662"/>
      <c r="F75" s="662"/>
      <c r="G75" s="663"/>
      <c r="H75" s="747"/>
      <c r="I75" s="747"/>
      <c r="J75" s="930"/>
      <c r="K75" s="931"/>
      <c r="L75" s="385"/>
      <c r="M75" s="643"/>
      <c r="N75" s="644"/>
      <c r="O75" s="644"/>
      <c r="P75" s="644"/>
      <c r="Q75" s="644"/>
      <c r="R75" s="645"/>
      <c r="S75" s="388"/>
      <c r="T75" s="388"/>
    </row>
    <row r="76" spans="1:20" ht="18.75">
      <c r="A76" s="391"/>
      <c r="B76" s="930"/>
      <c r="C76" s="932"/>
      <c r="D76" s="932"/>
      <c r="E76" s="932"/>
      <c r="F76" s="932"/>
      <c r="G76" s="931"/>
      <c r="H76" s="747"/>
      <c r="I76" s="747"/>
      <c r="J76" s="930"/>
      <c r="K76" s="931"/>
      <c r="L76" s="385"/>
      <c r="M76" s="661"/>
      <c r="N76" s="662"/>
      <c r="O76" s="662"/>
      <c r="P76" s="662"/>
      <c r="Q76" s="662"/>
      <c r="R76" s="663"/>
      <c r="S76" s="388"/>
      <c r="T76" s="388"/>
    </row>
    <row r="77" spans="1:20" ht="18.75">
      <c r="A77" s="391"/>
      <c r="B77" s="930"/>
      <c r="C77" s="932"/>
      <c r="D77" s="932"/>
      <c r="E77" s="932"/>
      <c r="F77" s="932"/>
      <c r="G77" s="931"/>
      <c r="H77" s="747"/>
      <c r="I77" s="747"/>
      <c r="J77" s="930"/>
      <c r="K77" s="931"/>
      <c r="L77" s="385"/>
      <c r="M77" s="661"/>
      <c r="N77" s="662"/>
      <c r="O77" s="662"/>
      <c r="P77" s="662"/>
      <c r="Q77" s="662"/>
      <c r="R77" s="663"/>
      <c r="S77" s="388"/>
      <c r="T77" s="388"/>
    </row>
    <row r="78" spans="1:20" ht="18.75">
      <c r="A78" s="391"/>
      <c r="B78" s="930"/>
      <c r="C78" s="932"/>
      <c r="D78" s="932"/>
      <c r="E78" s="932"/>
      <c r="F78" s="932"/>
      <c r="G78" s="931"/>
      <c r="H78" s="747"/>
      <c r="I78" s="747"/>
      <c r="J78" s="930"/>
      <c r="K78" s="931"/>
      <c r="L78" s="385"/>
      <c r="M78" s="921"/>
      <c r="N78" s="922"/>
      <c r="O78" s="922"/>
      <c r="P78" s="922"/>
      <c r="Q78" s="922"/>
      <c r="R78" s="923"/>
      <c r="S78" s="388"/>
      <c r="T78" s="388"/>
    </row>
    <row r="79" spans="1:20" ht="18.75">
      <c r="A79" s="391"/>
      <c r="B79" s="930"/>
      <c r="C79" s="932"/>
      <c r="D79" s="932"/>
      <c r="E79" s="932"/>
      <c r="F79" s="932"/>
      <c r="G79" s="931"/>
      <c r="H79" s="164"/>
      <c r="I79" s="165"/>
      <c r="J79" s="930"/>
      <c r="K79" s="931"/>
      <c r="L79" s="385"/>
      <c r="M79" s="661"/>
      <c r="N79" s="662"/>
      <c r="O79" s="662"/>
      <c r="P79" s="662"/>
      <c r="Q79" s="662"/>
      <c r="R79" s="663"/>
      <c r="S79" s="392"/>
      <c r="T79" s="392"/>
    </row>
  </sheetData>
  <mergeCells count="302">
    <mergeCell ref="B78:G78"/>
    <mergeCell ref="H78:I78"/>
    <mergeCell ref="J78:K78"/>
    <mergeCell ref="M78:R78"/>
    <mergeCell ref="B79:G79"/>
    <mergeCell ref="J79:K79"/>
    <mergeCell ref="M79:R79"/>
    <mergeCell ref="B76:G76"/>
    <mergeCell ref="H76:I76"/>
    <mergeCell ref="J76:K76"/>
    <mergeCell ref="M76:R76"/>
    <mergeCell ref="B77:G77"/>
    <mergeCell ref="H77:I77"/>
    <mergeCell ref="J77:K77"/>
    <mergeCell ref="M77:R77"/>
    <mergeCell ref="B74:G74"/>
    <mergeCell ref="H74:I74"/>
    <mergeCell ref="J74:K74"/>
    <mergeCell ref="M74:R74"/>
    <mergeCell ref="B75:G75"/>
    <mergeCell ref="H75:I75"/>
    <mergeCell ref="J75:K75"/>
    <mergeCell ref="M75:R75"/>
    <mergeCell ref="B72:G72"/>
    <mergeCell ref="H72:I72"/>
    <mergeCell ref="J72:K72"/>
    <mergeCell ref="M72:R72"/>
    <mergeCell ref="B73:G73"/>
    <mergeCell ref="H73:I73"/>
    <mergeCell ref="J73:K73"/>
    <mergeCell ref="M73:R73"/>
    <mergeCell ref="B70:G70"/>
    <mergeCell ref="H70:I70"/>
    <mergeCell ref="J70:K70"/>
    <mergeCell ref="M70:R70"/>
    <mergeCell ref="B71:G71"/>
    <mergeCell ref="H71:I71"/>
    <mergeCell ref="J71:K71"/>
    <mergeCell ref="M71:R71"/>
    <mergeCell ref="B68:G68"/>
    <mergeCell ref="H68:I68"/>
    <mergeCell ref="J68:K68"/>
    <mergeCell ref="M68:R68"/>
    <mergeCell ref="B69:G69"/>
    <mergeCell ref="H69:I69"/>
    <mergeCell ref="J69:K69"/>
    <mergeCell ref="M69:R69"/>
    <mergeCell ref="B66:G66"/>
    <mergeCell ref="H66:I66"/>
    <mergeCell ref="J66:K66"/>
    <mergeCell ref="M66:R66"/>
    <mergeCell ref="B67:G67"/>
    <mergeCell ref="H67:I67"/>
    <mergeCell ref="J67:K67"/>
    <mergeCell ref="M67:R67"/>
    <mergeCell ref="B64:G64"/>
    <mergeCell ref="H64:I64"/>
    <mergeCell ref="J64:K64"/>
    <mergeCell ref="M64:R64"/>
    <mergeCell ref="B65:G65"/>
    <mergeCell ref="H65:I65"/>
    <mergeCell ref="J65:K65"/>
    <mergeCell ref="M65:R65"/>
    <mergeCell ref="B62:G62"/>
    <mergeCell ref="H62:I62"/>
    <mergeCell ref="J62:K62"/>
    <mergeCell ref="M62:R62"/>
    <mergeCell ref="B63:G63"/>
    <mergeCell ref="H63:I63"/>
    <mergeCell ref="J63:K63"/>
    <mergeCell ref="M63:R63"/>
    <mergeCell ref="B60:G60"/>
    <mergeCell ref="H60:I60"/>
    <mergeCell ref="J60:K60"/>
    <mergeCell ref="M60:R60"/>
    <mergeCell ref="B61:G61"/>
    <mergeCell ref="H61:I61"/>
    <mergeCell ref="J61:K61"/>
    <mergeCell ref="M61:R61"/>
    <mergeCell ref="B58:G58"/>
    <mergeCell ref="H58:I58"/>
    <mergeCell ref="J58:K58"/>
    <mergeCell ref="M58:R58"/>
    <mergeCell ref="B59:G59"/>
    <mergeCell ref="H59:I59"/>
    <mergeCell ref="J59:K59"/>
    <mergeCell ref="M59:R59"/>
    <mergeCell ref="B56:G56"/>
    <mergeCell ref="H56:I56"/>
    <mergeCell ref="J56:K56"/>
    <mergeCell ref="M56:R56"/>
    <mergeCell ref="B57:G57"/>
    <mergeCell ref="H57:I57"/>
    <mergeCell ref="J57:K57"/>
    <mergeCell ref="M57:R57"/>
    <mergeCell ref="B54:G54"/>
    <mergeCell ref="H54:I54"/>
    <mergeCell ref="J54:K54"/>
    <mergeCell ref="M54:R54"/>
    <mergeCell ref="B55:G55"/>
    <mergeCell ref="H55:I55"/>
    <mergeCell ref="J55:K55"/>
    <mergeCell ref="M55:R55"/>
    <mergeCell ref="B52:G52"/>
    <mergeCell ref="H52:I52"/>
    <mergeCell ref="J52:K52"/>
    <mergeCell ref="W52:AA52"/>
    <mergeCell ref="B53:G53"/>
    <mergeCell ref="H53:I53"/>
    <mergeCell ref="J53:K53"/>
    <mergeCell ref="W49:AA49"/>
    <mergeCell ref="B50:G50"/>
    <mergeCell ref="H50:I50"/>
    <mergeCell ref="J50:K50"/>
    <mergeCell ref="B51:G51"/>
    <mergeCell ref="H51:I51"/>
    <mergeCell ref="J51:K51"/>
    <mergeCell ref="B48:G48"/>
    <mergeCell ref="H48:I48"/>
    <mergeCell ref="J48:K48"/>
    <mergeCell ref="M48:R48"/>
    <mergeCell ref="B49:G49"/>
    <mergeCell ref="H49:I49"/>
    <mergeCell ref="J49:K49"/>
    <mergeCell ref="M49:R49"/>
    <mergeCell ref="B46:G46"/>
    <mergeCell ref="H46:I46"/>
    <mergeCell ref="J46:K46"/>
    <mergeCell ref="M46:R46"/>
    <mergeCell ref="B47:G47"/>
    <mergeCell ref="H47:I47"/>
    <mergeCell ref="J47:K47"/>
    <mergeCell ref="M47:R47"/>
    <mergeCell ref="B44:G44"/>
    <mergeCell ref="H44:I44"/>
    <mergeCell ref="J44:K44"/>
    <mergeCell ref="W44:AA44"/>
    <mergeCell ref="B45:G45"/>
    <mergeCell ref="H45:I45"/>
    <mergeCell ref="J45:K45"/>
    <mergeCell ref="W45:AA45"/>
    <mergeCell ref="B42:G42"/>
    <mergeCell ref="H42:I42"/>
    <mergeCell ref="J42:K42"/>
    <mergeCell ref="B43:G43"/>
    <mergeCell ref="H43:I43"/>
    <mergeCell ref="J43:K43"/>
    <mergeCell ref="B40:G40"/>
    <mergeCell ref="H40:I40"/>
    <mergeCell ref="J40:K40"/>
    <mergeCell ref="B41:G41"/>
    <mergeCell ref="H41:I41"/>
    <mergeCell ref="J41:K41"/>
    <mergeCell ref="B38:G38"/>
    <mergeCell ref="H38:I38"/>
    <mergeCell ref="J38:K38"/>
    <mergeCell ref="B39:G39"/>
    <mergeCell ref="H39:I39"/>
    <mergeCell ref="J39:K39"/>
    <mergeCell ref="B36:G36"/>
    <mergeCell ref="H36:I36"/>
    <mergeCell ref="J36:K36"/>
    <mergeCell ref="B37:G37"/>
    <mergeCell ref="H37:I37"/>
    <mergeCell ref="J37:K37"/>
    <mergeCell ref="N31:P31"/>
    <mergeCell ref="W31:AA31"/>
    <mergeCell ref="N32:P32"/>
    <mergeCell ref="N33:P33"/>
    <mergeCell ref="N34:P34"/>
    <mergeCell ref="N35:P35"/>
    <mergeCell ref="J29:K29"/>
    <mergeCell ref="N29:P29"/>
    <mergeCell ref="B30:G30"/>
    <mergeCell ref="H30:I30"/>
    <mergeCell ref="J30:K30"/>
    <mergeCell ref="N30:P30"/>
    <mergeCell ref="B27:G27"/>
    <mergeCell ref="H27:I27"/>
    <mergeCell ref="J27:K27"/>
    <mergeCell ref="N27:P27"/>
    <mergeCell ref="B24:G24"/>
    <mergeCell ref="H24:I24"/>
    <mergeCell ref="J24:K24"/>
    <mergeCell ref="N24:P24"/>
    <mergeCell ref="V24:V36"/>
    <mergeCell ref="W24:AA24"/>
    <mergeCell ref="B25:G25"/>
    <mergeCell ref="H25:I25"/>
    <mergeCell ref="J25:K25"/>
    <mergeCell ref="N25:P25"/>
    <mergeCell ref="W27:AA27"/>
    <mergeCell ref="B28:G28"/>
    <mergeCell ref="H28:I28"/>
    <mergeCell ref="J28:K28"/>
    <mergeCell ref="N28:P28"/>
    <mergeCell ref="W28:AA28"/>
    <mergeCell ref="W25:AA25"/>
    <mergeCell ref="B26:G26"/>
    <mergeCell ref="H26:I26"/>
    <mergeCell ref="J26:K26"/>
    <mergeCell ref="N26:P26"/>
    <mergeCell ref="W26:AA26"/>
    <mergeCell ref="B29:G29"/>
    <mergeCell ref="H29:I29"/>
    <mergeCell ref="B22:G22"/>
    <mergeCell ref="H22:I22"/>
    <mergeCell ref="J22:K22"/>
    <mergeCell ref="M22:R22"/>
    <mergeCell ref="W22:AA22"/>
    <mergeCell ref="B23:G23"/>
    <mergeCell ref="H23:I23"/>
    <mergeCell ref="J23:K23"/>
    <mergeCell ref="M23:R23"/>
    <mergeCell ref="W23:AA23"/>
    <mergeCell ref="B20:G20"/>
    <mergeCell ref="H20:I20"/>
    <mergeCell ref="J20:K20"/>
    <mergeCell ref="W20:AA20"/>
    <mergeCell ref="B21:G21"/>
    <mergeCell ref="H21:I21"/>
    <mergeCell ref="J21:K21"/>
    <mergeCell ref="M21:R21"/>
    <mergeCell ref="B18:G18"/>
    <mergeCell ref="H18:I18"/>
    <mergeCell ref="J18:K18"/>
    <mergeCell ref="M18:R18"/>
    <mergeCell ref="W18:AA18"/>
    <mergeCell ref="B19:G19"/>
    <mergeCell ref="H19:I19"/>
    <mergeCell ref="J19:K19"/>
    <mergeCell ref="W19:AA19"/>
    <mergeCell ref="W16:AA16"/>
    <mergeCell ref="B17:G17"/>
    <mergeCell ref="H17:I17"/>
    <mergeCell ref="J17:K17"/>
    <mergeCell ref="M17:R17"/>
    <mergeCell ref="W17:AA17"/>
    <mergeCell ref="B15:G15"/>
    <mergeCell ref="H15:I15"/>
    <mergeCell ref="J15:K15"/>
    <mergeCell ref="M15:R15"/>
    <mergeCell ref="B16:G16"/>
    <mergeCell ref="H16:I16"/>
    <mergeCell ref="J16:K16"/>
    <mergeCell ref="M16:R16"/>
    <mergeCell ref="B13:G13"/>
    <mergeCell ref="H13:I13"/>
    <mergeCell ref="J13:K13"/>
    <mergeCell ref="M13:R13"/>
    <mergeCell ref="B14:G14"/>
    <mergeCell ref="H14:I14"/>
    <mergeCell ref="J14:K14"/>
    <mergeCell ref="M14:R14"/>
    <mergeCell ref="M11:R11"/>
    <mergeCell ref="B12:G12"/>
    <mergeCell ref="H12:I12"/>
    <mergeCell ref="J12:K12"/>
    <mergeCell ref="M12:R12"/>
    <mergeCell ref="W12:AA12"/>
    <mergeCell ref="B10:G10"/>
    <mergeCell ref="H10:I10"/>
    <mergeCell ref="J10:K10"/>
    <mergeCell ref="B11:G11"/>
    <mergeCell ref="H11:I11"/>
    <mergeCell ref="J11:K11"/>
    <mergeCell ref="B8:G8"/>
    <mergeCell ref="H8:I8"/>
    <mergeCell ref="J8:K8"/>
    <mergeCell ref="W8:AA8"/>
    <mergeCell ref="B9:G9"/>
    <mergeCell ref="H9:I9"/>
    <mergeCell ref="J9:K9"/>
    <mergeCell ref="W9:AA9"/>
    <mergeCell ref="B6:G6"/>
    <mergeCell ref="H6:I6"/>
    <mergeCell ref="J6:K6"/>
    <mergeCell ref="W6:AA6"/>
    <mergeCell ref="B7:G7"/>
    <mergeCell ref="H7:I7"/>
    <mergeCell ref="J7:K7"/>
    <mergeCell ref="P7:Q7"/>
    <mergeCell ref="W7:AA7"/>
    <mergeCell ref="B4:G4"/>
    <mergeCell ref="H4:I4"/>
    <mergeCell ref="J4:K4"/>
    <mergeCell ref="M4:R4"/>
    <mergeCell ref="W4:AA4"/>
    <mergeCell ref="B5:G5"/>
    <mergeCell ref="H5:I5"/>
    <mergeCell ref="J5:K5"/>
    <mergeCell ref="M5:R5"/>
    <mergeCell ref="W5:AA5"/>
    <mergeCell ref="A1:K1"/>
    <mergeCell ref="A2:G2"/>
    <mergeCell ref="H2:I2"/>
    <mergeCell ref="J2:K2"/>
    <mergeCell ref="L2:R2"/>
    <mergeCell ref="B3:G3"/>
    <mergeCell ref="H3:I3"/>
    <mergeCell ref="J3:K3"/>
    <mergeCell ref="M3:R3"/>
  </mergeCells>
  <pageMargins left="0.51" right="0.25" top="1" bottom="1" header="0.51" footer="0.5"/>
  <pageSetup scale="77" orientation="portrait" r:id="rId1"/>
  <headerFooter differentFirst="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3:P86"/>
  <sheetViews>
    <sheetView topLeftCell="A44" workbookViewId="0">
      <selection activeCell="E84" sqref="E84"/>
    </sheetView>
  </sheetViews>
  <sheetFormatPr defaultRowHeight="12.75"/>
  <cols>
    <col min="1" max="1" width="0.42578125" customWidth="1"/>
    <col min="2" max="2" width="6.28515625" customWidth="1"/>
    <col min="3" max="3" width="21.85546875" customWidth="1"/>
    <col min="4" max="4" width="18" bestFit="1" customWidth="1"/>
    <col min="5" max="5" width="24.85546875" bestFit="1" customWidth="1"/>
    <col min="6" max="6" width="27.140625" customWidth="1"/>
    <col min="7" max="7" width="20.85546875" bestFit="1" customWidth="1"/>
    <col min="8" max="8" width="20.7109375" customWidth="1"/>
    <col min="9" max="9" width="15.85546875" customWidth="1"/>
    <col min="10" max="10" width="16.5703125" customWidth="1"/>
    <col min="11" max="11" width="16" customWidth="1"/>
    <col min="12" max="12" width="13.5703125" bestFit="1" customWidth="1"/>
    <col min="14" max="14" width="15.5703125" bestFit="1" customWidth="1"/>
    <col min="15" max="16" width="14" bestFit="1" customWidth="1"/>
  </cols>
  <sheetData>
    <row r="3" spans="1:9" ht="13.5" thickBot="1"/>
    <row r="4" spans="1:9" ht="21.75" thickBot="1">
      <c r="B4" s="933" t="s">
        <v>298</v>
      </c>
      <c r="C4" s="934"/>
      <c r="D4" s="934"/>
      <c r="E4" s="934"/>
      <c r="F4" s="935"/>
    </row>
    <row r="6" spans="1:9" ht="15">
      <c r="C6" s="393" t="s">
        <v>299</v>
      </c>
    </row>
    <row r="7" spans="1:9" ht="36.75" customHeight="1">
      <c r="A7" s="394" t="s">
        <v>300</v>
      </c>
      <c r="B7" s="395" t="s">
        <v>301</v>
      </c>
      <c r="C7" s="396" t="s">
        <v>302</v>
      </c>
      <c r="D7" s="397" t="s">
        <v>303</v>
      </c>
      <c r="E7" s="398" t="s">
        <v>304</v>
      </c>
      <c r="F7" s="398" t="s">
        <v>305</v>
      </c>
      <c r="G7" s="398" t="s">
        <v>306</v>
      </c>
      <c r="H7" s="398" t="s">
        <v>307</v>
      </c>
    </row>
    <row r="8" spans="1:9" ht="15">
      <c r="A8" s="399">
        <v>2121</v>
      </c>
      <c r="B8" s="400">
        <v>212</v>
      </c>
      <c r="C8" s="112" t="s">
        <v>308</v>
      </c>
      <c r="D8" s="401">
        <v>13452955</v>
      </c>
      <c r="E8" s="401">
        <v>271351.11698630138</v>
      </c>
      <c r="F8" s="402">
        <f t="shared" ref="F8:F13" si="0">D8-E8</f>
        <v>13181603.883013699</v>
      </c>
      <c r="G8" s="401">
        <v>659080.19415068487</v>
      </c>
      <c r="H8" s="401">
        <f t="shared" ref="H8:H13" si="1">F8-G8</f>
        <v>12522523.688863015</v>
      </c>
    </row>
    <row r="9" spans="1:9" ht="15">
      <c r="A9" s="399">
        <v>2131</v>
      </c>
      <c r="B9" s="400">
        <v>213</v>
      </c>
      <c r="C9" s="112" t="s">
        <v>309</v>
      </c>
      <c r="D9" s="403">
        <v>6701821.3700000001</v>
      </c>
      <c r="E9" s="401">
        <v>5647.9600958904111</v>
      </c>
      <c r="F9" s="402">
        <f t="shared" si="0"/>
        <v>6696173.4099041093</v>
      </c>
      <c r="G9" s="401">
        <v>496866.15247602738</v>
      </c>
      <c r="H9" s="401">
        <f t="shared" si="1"/>
        <v>6199307.2574280817</v>
      </c>
    </row>
    <row r="10" spans="1:9" ht="15">
      <c r="A10" s="399">
        <v>215</v>
      </c>
      <c r="B10" s="400">
        <v>215</v>
      </c>
      <c r="C10" s="112" t="s">
        <v>310</v>
      </c>
      <c r="D10" s="403">
        <v>3804265.71</v>
      </c>
      <c r="E10" s="401">
        <v>0</v>
      </c>
      <c r="F10" s="402">
        <f t="shared" si="0"/>
        <v>3804265.71</v>
      </c>
      <c r="G10" s="401">
        <v>760853.14199999999</v>
      </c>
      <c r="H10" s="401">
        <f t="shared" si="1"/>
        <v>3043412.568</v>
      </c>
    </row>
    <row r="11" spans="1:9" ht="15">
      <c r="A11" s="399">
        <v>2181</v>
      </c>
      <c r="B11" s="400">
        <v>2181</v>
      </c>
      <c r="C11" s="112" t="s">
        <v>311</v>
      </c>
      <c r="D11" s="401">
        <v>48846101.969999991</v>
      </c>
      <c r="E11" s="401">
        <v>2868937.3241534252</v>
      </c>
      <c r="F11" s="402">
        <f t="shared" si="0"/>
        <v>45977164.645846568</v>
      </c>
      <c r="G11" s="401">
        <v>9195432.9291693177</v>
      </c>
      <c r="H11" s="401">
        <f t="shared" si="1"/>
        <v>36781731.716677248</v>
      </c>
    </row>
    <row r="12" spans="1:9" ht="15">
      <c r="A12" s="399">
        <v>2182</v>
      </c>
      <c r="B12" s="400">
        <v>2182</v>
      </c>
      <c r="C12" s="112" t="s">
        <v>312</v>
      </c>
      <c r="D12" s="401">
        <v>6579092.6400000006</v>
      </c>
      <c r="E12" s="401">
        <v>397133.97458904114</v>
      </c>
      <c r="F12" s="402">
        <f t="shared" si="0"/>
        <v>6181958.6654109592</v>
      </c>
      <c r="G12" s="401">
        <v>1535175.4738595891</v>
      </c>
      <c r="H12" s="401">
        <f t="shared" si="1"/>
        <v>4646783.1915513705</v>
      </c>
    </row>
    <row r="13" spans="1:9" ht="15">
      <c r="A13" s="399">
        <v>2188</v>
      </c>
      <c r="B13" s="400">
        <v>2183</v>
      </c>
      <c r="C13" s="112" t="s">
        <v>313</v>
      </c>
      <c r="D13" s="401">
        <v>3604445.81</v>
      </c>
      <c r="E13" s="404">
        <v>138590.50783561642</v>
      </c>
      <c r="F13" s="402">
        <f t="shared" si="0"/>
        <v>3465855.3021643837</v>
      </c>
      <c r="G13" s="401">
        <v>840638.97317260271</v>
      </c>
      <c r="H13" s="401">
        <f t="shared" si="1"/>
        <v>2625216.328991781</v>
      </c>
    </row>
    <row r="14" spans="1:9" ht="15.75">
      <c r="C14" t="s">
        <v>314</v>
      </c>
      <c r="D14" s="405">
        <f>SUM(D8:D13)</f>
        <v>82988682.5</v>
      </c>
      <c r="E14" s="405">
        <f>SUM(E8:E13)</f>
        <v>3681660.8836602741</v>
      </c>
      <c r="F14" s="405">
        <f>SUM(F8:F13)</f>
        <v>79307021.616339728</v>
      </c>
      <c r="G14" s="406">
        <f>SUM(G8:G13)</f>
        <v>13488046.864828223</v>
      </c>
      <c r="H14" s="407">
        <f>SUM(H8:H13)</f>
        <v>65818974.751511492</v>
      </c>
      <c r="I14" s="98">
        <f>F14-G14-H14</f>
        <v>0</v>
      </c>
    </row>
    <row r="15" spans="1:9">
      <c r="F15" s="408">
        <v>40178</v>
      </c>
      <c r="H15" s="408">
        <v>40543</v>
      </c>
    </row>
    <row r="17" spans="2:10">
      <c r="E17" s="98"/>
    </row>
    <row r="18" spans="2:10" ht="19.5" customHeight="1">
      <c r="B18" s="409" t="s">
        <v>315</v>
      </c>
      <c r="C18" s="409"/>
      <c r="D18" s="409"/>
      <c r="E18" s="409"/>
      <c r="F18" s="409"/>
      <c r="G18" s="410"/>
    </row>
    <row r="19" spans="2:10" ht="15" customHeight="1">
      <c r="B19" s="936" t="s">
        <v>316</v>
      </c>
      <c r="C19" s="936"/>
      <c r="D19" s="411" t="s">
        <v>317</v>
      </c>
      <c r="E19" s="412" t="s">
        <v>304</v>
      </c>
      <c r="F19" s="412" t="s">
        <v>318</v>
      </c>
      <c r="G19" s="412" t="s">
        <v>306</v>
      </c>
      <c r="H19" s="412" t="s">
        <v>307</v>
      </c>
    </row>
    <row r="20" spans="2:10" s="419" customFormat="1" ht="15" customHeight="1">
      <c r="B20" s="413">
        <v>2121</v>
      </c>
      <c r="C20" s="112" t="s">
        <v>308</v>
      </c>
      <c r="D20" s="414">
        <v>1159400</v>
      </c>
      <c r="E20" s="415">
        <v>0</v>
      </c>
      <c r="F20" s="416">
        <f t="shared" ref="F20:F27" si="2">D20-E20</f>
        <v>1159400</v>
      </c>
      <c r="G20" s="417">
        <v>38911.369863013701</v>
      </c>
      <c r="H20" s="418">
        <f>F20-G20</f>
        <v>1120488.6301369863</v>
      </c>
    </row>
    <row r="21" spans="2:10" s="419" customFormat="1" ht="15" customHeight="1">
      <c r="B21" s="413">
        <v>2131</v>
      </c>
      <c r="C21" s="420" t="s">
        <v>319</v>
      </c>
      <c r="D21" s="414">
        <v>87043</v>
      </c>
      <c r="E21" s="415">
        <v>0</v>
      </c>
      <c r="F21" s="416">
        <f t="shared" si="2"/>
        <v>87043</v>
      </c>
      <c r="G21" s="417">
        <v>2921.3061643835617</v>
      </c>
      <c r="H21" s="418">
        <f t="shared" ref="H21:H27" si="3">F21-G21</f>
        <v>84121.693835616432</v>
      </c>
    </row>
    <row r="22" spans="2:10" ht="15">
      <c r="B22" s="112">
        <v>2134</v>
      </c>
      <c r="C22" s="421" t="s">
        <v>320</v>
      </c>
      <c r="D22" s="422">
        <v>1200252</v>
      </c>
      <c r="E22" s="401">
        <v>0</v>
      </c>
      <c r="F22" s="416">
        <f t="shared" si="2"/>
        <v>1200252</v>
      </c>
      <c r="G22" s="402">
        <v>250737.57534246577</v>
      </c>
      <c r="H22" s="418">
        <f t="shared" si="3"/>
        <v>949514.42465753423</v>
      </c>
    </row>
    <row r="23" spans="2:10" ht="15">
      <c r="B23" s="112">
        <v>2135</v>
      </c>
      <c r="C23" s="421" t="s">
        <v>321</v>
      </c>
      <c r="D23" s="422">
        <v>10178.959999999999</v>
      </c>
      <c r="E23" s="401">
        <v>0</v>
      </c>
      <c r="F23" s="416">
        <f t="shared" si="2"/>
        <v>10178.959999999999</v>
      </c>
      <c r="G23" s="401">
        <v>1776.7005479452057</v>
      </c>
      <c r="H23" s="418">
        <f t="shared" si="3"/>
        <v>8402.2594520547937</v>
      </c>
    </row>
    <row r="24" spans="2:10" ht="15">
      <c r="B24" s="112">
        <v>2181</v>
      </c>
      <c r="C24" s="421" t="s">
        <v>322</v>
      </c>
      <c r="D24" s="422">
        <v>501883.13</v>
      </c>
      <c r="E24" s="401">
        <v>0</v>
      </c>
      <c r="F24" s="416">
        <f t="shared" si="2"/>
        <v>501883.13</v>
      </c>
      <c r="G24" s="423">
        <v>61075.029819178075</v>
      </c>
      <c r="H24" s="418">
        <f t="shared" si="3"/>
        <v>440808.10018082196</v>
      </c>
    </row>
    <row r="25" spans="2:10" ht="15">
      <c r="B25" s="112">
        <v>2182</v>
      </c>
      <c r="C25" s="421" t="s">
        <v>323</v>
      </c>
      <c r="D25" s="424">
        <v>3759180.52</v>
      </c>
      <c r="E25" s="401">
        <v>0</v>
      </c>
      <c r="F25" s="416">
        <f t="shared" si="2"/>
        <v>3759180.52</v>
      </c>
      <c r="G25" s="401">
        <v>565787.23128082219</v>
      </c>
      <c r="H25" s="418">
        <f t="shared" si="3"/>
        <v>3193393.2887191777</v>
      </c>
    </row>
    <row r="26" spans="2:10" ht="15">
      <c r="B26" s="112">
        <v>2813</v>
      </c>
      <c r="C26" s="421" t="s">
        <v>270</v>
      </c>
      <c r="D26" s="424">
        <v>2488032</v>
      </c>
      <c r="E26" s="401">
        <v>0</v>
      </c>
      <c r="F26" s="416">
        <f t="shared" si="2"/>
        <v>2488032</v>
      </c>
      <c r="G26" s="401">
        <v>113835.98465753425</v>
      </c>
      <c r="H26" s="418">
        <f t="shared" si="3"/>
        <v>2374196.0153424656</v>
      </c>
    </row>
    <row r="27" spans="2:10">
      <c r="B27" s="112">
        <v>231</v>
      </c>
      <c r="C27" s="421" t="s">
        <v>324</v>
      </c>
      <c r="D27" s="401">
        <v>740166</v>
      </c>
      <c r="E27" s="401">
        <v>0</v>
      </c>
      <c r="F27" s="416">
        <f t="shared" si="2"/>
        <v>740166</v>
      </c>
      <c r="G27" s="401">
        <v>0</v>
      </c>
      <c r="H27" s="418">
        <f t="shared" si="3"/>
        <v>740166</v>
      </c>
    </row>
    <row r="28" spans="2:10" ht="15.75">
      <c r="D28" s="405">
        <f>SUM(D20:D27)</f>
        <v>9946135.6099999994</v>
      </c>
      <c r="E28" s="405">
        <f>SUM(E20:E27)</f>
        <v>0</v>
      </c>
      <c r="F28" s="405">
        <f>SUM(F20:F27)</f>
        <v>9946135.6099999994</v>
      </c>
      <c r="G28" s="425">
        <f>SUM(G20:G27)</f>
        <v>1035045.1976753428</v>
      </c>
      <c r="H28" s="426">
        <f>SUM(H20:H27)</f>
        <v>8911090.4123246558</v>
      </c>
    </row>
    <row r="29" spans="2:10">
      <c r="F29" s="408"/>
      <c r="H29" s="408">
        <v>40543</v>
      </c>
    </row>
    <row r="30" spans="2:10" ht="13.5" thickBot="1"/>
    <row r="31" spans="2:10" ht="47.25" customHeight="1" thickBot="1">
      <c r="B31" s="937" t="s">
        <v>325</v>
      </c>
      <c r="C31" s="938"/>
      <c r="D31" s="427" t="s">
        <v>326</v>
      </c>
      <c r="E31" s="428" t="s">
        <v>304</v>
      </c>
      <c r="F31" s="428" t="s">
        <v>318</v>
      </c>
      <c r="G31" s="428" t="s">
        <v>306</v>
      </c>
      <c r="H31" s="429" t="s">
        <v>307</v>
      </c>
      <c r="I31" s="430" t="s">
        <v>327</v>
      </c>
      <c r="J31" s="431" t="s">
        <v>328</v>
      </c>
    </row>
    <row r="32" spans="2:10">
      <c r="B32" s="432">
        <v>2121</v>
      </c>
      <c r="C32" s="122" t="s">
        <v>308</v>
      </c>
      <c r="D32" s="402">
        <f t="shared" ref="D32:H33" si="4">D8+D20</f>
        <v>14612355</v>
      </c>
      <c r="E32" s="402">
        <f t="shared" si="4"/>
        <v>271351.11698630138</v>
      </c>
      <c r="F32" s="402">
        <f t="shared" si="4"/>
        <v>14341003.883013699</v>
      </c>
      <c r="G32" s="402">
        <f t="shared" si="4"/>
        <v>697991.5640136986</v>
      </c>
      <c r="H32" s="433">
        <f t="shared" si="4"/>
        <v>13643012.319000002</v>
      </c>
      <c r="I32" s="434">
        <f>E32+G32</f>
        <v>969342.68099999998</v>
      </c>
      <c r="J32" s="112">
        <v>2912</v>
      </c>
    </row>
    <row r="33" spans="2:16">
      <c r="B33" s="75">
        <v>2131</v>
      </c>
      <c r="C33" s="112" t="s">
        <v>309</v>
      </c>
      <c r="D33" s="402">
        <f t="shared" si="4"/>
        <v>6788864.3700000001</v>
      </c>
      <c r="E33" s="402">
        <f t="shared" si="4"/>
        <v>5647.9600958904111</v>
      </c>
      <c r="F33" s="402">
        <f t="shared" si="4"/>
        <v>6783216.4099041093</v>
      </c>
      <c r="G33" s="402">
        <f t="shared" si="4"/>
        <v>499787.45864041091</v>
      </c>
      <c r="H33" s="433">
        <f t="shared" si="4"/>
        <v>6283428.9512636978</v>
      </c>
      <c r="I33" s="434">
        <f t="shared" ref="I33:I41" si="5">E33+G33</f>
        <v>505435.4187363013</v>
      </c>
      <c r="J33" s="112">
        <v>2913</v>
      </c>
    </row>
    <row r="34" spans="2:16">
      <c r="B34" s="75">
        <v>2813</v>
      </c>
      <c r="C34" s="421" t="s">
        <v>270</v>
      </c>
      <c r="D34" s="402">
        <f>D26</f>
        <v>2488032</v>
      </c>
      <c r="E34" s="402">
        <f>E26</f>
        <v>0</v>
      </c>
      <c r="F34" s="402">
        <f>F26</f>
        <v>2488032</v>
      </c>
      <c r="G34" s="402">
        <f>G26</f>
        <v>113835.98465753425</v>
      </c>
      <c r="H34" s="434">
        <f>H26</f>
        <v>2374196.0153424656</v>
      </c>
      <c r="I34" s="434">
        <f>E34+G34</f>
        <v>113835.98465753425</v>
      </c>
      <c r="J34" s="112">
        <v>29813</v>
      </c>
    </row>
    <row r="35" spans="2:16">
      <c r="B35" s="75">
        <v>215</v>
      </c>
      <c r="C35" s="112" t="s">
        <v>310</v>
      </c>
      <c r="D35" s="402">
        <f>D10</f>
        <v>3804265.71</v>
      </c>
      <c r="E35" s="402">
        <f>E10</f>
        <v>0</v>
      </c>
      <c r="F35" s="402">
        <f>F10</f>
        <v>3804265.71</v>
      </c>
      <c r="G35" s="435">
        <f>G10</f>
        <v>760853.14199999999</v>
      </c>
      <c r="H35" s="433">
        <f>H10</f>
        <v>3043412.568</v>
      </c>
      <c r="I35" s="434">
        <f t="shared" si="5"/>
        <v>760853.14199999999</v>
      </c>
      <c r="J35" s="112">
        <v>2915</v>
      </c>
    </row>
    <row r="36" spans="2:16">
      <c r="B36" s="75">
        <v>2181</v>
      </c>
      <c r="C36" s="112" t="s">
        <v>311</v>
      </c>
      <c r="D36" s="402">
        <f t="shared" ref="D36:H37" si="6">D11+D24</f>
        <v>49347985.099999994</v>
      </c>
      <c r="E36" s="402">
        <f t="shared" si="6"/>
        <v>2868937.3241534252</v>
      </c>
      <c r="F36" s="402">
        <f t="shared" si="6"/>
        <v>46479047.775846571</v>
      </c>
      <c r="G36" s="402">
        <f t="shared" si="6"/>
        <v>9256507.9589884952</v>
      </c>
      <c r="H36" s="433">
        <f t="shared" si="6"/>
        <v>37222539.816858068</v>
      </c>
      <c r="I36" s="434">
        <f t="shared" si="5"/>
        <v>12125445.28314192</v>
      </c>
      <c r="J36" s="112">
        <v>29181</v>
      </c>
    </row>
    <row r="37" spans="2:16">
      <c r="B37" s="75">
        <v>2182</v>
      </c>
      <c r="C37" s="112" t="s">
        <v>312</v>
      </c>
      <c r="D37" s="402">
        <f>D12+D25</f>
        <v>10338273.16</v>
      </c>
      <c r="E37" s="402">
        <f t="shared" si="6"/>
        <v>397133.97458904114</v>
      </c>
      <c r="F37" s="402">
        <f t="shared" si="6"/>
        <v>9941139.1854109596</v>
      </c>
      <c r="G37" s="402">
        <f t="shared" si="6"/>
        <v>2100962.7051404114</v>
      </c>
      <c r="H37" s="433">
        <f t="shared" si="6"/>
        <v>7840176.4802705478</v>
      </c>
      <c r="I37" s="436">
        <f t="shared" si="5"/>
        <v>2498096.6797294524</v>
      </c>
      <c r="J37" s="112">
        <v>29182</v>
      </c>
    </row>
    <row r="38" spans="2:16">
      <c r="B38" s="75">
        <f>A13</f>
        <v>2188</v>
      </c>
      <c r="C38" s="112" t="str">
        <f t="shared" ref="C38:H38" si="7">C13</f>
        <v>te tjera paisje informatike  KLASA( 2183)</v>
      </c>
      <c r="D38" s="402">
        <f t="shared" si="7"/>
        <v>3604445.81</v>
      </c>
      <c r="E38" s="402">
        <f t="shared" si="7"/>
        <v>138590.50783561642</v>
      </c>
      <c r="F38" s="402">
        <f t="shared" si="7"/>
        <v>3465855.3021643837</v>
      </c>
      <c r="G38" s="402">
        <f t="shared" si="7"/>
        <v>840638.97317260271</v>
      </c>
      <c r="H38" s="433">
        <f t="shared" si="7"/>
        <v>2625216.328991781</v>
      </c>
      <c r="I38" s="434">
        <f t="shared" si="5"/>
        <v>979229.48100821907</v>
      </c>
      <c r="J38" s="112">
        <v>29183</v>
      </c>
    </row>
    <row r="39" spans="2:16">
      <c r="B39" s="75">
        <v>231</v>
      </c>
      <c r="C39" s="421" t="s">
        <v>324</v>
      </c>
      <c r="D39" s="401">
        <v>740166</v>
      </c>
      <c r="E39" s="401">
        <v>0</v>
      </c>
      <c r="F39" s="401">
        <v>740166</v>
      </c>
      <c r="G39" s="401">
        <v>0</v>
      </c>
      <c r="H39" s="437">
        <v>740166</v>
      </c>
      <c r="I39" s="434">
        <f t="shared" si="5"/>
        <v>0</v>
      </c>
      <c r="J39" s="112"/>
    </row>
    <row r="40" spans="2:16">
      <c r="B40" s="75">
        <v>2134</v>
      </c>
      <c r="C40" s="421" t="s">
        <v>320</v>
      </c>
      <c r="D40" s="402">
        <f>D22</f>
        <v>1200252</v>
      </c>
      <c r="E40" s="402">
        <f t="shared" ref="E40:H41" si="8">E22</f>
        <v>0</v>
      </c>
      <c r="F40" s="402">
        <f t="shared" si="8"/>
        <v>1200252</v>
      </c>
      <c r="G40" s="402">
        <f t="shared" si="8"/>
        <v>250737.57534246577</v>
      </c>
      <c r="H40" s="433">
        <f t="shared" si="8"/>
        <v>949514.42465753423</v>
      </c>
      <c r="I40" s="434">
        <f t="shared" si="5"/>
        <v>250737.57534246577</v>
      </c>
      <c r="J40" s="112">
        <v>29134</v>
      </c>
    </row>
    <row r="41" spans="2:16" ht="15.75" thickBot="1">
      <c r="B41" s="75">
        <v>2135</v>
      </c>
      <c r="C41" s="421" t="s">
        <v>321</v>
      </c>
      <c r="D41" s="438">
        <f>D23</f>
        <v>10178.959999999999</v>
      </c>
      <c r="E41" s="438">
        <f t="shared" si="8"/>
        <v>0</v>
      </c>
      <c r="F41" s="438">
        <f t="shared" si="8"/>
        <v>10178.959999999999</v>
      </c>
      <c r="G41" s="438">
        <f t="shared" si="8"/>
        <v>1776.7005479452057</v>
      </c>
      <c r="H41" s="439">
        <f t="shared" si="8"/>
        <v>8402.2594520547937</v>
      </c>
      <c r="I41" s="434">
        <f t="shared" si="5"/>
        <v>1776.7005479452057</v>
      </c>
      <c r="J41" s="112">
        <v>29135</v>
      </c>
    </row>
    <row r="42" spans="2:16" ht="15.75" thickBot="1">
      <c r="B42" s="440"/>
      <c r="C42" s="441"/>
      <c r="D42" s="442">
        <f t="shared" ref="D42:I42" si="9">SUM(D32:D41)</f>
        <v>92934818.109999985</v>
      </c>
      <c r="E42" s="442">
        <f t="shared" si="9"/>
        <v>3681660.8836602741</v>
      </c>
      <c r="F42" s="442">
        <f t="shared" si="9"/>
        <v>89253157.226339728</v>
      </c>
      <c r="G42" s="442">
        <f t="shared" si="9"/>
        <v>14523092.062503563</v>
      </c>
      <c r="H42" s="443">
        <f>SUM(H32:H41)</f>
        <v>74730065.163836166</v>
      </c>
      <c r="I42" s="435">
        <f t="shared" si="9"/>
        <v>18204752.946163837</v>
      </c>
    </row>
    <row r="43" spans="2:16" ht="13.5" thickBot="1">
      <c r="D43" s="98">
        <f>D42-D28-D14</f>
        <v>0</v>
      </c>
      <c r="E43" s="98">
        <f>E42-E28-E14</f>
        <v>0</v>
      </c>
      <c r="F43" s="98">
        <f>F42-F28-F14</f>
        <v>0</v>
      </c>
      <c r="G43" s="98">
        <f>G42-G28-G14</f>
        <v>0</v>
      </c>
      <c r="H43" s="98">
        <f>H42-H28-H14</f>
        <v>0</v>
      </c>
    </row>
    <row r="44" spans="2:16" ht="21.75" thickBot="1">
      <c r="B44" s="933" t="s">
        <v>329</v>
      </c>
      <c r="C44" s="934"/>
      <c r="D44" s="934"/>
      <c r="E44" s="934"/>
      <c r="F44" s="935"/>
      <c r="L44" s="98"/>
    </row>
    <row r="45" spans="2:16" ht="13.5" thickBot="1"/>
    <row r="46" spans="2:16" ht="30.75" thickBot="1">
      <c r="B46" s="444" t="s">
        <v>330</v>
      </c>
      <c r="C46" s="445" t="s">
        <v>331</v>
      </c>
      <c r="D46" s="446" t="s">
        <v>326</v>
      </c>
      <c r="E46" s="447" t="s">
        <v>332</v>
      </c>
      <c r="F46" s="448" t="s">
        <v>333</v>
      </c>
      <c r="G46" s="449" t="s">
        <v>334</v>
      </c>
      <c r="H46" s="450" t="s">
        <v>335</v>
      </c>
      <c r="I46" s="451" t="s">
        <v>336</v>
      </c>
      <c r="J46" s="452" t="s">
        <v>337</v>
      </c>
      <c r="K46" s="453" t="s">
        <v>338</v>
      </c>
      <c r="L46" s="250" t="s">
        <v>339</v>
      </c>
      <c r="N46" s="250" t="s">
        <v>340</v>
      </c>
      <c r="O46">
        <v>2011</v>
      </c>
      <c r="P46">
        <v>2010</v>
      </c>
    </row>
    <row r="47" spans="2:16" s="419" customFormat="1" ht="15">
      <c r="B47" s="454">
        <v>215</v>
      </c>
      <c r="C47" s="455" t="s">
        <v>252</v>
      </c>
      <c r="D47" s="456">
        <v>3804265.71</v>
      </c>
      <c r="E47" s="339">
        <f>F47-D47</f>
        <v>5891054.0000000009</v>
      </c>
      <c r="F47" s="457">
        <v>9695319.7100000009</v>
      </c>
      <c r="G47" s="458">
        <f>J47-I47</f>
        <v>760852.62205369899</v>
      </c>
      <c r="H47" s="459">
        <f>D47-G47</f>
        <v>3043413.0879463009</v>
      </c>
      <c r="I47" s="460">
        <v>926067.617946301</v>
      </c>
      <c r="J47" s="461">
        <v>1686920.24</v>
      </c>
      <c r="K47" s="462">
        <f>F47-J47</f>
        <v>8008399.4700000007</v>
      </c>
      <c r="L47" s="419">
        <v>2915</v>
      </c>
      <c r="N47" s="463">
        <v>5.4</v>
      </c>
      <c r="O47" s="464">
        <f>D47+E47-J47</f>
        <v>8008399.4700000007</v>
      </c>
      <c r="P47" s="464">
        <f>D47-G47</f>
        <v>3043413.0879463009</v>
      </c>
    </row>
    <row r="48" spans="2:16" ht="15">
      <c r="B48" s="465">
        <v>231</v>
      </c>
      <c r="C48" s="466" t="s">
        <v>254</v>
      </c>
      <c r="D48" s="467">
        <v>740166</v>
      </c>
      <c r="E48" s="468">
        <f t="shared" ref="E48:E58" si="10">F48-D48</f>
        <v>0</v>
      </c>
      <c r="F48" s="469">
        <v>740166</v>
      </c>
      <c r="G48" s="470">
        <f t="shared" ref="G48:G58" si="11">J48-I48</f>
        <v>1.4551915228366852E-10</v>
      </c>
      <c r="H48" s="471">
        <f t="shared" ref="H48:H58" si="12">D48-G48</f>
        <v>740165.99999999988</v>
      </c>
      <c r="I48" s="472">
        <v>36906.907397260278</v>
      </c>
      <c r="J48" s="473">
        <f t="shared" ref="J48:J58" si="13">F48-K48</f>
        <v>36906.907397260424</v>
      </c>
      <c r="K48" s="474">
        <v>703259.09260273958</v>
      </c>
      <c r="L48">
        <v>2931</v>
      </c>
      <c r="N48" s="475" t="s">
        <v>341</v>
      </c>
      <c r="O48" s="98">
        <f t="shared" ref="O48:O58" si="14">D48+E48-J48</f>
        <v>703259.09260273958</v>
      </c>
      <c r="P48" s="98">
        <f t="shared" ref="P48:P58" si="15">D48-G48</f>
        <v>740165.99999999988</v>
      </c>
    </row>
    <row r="49" spans="2:16" ht="15">
      <c r="B49" s="465">
        <v>2121</v>
      </c>
      <c r="C49" s="466" t="s">
        <v>256</v>
      </c>
      <c r="D49" s="467">
        <v>14612355</v>
      </c>
      <c r="E49" s="468">
        <f t="shared" si="10"/>
        <v>18566684.699999999</v>
      </c>
      <c r="F49" s="469">
        <v>33179039.699999999</v>
      </c>
      <c r="G49" s="470">
        <f t="shared" si="11"/>
        <v>969342.68099999963</v>
      </c>
      <c r="H49" s="471">
        <f t="shared" si="12"/>
        <v>13643012.319</v>
      </c>
      <c r="I49" s="472">
        <v>808776.9057967125</v>
      </c>
      <c r="J49" s="473">
        <f t="shared" si="13"/>
        <v>1778119.5867967121</v>
      </c>
      <c r="K49" s="474">
        <v>31400920.113203287</v>
      </c>
      <c r="L49">
        <v>2912</v>
      </c>
      <c r="N49" s="475" t="s">
        <v>342</v>
      </c>
      <c r="O49" s="98">
        <f t="shared" si="14"/>
        <v>31400920.113203287</v>
      </c>
      <c r="P49" s="98">
        <f t="shared" si="15"/>
        <v>13643012.319</v>
      </c>
    </row>
    <row r="50" spans="2:16" ht="15">
      <c r="B50" s="465">
        <v>2131</v>
      </c>
      <c r="C50" s="476" t="s">
        <v>258</v>
      </c>
      <c r="D50" s="467">
        <v>6788864.3700000001</v>
      </c>
      <c r="E50" s="468">
        <f t="shared" si="10"/>
        <v>4425388.6935000001</v>
      </c>
      <c r="F50" s="469">
        <v>11214253.0635</v>
      </c>
      <c r="G50" s="470">
        <f t="shared" si="11"/>
        <v>505435.41873630299</v>
      </c>
      <c r="H50" s="471">
        <f t="shared" si="12"/>
        <v>6283428.9512636969</v>
      </c>
      <c r="I50" s="472">
        <v>955314.73898794339</v>
      </c>
      <c r="J50" s="473">
        <f t="shared" si="13"/>
        <v>1460750.1577242464</v>
      </c>
      <c r="K50" s="474">
        <v>9753502.9057757538</v>
      </c>
      <c r="L50">
        <v>2913</v>
      </c>
      <c r="N50" s="475" t="s">
        <v>343</v>
      </c>
      <c r="O50" s="98">
        <f>D50+E50-J50</f>
        <v>9753502.9057757538</v>
      </c>
      <c r="P50" s="98">
        <f t="shared" si="15"/>
        <v>6283428.9512636969</v>
      </c>
    </row>
    <row r="51" spans="2:16" ht="15">
      <c r="B51" s="465">
        <v>2132</v>
      </c>
      <c r="C51" s="477" t="s">
        <v>260</v>
      </c>
      <c r="D51" s="467">
        <v>0</v>
      </c>
      <c r="E51" s="468">
        <f t="shared" si="10"/>
        <v>11317541.553094</v>
      </c>
      <c r="F51" s="469">
        <v>11317541.553094</v>
      </c>
      <c r="G51" s="470">
        <f t="shared" si="11"/>
        <v>4.6566128730773926E-10</v>
      </c>
      <c r="H51" s="471">
        <f t="shared" si="12"/>
        <v>-4.6566128730773926E-10</v>
      </c>
      <c r="I51" s="472">
        <v>424925.97052186308</v>
      </c>
      <c r="J51" s="473">
        <f>F51-K51</f>
        <v>424925.97052186355</v>
      </c>
      <c r="K51" s="474">
        <v>10892615.582572136</v>
      </c>
      <c r="L51">
        <v>2913</v>
      </c>
      <c r="N51" s="475" t="s">
        <v>343</v>
      </c>
      <c r="O51" s="98">
        <f t="shared" si="14"/>
        <v>10892615.582572136</v>
      </c>
      <c r="P51" s="98">
        <f t="shared" si="15"/>
        <v>-4.6566128730773926E-10</v>
      </c>
    </row>
    <row r="52" spans="2:16" ht="15">
      <c r="B52" s="465">
        <v>2133</v>
      </c>
      <c r="C52" s="477" t="s">
        <v>260</v>
      </c>
      <c r="D52" s="467">
        <v>0</v>
      </c>
      <c r="E52" s="468">
        <f t="shared" si="10"/>
        <v>17025283.854499999</v>
      </c>
      <c r="F52" s="469">
        <v>17025283.854499999</v>
      </c>
      <c r="G52" s="470">
        <f t="shared" si="11"/>
        <v>0</v>
      </c>
      <c r="H52" s="471">
        <f t="shared" si="12"/>
        <v>0</v>
      </c>
      <c r="I52" s="472">
        <v>1212391.4613358905</v>
      </c>
      <c r="J52" s="473">
        <f t="shared" si="13"/>
        <v>1212391.46133589</v>
      </c>
      <c r="K52" s="474">
        <v>15812892.393164109</v>
      </c>
      <c r="L52">
        <v>2193</v>
      </c>
      <c r="N52" s="475" t="s">
        <v>343</v>
      </c>
      <c r="O52" s="98">
        <f t="shared" si="14"/>
        <v>15812892.393164109</v>
      </c>
      <c r="P52" s="98">
        <f t="shared" si="15"/>
        <v>0</v>
      </c>
    </row>
    <row r="53" spans="2:16" ht="15">
      <c r="B53" s="465">
        <v>2134</v>
      </c>
      <c r="C53" s="477" t="s">
        <v>263</v>
      </c>
      <c r="D53" s="467">
        <v>1200252</v>
      </c>
      <c r="E53" s="468">
        <f t="shared" si="10"/>
        <v>15250</v>
      </c>
      <c r="F53" s="469">
        <v>1215502</v>
      </c>
      <c r="G53" s="470">
        <f t="shared" si="11"/>
        <v>250737.57534246577</v>
      </c>
      <c r="H53" s="471">
        <f t="shared" si="12"/>
        <v>949514.42465753423</v>
      </c>
      <c r="I53" s="472">
        <v>239017.84285982361</v>
      </c>
      <c r="J53" s="473">
        <f t="shared" si="13"/>
        <v>489755.41820228938</v>
      </c>
      <c r="K53" s="474">
        <v>725746.58179771062</v>
      </c>
      <c r="L53">
        <v>29134</v>
      </c>
      <c r="N53" s="475" t="s">
        <v>343</v>
      </c>
      <c r="O53" s="98">
        <f t="shared" si="14"/>
        <v>725746.58179771062</v>
      </c>
      <c r="P53" s="98">
        <f t="shared" si="15"/>
        <v>949514.42465753423</v>
      </c>
    </row>
    <row r="54" spans="2:16" ht="15">
      <c r="B54" s="465">
        <v>2135</v>
      </c>
      <c r="C54" s="477" t="s">
        <v>264</v>
      </c>
      <c r="D54" s="467">
        <v>10178.959999999999</v>
      </c>
      <c r="E54" s="468">
        <f t="shared" si="10"/>
        <v>18434024.2234</v>
      </c>
      <c r="F54" s="469">
        <v>18444203.183400001</v>
      </c>
      <c r="G54" s="470">
        <f t="shared" si="11"/>
        <v>1776.7005479461513</v>
      </c>
      <c r="H54" s="471">
        <f t="shared" si="12"/>
        <v>8402.2594520538478</v>
      </c>
      <c r="I54" s="472">
        <v>1062339.9190984578</v>
      </c>
      <c r="J54" s="473">
        <f t="shared" si="13"/>
        <v>1064116.6196464039</v>
      </c>
      <c r="K54" s="474">
        <v>17380086.563753597</v>
      </c>
      <c r="L54">
        <v>29135</v>
      </c>
      <c r="N54" s="475" t="s">
        <v>343</v>
      </c>
      <c r="O54" s="98">
        <f t="shared" si="14"/>
        <v>17380086.563753597</v>
      </c>
      <c r="P54" s="98">
        <f t="shared" si="15"/>
        <v>8402.2594520538478</v>
      </c>
    </row>
    <row r="55" spans="2:16" ht="15">
      <c r="B55" s="465">
        <v>2181</v>
      </c>
      <c r="C55" s="478" t="s">
        <v>265</v>
      </c>
      <c r="D55" s="479">
        <v>49347985.099999994</v>
      </c>
      <c r="E55" s="468">
        <f t="shared" si="10"/>
        <v>39326801.296428099</v>
      </c>
      <c r="F55" s="469">
        <v>88674786.396428093</v>
      </c>
      <c r="G55" s="470">
        <f t="shared" si="11"/>
        <v>12125445.283141918</v>
      </c>
      <c r="H55" s="471">
        <f t="shared" si="12"/>
        <v>37222539.816858076</v>
      </c>
      <c r="I55" s="472">
        <v>11332725.923180737</v>
      </c>
      <c r="J55" s="473">
        <f t="shared" si="13"/>
        <v>23458171.206322655</v>
      </c>
      <c r="K55" s="474">
        <v>65216615.190105438</v>
      </c>
      <c r="L55">
        <v>29181</v>
      </c>
      <c r="N55" s="475" t="s">
        <v>344</v>
      </c>
      <c r="O55" s="98">
        <f t="shared" si="14"/>
        <v>65216615.190105438</v>
      </c>
      <c r="P55" s="98">
        <f t="shared" si="15"/>
        <v>37222539.816858076</v>
      </c>
    </row>
    <row r="56" spans="2:16" ht="15">
      <c r="B56" s="480">
        <v>2182</v>
      </c>
      <c r="C56" s="478" t="s">
        <v>267</v>
      </c>
      <c r="D56" s="479">
        <v>10338273.16</v>
      </c>
      <c r="E56" s="468">
        <f t="shared" si="10"/>
        <v>13101692.1613665</v>
      </c>
      <c r="F56" s="469">
        <v>23439965.3213665</v>
      </c>
      <c r="G56" s="470">
        <f t="shared" si="11"/>
        <v>2498096.6797294524</v>
      </c>
      <c r="H56" s="471">
        <f t="shared" si="12"/>
        <v>7840176.4802705478</v>
      </c>
      <c r="I56" s="472">
        <v>3032761.9127551373</v>
      </c>
      <c r="J56" s="473">
        <f t="shared" si="13"/>
        <v>5530858.5924845897</v>
      </c>
      <c r="K56" s="474">
        <v>17909106.72888191</v>
      </c>
      <c r="L56">
        <v>29182</v>
      </c>
      <c r="N56" s="475" t="s">
        <v>345</v>
      </c>
      <c r="O56" s="98">
        <f t="shared" si="14"/>
        <v>17909106.72888191</v>
      </c>
      <c r="P56" s="98">
        <f t="shared" si="15"/>
        <v>7840176.4802705478</v>
      </c>
    </row>
    <row r="57" spans="2:16" ht="15">
      <c r="B57" s="465">
        <v>2188</v>
      </c>
      <c r="C57" s="478" t="s">
        <v>269</v>
      </c>
      <c r="D57" s="467">
        <v>3604445.81</v>
      </c>
      <c r="E57" s="468">
        <f t="shared" si="10"/>
        <v>0</v>
      </c>
      <c r="F57" s="469">
        <v>3604445.81</v>
      </c>
      <c r="G57" s="470">
        <f t="shared" si="11"/>
        <v>979229.48100821907</v>
      </c>
      <c r="H57" s="471">
        <f t="shared" si="12"/>
        <v>2625216.328991781</v>
      </c>
      <c r="I57" s="472">
        <v>633902.70939327916</v>
      </c>
      <c r="J57" s="473">
        <f t="shared" si="13"/>
        <v>1613132.1904014982</v>
      </c>
      <c r="K57" s="474">
        <v>1991313.6195985018</v>
      </c>
      <c r="L57">
        <v>29188</v>
      </c>
      <c r="N57" s="475" t="s">
        <v>346</v>
      </c>
      <c r="O57" s="98">
        <f t="shared" si="14"/>
        <v>1991313.6195985018</v>
      </c>
      <c r="P57" s="98">
        <f t="shared" si="15"/>
        <v>2625216.328991781</v>
      </c>
    </row>
    <row r="58" spans="2:16" ht="15.75" thickBot="1">
      <c r="B58" s="481">
        <v>2813</v>
      </c>
      <c r="C58" s="482" t="s">
        <v>270</v>
      </c>
      <c r="D58" s="483">
        <v>2488032</v>
      </c>
      <c r="E58" s="484">
        <f t="shared" si="10"/>
        <v>0</v>
      </c>
      <c r="F58" s="485">
        <v>2488032</v>
      </c>
      <c r="G58" s="486">
        <f t="shared" si="11"/>
        <v>113835.98465753421</v>
      </c>
      <c r="H58" s="471">
        <f t="shared" si="12"/>
        <v>2374196.0153424656</v>
      </c>
      <c r="I58" s="487">
        <v>118384.56843625447</v>
      </c>
      <c r="J58" s="488">
        <f t="shared" si="13"/>
        <v>232220.55309378868</v>
      </c>
      <c r="K58" s="489">
        <v>2255811.4469062113</v>
      </c>
      <c r="L58">
        <v>29188</v>
      </c>
      <c r="N58" s="475" t="s">
        <v>343</v>
      </c>
      <c r="O58" s="98">
        <f t="shared" si="14"/>
        <v>2255811.4469062113</v>
      </c>
      <c r="P58" s="98">
        <f t="shared" si="15"/>
        <v>2374196.0153424656</v>
      </c>
    </row>
    <row r="59" spans="2:16" ht="15.75" thickBot="1">
      <c r="B59" s="490" t="s">
        <v>347</v>
      </c>
      <c r="C59" s="491"/>
      <c r="D59" s="492">
        <f t="shared" ref="D59:I59" si="16">SUM(D47:D58)</f>
        <v>92934818.109999999</v>
      </c>
      <c r="E59" s="492">
        <f t="shared" si="16"/>
        <v>128103720.4822886</v>
      </c>
      <c r="F59" s="493">
        <f>SUM(F47:F58)</f>
        <v>221038538.59228858</v>
      </c>
      <c r="G59" s="493">
        <f>SUM(G47:G58)</f>
        <v>18204752.426217537</v>
      </c>
      <c r="H59" s="494">
        <f>SUM(H47:H58)</f>
        <v>74730065.683782458</v>
      </c>
      <c r="I59" s="492">
        <f t="shared" si="16"/>
        <v>20783516.477709655</v>
      </c>
      <c r="J59" s="492">
        <f>SUM(J47:J58)</f>
        <v>38988268.903927192</v>
      </c>
      <c r="K59" s="492">
        <f>SUM(K47:K58)</f>
        <v>182050269.68836141</v>
      </c>
    </row>
    <row r="60" spans="2:16" ht="30">
      <c r="D60" s="250" t="s">
        <v>348</v>
      </c>
      <c r="E60" s="495">
        <f>E59/D59</f>
        <v>1.3784254716102398</v>
      </c>
      <c r="F60" s="98"/>
      <c r="G60" s="402"/>
      <c r="H60" s="402"/>
      <c r="I60" s="496" t="s">
        <v>349</v>
      </c>
      <c r="J60" s="496" t="s">
        <v>350</v>
      </c>
      <c r="K60" s="496" t="s">
        <v>351</v>
      </c>
    </row>
    <row r="62" spans="2:16">
      <c r="G62" s="250" t="s">
        <v>352</v>
      </c>
    </row>
    <row r="63" spans="2:16">
      <c r="G63" s="78">
        <f>F59-G59</f>
        <v>202833786.16607106</v>
      </c>
    </row>
    <row r="65" spans="3:9">
      <c r="C65" s="497" t="s">
        <v>94</v>
      </c>
      <c r="D65" s="395" t="s">
        <v>353</v>
      </c>
      <c r="E65" s="395" t="s">
        <v>354</v>
      </c>
      <c r="F65" s="395" t="s">
        <v>355</v>
      </c>
      <c r="G65" s="498" t="s">
        <v>356</v>
      </c>
      <c r="H65" s="395" t="s">
        <v>357</v>
      </c>
    </row>
    <row r="66" spans="3:9">
      <c r="C66" s="421" t="s">
        <v>358</v>
      </c>
      <c r="D66" s="205">
        <f>D49</f>
        <v>14612355</v>
      </c>
      <c r="E66" s="205">
        <f>E49</f>
        <v>18566684.699999999</v>
      </c>
      <c r="F66" s="205">
        <f>G49</f>
        <v>969342.68099999963</v>
      </c>
      <c r="G66" s="205">
        <f>I49</f>
        <v>808776.9057967125</v>
      </c>
      <c r="H66" s="205">
        <f>K49</f>
        <v>31400920.113203287</v>
      </c>
    </row>
    <row r="67" spans="3:9">
      <c r="C67" s="421" t="s">
        <v>359</v>
      </c>
      <c r="D67" s="205">
        <f>SUM(D50:D52)</f>
        <v>6788864.3700000001</v>
      </c>
      <c r="E67" s="205">
        <f>SUM(E50:E52)</f>
        <v>32768214.101094</v>
      </c>
      <c r="F67" s="205">
        <f>SUM(G50:G52)</f>
        <v>505435.41873630346</v>
      </c>
      <c r="G67" s="205">
        <f>SUM(I50:I52)</f>
        <v>2592632.1708456967</v>
      </c>
      <c r="H67" s="205">
        <f>SUM(K50:K52)</f>
        <v>36459010.881512001</v>
      </c>
    </row>
    <row r="68" spans="3:9">
      <c r="C68" s="421" t="s">
        <v>360</v>
      </c>
      <c r="D68" s="205">
        <f>D48</f>
        <v>740166</v>
      </c>
      <c r="E68" s="205">
        <f>E48</f>
        <v>0</v>
      </c>
      <c r="F68" s="205">
        <f>G48</f>
        <v>1.4551915228366852E-10</v>
      </c>
      <c r="G68" s="205">
        <f>I48</f>
        <v>36906.907397260278</v>
      </c>
      <c r="H68" s="205">
        <f>K48</f>
        <v>703259.09260273958</v>
      </c>
    </row>
    <row r="69" spans="3:9">
      <c r="C69" s="421" t="s">
        <v>361</v>
      </c>
      <c r="D69" s="205">
        <f>D47</f>
        <v>3804265.71</v>
      </c>
      <c r="E69" s="205">
        <f>E47</f>
        <v>5891054.0000000009</v>
      </c>
      <c r="F69" s="205">
        <f>G47</f>
        <v>760852.62205369899</v>
      </c>
      <c r="G69" s="205">
        <f>I47</f>
        <v>926067.617946301</v>
      </c>
      <c r="H69" s="205">
        <f>K47</f>
        <v>8008399.4700000007</v>
      </c>
    </row>
    <row r="70" spans="3:9">
      <c r="C70" s="421" t="s">
        <v>362</v>
      </c>
      <c r="D70" s="205">
        <f>SUM(D53:D55)</f>
        <v>50558416.059999995</v>
      </c>
      <c r="E70" s="205">
        <f>SUM(E53:E55)</f>
        <v>57776075.519828096</v>
      </c>
      <c r="F70" s="205">
        <f>SUM(G53:G55)</f>
        <v>12377959.55903233</v>
      </c>
      <c r="G70" s="205">
        <f>SUM(I53:I55)</f>
        <v>12634083.685139019</v>
      </c>
      <c r="H70" s="205">
        <f>SUM(K53:K55)</f>
        <v>83322448.335656747</v>
      </c>
    </row>
    <row r="71" spans="3:9">
      <c r="C71" s="421" t="s">
        <v>363</v>
      </c>
      <c r="D71" s="205">
        <f>D56</f>
        <v>10338273.16</v>
      </c>
      <c r="E71" s="205">
        <f>E56</f>
        <v>13101692.1613665</v>
      </c>
      <c r="F71" s="205">
        <f>G56</f>
        <v>2498096.6797294524</v>
      </c>
      <c r="G71" s="205">
        <f>I56</f>
        <v>3032761.9127551373</v>
      </c>
      <c r="H71" s="205">
        <f>K56</f>
        <v>17909106.72888191</v>
      </c>
    </row>
    <row r="72" spans="3:9" ht="13.5" thickBot="1">
      <c r="C72" s="421" t="s">
        <v>364</v>
      </c>
      <c r="D72" s="499">
        <f>D57+D58</f>
        <v>6092477.8100000005</v>
      </c>
      <c r="E72" s="205">
        <f>E57+E58</f>
        <v>0</v>
      </c>
      <c r="F72" s="205">
        <f>G57+G58</f>
        <v>1093065.4656657532</v>
      </c>
      <c r="G72" s="205">
        <f>I57+I58</f>
        <v>752287.27782953368</v>
      </c>
      <c r="H72" s="205">
        <f>K57+K58</f>
        <v>4247125.0665047131</v>
      </c>
    </row>
    <row r="73" spans="3:9" ht="13.5" thickBot="1">
      <c r="D73" s="500">
        <f>SUM(D66:D72)</f>
        <v>92934818.109999999</v>
      </c>
      <c r="E73" s="500">
        <f>SUM(E66:E72)</f>
        <v>128103720.4822886</v>
      </c>
      <c r="F73" s="500">
        <f>SUM(F66:F72)</f>
        <v>18204752.426217537</v>
      </c>
      <c r="G73" s="500">
        <f>SUM(G66:G72)</f>
        <v>20783516.477709666</v>
      </c>
      <c r="H73" s="500">
        <f>SUM(H66:H72)</f>
        <v>182050269.68836141</v>
      </c>
    </row>
    <row r="74" spans="3:9">
      <c r="D74" s="78">
        <f>SUM(D66:D72)-D59</f>
        <v>0</v>
      </c>
      <c r="E74" s="78">
        <f>E73*0.2</f>
        <v>25620744.09645772</v>
      </c>
      <c r="F74" s="78">
        <f>SUM(G66:G72)-I59</f>
        <v>0</v>
      </c>
      <c r="G74" s="78">
        <f>SUM(H66:H72)-K59</f>
        <v>0</v>
      </c>
    </row>
    <row r="76" spans="3:9" ht="15.75">
      <c r="C76" s="501" t="s">
        <v>365</v>
      </c>
    </row>
    <row r="77" spans="3:9">
      <c r="C77" s="502" t="s">
        <v>366</v>
      </c>
      <c r="D77" s="502" t="s">
        <v>367</v>
      </c>
      <c r="E77" s="502" t="s">
        <v>368</v>
      </c>
      <c r="F77" s="502" t="s">
        <v>369</v>
      </c>
      <c r="G77" s="502" t="s">
        <v>370</v>
      </c>
      <c r="H77" s="502" t="s">
        <v>371</v>
      </c>
      <c r="I77" s="502" t="s">
        <v>372</v>
      </c>
    </row>
    <row r="78" spans="3:9">
      <c r="C78" s="112">
        <v>215</v>
      </c>
      <c r="D78" s="112" t="s">
        <v>373</v>
      </c>
      <c r="E78" s="421" t="s">
        <v>374</v>
      </c>
      <c r="F78" s="112" t="s">
        <v>375</v>
      </c>
      <c r="G78" s="503">
        <v>929390</v>
      </c>
      <c r="H78" s="503">
        <v>334172.9961643836</v>
      </c>
      <c r="I78" s="503">
        <v>595217.0038356164</v>
      </c>
    </row>
    <row r="79" spans="3:9">
      <c r="C79" s="112">
        <v>215</v>
      </c>
      <c r="D79" s="112" t="s">
        <v>376</v>
      </c>
      <c r="E79" s="421" t="s">
        <v>377</v>
      </c>
      <c r="F79" s="421" t="s">
        <v>378</v>
      </c>
      <c r="G79" s="503">
        <v>1110050</v>
      </c>
      <c r="H79" s="503">
        <v>399131.40273972601</v>
      </c>
      <c r="I79" s="503">
        <v>710918.59726027399</v>
      </c>
    </row>
    <row r="80" spans="3:9">
      <c r="C80" s="112">
        <v>215</v>
      </c>
      <c r="D80" s="112" t="s">
        <v>379</v>
      </c>
      <c r="E80" s="421" t="s">
        <v>380</v>
      </c>
      <c r="F80" s="112" t="s">
        <v>381</v>
      </c>
      <c r="G80" s="503">
        <v>1764825.71</v>
      </c>
      <c r="H80" s="503">
        <v>634563.63337095897</v>
      </c>
      <c r="I80" s="503">
        <v>1130262.076629041</v>
      </c>
    </row>
    <row r="81" spans="3:9">
      <c r="C81" s="112">
        <v>215</v>
      </c>
      <c r="D81" s="112" t="s">
        <v>382</v>
      </c>
      <c r="E81" s="421" t="s">
        <v>383</v>
      </c>
      <c r="F81" s="112" t="s">
        <v>384</v>
      </c>
      <c r="G81" s="503">
        <v>1881731</v>
      </c>
      <c r="H81" s="503">
        <v>251584.85698630149</v>
      </c>
      <c r="I81" s="503">
        <v>1630146.1430136985</v>
      </c>
    </row>
    <row r="82" spans="3:9">
      <c r="C82" s="112">
        <v>215</v>
      </c>
      <c r="D82" s="112" t="s">
        <v>385</v>
      </c>
      <c r="E82" s="421" t="s">
        <v>386</v>
      </c>
      <c r="F82" s="112" t="s">
        <v>387</v>
      </c>
      <c r="G82" s="503">
        <v>1160149</v>
      </c>
      <c r="H82" s="503">
        <v>19070.942465753527</v>
      </c>
      <c r="I82" s="503">
        <v>1141078.0575342465</v>
      </c>
    </row>
    <row r="83" spans="3:9">
      <c r="C83" s="112">
        <v>215</v>
      </c>
      <c r="D83" s="112" t="s">
        <v>388</v>
      </c>
      <c r="E83" s="421" t="s">
        <v>389</v>
      </c>
      <c r="F83" s="112" t="s">
        <v>381</v>
      </c>
      <c r="G83" s="503">
        <v>1559250</v>
      </c>
      <c r="H83" s="503">
        <v>26485.890410959022</v>
      </c>
      <c r="I83" s="503">
        <v>1532764.109589041</v>
      </c>
    </row>
    <row r="84" spans="3:9">
      <c r="C84" s="112">
        <v>215</v>
      </c>
      <c r="D84" s="112" t="s">
        <v>390</v>
      </c>
      <c r="E84" s="421" t="s">
        <v>391</v>
      </c>
      <c r="F84" s="112" t="s">
        <v>392</v>
      </c>
      <c r="G84" s="503">
        <v>737100</v>
      </c>
      <c r="H84" s="503">
        <v>12520.602739726077</v>
      </c>
      <c r="I84" s="503">
        <v>724579.39726027392</v>
      </c>
    </row>
    <row r="85" spans="3:9">
      <c r="C85" s="112">
        <v>215</v>
      </c>
      <c r="D85" s="112" t="s">
        <v>393</v>
      </c>
      <c r="E85" s="421" t="s">
        <v>394</v>
      </c>
      <c r="F85" s="112" t="s">
        <v>395</v>
      </c>
      <c r="G85" s="503">
        <v>552824</v>
      </c>
      <c r="H85" s="503">
        <v>9390.4350684931269</v>
      </c>
      <c r="I85" s="503">
        <v>543433.56493150687</v>
      </c>
    </row>
    <row r="86" spans="3:9">
      <c r="E86" s="497"/>
      <c r="F86" s="502" t="s">
        <v>396</v>
      </c>
      <c r="G86" s="504">
        <f>SUM(G78:G85)</f>
        <v>9695319.7100000009</v>
      </c>
      <c r="H86" s="504">
        <f>SUM(H78:H85)</f>
        <v>1686920.759946302</v>
      </c>
      <c r="I86" s="504">
        <f>SUM(I78:I85)</f>
        <v>8008398.9500536984</v>
      </c>
    </row>
  </sheetData>
  <mergeCells count="4">
    <mergeCell ref="B4:F4"/>
    <mergeCell ref="B19:C19"/>
    <mergeCell ref="B31:C31"/>
    <mergeCell ref="B44:F44"/>
  </mergeCells>
  <pageMargins left="0.51" right="0.25" top="1" bottom="1" header="0.51" footer="0.5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4"/>
  <sheetViews>
    <sheetView topLeftCell="A31" workbookViewId="0">
      <selection activeCell="E84" sqref="E84"/>
    </sheetView>
  </sheetViews>
  <sheetFormatPr defaultRowHeight="12.75"/>
  <cols>
    <col min="1" max="1" width="3.28515625" customWidth="1"/>
    <col min="3" max="3" width="21.85546875" style="44" customWidth="1"/>
    <col min="4" max="4" width="3.42578125" customWidth="1"/>
    <col min="5" max="5" width="1.140625" customWidth="1"/>
    <col min="6" max="6" width="14.28515625" bestFit="1" customWidth="1"/>
    <col min="7" max="7" width="9.28515625" customWidth="1"/>
    <col min="8" max="8" width="10" customWidth="1"/>
    <col min="9" max="9" width="10.28515625" customWidth="1"/>
    <col min="10" max="10" width="16" customWidth="1"/>
    <col min="11" max="11" width="14.7109375" customWidth="1"/>
    <col min="12" max="12" width="7.7109375" customWidth="1"/>
    <col min="13" max="13" width="9.140625" customWidth="1"/>
  </cols>
  <sheetData>
    <row r="1" spans="1:15" ht="18.75">
      <c r="A1" s="505"/>
      <c r="B1" s="505"/>
      <c r="C1" s="24"/>
      <c r="D1" s="506"/>
      <c r="E1" s="506"/>
      <c r="F1" s="506"/>
      <c r="G1" s="506"/>
      <c r="H1" s="27"/>
      <c r="I1" s="27"/>
      <c r="J1" s="27"/>
      <c r="K1" s="27"/>
      <c r="L1" s="27"/>
      <c r="M1" s="27"/>
      <c r="N1" s="27"/>
      <c r="O1" s="27"/>
    </row>
    <row r="2" spans="1:15" ht="16.5">
      <c r="A2" s="507"/>
      <c r="B2" s="508"/>
      <c r="C2" s="509"/>
      <c r="D2" s="508"/>
      <c r="E2" s="508"/>
      <c r="F2" s="939" t="s">
        <v>397</v>
      </c>
      <c r="G2" s="939"/>
      <c r="H2" s="939"/>
      <c r="I2" s="939"/>
      <c r="J2" s="939"/>
      <c r="K2" s="939"/>
      <c r="L2" s="507"/>
      <c r="M2" s="507"/>
      <c r="N2" s="507"/>
      <c r="O2" s="27"/>
    </row>
    <row r="3" spans="1:15" ht="15">
      <c r="A3" s="507"/>
      <c r="B3" s="940" t="s">
        <v>398</v>
      </c>
      <c r="C3" s="940"/>
      <c r="D3" s="940"/>
      <c r="E3" s="940"/>
      <c r="G3" s="507"/>
      <c r="H3" s="507"/>
      <c r="I3" s="507"/>
      <c r="J3" s="507"/>
      <c r="K3" s="507"/>
      <c r="L3" s="507"/>
      <c r="M3" s="507"/>
      <c r="N3" s="507"/>
      <c r="O3" s="27"/>
    </row>
    <row r="4" spans="1:15">
      <c r="A4" s="941" t="s">
        <v>27</v>
      </c>
      <c r="B4" s="941" t="s">
        <v>399</v>
      </c>
      <c r="C4" s="941"/>
      <c r="D4" s="941"/>
      <c r="E4" s="941"/>
      <c r="F4" s="941" t="s">
        <v>400</v>
      </c>
      <c r="G4" s="941"/>
      <c r="H4" s="941"/>
      <c r="I4" s="941"/>
      <c r="J4" s="941"/>
      <c r="K4" s="941"/>
      <c r="L4" s="941"/>
      <c r="M4" s="946" t="s">
        <v>401</v>
      </c>
      <c r="N4" s="941" t="s">
        <v>402</v>
      </c>
      <c r="O4" s="510"/>
    </row>
    <row r="5" spans="1:15" ht="44.25" customHeight="1">
      <c r="A5" s="941"/>
      <c r="B5" s="941"/>
      <c r="C5" s="941"/>
      <c r="D5" s="941"/>
      <c r="E5" s="941"/>
      <c r="F5" s="511" t="s">
        <v>403</v>
      </c>
      <c r="G5" s="511" t="s">
        <v>404</v>
      </c>
      <c r="H5" s="511" t="s">
        <v>405</v>
      </c>
      <c r="I5" s="511" t="s">
        <v>406</v>
      </c>
      <c r="J5" s="511" t="s">
        <v>407</v>
      </c>
      <c r="K5" s="511" t="s">
        <v>408</v>
      </c>
      <c r="L5" s="511" t="s">
        <v>402</v>
      </c>
      <c r="M5" s="941"/>
      <c r="N5" s="941"/>
      <c r="O5" s="510"/>
    </row>
    <row r="6" spans="1:15" ht="15">
      <c r="A6" s="512" t="s">
        <v>101</v>
      </c>
      <c r="B6" s="944" t="s">
        <v>409</v>
      </c>
      <c r="C6" s="944"/>
      <c r="D6" s="944"/>
      <c r="E6" s="944"/>
      <c r="F6" s="513"/>
      <c r="G6" s="513"/>
      <c r="H6" s="513"/>
      <c r="I6" s="513"/>
      <c r="J6" s="513"/>
      <c r="K6" s="513"/>
      <c r="L6" s="513"/>
      <c r="M6" s="513"/>
      <c r="N6" s="513"/>
      <c r="O6" s="266"/>
    </row>
    <row r="7" spans="1:15" ht="30" customHeight="1">
      <c r="A7" s="514" t="s">
        <v>103</v>
      </c>
      <c r="B7" s="942" t="s">
        <v>410</v>
      </c>
      <c r="C7" s="943"/>
      <c r="D7" s="943"/>
      <c r="E7" s="943"/>
      <c r="F7" s="513"/>
      <c r="G7" s="513"/>
      <c r="H7" s="513"/>
      <c r="I7" s="513"/>
      <c r="J7" s="513"/>
      <c r="K7" s="513"/>
      <c r="L7" s="513"/>
      <c r="M7" s="513"/>
      <c r="N7" s="513"/>
      <c r="O7" s="266"/>
    </row>
    <row r="8" spans="1:15" ht="15">
      <c r="A8" s="515" t="s">
        <v>158</v>
      </c>
      <c r="B8" s="945" t="s">
        <v>411</v>
      </c>
      <c r="C8" s="945"/>
      <c r="D8" s="945"/>
      <c r="E8" s="945"/>
      <c r="F8" s="513"/>
      <c r="G8" s="513"/>
      <c r="H8" s="513"/>
      <c r="I8" s="513"/>
      <c r="J8" s="513"/>
      <c r="K8" s="513"/>
      <c r="L8" s="513"/>
      <c r="M8" s="513"/>
      <c r="N8" s="513"/>
      <c r="O8" s="266"/>
    </row>
    <row r="9" spans="1:15" ht="34.5" customHeight="1">
      <c r="A9" s="515">
        <v>1</v>
      </c>
      <c r="B9" s="942" t="s">
        <v>412</v>
      </c>
      <c r="C9" s="943"/>
      <c r="D9" s="943"/>
      <c r="E9" s="943"/>
      <c r="F9" s="513"/>
      <c r="G9" s="513"/>
      <c r="H9" s="513"/>
      <c r="I9" s="513"/>
      <c r="J9" s="513"/>
      <c r="K9" s="513"/>
      <c r="L9" s="513"/>
      <c r="M9" s="513"/>
      <c r="N9" s="513"/>
      <c r="O9" s="266"/>
    </row>
    <row r="10" spans="1:15" ht="46.5" customHeight="1">
      <c r="A10" s="514">
        <v>2</v>
      </c>
      <c r="B10" s="942" t="s">
        <v>413</v>
      </c>
      <c r="C10" s="943"/>
      <c r="D10" s="943"/>
      <c r="E10" s="943"/>
      <c r="F10" s="513"/>
      <c r="G10" s="513"/>
      <c r="H10" s="513"/>
      <c r="I10" s="513"/>
      <c r="J10" s="513"/>
      <c r="K10" s="513"/>
      <c r="L10" s="513"/>
      <c r="M10" s="513"/>
      <c r="N10" s="513"/>
      <c r="O10" s="266"/>
    </row>
    <row r="11" spans="1:15" ht="15">
      <c r="A11" s="516">
        <v>3</v>
      </c>
      <c r="B11" s="943" t="s">
        <v>414</v>
      </c>
      <c r="C11" s="943"/>
      <c r="D11" s="943"/>
      <c r="E11" s="943"/>
      <c r="F11" s="513"/>
      <c r="G11" s="513"/>
      <c r="H11" s="513"/>
      <c r="I11" s="513"/>
      <c r="J11" s="513"/>
      <c r="K11" s="513"/>
      <c r="L11" s="513"/>
      <c r="M11" s="513"/>
      <c r="N11" s="513"/>
      <c r="O11" s="266"/>
    </row>
    <row r="12" spans="1:15" ht="15">
      <c r="A12" s="516">
        <v>4</v>
      </c>
      <c r="B12" s="943" t="s">
        <v>415</v>
      </c>
      <c r="C12" s="943"/>
      <c r="D12" s="943"/>
      <c r="E12" s="943"/>
      <c r="F12" s="513"/>
      <c r="G12" s="513"/>
      <c r="H12" s="513"/>
      <c r="I12" s="513"/>
      <c r="J12" s="513"/>
      <c r="K12" s="513"/>
      <c r="L12" s="513"/>
      <c r="M12" s="513"/>
      <c r="N12" s="513"/>
      <c r="O12" s="266"/>
    </row>
    <row r="13" spans="1:15" ht="24" customHeight="1">
      <c r="A13" s="517">
        <v>5</v>
      </c>
      <c r="B13" s="942" t="s">
        <v>416</v>
      </c>
      <c r="C13" s="943"/>
      <c r="D13" s="943"/>
      <c r="E13" s="943"/>
      <c r="F13" s="518"/>
      <c r="G13" s="518"/>
      <c r="H13" s="518"/>
      <c r="I13" s="518"/>
      <c r="J13" s="518"/>
      <c r="K13" s="518"/>
      <c r="L13" s="518"/>
      <c r="M13" s="518"/>
      <c r="N13" s="518"/>
      <c r="O13" s="519"/>
    </row>
    <row r="14" spans="1:15" ht="15">
      <c r="A14" s="516">
        <v>6</v>
      </c>
      <c r="B14" s="943" t="s">
        <v>417</v>
      </c>
      <c r="C14" s="943"/>
      <c r="D14" s="943"/>
      <c r="E14" s="943"/>
      <c r="F14" s="381"/>
      <c r="G14" s="381"/>
      <c r="H14" s="381"/>
      <c r="I14" s="381"/>
      <c r="J14" s="381"/>
      <c r="K14" s="381"/>
      <c r="L14" s="381"/>
      <c r="M14" s="381"/>
      <c r="N14" s="381"/>
      <c r="O14" s="520"/>
    </row>
    <row r="15" spans="1:15" ht="15">
      <c r="A15" s="517" t="s">
        <v>145</v>
      </c>
      <c r="B15" s="944" t="s">
        <v>418</v>
      </c>
      <c r="C15" s="944"/>
      <c r="D15" s="944"/>
      <c r="E15" s="944"/>
      <c r="F15" s="513"/>
      <c r="G15" s="513"/>
      <c r="H15" s="513"/>
      <c r="I15" s="513"/>
      <c r="J15" s="513"/>
      <c r="K15" s="513"/>
      <c r="L15" s="513"/>
      <c r="M15" s="513"/>
      <c r="N15" s="513"/>
      <c r="O15" s="266"/>
    </row>
    <row r="16" spans="1:15" ht="32.25" customHeight="1">
      <c r="A16" s="521">
        <v>1</v>
      </c>
      <c r="B16" s="942" t="s">
        <v>412</v>
      </c>
      <c r="C16" s="943"/>
      <c r="D16" s="943"/>
      <c r="E16" s="943"/>
      <c r="F16" s="513"/>
      <c r="G16" s="513"/>
      <c r="H16" s="513"/>
      <c r="I16" s="513"/>
      <c r="J16" s="513"/>
      <c r="K16" s="513"/>
      <c r="L16" s="513"/>
      <c r="M16" s="513"/>
      <c r="N16" s="513"/>
      <c r="O16" s="266"/>
    </row>
    <row r="17" spans="1:15" ht="43.5" customHeight="1">
      <c r="A17" s="522">
        <v>2</v>
      </c>
      <c r="B17" s="942" t="s">
        <v>413</v>
      </c>
      <c r="C17" s="943"/>
      <c r="D17" s="943"/>
      <c r="E17" s="943"/>
      <c r="F17" s="513"/>
      <c r="G17" s="513"/>
      <c r="H17" s="513"/>
      <c r="I17" s="513"/>
      <c r="J17" s="513"/>
      <c r="K17" s="513"/>
      <c r="L17" s="513"/>
      <c r="M17" s="513"/>
      <c r="N17" s="513"/>
      <c r="O17" s="266"/>
    </row>
    <row r="18" spans="1:15" ht="15">
      <c r="A18" s="521">
        <v>3</v>
      </c>
      <c r="B18" s="943" t="s">
        <v>419</v>
      </c>
      <c r="C18" s="943"/>
      <c r="D18" s="943"/>
      <c r="E18" s="943"/>
      <c r="F18" s="513"/>
      <c r="G18" s="513"/>
      <c r="H18" s="513"/>
      <c r="I18" s="513"/>
      <c r="J18" s="513"/>
      <c r="K18" s="513"/>
      <c r="L18" s="513"/>
      <c r="M18" s="513"/>
      <c r="N18" s="513"/>
      <c r="O18" s="266"/>
    </row>
    <row r="19" spans="1:15" ht="15">
      <c r="A19" s="522">
        <v>4</v>
      </c>
      <c r="B19" s="943" t="s">
        <v>415</v>
      </c>
      <c r="C19" s="943"/>
      <c r="D19" s="943"/>
      <c r="E19" s="943"/>
      <c r="F19" s="513"/>
      <c r="G19" s="513"/>
      <c r="H19" s="513"/>
      <c r="I19" s="513"/>
      <c r="J19" s="513"/>
      <c r="K19" s="513"/>
      <c r="L19" s="513"/>
      <c r="M19" s="513"/>
      <c r="N19" s="513"/>
      <c r="O19" s="266"/>
    </row>
    <row r="20" spans="1:15" ht="15">
      <c r="A20" s="521">
        <v>5</v>
      </c>
      <c r="B20" s="943" t="s">
        <v>417</v>
      </c>
      <c r="C20" s="943"/>
      <c r="D20" s="943"/>
      <c r="E20" s="943"/>
      <c r="F20" s="513"/>
      <c r="G20" s="513"/>
      <c r="H20" s="513"/>
      <c r="I20" s="513"/>
      <c r="J20" s="513"/>
      <c r="K20" s="513"/>
      <c r="L20" s="513"/>
      <c r="M20" s="513"/>
      <c r="N20" s="513"/>
      <c r="O20" s="266"/>
    </row>
    <row r="21" spans="1:15" ht="15">
      <c r="A21" s="522">
        <v>6</v>
      </c>
      <c r="B21" s="943" t="s">
        <v>420</v>
      </c>
      <c r="C21" s="943"/>
      <c r="D21" s="943"/>
      <c r="E21" s="943"/>
      <c r="F21" s="513"/>
      <c r="G21" s="513"/>
      <c r="H21" s="513"/>
      <c r="I21" s="513"/>
      <c r="J21" s="513"/>
      <c r="K21" s="513"/>
      <c r="L21" s="513"/>
      <c r="M21" s="513"/>
      <c r="N21" s="513"/>
      <c r="O21" s="266"/>
    </row>
    <row r="22" spans="1:15" ht="15">
      <c r="A22" s="517" t="s">
        <v>163</v>
      </c>
      <c r="B22" s="944" t="s">
        <v>421</v>
      </c>
      <c r="C22" s="944"/>
      <c r="D22" s="944"/>
      <c r="E22" s="944"/>
      <c r="F22" s="513"/>
      <c r="G22" s="513"/>
      <c r="H22" s="513"/>
      <c r="I22" s="513"/>
      <c r="J22" s="513"/>
      <c r="K22" s="513"/>
      <c r="L22" s="513"/>
      <c r="M22" s="513"/>
      <c r="N22" s="513"/>
      <c r="O22" s="266"/>
    </row>
    <row r="23" spans="1:15" ht="15">
      <c r="A23" s="523"/>
      <c r="B23" s="947"/>
      <c r="C23" s="947"/>
      <c r="D23" s="947"/>
      <c r="E23" s="947"/>
      <c r="F23" s="524"/>
      <c r="G23" s="524"/>
      <c r="H23" s="524"/>
      <c r="I23" s="524"/>
      <c r="J23" s="524"/>
      <c r="K23" s="524"/>
      <c r="L23" s="524"/>
      <c r="M23" s="524"/>
      <c r="N23" s="524"/>
      <c r="O23" s="266"/>
    </row>
    <row r="24" spans="1:15">
      <c r="A24" s="525"/>
      <c r="B24" s="947"/>
      <c r="C24" s="947"/>
      <c r="D24" s="947"/>
      <c r="E24" s="947"/>
      <c r="F24" s="361"/>
      <c r="G24" s="361"/>
      <c r="H24" s="361"/>
      <c r="I24" s="361"/>
      <c r="J24" s="361"/>
      <c r="K24" s="361"/>
      <c r="L24" s="361"/>
      <c r="M24" s="361"/>
      <c r="N24" s="361"/>
      <c r="O24" s="526"/>
    </row>
    <row r="25" spans="1:15" ht="16.5">
      <c r="A25" s="508"/>
      <c r="B25" s="508"/>
      <c r="C25" s="509"/>
      <c r="D25" s="508"/>
      <c r="E25" s="939" t="s">
        <v>422</v>
      </c>
      <c r="F25" s="939"/>
      <c r="G25" s="939"/>
      <c r="H25" s="939"/>
      <c r="I25" s="939"/>
      <c r="J25" s="939"/>
      <c r="K25" s="507"/>
      <c r="L25" s="507"/>
      <c r="M25" s="507"/>
      <c r="N25" s="527"/>
    </row>
    <row r="26" spans="1:15" ht="15.75">
      <c r="A26" s="940" t="s">
        <v>423</v>
      </c>
      <c r="B26" s="940"/>
      <c r="C26" s="940"/>
      <c r="D26" s="940"/>
      <c r="F26" s="605" t="s">
        <v>1</v>
      </c>
      <c r="G26" s="605"/>
      <c r="H26" s="605"/>
      <c r="I26" s="605"/>
      <c r="J26" s="605"/>
      <c r="K26" s="606"/>
      <c r="L26" s="507"/>
      <c r="M26" s="507"/>
      <c r="N26" s="527"/>
    </row>
    <row r="27" spans="1:15" ht="15">
      <c r="A27" s="527"/>
      <c r="B27" s="947"/>
      <c r="C27" s="947"/>
      <c r="D27" s="947"/>
      <c r="E27" s="947"/>
      <c r="F27" s="527"/>
      <c r="G27" s="527"/>
      <c r="H27" s="527"/>
      <c r="I27" s="527"/>
      <c r="J27" s="527"/>
      <c r="K27" s="527"/>
      <c r="L27" s="527"/>
      <c r="M27" s="527"/>
      <c r="N27" s="527"/>
    </row>
    <row r="28" spans="1:15" ht="22.5" customHeight="1">
      <c r="A28" s="941" t="s">
        <v>27</v>
      </c>
      <c r="B28" s="941" t="s">
        <v>399</v>
      </c>
      <c r="C28" s="941"/>
      <c r="D28" s="941"/>
      <c r="E28" s="941"/>
      <c r="F28" s="946" t="s">
        <v>403</v>
      </c>
      <c r="G28" s="946" t="s">
        <v>404</v>
      </c>
      <c r="H28" s="946" t="s">
        <v>405</v>
      </c>
      <c r="I28" s="946" t="s">
        <v>406</v>
      </c>
      <c r="J28" s="946" t="s">
        <v>408</v>
      </c>
      <c r="K28" s="941" t="s">
        <v>402</v>
      </c>
      <c r="L28" s="528"/>
      <c r="M28" s="528"/>
      <c r="N28" s="528"/>
    </row>
    <row r="29" spans="1:15" ht="28.5" customHeight="1">
      <c r="A29" s="941"/>
      <c r="B29" s="941"/>
      <c r="C29" s="941"/>
      <c r="D29" s="941"/>
      <c r="E29" s="941"/>
      <c r="F29" s="941"/>
      <c r="G29" s="946"/>
      <c r="H29" s="946"/>
      <c r="I29" s="946"/>
      <c r="J29" s="941"/>
      <c r="K29" s="941"/>
      <c r="L29" s="528"/>
      <c r="M29" s="528"/>
      <c r="N29" s="528"/>
    </row>
    <row r="30" spans="1:15" ht="24.95" customHeight="1">
      <c r="A30" s="517" t="s">
        <v>101</v>
      </c>
      <c r="B30" s="945" t="s">
        <v>418</v>
      </c>
      <c r="C30" s="945"/>
      <c r="D30" s="945"/>
      <c r="E30" s="945"/>
      <c r="F30" s="529">
        <v>0</v>
      </c>
      <c r="G30" s="529">
        <v>0</v>
      </c>
      <c r="H30" s="529">
        <v>0</v>
      </c>
      <c r="I30" s="529"/>
      <c r="J30" s="529"/>
      <c r="K30" s="530">
        <f>F30+G30+H30+I30+J30</f>
        <v>0</v>
      </c>
    </row>
    <row r="31" spans="1:15" ht="24.95" customHeight="1">
      <c r="A31" s="531">
        <v>1</v>
      </c>
      <c r="B31" s="943" t="s">
        <v>424</v>
      </c>
      <c r="C31" s="943"/>
      <c r="D31" s="943"/>
      <c r="E31" s="943"/>
      <c r="F31" s="532"/>
      <c r="G31" s="532"/>
      <c r="H31" s="532"/>
      <c r="I31" s="532"/>
      <c r="J31" s="532"/>
      <c r="K31" s="513">
        <f>F31+G31+H31+I31+J31</f>
        <v>0</v>
      </c>
    </row>
    <row r="32" spans="1:15" ht="24.95" customHeight="1">
      <c r="A32" s="531">
        <v>2</v>
      </c>
      <c r="B32" s="943" t="s">
        <v>415</v>
      </c>
      <c r="C32" s="943"/>
      <c r="D32" s="943"/>
      <c r="E32" s="943"/>
      <c r="F32" s="532"/>
      <c r="G32" s="532"/>
      <c r="H32" s="532"/>
      <c r="I32" s="532"/>
      <c r="J32" s="532"/>
      <c r="K32" s="513">
        <f>F32+G32+H32+I32+J32</f>
        <v>0</v>
      </c>
    </row>
    <row r="33" spans="1:11" ht="24.95" customHeight="1">
      <c r="A33" s="531">
        <v>3</v>
      </c>
      <c r="B33" s="943" t="s">
        <v>417</v>
      </c>
      <c r="C33" s="943"/>
      <c r="D33" s="943"/>
      <c r="E33" s="943"/>
      <c r="F33" s="532"/>
      <c r="G33" s="532"/>
      <c r="H33" s="532"/>
      <c r="I33" s="532"/>
      <c r="J33" s="532"/>
      <c r="K33" s="513">
        <f>F33+G33+H33+I33+J33</f>
        <v>0</v>
      </c>
    </row>
    <row r="34" spans="1:11" ht="24.95" customHeight="1">
      <c r="A34" s="531">
        <v>4</v>
      </c>
      <c r="B34" s="943" t="s">
        <v>420</v>
      </c>
      <c r="C34" s="943"/>
      <c r="D34" s="943"/>
      <c r="E34" s="943"/>
      <c r="F34" s="532"/>
      <c r="G34" s="532"/>
      <c r="H34" s="532"/>
      <c r="I34" s="532"/>
      <c r="J34" s="532"/>
      <c r="K34" s="513">
        <f>F34+G34+H34+I34+J34</f>
        <v>0</v>
      </c>
    </row>
    <row r="35" spans="1:11" ht="31.5" customHeight="1">
      <c r="A35" s="517" t="s">
        <v>163</v>
      </c>
      <c r="B35" s="945" t="s">
        <v>421</v>
      </c>
      <c r="C35" s="945"/>
      <c r="D35" s="945"/>
      <c r="E35" s="945"/>
      <c r="F35" s="326">
        <v>6000000</v>
      </c>
      <c r="G35" s="326">
        <v>0</v>
      </c>
      <c r="H35" s="326">
        <v>0</v>
      </c>
      <c r="I35" s="326">
        <v>0</v>
      </c>
      <c r="J35" s="326">
        <f>PASH!V35</f>
        <v>-32209587.680000022</v>
      </c>
      <c r="K35" s="326">
        <f>F35+J35</f>
        <v>-26209587.680000022</v>
      </c>
    </row>
    <row r="36" spans="1:11" ht="25.5" customHeight="1">
      <c r="A36" s="531">
        <v>1</v>
      </c>
      <c r="B36" s="943" t="s">
        <v>425</v>
      </c>
      <c r="C36" s="943"/>
      <c r="D36" s="943"/>
      <c r="E36" s="943"/>
      <c r="F36" s="199"/>
      <c r="G36" s="199"/>
      <c r="H36" s="199"/>
      <c r="I36" s="199"/>
      <c r="J36" s="199"/>
      <c r="K36" s="533">
        <f>F36+G36+H36+I36+J36</f>
        <v>0</v>
      </c>
    </row>
    <row r="37" spans="1:11" ht="24.75" customHeight="1">
      <c r="A37" s="531">
        <v>2</v>
      </c>
      <c r="B37" s="943" t="s">
        <v>415</v>
      </c>
      <c r="C37" s="943"/>
      <c r="D37" s="943"/>
      <c r="E37" s="943"/>
      <c r="F37" s="199"/>
      <c r="G37" s="199"/>
      <c r="H37" s="199"/>
      <c r="I37" s="199"/>
      <c r="J37" s="199"/>
      <c r="K37" s="533">
        <f>F37+G37+H37+I37+J37</f>
        <v>0</v>
      </c>
    </row>
    <row r="38" spans="1:11" ht="24" customHeight="1">
      <c r="A38" s="531">
        <v>3</v>
      </c>
      <c r="B38" s="943" t="s">
        <v>417</v>
      </c>
      <c r="C38" s="943"/>
      <c r="D38" s="943"/>
      <c r="E38" s="943"/>
      <c r="F38" s="199"/>
      <c r="G38" s="199"/>
      <c r="H38" s="199"/>
      <c r="I38" s="199"/>
      <c r="J38" s="199"/>
      <c r="K38" s="533">
        <f>F38+G38+H38+I38+J38</f>
        <v>0</v>
      </c>
    </row>
    <row r="39" spans="1:11" ht="21" customHeight="1">
      <c r="A39" s="531">
        <v>4</v>
      </c>
      <c r="B39" s="943" t="s">
        <v>420</v>
      </c>
      <c r="C39" s="943"/>
      <c r="D39" s="943"/>
      <c r="E39" s="943"/>
      <c r="F39" s="199"/>
      <c r="G39" s="199"/>
      <c r="H39" s="199"/>
      <c r="I39" s="199"/>
      <c r="J39" s="199"/>
      <c r="K39" s="533">
        <f>F39+G39+H39+I39+J39</f>
        <v>0</v>
      </c>
    </row>
    <row r="40" spans="1:11" ht="20.25" customHeight="1">
      <c r="A40" s="517" t="s">
        <v>163</v>
      </c>
      <c r="B40" s="945" t="s">
        <v>426</v>
      </c>
      <c r="C40" s="945"/>
      <c r="D40" s="945"/>
      <c r="E40" s="945"/>
      <c r="F40" s="326">
        <f>'aktiv Pasiv'!S37+'aktiv Pasiv'!S38</f>
        <v>6000000</v>
      </c>
      <c r="G40" s="326">
        <f>SUM(G34:G39)</f>
        <v>0</v>
      </c>
      <c r="H40" s="326">
        <f>SUM(H34:H39)</f>
        <v>0</v>
      </c>
      <c r="I40" s="326">
        <f>SUM(I34:I39)</f>
        <v>0</v>
      </c>
      <c r="J40" s="326">
        <f>PASH!V35+PASH!U35</f>
        <v>-105483190.85000005</v>
      </c>
      <c r="K40" s="326">
        <f>F40+J40</f>
        <v>-99483190.850000054</v>
      </c>
    </row>
    <row r="41" spans="1:11" ht="20.25" customHeight="1">
      <c r="A41" s="531">
        <v>1</v>
      </c>
      <c r="B41" s="943" t="s">
        <v>427</v>
      </c>
      <c r="C41" s="943"/>
      <c r="D41" s="943"/>
      <c r="E41" s="943"/>
      <c r="F41" s="199"/>
      <c r="G41" s="199"/>
      <c r="H41" s="199"/>
      <c r="I41" s="199"/>
      <c r="J41" s="199"/>
      <c r="K41" s="533">
        <f>F41+G41+H41+I41+J41</f>
        <v>0</v>
      </c>
    </row>
    <row r="42" spans="1:11" ht="20.25" customHeight="1">
      <c r="A42" s="531">
        <v>2</v>
      </c>
      <c r="B42" s="943" t="s">
        <v>415</v>
      </c>
      <c r="C42" s="943"/>
      <c r="D42" s="943"/>
      <c r="E42" s="943"/>
      <c r="F42" s="199"/>
      <c r="G42" s="199"/>
      <c r="H42" s="199"/>
      <c r="I42" s="199"/>
      <c r="J42" s="199"/>
      <c r="K42" s="533">
        <f>F42+G42+H42+I42+J42</f>
        <v>0</v>
      </c>
    </row>
    <row r="43" spans="1:11" ht="20.25" customHeight="1">
      <c r="A43" s="531">
        <v>3</v>
      </c>
      <c r="B43" s="943" t="s">
        <v>417</v>
      </c>
      <c r="C43" s="943"/>
      <c r="D43" s="943"/>
      <c r="E43" s="943"/>
      <c r="F43" s="199"/>
      <c r="G43" s="199"/>
      <c r="H43" s="199"/>
      <c r="I43" s="199"/>
      <c r="J43" s="199"/>
      <c r="K43" s="533">
        <f>F43+G43+H43+I43+J43</f>
        <v>0</v>
      </c>
    </row>
    <row r="44" spans="1:11" ht="20.25" customHeight="1">
      <c r="A44" s="531">
        <v>4</v>
      </c>
      <c r="B44" s="943" t="s">
        <v>420</v>
      </c>
      <c r="C44" s="943"/>
      <c r="D44" s="943"/>
      <c r="E44" s="943"/>
      <c r="F44" s="199"/>
      <c r="G44" s="199"/>
      <c r="H44" s="199"/>
      <c r="I44" s="199"/>
      <c r="J44" s="199"/>
      <c r="K44" s="533">
        <f>F44+G44+H44+I44+J44</f>
        <v>0</v>
      </c>
    </row>
    <row r="45" spans="1:11" ht="20.25" customHeight="1">
      <c r="A45" s="517" t="s">
        <v>163</v>
      </c>
      <c r="B45" s="944" t="s">
        <v>428</v>
      </c>
      <c r="C45" s="944"/>
      <c r="D45" s="944"/>
      <c r="E45" s="944"/>
      <c r="F45" s="326">
        <f>'aktiv Pasiv'!R37+'aktiv Pasiv'!R38</f>
        <v>60000000</v>
      </c>
      <c r="G45" s="326">
        <f>SUM(G39:G44)</f>
        <v>0</v>
      </c>
      <c r="H45" s="326">
        <f>SUM(H39:H44)</f>
        <v>0</v>
      </c>
      <c r="I45" s="326">
        <f>SUM(I39:I44)</f>
        <v>0</v>
      </c>
      <c r="J45" s="326">
        <f>'aktiv Pasiv'!R50+J40</f>
        <v>-110378088.49000008</v>
      </c>
      <c r="K45" s="326">
        <f>F45+J45</f>
        <v>-50378088.490000084</v>
      </c>
    </row>
    <row r="46" spans="1:11" ht="20.25" customHeight="1">
      <c r="A46" s="534"/>
      <c r="B46" s="535"/>
      <c r="C46" s="535"/>
      <c r="D46" s="535"/>
      <c r="E46" s="535"/>
      <c r="F46" s="536"/>
      <c r="G46" s="536"/>
      <c r="H46" s="536"/>
      <c r="I46" s="536"/>
      <c r="J46" s="536"/>
      <c r="K46" s="536"/>
    </row>
    <row r="47" spans="1:11" ht="20.25" customHeight="1">
      <c r="A47" s="534"/>
      <c r="B47" s="535"/>
      <c r="C47" s="535"/>
      <c r="D47" s="535"/>
      <c r="E47" s="535"/>
      <c r="F47" s="536"/>
      <c r="G47" s="536"/>
      <c r="H47" s="536"/>
      <c r="I47" s="536"/>
      <c r="J47" s="536"/>
      <c r="K47" s="536"/>
    </row>
    <row r="48" spans="1:11" ht="20.25" customHeight="1">
      <c r="A48" s="534"/>
      <c r="B48" s="535"/>
      <c r="C48" s="535"/>
      <c r="D48" s="535"/>
      <c r="E48" s="535"/>
      <c r="F48" s="536"/>
      <c r="G48" s="536"/>
      <c r="H48" s="536"/>
      <c r="I48" s="536"/>
      <c r="J48" s="536"/>
      <c r="K48" s="536"/>
    </row>
    <row r="49" spans="1:11" ht="20.25" customHeight="1">
      <c r="A49" s="534"/>
      <c r="B49" s="535"/>
      <c r="C49" s="535"/>
      <c r="D49" s="535"/>
      <c r="E49" s="535"/>
      <c r="F49" s="536"/>
      <c r="G49" s="536"/>
      <c r="H49" s="536"/>
      <c r="I49" s="536"/>
      <c r="J49" s="536"/>
      <c r="K49" s="536"/>
    </row>
    <row r="50" spans="1:11" ht="20.25" customHeight="1">
      <c r="A50" s="534"/>
      <c r="B50" s="535"/>
      <c r="C50" s="535"/>
      <c r="D50" s="535"/>
      <c r="E50" s="535"/>
      <c r="F50" s="536"/>
      <c r="G50" s="536"/>
      <c r="H50" s="536"/>
      <c r="I50" s="536"/>
      <c r="J50" s="536"/>
      <c r="K50" s="536"/>
    </row>
    <row r="51" spans="1:11" ht="20.25" customHeight="1">
      <c r="A51" s="534"/>
      <c r="B51" s="535"/>
      <c r="C51" s="535"/>
      <c r="D51" s="535"/>
      <c r="E51" s="535"/>
      <c r="F51" s="536"/>
      <c r="G51" s="536"/>
      <c r="H51" s="536"/>
      <c r="I51" s="536"/>
      <c r="J51" s="536"/>
      <c r="K51" s="536"/>
    </row>
    <row r="52" spans="1:11" ht="20.25" customHeight="1">
      <c r="A52" s="534"/>
      <c r="B52" s="535"/>
      <c r="C52" s="535"/>
      <c r="D52" s="535"/>
      <c r="E52" s="535"/>
      <c r="F52" s="536"/>
      <c r="G52" s="536"/>
      <c r="H52" s="536"/>
      <c r="I52" s="536"/>
      <c r="J52" s="536"/>
      <c r="K52" s="536"/>
    </row>
    <row r="54" spans="1:11">
      <c r="K54" s="249" t="s">
        <v>429</v>
      </c>
    </row>
  </sheetData>
  <mergeCells count="54"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J28:J29"/>
    <mergeCell ref="K28:K29"/>
    <mergeCell ref="B30:E30"/>
    <mergeCell ref="B31:E31"/>
    <mergeCell ref="B32:E32"/>
    <mergeCell ref="H28:H29"/>
    <mergeCell ref="I28:I29"/>
    <mergeCell ref="B33:E33"/>
    <mergeCell ref="A28:A29"/>
    <mergeCell ref="B28:E29"/>
    <mergeCell ref="F28:F29"/>
    <mergeCell ref="G28:G29"/>
    <mergeCell ref="B27:E27"/>
    <mergeCell ref="B17:E17"/>
    <mergeCell ref="B18:E18"/>
    <mergeCell ref="B19:E19"/>
    <mergeCell ref="B20:E20"/>
    <mergeCell ref="B21:E21"/>
    <mergeCell ref="B22:E22"/>
    <mergeCell ref="B23:E23"/>
    <mergeCell ref="B24:E24"/>
    <mergeCell ref="E25:J25"/>
    <mergeCell ref="A26:D26"/>
    <mergeCell ref="F26:K26"/>
    <mergeCell ref="B16:E16"/>
    <mergeCell ref="N4:N5"/>
    <mergeCell ref="B6:E6"/>
    <mergeCell ref="B7:E7"/>
    <mergeCell ref="B8:E8"/>
    <mergeCell ref="B9:E9"/>
    <mergeCell ref="B10:E10"/>
    <mergeCell ref="M4:M5"/>
    <mergeCell ref="B11:E11"/>
    <mergeCell ref="B12:E12"/>
    <mergeCell ref="B13:E13"/>
    <mergeCell ref="B14:E14"/>
    <mergeCell ref="B15:E15"/>
    <mergeCell ref="F2:K2"/>
    <mergeCell ref="B3:E3"/>
    <mergeCell ref="A4:A5"/>
    <mergeCell ref="B4:E5"/>
    <mergeCell ref="F4:L4"/>
  </mergeCells>
  <pageMargins left="0.51" right="0.25" top="1" bottom="1" header="0.51" footer="0.5"/>
  <pageSetup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2"/>
  <sheetViews>
    <sheetView tabSelected="1" topLeftCell="A23" workbookViewId="0">
      <selection activeCell="E84" sqref="E84"/>
    </sheetView>
  </sheetViews>
  <sheetFormatPr defaultRowHeight="12.75"/>
  <cols>
    <col min="1" max="1" width="7.42578125" customWidth="1"/>
    <col min="2" max="2" width="6.140625" style="601" customWidth="1"/>
    <col min="3" max="3" width="21.85546875" style="602" customWidth="1"/>
    <col min="4" max="4" width="14.140625" style="549" customWidth="1"/>
    <col min="5" max="5" width="9.140625" style="549" customWidth="1"/>
    <col min="6" max="6" width="13" style="549" customWidth="1"/>
    <col min="7" max="7" width="9.140625" style="549" customWidth="1"/>
    <col min="8" max="8" width="14" style="599" bestFit="1" customWidth="1"/>
    <col min="9" max="9" width="19.7109375" style="549" customWidth="1"/>
    <col min="10" max="10" width="10.28515625" style="600" customWidth="1"/>
    <col min="11" max="11" width="15.42578125" customWidth="1"/>
  </cols>
  <sheetData>
    <row r="1" spans="1:11">
      <c r="A1" s="7"/>
      <c r="B1" s="949" t="s">
        <v>430</v>
      </c>
      <c r="C1" s="949"/>
      <c r="D1" s="949"/>
      <c r="E1" s="949"/>
      <c r="F1" s="949"/>
      <c r="G1" s="949"/>
      <c r="H1" s="949"/>
      <c r="I1" s="537"/>
      <c r="J1" s="538"/>
      <c r="K1" s="6"/>
    </row>
    <row r="2" spans="1:11">
      <c r="A2" s="7"/>
      <c r="B2" s="539" t="s">
        <v>431</v>
      </c>
      <c r="C2" s="537"/>
      <c r="D2" s="537"/>
      <c r="E2" s="950" t="s">
        <v>1</v>
      </c>
      <c r="F2" s="950"/>
      <c r="G2" s="950"/>
      <c r="H2" s="950"/>
      <c r="I2" s="540">
        <v>2011</v>
      </c>
      <c r="J2" s="541"/>
      <c r="K2" s="6"/>
    </row>
    <row r="3" spans="1:11" ht="10.5" customHeight="1">
      <c r="A3" s="951" t="s">
        <v>432</v>
      </c>
      <c r="B3" s="952"/>
      <c r="C3" s="952"/>
      <c r="D3" s="952"/>
      <c r="E3" s="952"/>
      <c r="F3" s="952"/>
      <c r="G3" s="952"/>
      <c r="H3" s="952"/>
      <c r="I3" s="952"/>
      <c r="J3" s="538"/>
      <c r="K3" s="6"/>
    </row>
    <row r="4" spans="1:11" ht="16.5" customHeight="1">
      <c r="A4" s="952"/>
      <c r="B4" s="952"/>
      <c r="C4" s="952"/>
      <c r="D4" s="952"/>
      <c r="E4" s="952"/>
      <c r="F4" s="952"/>
      <c r="G4" s="952"/>
      <c r="H4" s="952"/>
      <c r="I4" s="952"/>
      <c r="J4" s="538"/>
      <c r="K4" s="6"/>
    </row>
    <row r="5" spans="1:11">
      <c r="A5" s="952"/>
      <c r="B5" s="952"/>
      <c r="C5" s="952"/>
      <c r="D5" s="952"/>
      <c r="E5" s="952"/>
      <c r="F5" s="952"/>
      <c r="G5" s="952"/>
      <c r="H5" s="952"/>
      <c r="I5" s="952"/>
      <c r="J5" s="538"/>
      <c r="K5" s="6"/>
    </row>
    <row r="6" spans="1:11">
      <c r="A6" s="952"/>
      <c r="B6" s="952"/>
      <c r="C6" s="952"/>
      <c r="D6" s="952"/>
      <c r="E6" s="952"/>
      <c r="F6" s="952"/>
      <c r="G6" s="952"/>
      <c r="H6" s="952"/>
      <c r="I6" s="952"/>
      <c r="J6" s="538"/>
      <c r="K6" s="6"/>
    </row>
    <row r="7" spans="1:11">
      <c r="A7" s="952"/>
      <c r="B7" s="952"/>
      <c r="C7" s="952"/>
      <c r="D7" s="952"/>
      <c r="E7" s="952"/>
      <c r="F7" s="952"/>
      <c r="G7" s="952"/>
      <c r="H7" s="952"/>
      <c r="I7" s="952"/>
      <c r="J7" s="538"/>
      <c r="K7" s="6"/>
    </row>
    <row r="8" spans="1:11">
      <c r="A8" s="952"/>
      <c r="B8" s="952"/>
      <c r="C8" s="952"/>
      <c r="D8" s="952"/>
      <c r="E8" s="952"/>
      <c r="F8" s="952"/>
      <c r="G8" s="952"/>
      <c r="H8" s="952"/>
      <c r="I8" s="952"/>
      <c r="J8" s="538"/>
      <c r="K8" s="6"/>
    </row>
    <row r="9" spans="1:11" ht="13.5" customHeight="1">
      <c r="A9" s="952"/>
      <c r="B9" s="952"/>
      <c r="C9" s="952"/>
      <c r="D9" s="952"/>
      <c r="E9" s="952"/>
      <c r="F9" s="952"/>
      <c r="G9" s="952"/>
      <c r="H9" s="952"/>
      <c r="I9" s="952"/>
      <c r="J9" s="538"/>
      <c r="K9" s="6"/>
    </row>
    <row r="10" spans="1:11" ht="11.25" hidden="1" customHeight="1">
      <c r="A10" s="952"/>
      <c r="B10" s="952"/>
      <c r="C10" s="952"/>
      <c r="D10" s="952"/>
      <c r="E10" s="952"/>
      <c r="F10" s="952"/>
      <c r="G10" s="952"/>
      <c r="H10" s="952"/>
      <c r="I10" s="952"/>
      <c r="J10" s="538"/>
      <c r="K10" s="6"/>
    </row>
    <row r="11" spans="1:11">
      <c r="A11" s="7"/>
      <c r="B11" s="542"/>
      <c r="C11" s="543"/>
      <c r="D11" s="543"/>
      <c r="E11" s="543"/>
      <c r="F11" s="543"/>
      <c r="G11" s="543"/>
      <c r="H11" s="544"/>
      <c r="I11" s="537"/>
      <c r="J11" s="538"/>
      <c r="K11" s="6"/>
    </row>
    <row r="12" spans="1:11">
      <c r="A12" s="953" t="s">
        <v>433</v>
      </c>
      <c r="B12" s="953"/>
      <c r="C12" s="953"/>
      <c r="D12" s="953"/>
      <c r="E12" s="953"/>
      <c r="F12" s="953"/>
      <c r="G12" s="953"/>
      <c r="H12" s="953"/>
      <c r="I12" s="953"/>
      <c r="J12" s="953"/>
      <c r="K12" s="6"/>
    </row>
    <row r="13" spans="1:11" ht="105.75" customHeight="1">
      <c r="A13" s="545"/>
      <c r="B13" s="545" t="s">
        <v>434</v>
      </c>
      <c r="C13" s="954" t="s">
        <v>435</v>
      </c>
      <c r="D13" s="954"/>
      <c r="E13" s="954"/>
      <c r="F13" s="954"/>
      <c r="G13" s="954"/>
      <c r="H13" s="954"/>
      <c r="I13" s="954"/>
      <c r="J13" s="545"/>
      <c r="K13" s="6"/>
    </row>
    <row r="14" spans="1:11" ht="29.25" customHeight="1">
      <c r="A14" s="7" t="s">
        <v>436</v>
      </c>
      <c r="B14" s="539">
        <v>1.1000000000000001</v>
      </c>
      <c r="C14" s="955" t="s">
        <v>437</v>
      </c>
      <c r="D14" s="955"/>
      <c r="E14" s="955"/>
      <c r="F14" s="955"/>
      <c r="G14" s="955"/>
      <c r="H14" s="955"/>
      <c r="I14" s="955"/>
      <c r="J14" s="537"/>
      <c r="K14" s="6"/>
    </row>
    <row r="15" spans="1:11">
      <c r="A15" s="7"/>
      <c r="B15" s="539"/>
      <c r="C15" s="948" t="s">
        <v>438</v>
      </c>
      <c r="D15" s="948"/>
      <c r="E15" s="948"/>
      <c r="F15" s="948"/>
      <c r="G15" s="948"/>
      <c r="H15" s="948"/>
      <c r="I15" s="948"/>
      <c r="J15" s="537"/>
      <c r="K15" s="6"/>
    </row>
    <row r="16" spans="1:11">
      <c r="A16" s="7"/>
      <c r="B16" s="539">
        <v>1.2</v>
      </c>
      <c r="C16" s="948" t="s">
        <v>439</v>
      </c>
      <c r="D16" s="948"/>
      <c r="E16" s="948"/>
      <c r="F16" s="948"/>
      <c r="G16" s="948"/>
      <c r="H16" s="948"/>
      <c r="I16" s="948"/>
      <c r="J16" s="537"/>
      <c r="K16" s="6"/>
    </row>
    <row r="17" spans="1:11">
      <c r="A17" s="7"/>
      <c r="B17" s="539"/>
      <c r="C17" s="956" t="s">
        <v>440</v>
      </c>
      <c r="D17" s="956"/>
      <c r="E17" s="956"/>
      <c r="F17" s="956"/>
      <c r="G17" s="956"/>
      <c r="H17" s="956"/>
      <c r="I17" s="956"/>
      <c r="J17" s="537"/>
      <c r="K17" s="6"/>
    </row>
    <row r="18" spans="1:11">
      <c r="A18" s="7" t="s">
        <v>441</v>
      </c>
      <c r="B18" s="539" t="s">
        <v>442</v>
      </c>
      <c r="C18" s="956" t="s">
        <v>443</v>
      </c>
      <c r="D18" s="956"/>
      <c r="E18" s="956"/>
      <c r="F18" s="956"/>
      <c r="G18" s="956"/>
      <c r="H18" s="956"/>
      <c r="I18" s="546"/>
      <c r="J18" s="537"/>
      <c r="K18" s="6"/>
    </row>
    <row r="19" spans="1:11" s="549" customFormat="1" ht="29.25" customHeight="1">
      <c r="A19" s="537" t="s">
        <v>444</v>
      </c>
      <c r="B19" s="547">
        <v>3.1</v>
      </c>
      <c r="C19" s="956" t="s">
        <v>445</v>
      </c>
      <c r="D19" s="956"/>
      <c r="E19" s="956"/>
      <c r="F19" s="956"/>
      <c r="G19" s="956"/>
      <c r="H19" s="956"/>
      <c r="I19" s="956"/>
      <c r="J19" s="543"/>
      <c r="K19" s="548"/>
    </row>
    <row r="20" spans="1:11" s="549" customFormat="1" ht="25.5" customHeight="1">
      <c r="A20" s="537"/>
      <c r="B20" s="547">
        <v>3.2</v>
      </c>
      <c r="C20" s="948" t="s">
        <v>443</v>
      </c>
      <c r="D20" s="948"/>
      <c r="E20" s="948"/>
      <c r="F20" s="948"/>
      <c r="G20" s="948"/>
      <c r="H20" s="948"/>
      <c r="I20" s="948"/>
      <c r="J20" s="537"/>
      <c r="K20" s="548"/>
    </row>
    <row r="21" spans="1:11" s="549" customFormat="1" ht="32.25" customHeight="1">
      <c r="A21" s="537"/>
      <c r="B21" s="547">
        <v>3.3</v>
      </c>
      <c r="C21" s="948" t="s">
        <v>446</v>
      </c>
      <c r="D21" s="948"/>
      <c r="E21" s="948"/>
      <c r="F21" s="948"/>
      <c r="G21" s="948"/>
      <c r="H21" s="948"/>
      <c r="I21" s="948"/>
      <c r="J21" s="537"/>
      <c r="K21" s="548"/>
    </row>
    <row r="22" spans="1:11" s="549" customFormat="1">
      <c r="A22" s="537"/>
      <c r="B22" s="547">
        <v>3.4</v>
      </c>
      <c r="C22" s="957" t="s">
        <v>447</v>
      </c>
      <c r="D22" s="957"/>
      <c r="E22" s="957"/>
      <c r="F22" s="957"/>
      <c r="G22" s="957"/>
      <c r="H22" s="957"/>
      <c r="I22" s="957"/>
      <c r="J22" s="537"/>
      <c r="K22" s="548"/>
    </row>
    <row r="23" spans="1:11" s="549" customFormat="1" ht="25.5" customHeight="1">
      <c r="A23" s="537"/>
      <c r="B23" s="547">
        <v>3.5</v>
      </c>
      <c r="C23" s="957" t="s">
        <v>448</v>
      </c>
      <c r="D23" s="957"/>
      <c r="E23" s="957"/>
      <c r="F23" s="957"/>
      <c r="G23" s="957"/>
      <c r="H23" s="957"/>
      <c r="I23" s="957"/>
      <c r="J23" s="537"/>
      <c r="K23" s="548"/>
    </row>
    <row r="24" spans="1:11" s="549" customFormat="1" ht="30" customHeight="1">
      <c r="A24" s="537"/>
      <c r="B24" s="547" t="s">
        <v>449</v>
      </c>
      <c r="C24" s="948" t="s">
        <v>450</v>
      </c>
      <c r="D24" s="948"/>
      <c r="E24" s="948"/>
      <c r="F24" s="948"/>
      <c r="G24" s="948"/>
      <c r="H24" s="948"/>
      <c r="I24" s="948"/>
      <c r="J24" s="537"/>
      <c r="K24" s="548"/>
    </row>
    <row r="25" spans="1:11" s="549" customFormat="1" ht="38.25" customHeight="1">
      <c r="A25" s="537" t="s">
        <v>451</v>
      </c>
      <c r="B25" s="547" t="s">
        <v>452</v>
      </c>
      <c r="C25" s="948" t="s">
        <v>453</v>
      </c>
      <c r="D25" s="948"/>
      <c r="E25" s="948"/>
      <c r="F25" s="948"/>
      <c r="G25" s="948"/>
      <c r="H25" s="948"/>
      <c r="I25" s="948"/>
      <c r="J25" s="537"/>
      <c r="K25" s="548"/>
    </row>
    <row r="26" spans="1:11" s="549" customFormat="1" ht="38.25" customHeight="1">
      <c r="A26" s="537"/>
      <c r="B26" s="547" t="s">
        <v>454</v>
      </c>
      <c r="C26" s="948" t="s">
        <v>455</v>
      </c>
      <c r="D26" s="948"/>
      <c r="E26" s="948"/>
      <c r="F26" s="948"/>
      <c r="G26" s="948"/>
      <c r="H26" s="948"/>
      <c r="I26" s="948"/>
      <c r="J26" s="537"/>
      <c r="K26" s="548"/>
    </row>
    <row r="27" spans="1:11" s="549" customFormat="1" ht="53.25" customHeight="1">
      <c r="A27" s="537" t="s">
        <v>456</v>
      </c>
      <c r="B27" s="547">
        <v>5.0999999999999996</v>
      </c>
      <c r="C27" s="948" t="s">
        <v>457</v>
      </c>
      <c r="D27" s="948"/>
      <c r="E27" s="948"/>
      <c r="F27" s="948"/>
      <c r="G27" s="948"/>
      <c r="H27" s="948"/>
      <c r="I27" s="948"/>
      <c r="J27" s="537"/>
      <c r="K27" s="548"/>
    </row>
    <row r="28" spans="1:11" s="549" customFormat="1" ht="42" customHeight="1">
      <c r="A28" s="537"/>
      <c r="B28" s="547">
        <v>5.2</v>
      </c>
      <c r="C28" s="948" t="s">
        <v>458</v>
      </c>
      <c r="D28" s="948"/>
      <c r="E28" s="948"/>
      <c r="F28" s="948"/>
      <c r="G28" s="948"/>
      <c r="H28" s="948"/>
      <c r="I28" s="546"/>
      <c r="J28" s="537"/>
      <c r="K28" s="548"/>
    </row>
    <row r="29" spans="1:11" s="549" customFormat="1" ht="42.75" customHeight="1">
      <c r="A29" s="537"/>
      <c r="B29" s="547">
        <v>5.3</v>
      </c>
      <c r="C29" s="948" t="s">
        <v>459</v>
      </c>
      <c r="D29" s="948"/>
      <c r="E29" s="948"/>
      <c r="F29" s="948"/>
      <c r="G29" s="948"/>
      <c r="H29" s="948"/>
      <c r="I29" s="546"/>
      <c r="J29" s="537"/>
      <c r="K29" s="548"/>
    </row>
    <row r="30" spans="1:11" s="549" customFormat="1" ht="40.5" customHeight="1">
      <c r="A30" s="537"/>
      <c r="B30" s="547">
        <v>5.4</v>
      </c>
      <c r="C30" s="957" t="s">
        <v>460</v>
      </c>
      <c r="D30" s="957"/>
      <c r="E30" s="957"/>
      <c r="F30" s="957"/>
      <c r="G30" s="957"/>
      <c r="H30" s="957"/>
      <c r="I30" s="957"/>
      <c r="J30" s="537"/>
      <c r="K30" s="548"/>
    </row>
    <row r="31" spans="1:11" s="549" customFormat="1" ht="3" customHeight="1">
      <c r="A31" s="537"/>
      <c r="B31" s="547"/>
      <c r="C31" s="957"/>
      <c r="D31" s="957"/>
      <c r="E31" s="957"/>
      <c r="F31" s="957"/>
      <c r="G31" s="957"/>
      <c r="H31" s="957"/>
      <c r="I31" s="957"/>
      <c r="J31" s="537"/>
      <c r="K31" s="548"/>
    </row>
    <row r="32" spans="1:11" s="549" customFormat="1" ht="2.25" customHeight="1">
      <c r="A32" s="537"/>
      <c r="B32" s="547"/>
      <c r="C32" s="957"/>
      <c r="D32" s="957"/>
      <c r="E32" s="957"/>
      <c r="F32" s="957"/>
      <c r="G32" s="957"/>
      <c r="H32" s="957"/>
      <c r="I32" s="957"/>
      <c r="J32" s="537"/>
      <c r="K32" s="548"/>
    </row>
    <row r="33" spans="1:11" s="549" customFormat="1" ht="27" customHeight="1">
      <c r="A33" s="537"/>
      <c r="B33" s="547">
        <v>5.5</v>
      </c>
      <c r="C33" s="958" t="s">
        <v>461</v>
      </c>
      <c r="D33" s="958"/>
      <c r="E33" s="958"/>
      <c r="F33" s="958"/>
      <c r="G33" s="958"/>
      <c r="H33" s="958"/>
      <c r="I33" s="958"/>
      <c r="J33" s="537"/>
      <c r="K33" s="548"/>
    </row>
    <row r="34" spans="1:11" s="549" customFormat="1" ht="36" customHeight="1">
      <c r="A34" s="537"/>
      <c r="B34" s="547">
        <v>5.6</v>
      </c>
      <c r="C34" s="948" t="s">
        <v>462</v>
      </c>
      <c r="D34" s="948"/>
      <c r="E34" s="948"/>
      <c r="F34" s="948"/>
      <c r="G34" s="948"/>
      <c r="H34" s="948"/>
      <c r="I34" s="948"/>
      <c r="J34" s="537"/>
      <c r="K34" s="548"/>
    </row>
    <row r="35" spans="1:11" s="549" customFormat="1" ht="36" customHeight="1">
      <c r="A35" s="537"/>
      <c r="B35" s="547" t="s">
        <v>341</v>
      </c>
      <c r="C35" s="948" t="s">
        <v>463</v>
      </c>
      <c r="D35" s="948"/>
      <c r="E35" s="948"/>
      <c r="F35" s="948"/>
      <c r="G35" s="948"/>
      <c r="H35" s="948"/>
      <c r="I35" s="948"/>
      <c r="J35" s="537"/>
      <c r="K35" s="548"/>
    </row>
    <row r="36" spans="1:11" s="549" customFormat="1" ht="54" customHeight="1">
      <c r="A36" s="537"/>
      <c r="B36" s="550" t="s">
        <v>464</v>
      </c>
      <c r="C36" s="957" t="s">
        <v>465</v>
      </c>
      <c r="D36" s="957"/>
      <c r="E36" s="957"/>
      <c r="F36" s="957"/>
      <c r="G36" s="957"/>
      <c r="H36" s="957"/>
      <c r="I36" s="957"/>
      <c r="J36" s="537"/>
      <c r="K36" s="548"/>
    </row>
    <row r="37" spans="1:11" s="549" customFormat="1">
      <c r="A37" s="537"/>
      <c r="B37" s="547"/>
      <c r="C37" s="546"/>
      <c r="D37" s="546"/>
      <c r="E37" s="546"/>
      <c r="F37" s="546"/>
      <c r="G37" s="546"/>
      <c r="H37" s="551"/>
      <c r="I37" s="546"/>
      <c r="J37" s="537"/>
      <c r="K37" s="548"/>
    </row>
    <row r="38" spans="1:11">
      <c r="A38" s="7"/>
      <c r="B38" s="539"/>
      <c r="C38" s="546"/>
      <c r="D38" s="546"/>
      <c r="E38" s="546"/>
      <c r="F38" s="546"/>
      <c r="G38" s="546"/>
      <c r="H38" s="551"/>
      <c r="I38" s="546"/>
      <c r="J38" s="538"/>
      <c r="K38" s="6"/>
    </row>
    <row r="39" spans="1:11">
      <c r="A39" s="7"/>
      <c r="B39" s="539"/>
      <c r="C39" s="546"/>
      <c r="D39" s="546"/>
      <c r="E39" s="546"/>
      <c r="F39" s="546"/>
      <c r="G39" s="546"/>
      <c r="H39" s="551"/>
      <c r="I39" s="546"/>
      <c r="J39" s="538"/>
      <c r="K39" s="6"/>
    </row>
    <row r="40" spans="1:11">
      <c r="A40" s="7"/>
      <c r="B40" s="539"/>
      <c r="C40" s="546"/>
      <c r="D40" s="546"/>
      <c r="E40" s="546"/>
      <c r="F40" s="546"/>
      <c r="G40" s="546"/>
      <c r="H40" s="551"/>
      <c r="I40" s="546"/>
      <c r="J40" s="538"/>
      <c r="K40" s="6"/>
    </row>
    <row r="41" spans="1:11">
      <c r="A41" s="7"/>
      <c r="B41" s="539"/>
      <c r="C41" s="959"/>
      <c r="D41" s="959"/>
      <c r="E41" s="959"/>
      <c r="F41" s="959"/>
      <c r="G41" s="959"/>
      <c r="H41" s="959"/>
      <c r="I41" s="959"/>
      <c r="J41" s="538"/>
      <c r="K41" s="6"/>
    </row>
    <row r="42" spans="1:11">
      <c r="A42" s="7"/>
      <c r="B42" s="539" t="s">
        <v>466</v>
      </c>
      <c r="C42" s="546"/>
      <c r="D42" s="546"/>
      <c r="E42" s="546"/>
      <c r="F42" s="546"/>
      <c r="G42" s="546"/>
      <c r="H42" s="551"/>
      <c r="I42" s="552"/>
      <c r="J42" s="538"/>
      <c r="K42" s="6"/>
    </row>
    <row r="43" spans="1:11">
      <c r="A43" s="7"/>
      <c r="B43" s="539"/>
      <c r="C43" s="546"/>
      <c r="D43" s="546"/>
      <c r="E43" s="546"/>
      <c r="F43" s="546"/>
      <c r="G43" s="546"/>
      <c r="H43" s="551"/>
      <c r="I43" s="552"/>
      <c r="J43" s="538"/>
      <c r="K43" s="6"/>
    </row>
    <row r="44" spans="1:11" ht="12.75" customHeight="1">
      <c r="A44" s="7"/>
      <c r="B44" s="553" t="s">
        <v>432</v>
      </c>
      <c r="C44" s="554"/>
      <c r="D44" s="554"/>
      <c r="E44" s="554"/>
      <c r="F44" s="554"/>
      <c r="G44" s="554"/>
      <c r="H44" s="551"/>
      <c r="I44" s="554"/>
      <c r="J44" s="555"/>
      <c r="K44" s="6"/>
    </row>
    <row r="45" spans="1:11" ht="12.75" customHeight="1">
      <c r="A45" s="7"/>
      <c r="B45" s="555"/>
      <c r="C45" s="554"/>
      <c r="D45" s="554"/>
      <c r="E45" s="554"/>
      <c r="F45" s="554"/>
      <c r="G45" s="554"/>
      <c r="H45" s="551"/>
      <c r="I45" s="554"/>
      <c r="J45" s="555"/>
      <c r="K45" s="6"/>
    </row>
    <row r="46" spans="1:11" ht="12.75" customHeight="1">
      <c r="A46" s="7"/>
      <c r="B46" s="555"/>
      <c r="C46" s="554"/>
      <c r="D46" s="554"/>
      <c r="E46" s="554"/>
      <c r="F46" s="554"/>
      <c r="G46" s="554"/>
      <c r="H46" s="551"/>
      <c r="I46" s="554"/>
      <c r="J46" s="555"/>
      <c r="K46" s="6"/>
    </row>
    <row r="47" spans="1:11" ht="12.75" customHeight="1">
      <c r="A47" s="7"/>
      <c r="B47" s="555"/>
      <c r="C47" s="554"/>
      <c r="D47" s="554"/>
      <c r="E47" s="554"/>
      <c r="F47" s="554"/>
      <c r="G47" s="554"/>
      <c r="H47" s="551"/>
      <c r="I47" s="554"/>
      <c r="J47" s="555"/>
      <c r="K47" s="6"/>
    </row>
    <row r="48" spans="1:11" ht="12.75" customHeight="1">
      <c r="A48" s="7"/>
      <c r="B48" s="555"/>
      <c r="C48" s="554"/>
      <c r="D48" s="554"/>
      <c r="E48" s="554"/>
      <c r="F48" s="554"/>
      <c r="G48" s="554"/>
      <c r="H48" s="551"/>
      <c r="I48" s="554"/>
      <c r="J48" s="555"/>
      <c r="K48" s="6"/>
    </row>
    <row r="49" spans="1:11" ht="12.75" customHeight="1">
      <c r="A49" s="7"/>
      <c r="B49" s="555"/>
      <c r="C49" s="554"/>
      <c r="D49" s="554"/>
      <c r="E49" s="554"/>
      <c r="F49" s="554"/>
      <c r="G49" s="554"/>
      <c r="H49" s="551"/>
      <c r="I49" s="554"/>
      <c r="J49" s="555"/>
      <c r="K49" s="6"/>
    </row>
    <row r="50" spans="1:11" ht="12.75" customHeight="1">
      <c r="A50" s="7"/>
      <c r="B50" s="555"/>
      <c r="C50" s="554"/>
      <c r="D50" s="554"/>
      <c r="E50" s="554"/>
      <c r="F50" s="554"/>
      <c r="G50" s="554"/>
      <c r="H50" s="551"/>
      <c r="I50" s="554"/>
      <c r="J50" s="555"/>
      <c r="K50" s="6"/>
    </row>
    <row r="51" spans="1:11" ht="12.75" customHeight="1">
      <c r="A51" s="7"/>
      <c r="B51" s="555"/>
      <c r="C51" s="554"/>
      <c r="D51" s="554"/>
      <c r="E51" s="554"/>
      <c r="F51" s="554"/>
      <c r="G51" s="554"/>
      <c r="H51" s="551"/>
      <c r="I51" s="554"/>
      <c r="J51" s="555"/>
      <c r="K51" s="6"/>
    </row>
    <row r="52" spans="1:11">
      <c r="A52" s="7"/>
      <c r="B52" s="539"/>
      <c r="C52" s="546"/>
      <c r="D52" s="546"/>
      <c r="E52" s="546"/>
      <c r="F52" s="546"/>
      <c r="G52" s="546"/>
      <c r="H52" s="551"/>
      <c r="I52" s="546"/>
      <c r="J52" s="538"/>
      <c r="K52" s="6"/>
    </row>
    <row r="53" spans="1:11">
      <c r="A53" s="7" t="s">
        <v>467</v>
      </c>
      <c r="B53" s="556">
        <v>6.1</v>
      </c>
      <c r="C53" s="960" t="s">
        <v>468</v>
      </c>
      <c r="D53" s="960"/>
      <c r="E53" s="960"/>
      <c r="F53" s="960"/>
      <c r="G53" s="960"/>
      <c r="H53" s="960"/>
      <c r="I53" s="960"/>
      <c r="J53" s="538"/>
      <c r="K53" s="6"/>
    </row>
    <row r="54" spans="1:11">
      <c r="A54" s="7"/>
      <c r="B54" s="556">
        <v>6.2</v>
      </c>
      <c r="C54" s="957" t="s">
        <v>469</v>
      </c>
      <c r="D54" s="957"/>
      <c r="E54" s="957"/>
      <c r="F54" s="957"/>
      <c r="G54" s="957"/>
      <c r="H54" s="957"/>
      <c r="I54" s="957"/>
      <c r="J54" s="538"/>
      <c r="K54" s="6"/>
    </row>
    <row r="55" spans="1:11">
      <c r="A55" s="7"/>
      <c r="B55" s="556">
        <v>6.3</v>
      </c>
      <c r="C55" s="957" t="s">
        <v>470</v>
      </c>
      <c r="D55" s="957"/>
      <c r="E55" s="957"/>
      <c r="F55" s="957"/>
      <c r="G55" s="957"/>
      <c r="H55" s="957"/>
      <c r="I55" s="957"/>
      <c r="J55" s="538"/>
      <c r="K55" s="6"/>
    </row>
    <row r="56" spans="1:11">
      <c r="A56" s="7"/>
      <c r="B56" s="557">
        <v>6.4</v>
      </c>
      <c r="C56" s="948" t="s">
        <v>471</v>
      </c>
      <c r="D56" s="948"/>
      <c r="E56" s="948"/>
      <c r="F56" s="948"/>
      <c r="G56" s="948"/>
      <c r="H56" s="948"/>
      <c r="I56" s="948"/>
      <c r="J56" s="538"/>
      <c r="K56" s="6"/>
    </row>
    <row r="57" spans="1:11" ht="22.5" customHeight="1">
      <c r="A57" s="7"/>
      <c r="B57" s="557" t="s">
        <v>472</v>
      </c>
      <c r="C57" s="948" t="s">
        <v>473</v>
      </c>
      <c r="D57" s="948"/>
      <c r="E57" s="948"/>
      <c r="F57" s="948"/>
      <c r="G57" s="948"/>
      <c r="H57" s="948"/>
      <c r="I57" s="948"/>
      <c r="J57" s="538"/>
      <c r="K57" s="6"/>
    </row>
    <row r="58" spans="1:11">
      <c r="A58" s="7" t="s">
        <v>474</v>
      </c>
      <c r="B58" s="556">
        <v>7.1</v>
      </c>
      <c r="C58" s="957" t="s">
        <v>475</v>
      </c>
      <c r="D58" s="957"/>
      <c r="E58" s="957"/>
      <c r="F58" s="957"/>
      <c r="G58" s="957"/>
      <c r="H58" s="957"/>
      <c r="I58" s="957"/>
      <c r="J58" s="538"/>
      <c r="K58" s="6"/>
    </row>
    <row r="59" spans="1:11">
      <c r="A59" s="7"/>
      <c r="B59" s="556">
        <v>7.2</v>
      </c>
      <c r="C59" s="957" t="s">
        <v>476</v>
      </c>
      <c r="D59" s="957"/>
      <c r="E59" s="957"/>
      <c r="F59" s="957"/>
      <c r="G59" s="957"/>
      <c r="H59" s="957"/>
      <c r="I59" s="957"/>
      <c r="J59" s="538"/>
      <c r="K59" s="6"/>
    </row>
    <row r="60" spans="1:11">
      <c r="A60" s="7"/>
      <c r="B60" s="556">
        <v>7.3</v>
      </c>
      <c r="C60" s="948" t="s">
        <v>477</v>
      </c>
      <c r="D60" s="948"/>
      <c r="E60" s="948"/>
      <c r="F60" s="948"/>
      <c r="G60" s="948"/>
      <c r="H60" s="948"/>
      <c r="I60" s="948"/>
      <c r="J60" s="538"/>
      <c r="K60" s="6"/>
    </row>
    <row r="61" spans="1:11">
      <c r="A61" s="7"/>
      <c r="B61" s="556" t="s">
        <v>478</v>
      </c>
      <c r="C61" s="948" t="s">
        <v>479</v>
      </c>
      <c r="D61" s="948"/>
      <c r="E61" s="948"/>
      <c r="F61" s="948"/>
      <c r="G61" s="948"/>
      <c r="H61" s="551"/>
      <c r="I61" s="546"/>
      <c r="J61" s="538"/>
      <c r="K61" s="6"/>
    </row>
    <row r="62" spans="1:11">
      <c r="A62" s="7"/>
      <c r="B62" s="539"/>
      <c r="C62" s="546"/>
      <c r="D62" s="546"/>
      <c r="E62" s="546"/>
      <c r="F62" s="546"/>
      <c r="G62" s="546"/>
      <c r="H62" s="551"/>
      <c r="I62" s="546"/>
      <c r="J62" s="538"/>
      <c r="K62" s="6"/>
    </row>
    <row r="63" spans="1:11">
      <c r="A63" s="7"/>
      <c r="B63" s="539"/>
      <c r="C63" s="959"/>
      <c r="D63" s="959"/>
      <c r="E63" s="959"/>
      <c r="F63" s="959"/>
      <c r="G63" s="959"/>
      <c r="H63" s="959"/>
      <c r="I63" s="959"/>
      <c r="J63" s="538"/>
      <c r="K63" s="6"/>
    </row>
    <row r="64" spans="1:11">
      <c r="A64" s="7"/>
      <c r="B64" s="558" t="s">
        <v>480</v>
      </c>
      <c r="C64" s="559"/>
      <c r="D64" s="559"/>
      <c r="E64" s="559"/>
      <c r="F64" s="546"/>
      <c r="G64" s="546"/>
      <c r="H64" s="551"/>
      <c r="I64" s="552"/>
      <c r="J64" s="538"/>
      <c r="K64" s="6"/>
    </row>
    <row r="65" spans="1:11">
      <c r="A65" s="7"/>
      <c r="B65" s="539"/>
      <c r="C65" s="546"/>
      <c r="D65" s="546"/>
      <c r="E65" s="546"/>
      <c r="F65" s="546"/>
      <c r="G65" s="546"/>
      <c r="H65" s="551"/>
      <c r="I65" s="552"/>
      <c r="J65" s="538"/>
      <c r="K65" s="6"/>
    </row>
    <row r="66" spans="1:11" ht="12.75" customHeight="1">
      <c r="A66" s="7"/>
      <c r="B66" s="553" t="s">
        <v>432</v>
      </c>
      <c r="C66" s="554"/>
      <c r="D66" s="554"/>
      <c r="E66" s="554"/>
      <c r="F66" s="554"/>
      <c r="G66" s="554"/>
      <c r="H66" s="551"/>
      <c r="I66" s="554"/>
      <c r="J66" s="555"/>
      <c r="K66" s="6"/>
    </row>
    <row r="67" spans="1:11">
      <c r="A67" s="7"/>
      <c r="B67" s="556"/>
      <c r="C67" s="546"/>
      <c r="D67" s="546"/>
      <c r="E67" s="546"/>
      <c r="F67" s="546"/>
      <c r="G67" s="546"/>
      <c r="H67" s="551"/>
      <c r="I67" s="546"/>
      <c r="J67" s="538"/>
      <c r="K67" s="6"/>
    </row>
    <row r="68" spans="1:11">
      <c r="A68" s="7" t="s">
        <v>481</v>
      </c>
      <c r="B68" s="556">
        <v>8.1</v>
      </c>
      <c r="C68" s="957" t="s">
        <v>482</v>
      </c>
      <c r="D68" s="957"/>
      <c r="E68" s="957"/>
      <c r="F68" s="957"/>
      <c r="G68" s="957"/>
      <c r="H68" s="957"/>
      <c r="I68" s="957"/>
      <c r="J68" s="538"/>
      <c r="K68" s="6"/>
    </row>
    <row r="69" spans="1:11">
      <c r="A69" s="7" t="s">
        <v>483</v>
      </c>
      <c r="B69" s="557">
        <v>9.1</v>
      </c>
      <c r="C69" s="957" t="s">
        <v>484</v>
      </c>
      <c r="D69" s="957"/>
      <c r="E69" s="957"/>
      <c r="F69" s="957"/>
      <c r="G69" s="957"/>
      <c r="H69" s="957"/>
      <c r="I69" s="957"/>
      <c r="J69" s="538"/>
      <c r="K69" s="6"/>
    </row>
    <row r="70" spans="1:11">
      <c r="A70" s="7"/>
      <c r="B70" s="557">
        <v>9.1999999999999993</v>
      </c>
      <c r="C70" s="957" t="s">
        <v>485</v>
      </c>
      <c r="D70" s="957"/>
      <c r="E70" s="957"/>
      <c r="F70" s="957"/>
      <c r="G70" s="957"/>
      <c r="H70" s="957"/>
      <c r="I70" s="957"/>
      <c r="J70" s="538"/>
      <c r="K70" s="6"/>
    </row>
    <row r="71" spans="1:11" ht="12.75" customHeight="1">
      <c r="A71" s="7" t="s">
        <v>486</v>
      </c>
      <c r="B71" s="557" t="s">
        <v>487</v>
      </c>
      <c r="C71" s="962" t="s">
        <v>488</v>
      </c>
      <c r="D71" s="962"/>
      <c r="E71" s="962"/>
      <c r="F71" s="962"/>
      <c r="G71" s="962"/>
      <c r="H71" s="962"/>
      <c r="I71" s="962"/>
      <c r="J71" s="538"/>
      <c r="K71" s="6"/>
    </row>
    <row r="72" spans="1:11">
      <c r="A72" s="7"/>
      <c r="B72" s="556" t="s">
        <v>489</v>
      </c>
      <c r="C72" s="560" t="s">
        <v>443</v>
      </c>
      <c r="D72" s="546"/>
      <c r="E72" s="546"/>
      <c r="F72" s="546"/>
      <c r="G72" s="546"/>
      <c r="H72" s="551"/>
      <c r="I72" s="546"/>
      <c r="J72" s="538"/>
      <c r="K72" s="6"/>
    </row>
    <row r="73" spans="1:11">
      <c r="A73" s="7"/>
      <c r="B73" s="556" t="s">
        <v>490</v>
      </c>
      <c r="C73" s="962" t="s">
        <v>491</v>
      </c>
      <c r="D73" s="962"/>
      <c r="E73" s="962"/>
      <c r="F73" s="962"/>
      <c r="G73" s="962"/>
      <c r="H73" s="962"/>
      <c r="I73" s="962"/>
      <c r="J73" s="538"/>
      <c r="K73" s="6"/>
    </row>
    <row r="74" spans="1:11">
      <c r="A74" s="7"/>
      <c r="B74" s="556" t="s">
        <v>492</v>
      </c>
      <c r="C74" s="956" t="s">
        <v>493</v>
      </c>
      <c r="D74" s="956"/>
      <c r="E74" s="956"/>
      <c r="F74" s="956"/>
      <c r="G74" s="956"/>
      <c r="H74" s="956"/>
      <c r="I74" s="956"/>
      <c r="J74" s="538"/>
      <c r="K74" s="6"/>
    </row>
    <row r="75" spans="1:11" ht="21.75" customHeight="1">
      <c r="A75" s="7"/>
      <c r="B75" s="556" t="s">
        <v>494</v>
      </c>
      <c r="C75" s="956" t="s">
        <v>495</v>
      </c>
      <c r="D75" s="956"/>
      <c r="E75" s="956"/>
      <c r="F75" s="956"/>
      <c r="G75" s="956"/>
      <c r="H75" s="956"/>
      <c r="I75" s="546"/>
      <c r="J75" s="538"/>
      <c r="K75" s="6"/>
    </row>
    <row r="76" spans="1:11" ht="12.75" customHeight="1">
      <c r="A76" s="7" t="s">
        <v>496</v>
      </c>
      <c r="B76" s="556" t="s">
        <v>497</v>
      </c>
      <c r="C76" s="963" t="s">
        <v>498</v>
      </c>
      <c r="D76" s="963"/>
      <c r="E76" s="963"/>
      <c r="F76" s="963"/>
      <c r="G76" s="963"/>
      <c r="H76" s="561"/>
      <c r="I76" s="560"/>
      <c r="J76" s="543"/>
      <c r="K76" s="6"/>
    </row>
    <row r="77" spans="1:11">
      <c r="A77" s="7"/>
      <c r="B77" s="556"/>
      <c r="C77" s="562" t="s">
        <v>499</v>
      </c>
      <c r="D77" s="562" t="s">
        <v>500</v>
      </c>
      <c r="E77" s="563"/>
      <c r="F77" s="563"/>
      <c r="G77" s="563"/>
      <c r="H77" s="564">
        <v>47666</v>
      </c>
      <c r="I77" s="560"/>
      <c r="J77" s="543"/>
      <c r="K77" s="6"/>
    </row>
    <row r="78" spans="1:11">
      <c r="A78" s="7"/>
      <c r="B78" s="556"/>
      <c r="C78" s="565" t="s">
        <v>501</v>
      </c>
      <c r="D78" s="565" t="s">
        <v>502</v>
      </c>
      <c r="E78" s="566"/>
      <c r="F78" s="566"/>
      <c r="G78" s="566"/>
      <c r="H78" s="567">
        <v>3479876.1</v>
      </c>
      <c r="I78" s="560"/>
      <c r="J78" s="543"/>
      <c r="K78" s="6"/>
    </row>
    <row r="79" spans="1:11">
      <c r="A79" s="7"/>
      <c r="B79" s="556"/>
      <c r="C79" s="565" t="s">
        <v>503</v>
      </c>
      <c r="D79" s="565" t="s">
        <v>504</v>
      </c>
      <c r="E79" s="566"/>
      <c r="F79" s="566"/>
      <c r="G79" s="566"/>
      <c r="H79" s="567">
        <v>185816</v>
      </c>
      <c r="I79" s="560"/>
      <c r="J79" s="543"/>
      <c r="K79" s="6"/>
    </row>
    <row r="80" spans="1:11">
      <c r="A80" s="7"/>
      <c r="B80" s="556"/>
      <c r="C80" s="565" t="s">
        <v>505</v>
      </c>
      <c r="D80" s="565" t="s">
        <v>506</v>
      </c>
      <c r="E80" s="566"/>
      <c r="F80" s="566"/>
      <c r="G80" s="566"/>
      <c r="H80" s="567">
        <v>3105130</v>
      </c>
      <c r="I80" s="560"/>
      <c r="J80" s="543"/>
      <c r="K80" s="6"/>
    </row>
    <row r="81" spans="1:11">
      <c r="A81" s="7"/>
      <c r="B81" s="556"/>
      <c r="C81" s="565" t="s">
        <v>507</v>
      </c>
      <c r="D81" s="565" t="s">
        <v>508</v>
      </c>
      <c r="E81" s="566"/>
      <c r="F81" s="566"/>
      <c r="G81" s="566"/>
      <c r="H81" s="567">
        <v>1267945.6399999999</v>
      </c>
      <c r="I81" s="560"/>
      <c r="J81" s="543"/>
      <c r="K81" s="6"/>
    </row>
    <row r="82" spans="1:11">
      <c r="A82" s="7"/>
      <c r="B82" s="556"/>
      <c r="C82" s="565" t="s">
        <v>509</v>
      </c>
      <c r="D82" s="565" t="s">
        <v>510</v>
      </c>
      <c r="E82" s="566"/>
      <c r="F82" s="566"/>
      <c r="G82" s="566"/>
      <c r="H82" s="567">
        <v>5735.45</v>
      </c>
      <c r="I82" s="560"/>
      <c r="J82" s="543"/>
      <c r="K82" s="6"/>
    </row>
    <row r="83" spans="1:11">
      <c r="A83" s="7"/>
      <c r="B83" s="556"/>
      <c r="C83" s="565" t="s">
        <v>511</v>
      </c>
      <c r="D83" s="565" t="s">
        <v>512</v>
      </c>
      <c r="E83" s="566"/>
      <c r="F83" s="566"/>
      <c r="G83" s="566"/>
      <c r="H83" s="567">
        <v>46412.87</v>
      </c>
      <c r="I83" s="560"/>
      <c r="J83" s="543"/>
      <c r="K83" s="6"/>
    </row>
    <row r="84" spans="1:11">
      <c r="A84" s="7"/>
      <c r="B84" s="556"/>
      <c r="C84" s="565" t="s">
        <v>513</v>
      </c>
      <c r="D84" s="565" t="s">
        <v>514</v>
      </c>
      <c r="E84" s="566"/>
      <c r="F84" s="566"/>
      <c r="G84" s="566"/>
      <c r="H84" s="567">
        <v>1317507.3999999999</v>
      </c>
      <c r="I84" s="560"/>
      <c r="J84" s="543"/>
      <c r="K84" s="6"/>
    </row>
    <row r="85" spans="1:11">
      <c r="A85" s="7"/>
      <c r="B85" s="556"/>
      <c r="C85" s="565" t="s">
        <v>515</v>
      </c>
      <c r="D85" s="565" t="s">
        <v>516</v>
      </c>
      <c r="E85" s="566"/>
      <c r="F85" s="566"/>
      <c r="G85" s="566"/>
      <c r="H85" s="567">
        <v>43329175.649999999</v>
      </c>
      <c r="I85" s="560"/>
      <c r="J85" s="543"/>
      <c r="K85" s="6"/>
    </row>
    <row r="86" spans="1:11">
      <c r="A86" s="7"/>
      <c r="B86" s="556"/>
      <c r="C86" s="565" t="s">
        <v>517</v>
      </c>
      <c r="D86" s="565" t="s">
        <v>518</v>
      </c>
      <c r="E86" s="566"/>
      <c r="F86" s="566"/>
      <c r="G86" s="566"/>
      <c r="H86" s="567">
        <v>7619294.8099999996</v>
      </c>
      <c r="I86" s="560"/>
      <c r="J86" s="543"/>
      <c r="K86" s="6"/>
    </row>
    <row r="87" spans="1:11">
      <c r="A87" s="7"/>
      <c r="B87" s="556"/>
      <c r="C87" s="565" t="s">
        <v>519</v>
      </c>
      <c r="D87" s="565" t="s">
        <v>520</v>
      </c>
      <c r="E87" s="566"/>
      <c r="F87" s="566"/>
      <c r="G87" s="566"/>
      <c r="H87" s="567">
        <v>13097010.4</v>
      </c>
      <c r="I87" s="560"/>
      <c r="J87" s="543"/>
      <c r="K87" s="6"/>
    </row>
    <row r="88" spans="1:11">
      <c r="A88" s="7"/>
      <c r="B88" s="556"/>
      <c r="C88" s="565" t="s">
        <v>521</v>
      </c>
      <c r="D88" s="565" t="s">
        <v>522</v>
      </c>
      <c r="E88" s="566"/>
      <c r="F88" s="566"/>
      <c r="G88" s="566"/>
      <c r="H88" s="567">
        <v>1689133.3</v>
      </c>
      <c r="I88" s="560"/>
      <c r="J88" s="543"/>
      <c r="K88" s="6"/>
    </row>
    <row r="89" spans="1:11">
      <c r="A89" s="7"/>
      <c r="B89" s="556"/>
      <c r="C89" s="565" t="s">
        <v>523</v>
      </c>
      <c r="D89" s="565" t="s">
        <v>524</v>
      </c>
      <c r="E89" s="566"/>
      <c r="F89" s="566"/>
      <c r="G89" s="566"/>
      <c r="H89" s="567">
        <v>566328.68000000005</v>
      </c>
      <c r="I89" s="560"/>
      <c r="J89" s="543"/>
      <c r="K89" s="6"/>
    </row>
    <row r="90" spans="1:11">
      <c r="A90" s="7"/>
      <c r="B90" s="556"/>
      <c r="C90" s="565" t="s">
        <v>525</v>
      </c>
      <c r="D90" s="565" t="s">
        <v>526</v>
      </c>
      <c r="E90" s="566"/>
      <c r="F90" s="566"/>
      <c r="G90" s="566"/>
      <c r="H90" s="567">
        <v>784797.8</v>
      </c>
      <c r="I90" s="560"/>
      <c r="J90" s="543"/>
      <c r="K90" s="6"/>
    </row>
    <row r="91" spans="1:11">
      <c r="A91" s="7"/>
      <c r="B91" s="556"/>
      <c r="C91" s="565" t="s">
        <v>527</v>
      </c>
      <c r="D91" s="565" t="s">
        <v>528</v>
      </c>
      <c r="E91" s="566"/>
      <c r="F91" s="566"/>
      <c r="G91" s="566"/>
      <c r="H91" s="567">
        <v>6657280.4199999999</v>
      </c>
      <c r="I91" s="560"/>
      <c r="J91" s="543"/>
      <c r="K91" s="6"/>
    </row>
    <row r="92" spans="1:11">
      <c r="A92" s="7"/>
      <c r="B92" s="556"/>
      <c r="C92" s="565" t="s">
        <v>529</v>
      </c>
      <c r="D92" s="565" t="s">
        <v>530</v>
      </c>
      <c r="E92" s="566"/>
      <c r="F92" s="566"/>
      <c r="G92" s="566"/>
      <c r="H92" s="567">
        <v>3000</v>
      </c>
      <c r="I92" s="560"/>
      <c r="J92" s="543"/>
      <c r="K92" s="6"/>
    </row>
    <row r="93" spans="1:11">
      <c r="A93" s="7"/>
      <c r="B93" s="556"/>
      <c r="C93" s="565" t="s">
        <v>531</v>
      </c>
      <c r="D93" s="565" t="s">
        <v>532</v>
      </c>
      <c r="E93" s="566"/>
      <c r="F93" s="566"/>
      <c r="G93" s="566"/>
      <c r="H93" s="567">
        <v>1234995.1499999999</v>
      </c>
      <c r="I93" s="560"/>
      <c r="J93" s="543"/>
      <c r="K93" s="6"/>
    </row>
    <row r="94" spans="1:11">
      <c r="A94" s="7"/>
      <c r="B94" s="556"/>
      <c r="C94" s="565" t="s">
        <v>533</v>
      </c>
      <c r="D94" s="565" t="s">
        <v>534</v>
      </c>
      <c r="E94" s="566"/>
      <c r="F94" s="566"/>
      <c r="G94" s="566"/>
      <c r="H94" s="567">
        <v>1476587.79</v>
      </c>
      <c r="I94" s="560"/>
      <c r="J94" s="543"/>
      <c r="K94" s="6"/>
    </row>
    <row r="95" spans="1:11">
      <c r="A95" s="7"/>
      <c r="B95" s="556"/>
      <c r="C95" s="565" t="s">
        <v>535</v>
      </c>
      <c r="D95" s="565" t="s">
        <v>536</v>
      </c>
      <c r="E95" s="566"/>
      <c r="F95" s="566"/>
      <c r="G95" s="566"/>
      <c r="H95" s="567">
        <v>250</v>
      </c>
      <c r="I95" s="560"/>
      <c r="J95" s="543"/>
      <c r="K95" s="6"/>
    </row>
    <row r="96" spans="1:11">
      <c r="A96" s="7"/>
      <c r="B96" s="556"/>
      <c r="C96" s="565" t="s">
        <v>537</v>
      </c>
      <c r="D96" s="565" t="s">
        <v>538</v>
      </c>
      <c r="E96" s="566"/>
      <c r="F96" s="566"/>
      <c r="G96" s="566"/>
      <c r="H96" s="567">
        <v>874697.4</v>
      </c>
      <c r="I96" s="560"/>
      <c r="J96" s="543"/>
      <c r="K96" s="6"/>
    </row>
    <row r="97" spans="1:11">
      <c r="A97" s="7"/>
      <c r="B97" s="556"/>
      <c r="C97" s="565" t="s">
        <v>539</v>
      </c>
      <c r="D97" s="565" t="s">
        <v>540</v>
      </c>
      <c r="E97" s="566"/>
      <c r="F97" s="566"/>
      <c r="G97" s="566"/>
      <c r="H97" s="567">
        <v>2283304.2599999998</v>
      </c>
      <c r="I97" s="560"/>
      <c r="J97" s="543"/>
      <c r="K97" s="6"/>
    </row>
    <row r="98" spans="1:11">
      <c r="A98" s="7"/>
      <c r="B98" s="556"/>
      <c r="C98" s="565" t="s">
        <v>541</v>
      </c>
      <c r="D98" s="565" t="s">
        <v>542</v>
      </c>
      <c r="E98" s="566"/>
      <c r="F98" s="566"/>
      <c r="G98" s="566"/>
      <c r="H98" s="567">
        <v>443520</v>
      </c>
      <c r="I98" s="560"/>
      <c r="J98" s="543"/>
      <c r="K98" s="6"/>
    </row>
    <row r="99" spans="1:11">
      <c r="A99" s="7"/>
      <c r="B99" s="556"/>
      <c r="C99" s="565" t="s">
        <v>543</v>
      </c>
      <c r="D99" s="565" t="s">
        <v>55</v>
      </c>
      <c r="E99" s="566"/>
      <c r="F99" s="566"/>
      <c r="G99" s="566"/>
      <c r="H99" s="567">
        <v>873283.74</v>
      </c>
      <c r="I99" s="560"/>
      <c r="J99" s="543"/>
      <c r="K99" s="6"/>
    </row>
    <row r="100" spans="1:11">
      <c r="A100" s="7"/>
      <c r="B100" s="556"/>
      <c r="C100" s="565"/>
      <c r="D100" s="565"/>
      <c r="E100" s="566"/>
      <c r="F100" s="566"/>
      <c r="G100" s="566"/>
      <c r="H100" s="567">
        <f>SUM(H77:H99)</f>
        <v>90388748.860000029</v>
      </c>
      <c r="I100" s="560"/>
      <c r="J100" s="543"/>
      <c r="K100" s="6"/>
    </row>
    <row r="101" spans="1:11" ht="31.5" customHeight="1">
      <c r="A101" s="7" t="s">
        <v>544</v>
      </c>
      <c r="B101" s="556" t="s">
        <v>545</v>
      </c>
      <c r="C101" s="956" t="s">
        <v>546</v>
      </c>
      <c r="D101" s="956"/>
      <c r="E101" s="956"/>
      <c r="F101" s="956"/>
      <c r="G101" s="956"/>
      <c r="H101" s="956"/>
      <c r="I101" s="568"/>
      <c r="J101" s="569"/>
      <c r="K101" s="6"/>
    </row>
    <row r="102" spans="1:11" ht="27" customHeight="1">
      <c r="A102" s="7" t="s">
        <v>547</v>
      </c>
      <c r="B102" s="556" t="s">
        <v>548</v>
      </c>
      <c r="C102" s="956" t="s">
        <v>549</v>
      </c>
      <c r="D102" s="956"/>
      <c r="E102" s="956"/>
      <c r="F102" s="956"/>
      <c r="G102" s="956"/>
      <c r="H102" s="956"/>
      <c r="I102" s="956"/>
      <c r="J102" s="569"/>
      <c r="K102" s="6"/>
    </row>
    <row r="103" spans="1:11" ht="25.5" customHeight="1">
      <c r="A103" s="570" t="s">
        <v>550</v>
      </c>
      <c r="B103" s="571"/>
      <c r="C103" s="571"/>
      <c r="D103" s="572"/>
      <c r="E103" s="572"/>
      <c r="F103" s="573">
        <f>(F91+F93+F90)</f>
        <v>0</v>
      </c>
      <c r="G103" s="574"/>
      <c r="H103" s="575"/>
      <c r="I103" s="6"/>
      <c r="J103" s="569"/>
      <c r="K103" s="6"/>
    </row>
    <row r="104" spans="1:11" ht="25.5" customHeight="1">
      <c r="A104" s="566" t="s">
        <v>551</v>
      </c>
      <c r="B104" s="961" t="s">
        <v>552</v>
      </c>
      <c r="C104" s="961"/>
      <c r="D104" s="961"/>
      <c r="E104" s="961"/>
      <c r="F104" s="576">
        <f>F91</f>
        <v>0</v>
      </c>
      <c r="G104" s="577"/>
      <c r="H104" s="578">
        <v>8231434.7400000002</v>
      </c>
      <c r="I104" s="573"/>
      <c r="J104" s="6"/>
      <c r="K104" s="579"/>
    </row>
    <row r="105" spans="1:11">
      <c r="A105" s="566" t="s">
        <v>553</v>
      </c>
      <c r="B105" s="961" t="s">
        <v>554</v>
      </c>
      <c r="C105" s="961"/>
      <c r="D105" s="961"/>
      <c r="E105" s="961"/>
      <c r="F105" s="576">
        <f>F96</f>
        <v>0</v>
      </c>
      <c r="G105" s="577"/>
      <c r="H105" s="578">
        <v>3077872</v>
      </c>
      <c r="I105" s="573"/>
      <c r="J105" s="6"/>
      <c r="K105" s="579"/>
    </row>
    <row r="106" spans="1:11">
      <c r="A106" s="566" t="s">
        <v>555</v>
      </c>
      <c r="B106" s="961" t="s">
        <v>556</v>
      </c>
      <c r="C106" s="961"/>
      <c r="D106" s="961"/>
      <c r="E106" s="961"/>
      <c r="F106" s="576">
        <f>F89</f>
        <v>0</v>
      </c>
      <c r="G106" s="577"/>
      <c r="H106" s="578">
        <v>145000</v>
      </c>
      <c r="I106" s="573"/>
      <c r="J106" s="6"/>
      <c r="K106" s="580"/>
    </row>
    <row r="107" spans="1:11">
      <c r="A107" s="566" t="s">
        <v>557</v>
      </c>
      <c r="B107" s="581" t="s">
        <v>558</v>
      </c>
      <c r="C107" s="581"/>
      <c r="D107" s="581"/>
      <c r="E107" s="537"/>
      <c r="F107" s="566" t="s">
        <v>559</v>
      </c>
      <c r="G107" s="566"/>
      <c r="H107" s="578">
        <v>1458896.2206899999</v>
      </c>
      <c r="I107" s="582"/>
      <c r="J107" s="6"/>
      <c r="K107" s="580"/>
    </row>
    <row r="108" spans="1:11">
      <c r="A108" s="566" t="s">
        <v>560</v>
      </c>
      <c r="B108" s="961" t="s">
        <v>561</v>
      </c>
      <c r="C108" s="961"/>
      <c r="D108" s="961"/>
      <c r="E108" s="961"/>
      <c r="F108" s="583">
        <f>F63</f>
        <v>0</v>
      </c>
      <c r="G108" s="577"/>
      <c r="H108" s="578">
        <v>578976.24</v>
      </c>
      <c r="I108" s="582"/>
      <c r="J108" s="6"/>
      <c r="K108" s="580"/>
    </row>
    <row r="109" spans="1:11">
      <c r="A109" s="6"/>
      <c r="B109" s="568"/>
      <c r="C109" s="6"/>
      <c r="D109" s="572"/>
      <c r="E109" s="584"/>
      <c r="F109" s="584"/>
      <c r="G109" s="584"/>
      <c r="H109" s="585">
        <f>SUM(H104:H108)</f>
        <v>13492179.200689999</v>
      </c>
      <c r="I109" s="582"/>
      <c r="J109" s="6"/>
      <c r="K109" s="580"/>
    </row>
    <row r="110" spans="1:11">
      <c r="A110" s="6"/>
      <c r="B110" s="572"/>
      <c r="C110" s="6"/>
      <c r="D110" s="572"/>
      <c r="E110" s="584"/>
      <c r="F110" s="584"/>
      <c r="G110" s="584"/>
      <c r="H110" s="586"/>
      <c r="I110" s="582"/>
      <c r="J110" s="6"/>
      <c r="K110" s="580"/>
    </row>
    <row r="111" spans="1:11" ht="24" customHeight="1">
      <c r="A111" s="7" t="s">
        <v>562</v>
      </c>
      <c r="B111" s="556" t="s">
        <v>563</v>
      </c>
      <c r="C111" s="956" t="s">
        <v>564</v>
      </c>
      <c r="D111" s="956"/>
      <c r="E111" s="956"/>
      <c r="F111" s="956"/>
      <c r="G111" s="956"/>
      <c r="H111" s="956"/>
      <c r="I111" s="548"/>
      <c r="J111" s="569"/>
      <c r="K111" s="6"/>
    </row>
    <row r="112" spans="1:11">
      <c r="A112" s="7" t="s">
        <v>565</v>
      </c>
      <c r="B112" s="556" t="s">
        <v>566</v>
      </c>
      <c r="C112" s="956" t="s">
        <v>567</v>
      </c>
      <c r="D112" s="956"/>
      <c r="E112" s="956"/>
      <c r="F112" s="956"/>
      <c r="G112" s="956"/>
      <c r="H112" s="956"/>
      <c r="I112" s="568"/>
      <c r="J112" s="587"/>
      <c r="K112" s="6"/>
    </row>
    <row r="113" spans="1:11">
      <c r="A113" s="7" t="s">
        <v>568</v>
      </c>
      <c r="B113" s="556" t="s">
        <v>569</v>
      </c>
      <c r="C113" s="956" t="s">
        <v>570</v>
      </c>
      <c r="D113" s="956"/>
      <c r="E113" s="956"/>
      <c r="F113" s="956"/>
      <c r="G113" s="568"/>
      <c r="H113" s="561"/>
      <c r="I113" s="568"/>
      <c r="J113" s="587"/>
      <c r="K113" s="6"/>
    </row>
    <row r="114" spans="1:11">
      <c r="A114" s="7"/>
      <c r="B114" s="556"/>
      <c r="C114" s="568"/>
      <c r="D114" s="568"/>
      <c r="E114" s="568"/>
      <c r="F114" s="568"/>
      <c r="G114" s="546"/>
      <c r="H114" s="551"/>
      <c r="I114" s="546"/>
      <c r="J114" s="587"/>
      <c r="K114" s="6"/>
    </row>
    <row r="115" spans="1:11">
      <c r="A115" s="7"/>
      <c r="B115" s="556"/>
      <c r="C115" s="568"/>
      <c r="D115" s="568"/>
      <c r="E115" s="568"/>
      <c r="F115" s="568"/>
      <c r="G115" s="588"/>
      <c r="H115" s="589"/>
      <c r="I115" s="588"/>
      <c r="J115" s="587"/>
      <c r="K115" s="6"/>
    </row>
    <row r="116" spans="1:11">
      <c r="A116" s="7"/>
      <c r="B116" s="556"/>
      <c r="C116" s="568"/>
      <c r="D116" s="568"/>
      <c r="E116" s="568"/>
      <c r="F116" s="568"/>
      <c r="G116" s="548"/>
      <c r="H116" s="590"/>
      <c r="I116" s="540"/>
      <c r="J116" s="587"/>
      <c r="K116" s="6"/>
    </row>
    <row r="117" spans="1:11">
      <c r="A117" s="7"/>
      <c r="B117" s="556"/>
      <c r="C117" s="568"/>
      <c r="D117" s="568"/>
      <c r="E117" s="568"/>
      <c r="F117" s="568"/>
      <c r="G117" s="548"/>
      <c r="H117" s="591"/>
      <c r="I117" s="548"/>
      <c r="J117" s="587"/>
      <c r="K117" s="6"/>
    </row>
    <row r="118" spans="1:11">
      <c r="A118" s="7"/>
      <c r="B118" s="556"/>
      <c r="C118" s="568"/>
      <c r="D118" s="568"/>
      <c r="E118" s="568"/>
      <c r="F118" s="568"/>
      <c r="G118" s="548"/>
      <c r="H118" s="591"/>
      <c r="I118" s="548"/>
      <c r="J118" s="587"/>
      <c r="K118" s="6"/>
    </row>
    <row r="119" spans="1:11">
      <c r="A119" s="7"/>
      <c r="B119" s="556"/>
      <c r="C119" s="568"/>
      <c r="D119" s="546"/>
      <c r="E119" s="546"/>
      <c r="F119" s="546"/>
      <c r="G119" s="548"/>
      <c r="H119" s="591"/>
      <c r="I119" s="548"/>
      <c r="J119" s="587"/>
      <c r="K119" s="6"/>
    </row>
    <row r="120" spans="1:11" ht="45" customHeight="1">
      <c r="A120" s="7"/>
      <c r="B120" s="592" t="s">
        <v>571</v>
      </c>
      <c r="C120" s="569"/>
      <c r="D120" s="537"/>
      <c r="E120" s="537"/>
      <c r="F120" s="964" t="s">
        <v>572</v>
      </c>
      <c r="G120" s="964"/>
      <c r="H120" s="964"/>
      <c r="I120" s="548"/>
      <c r="J120" s="587"/>
      <c r="K120" s="6"/>
    </row>
    <row r="121" spans="1:11" ht="33.75" customHeight="1">
      <c r="A121" s="593" t="s">
        <v>573</v>
      </c>
      <c r="B121" s="556"/>
      <c r="C121" s="569"/>
      <c r="D121" s="537"/>
      <c r="E121" s="537"/>
      <c r="F121" s="950" t="s">
        <v>1</v>
      </c>
      <c r="G121" s="950"/>
      <c r="H121" s="950"/>
      <c r="I121" s="548"/>
      <c r="J121" s="587"/>
      <c r="K121" s="6"/>
    </row>
    <row r="122" spans="1:11" ht="25.5" customHeight="1">
      <c r="A122" s="594" t="s">
        <v>574</v>
      </c>
      <c r="B122" s="595"/>
      <c r="C122" s="543"/>
      <c r="D122" s="548"/>
      <c r="E122" s="548"/>
      <c r="F122" s="965" t="s">
        <v>575</v>
      </c>
      <c r="G122" s="965"/>
      <c r="H122" s="965"/>
      <c r="I122" s="548"/>
      <c r="J122" s="587"/>
      <c r="K122" s="6"/>
    </row>
    <row r="123" spans="1:11">
      <c r="A123" s="6"/>
      <c r="B123" s="596"/>
      <c r="C123" s="537"/>
      <c r="D123" s="548"/>
      <c r="E123" s="548"/>
      <c r="F123" s="966" t="s">
        <v>576</v>
      </c>
      <c r="G123" s="966"/>
      <c r="H123" s="591"/>
      <c r="I123" s="548"/>
      <c r="J123" s="597"/>
      <c r="K123" s="587"/>
    </row>
    <row r="124" spans="1:11">
      <c r="A124" s="6"/>
      <c r="B124" s="596"/>
      <c r="C124" s="588"/>
      <c r="D124" s="548"/>
      <c r="E124" s="548"/>
      <c r="F124" s="548"/>
      <c r="G124" s="548"/>
      <c r="H124" s="591"/>
      <c r="I124" s="548"/>
      <c r="J124" s="587"/>
      <c r="K124" s="6"/>
    </row>
    <row r="125" spans="1:11">
      <c r="A125" s="6"/>
      <c r="B125" s="596"/>
      <c r="C125" s="537"/>
      <c r="D125" s="548"/>
      <c r="E125" s="548"/>
      <c r="F125" s="548"/>
      <c r="G125" s="548"/>
      <c r="H125" s="591"/>
      <c r="I125" s="548"/>
      <c r="J125" s="587"/>
      <c r="K125" s="6"/>
    </row>
    <row r="126" spans="1:11">
      <c r="A126" s="6"/>
      <c r="B126" s="596"/>
      <c r="C126" s="537"/>
      <c r="D126" s="548"/>
      <c r="E126" s="548"/>
      <c r="F126" s="548"/>
      <c r="G126" s="548"/>
      <c r="H126" s="591"/>
      <c r="I126" s="548"/>
      <c r="J126" s="587"/>
      <c r="K126" s="6"/>
    </row>
    <row r="127" spans="1:11">
      <c r="A127" s="6"/>
      <c r="B127" s="598"/>
      <c r="C127" s="537"/>
      <c r="D127" s="548"/>
      <c r="E127" s="548"/>
      <c r="F127" s="548"/>
      <c r="G127" s="548"/>
      <c r="H127" s="591"/>
      <c r="I127" s="548"/>
      <c r="J127" s="587"/>
      <c r="K127" s="6"/>
    </row>
    <row r="128" spans="1:11">
      <c r="A128" s="6"/>
      <c r="B128" s="596"/>
      <c r="C128" s="537"/>
      <c r="D128" s="548"/>
      <c r="E128" s="548"/>
      <c r="F128" s="548"/>
      <c r="G128" s="548"/>
      <c r="H128" s="591"/>
      <c r="I128" s="548"/>
      <c r="J128" s="587"/>
      <c r="K128" s="6"/>
    </row>
    <row r="129" spans="1:11">
      <c r="A129" s="6"/>
      <c r="B129" s="596"/>
      <c r="C129" s="537"/>
      <c r="D129" s="548"/>
      <c r="E129" s="548"/>
      <c r="F129" s="548"/>
      <c r="G129" s="548"/>
      <c r="H129" s="591"/>
      <c r="I129" s="548"/>
      <c r="J129" s="587"/>
      <c r="K129" s="6"/>
    </row>
    <row r="130" spans="1:11">
      <c r="A130" s="6"/>
      <c r="B130" s="596"/>
      <c r="C130" s="537"/>
      <c r="D130" s="548"/>
      <c r="E130" s="548"/>
      <c r="F130" s="548"/>
    </row>
    <row r="131" spans="1:11">
      <c r="A131" s="6"/>
      <c r="B131" s="596"/>
      <c r="C131" s="537"/>
      <c r="D131" s="548"/>
      <c r="E131" s="548"/>
      <c r="F131" s="548"/>
    </row>
    <row r="132" spans="1:11">
      <c r="A132" s="6"/>
      <c r="B132" s="596"/>
      <c r="C132" s="537"/>
      <c r="D132" s="548"/>
      <c r="E132" s="548"/>
      <c r="F132" s="548"/>
    </row>
  </sheetData>
  <mergeCells count="58">
    <mergeCell ref="F120:H120"/>
    <mergeCell ref="F121:H121"/>
    <mergeCell ref="F122:H122"/>
    <mergeCell ref="F123:G123"/>
    <mergeCell ref="B105:E105"/>
    <mergeCell ref="B106:E106"/>
    <mergeCell ref="B108:E108"/>
    <mergeCell ref="C111:H111"/>
    <mergeCell ref="C112:H112"/>
    <mergeCell ref="C113:F113"/>
    <mergeCell ref="B104:E104"/>
    <mergeCell ref="C63:I63"/>
    <mergeCell ref="C68:I68"/>
    <mergeCell ref="C69:I69"/>
    <mergeCell ref="C70:I70"/>
    <mergeCell ref="C71:I71"/>
    <mergeCell ref="C73:I73"/>
    <mergeCell ref="C74:I74"/>
    <mergeCell ref="C75:H75"/>
    <mergeCell ref="C76:G76"/>
    <mergeCell ref="C101:H101"/>
    <mergeCell ref="C102:I102"/>
    <mergeCell ref="C61:G61"/>
    <mergeCell ref="C35:I35"/>
    <mergeCell ref="C36:I36"/>
    <mergeCell ref="C41:I41"/>
    <mergeCell ref="C53:I53"/>
    <mergeCell ref="C54:I54"/>
    <mergeCell ref="C55:I55"/>
    <mergeCell ref="C56:I56"/>
    <mergeCell ref="C57:I57"/>
    <mergeCell ref="C58:I58"/>
    <mergeCell ref="C59:I59"/>
    <mergeCell ref="C60:I60"/>
    <mergeCell ref="C34:I34"/>
    <mergeCell ref="C21:I21"/>
    <mergeCell ref="C22:I22"/>
    <mergeCell ref="C23:I23"/>
    <mergeCell ref="C24:I24"/>
    <mergeCell ref="C25:I25"/>
    <mergeCell ref="C26:I26"/>
    <mergeCell ref="C27:I27"/>
    <mergeCell ref="C28:H28"/>
    <mergeCell ref="C29:H29"/>
    <mergeCell ref="C30:I32"/>
    <mergeCell ref="C33:I33"/>
    <mergeCell ref="C20:I20"/>
    <mergeCell ref="B1:H1"/>
    <mergeCell ref="E2:H2"/>
    <mergeCell ref="A3:I10"/>
    <mergeCell ref="A12:J12"/>
    <mergeCell ref="C13:I13"/>
    <mergeCell ref="C14:I14"/>
    <mergeCell ref="C15:I15"/>
    <mergeCell ref="C16:I16"/>
    <mergeCell ref="C17:I17"/>
    <mergeCell ref="C18:H18"/>
    <mergeCell ref="C19:I19"/>
  </mergeCells>
  <pageMargins left="0.51" right="0.25" top="1" bottom="0.59" header="0.2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FAQE 1</vt:lpstr>
      <vt:lpstr>PASH</vt:lpstr>
      <vt:lpstr>aktiv Pasiv</vt:lpstr>
      <vt:lpstr>fluksi monetar</vt:lpstr>
      <vt:lpstr>permbledhje e aktiveve</vt:lpstr>
      <vt:lpstr>pasqyra e kap</vt:lpstr>
      <vt:lpstr>sqarime</vt:lpstr>
      <vt:lpstr>'aktiv Pasiv'!Print_Area</vt:lpstr>
      <vt:lpstr>'fluksi monetar'!Print_Area</vt:lpstr>
      <vt:lpstr>PASH!Print_Area</vt:lpstr>
      <vt:lpstr>'pasqyra e kap'!Print_Area</vt:lpstr>
      <vt:lpstr>'permbledhje e aktiveve'!Print_Area</vt:lpstr>
      <vt:lpstr>sqarime!Print_Area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Ledia</cp:lastModifiedBy>
  <dcterms:created xsi:type="dcterms:W3CDTF">2012-03-24T12:57:20Z</dcterms:created>
  <dcterms:modified xsi:type="dcterms:W3CDTF">2012-06-11T14:19:07Z</dcterms:modified>
</cp:coreProperties>
</file>