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15480" windowHeight="7512" tabRatio="806" activeTab="10"/>
  </bookViews>
  <sheets>
    <sheet name="Kapaku " sheetId="48" r:id="rId1"/>
    <sheet name="B_Sheet14" sheetId="1" r:id="rId2"/>
    <sheet name="P&amp;L14" sheetId="2" r:id="rId3"/>
    <sheet name="Equity" sheetId="5" r:id="rId4"/>
    <sheet name="Fluksi " sheetId="33" r:id="rId5"/>
    <sheet name="Cash" sheetId="31" state="hidden" r:id="rId6"/>
    <sheet name="FD T Fitimit" sheetId="13" state="hidden" r:id="rId7"/>
    <sheet name="TVSH" sheetId="6" state="hidden" r:id="rId8"/>
    <sheet name="cash Fl  (2)" sheetId="44" state="hidden" r:id="rId9"/>
    <sheet name="Shenime P&amp;L" sheetId="45" state="hidden" r:id="rId10"/>
    <sheet name="AQT" sheetId="7" r:id="rId11"/>
    <sheet name="Shenime " sheetId="50" r:id="rId12"/>
    <sheet name="LLOG TVSH" sheetId="41" state="hidden" r:id="rId13"/>
    <sheet name="AAM" sheetId="49" state="hidden" r:id="rId14"/>
    <sheet name="FD T Fitimit (2)" sheetId="43" state="hidden" r:id="rId15"/>
    <sheet name="B BSh" sheetId="35" state="hidden" r:id="rId16"/>
    <sheet name="B P&amp;L08" sheetId="36" state="hidden" r:id="rId17"/>
    <sheet name="B_Fluksi" sheetId="38" state="hidden" r:id="rId18"/>
    <sheet name="B_Equity " sheetId="37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0">AQT!$A$1:$Q$27</definedName>
    <definedName name="_xlnm.Print_Area" localSheetId="15">'B BSh'!$A$60:$Z$111</definedName>
    <definedName name="_xlnm.Print_Area" localSheetId="16">'B P&amp;L08'!$A$1:$O$51</definedName>
    <definedName name="_xlnm.Print_Area" localSheetId="17">B_Fluksi!$A$1:$J$81</definedName>
    <definedName name="_xlnm.Print_Area" localSheetId="1">B_Sheet14!$A$1:$X$57</definedName>
    <definedName name="_xlnm.Print_Area" localSheetId="3">Equity!$A$1:$O$35</definedName>
    <definedName name="_xlnm.Print_Area" localSheetId="6">'FD T Fitimit'!$A$1:$F$30</definedName>
    <definedName name="_xlnm.Print_Area" localSheetId="14">'FD T Fitimit (2)'!$A$1:$H$34</definedName>
    <definedName name="_xlnm.Print_Area" localSheetId="4">'Fluksi '!$A$1:$G$73</definedName>
    <definedName name="_xlnm.Print_Area" localSheetId="2">'P&amp;L14'!#REF!</definedName>
    <definedName name="_xlnm.Print_Area" localSheetId="11">'Shenime '!$A$1:$J$155</definedName>
    <definedName name="_xlnm.Print_Area" localSheetId="9">'Shenime P&amp;L'!$A$1:$K$127</definedName>
    <definedName name="xe110soc" localSheetId="15">#REF!</definedName>
    <definedName name="xe110soc" localSheetId="16">#REF!</definedName>
    <definedName name="xe110soc" localSheetId="18">#REF!</definedName>
    <definedName name="xe110soc" localSheetId="17">#REF!</definedName>
    <definedName name="xe110soc" localSheetId="8">#REF!</definedName>
    <definedName name="xe110soc" localSheetId="14">#REF!</definedName>
    <definedName name="xe110soc" localSheetId="4">#REF!</definedName>
    <definedName name="xe110soc" localSheetId="0">#REF!</definedName>
    <definedName name="xe110soc" localSheetId="12">#REF!</definedName>
    <definedName name="xe110soc" localSheetId="11">#REF!</definedName>
    <definedName name="xe110soc" localSheetId="9">#REF!</definedName>
    <definedName name="xe110soc">#REF!</definedName>
    <definedName name="xe180soc" localSheetId="15">#REF!</definedName>
    <definedName name="xe180soc" localSheetId="16">#REF!</definedName>
    <definedName name="xe180soc" localSheetId="18">#REF!</definedName>
    <definedName name="xe180soc" localSheetId="17">#REF!</definedName>
    <definedName name="xe180soc" localSheetId="8">#REF!</definedName>
    <definedName name="xe180soc" localSheetId="14">#REF!</definedName>
    <definedName name="xe180soc" localSheetId="4">#REF!</definedName>
    <definedName name="xe180soc" localSheetId="0">#REF!</definedName>
    <definedName name="xe180soc" localSheetId="12">#REF!</definedName>
    <definedName name="xe180soc" localSheetId="11">#REF!</definedName>
    <definedName name="xe180soc" localSheetId="9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I15" i="1"/>
  <c r="T20"/>
  <c r="F69" i="50" s="1"/>
  <c r="F71" s="1"/>
  <c r="F23" i="2"/>
  <c r="F136" i="50"/>
  <c r="H136"/>
  <c r="H137" s="1"/>
  <c r="H128"/>
  <c r="G24" i="2"/>
  <c r="G12"/>
  <c r="H123" i="50"/>
  <c r="F123"/>
  <c r="F45"/>
  <c r="F38"/>
  <c r="H38"/>
  <c r="H37"/>
  <c r="F16"/>
  <c r="H16"/>
  <c r="H18" s="1"/>
  <c r="F137"/>
  <c r="H112"/>
  <c r="F112"/>
  <c r="H99"/>
  <c r="F99"/>
  <c r="D92"/>
  <c r="H90"/>
  <c r="F90"/>
  <c r="H79"/>
  <c r="F79"/>
  <c r="H71"/>
  <c r="H60"/>
  <c r="F60"/>
  <c r="H48"/>
  <c r="F48"/>
  <c r="H30"/>
  <c r="F30"/>
  <c r="F18"/>
  <c r="H10"/>
  <c r="F10"/>
  <c r="F18" i="2"/>
  <c r="F24"/>
  <c r="F11"/>
  <c r="I28" i="1"/>
  <c r="K25" i="5"/>
  <c r="K34" s="1"/>
  <c r="I18" i="1"/>
  <c r="V73" i="35"/>
  <c r="I52" i="1"/>
  <c r="F37" i="50" s="1"/>
  <c r="U48" i="1"/>
  <c r="L7" i="7"/>
  <c r="G21" i="2"/>
  <c r="G26" s="1"/>
  <c r="G28" s="1"/>
  <c r="G13"/>
  <c r="G11"/>
  <c r="G7"/>
  <c r="G18" s="1"/>
  <c r="U28" i="1"/>
  <c r="U35" s="1"/>
  <c r="U15"/>
  <c r="U13"/>
  <c r="U9"/>
  <c r="J49"/>
  <c r="J37"/>
  <c r="J25"/>
  <c r="J15"/>
  <c r="J18" s="1"/>
  <c r="E46" i="33" s="1"/>
  <c r="F46" i="38" s="1"/>
  <c r="J9" i="1"/>
  <c r="J8"/>
  <c r="J12" s="1"/>
  <c r="L26" i="5"/>
  <c r="L27"/>
  <c r="L28"/>
  <c r="L30"/>
  <c r="L32"/>
  <c r="L33"/>
  <c r="H79" i="36"/>
  <c r="X76" i="35"/>
  <c r="X106"/>
  <c r="F13" i="2"/>
  <c r="M23" i="7"/>
  <c r="L23"/>
  <c r="O23" s="1"/>
  <c r="O25" s="1"/>
  <c r="K23"/>
  <c r="J23"/>
  <c r="I23"/>
  <c r="H23"/>
  <c r="M22"/>
  <c r="M25"/>
  <c r="K22"/>
  <c r="K25"/>
  <c r="J22"/>
  <c r="J25"/>
  <c r="I22"/>
  <c r="I25"/>
  <c r="H22"/>
  <c r="H25"/>
  <c r="O20"/>
  <c r="O19"/>
  <c r="O18"/>
  <c r="O16"/>
  <c r="O15"/>
  <c r="O13"/>
  <c r="O12"/>
  <c r="O11"/>
  <c r="M9"/>
  <c r="L9"/>
  <c r="K9"/>
  <c r="J9"/>
  <c r="I9"/>
  <c r="H9"/>
  <c r="O8"/>
  <c r="O7"/>
  <c r="O6"/>
  <c r="O9"/>
  <c r="J42" i="1" s="1"/>
  <c r="I49"/>
  <c r="I37"/>
  <c r="E55" i="33" s="1"/>
  <c r="F55" i="38" s="1"/>
  <c r="T28" i="1"/>
  <c r="T35"/>
  <c r="I25"/>
  <c r="T13"/>
  <c r="T9"/>
  <c r="I9"/>
  <c r="I12"/>
  <c r="F21" i="2"/>
  <c r="F26" s="1"/>
  <c r="F77" i="33"/>
  <c r="I25" i="5"/>
  <c r="H25"/>
  <c r="H34" s="1"/>
  <c r="E25"/>
  <c r="E70" i="33"/>
  <c r="E71"/>
  <c r="E73" s="1"/>
  <c r="G71"/>
  <c r="G76" s="1"/>
  <c r="V76" i="35"/>
  <c r="V75"/>
  <c r="F42" i="38"/>
  <c r="F76"/>
  <c r="L27" i="37"/>
  <c r="E26"/>
  <c r="L26" s="1"/>
  <c r="J28"/>
  <c r="K28"/>
  <c r="L30"/>
  <c r="K33"/>
  <c r="K39"/>
  <c r="L32"/>
  <c r="K34"/>
  <c r="L34"/>
  <c r="L36"/>
  <c r="L37"/>
  <c r="L38"/>
  <c r="J31"/>
  <c r="L31"/>
  <c r="K43"/>
  <c r="J43"/>
  <c r="H43"/>
  <c r="E43"/>
  <c r="I28"/>
  <c r="J75" i="36"/>
  <c r="J76"/>
  <c r="J77"/>
  <c r="J78"/>
  <c r="J79"/>
  <c r="J80"/>
  <c r="J82"/>
  <c r="J83"/>
  <c r="J84"/>
  <c r="J81"/>
  <c r="J87" s="1"/>
  <c r="J85"/>
  <c r="J89"/>
  <c r="J90"/>
  <c r="J92"/>
  <c r="J93"/>
  <c r="J94"/>
  <c r="J95"/>
  <c r="H75"/>
  <c r="H76"/>
  <c r="H77"/>
  <c r="H78"/>
  <c r="H80"/>
  <c r="H82"/>
  <c r="H83"/>
  <c r="H84"/>
  <c r="H85"/>
  <c r="H89"/>
  <c r="H90"/>
  <c r="H92"/>
  <c r="H93"/>
  <c r="H95"/>
  <c r="C6" i="49"/>
  <c r="C9"/>
  <c r="D6"/>
  <c r="D8"/>
  <c r="D18"/>
  <c r="D24"/>
  <c r="D30"/>
  <c r="H6"/>
  <c r="D7"/>
  <c r="E7"/>
  <c r="H7"/>
  <c r="H8"/>
  <c r="H18"/>
  <c r="H24"/>
  <c r="C8"/>
  <c r="F8"/>
  <c r="G8"/>
  <c r="E9"/>
  <c r="F9"/>
  <c r="F11"/>
  <c r="C10"/>
  <c r="F10"/>
  <c r="F13"/>
  <c r="G11"/>
  <c r="C13"/>
  <c r="G14"/>
  <c r="C18"/>
  <c r="C24"/>
  <c r="C30"/>
  <c r="F18"/>
  <c r="F24"/>
  <c r="F30"/>
  <c r="D19"/>
  <c r="D9"/>
  <c r="D11"/>
  <c r="H20"/>
  <c r="D21"/>
  <c r="D10"/>
  <c r="E21"/>
  <c r="E10"/>
  <c r="D22"/>
  <c r="H22"/>
  <c r="G24"/>
  <c r="G30"/>
  <c r="D25"/>
  <c r="E25"/>
  <c r="H25"/>
  <c r="H26"/>
  <c r="D27"/>
  <c r="E27"/>
  <c r="H27"/>
  <c r="D28"/>
  <c r="H28"/>
  <c r="I33" i="37"/>
  <c r="I39"/>
  <c r="H33"/>
  <c r="H39"/>
  <c r="G33"/>
  <c r="G39"/>
  <c r="F33"/>
  <c r="F39"/>
  <c r="E33"/>
  <c r="E39"/>
  <c r="V91" i="35"/>
  <c r="X71"/>
  <c r="X72"/>
  <c r="X74"/>
  <c r="X75"/>
  <c r="V71"/>
  <c r="V72"/>
  <c r="V74"/>
  <c r="X86"/>
  <c r="X87"/>
  <c r="X88" s="1"/>
  <c r="V86"/>
  <c r="V87"/>
  <c r="X89"/>
  <c r="X90"/>
  <c r="X91"/>
  <c r="V89"/>
  <c r="V90"/>
  <c r="V66"/>
  <c r="V67"/>
  <c r="V68"/>
  <c r="V79"/>
  <c r="J102"/>
  <c r="J103"/>
  <c r="J104"/>
  <c r="J106"/>
  <c r="J107"/>
  <c r="J95"/>
  <c r="J96"/>
  <c r="J97"/>
  <c r="J89"/>
  <c r="J90"/>
  <c r="J91"/>
  <c r="J82"/>
  <c r="J83"/>
  <c r="J84"/>
  <c r="J76"/>
  <c r="J77"/>
  <c r="J78"/>
  <c r="J79"/>
  <c r="J80"/>
  <c r="J70"/>
  <c r="J72"/>
  <c r="J73"/>
  <c r="J64"/>
  <c r="J66"/>
  <c r="J67"/>
  <c r="J65" s="1"/>
  <c r="J68" s="1"/>
  <c r="V98"/>
  <c r="V99"/>
  <c r="V100"/>
  <c r="V101"/>
  <c r="V102"/>
  <c r="V103"/>
  <c r="V104"/>
  <c r="K113"/>
  <c r="X98"/>
  <c r="X99"/>
  <c r="X100"/>
  <c r="X101"/>
  <c r="X102"/>
  <c r="X103"/>
  <c r="X104"/>
  <c r="X105"/>
  <c r="X78"/>
  <c r="X66"/>
  <c r="X67"/>
  <c r="X68"/>
  <c r="X79"/>
  <c r="C63" i="37"/>
  <c r="E63"/>
  <c r="F63"/>
  <c r="G63"/>
  <c r="H63"/>
  <c r="I63"/>
  <c r="J63"/>
  <c r="E11" i="43"/>
  <c r="H113" i="45"/>
  <c r="F113"/>
  <c r="H65"/>
  <c r="F65"/>
  <c r="H54"/>
  <c r="F54"/>
  <c r="H23"/>
  <c r="F23"/>
  <c r="H90"/>
  <c r="F90"/>
  <c r="H79"/>
  <c r="F79"/>
  <c r="H11"/>
  <c r="F11"/>
  <c r="H42"/>
  <c r="F42"/>
  <c r="F59" i="44"/>
  <c r="F57"/>
  <c r="F50"/>
  <c r="F44" s="1"/>
  <c r="F26"/>
  <c r="F29"/>
  <c r="F30"/>
  <c r="F31"/>
  <c r="F33"/>
  <c r="F9"/>
  <c r="F11"/>
  <c r="F25" s="1"/>
  <c r="F22"/>
  <c r="F40"/>
  <c r="F35" s="1"/>
  <c r="E27" i="41"/>
  <c r="E28" s="1"/>
  <c r="M23"/>
  <c r="M22"/>
  <c r="J21"/>
  <c r="I21"/>
  <c r="G20"/>
  <c r="J20" s="1"/>
  <c r="K20" s="1"/>
  <c r="F22"/>
  <c r="F23"/>
  <c r="E22"/>
  <c r="E23"/>
  <c r="E26"/>
  <c r="D20"/>
  <c r="C20"/>
  <c r="G19"/>
  <c r="J19" s="1"/>
  <c r="K19" s="1"/>
  <c r="D19"/>
  <c r="C19"/>
  <c r="I18"/>
  <c r="G18"/>
  <c r="J18" s="1"/>
  <c r="K18" s="1"/>
  <c r="D18"/>
  <c r="C18"/>
  <c r="I17"/>
  <c r="G17"/>
  <c r="J17" s="1"/>
  <c r="K17" s="1"/>
  <c r="D17"/>
  <c r="C17"/>
  <c r="I16"/>
  <c r="G16"/>
  <c r="J16" s="1"/>
  <c r="K16" s="1"/>
  <c r="D16"/>
  <c r="C16"/>
  <c r="I15"/>
  <c r="G15"/>
  <c r="J15" s="1"/>
  <c r="K15" s="1"/>
  <c r="D15"/>
  <c r="C15"/>
  <c r="I14"/>
  <c r="G14"/>
  <c r="J14" s="1"/>
  <c r="K14" s="1"/>
  <c r="D14"/>
  <c r="C14"/>
  <c r="I13"/>
  <c r="G13"/>
  <c r="J13" s="1"/>
  <c r="K13" s="1"/>
  <c r="D13"/>
  <c r="C13"/>
  <c r="I12"/>
  <c r="H22"/>
  <c r="H23"/>
  <c r="G12"/>
  <c r="J12" s="1"/>
  <c r="D12"/>
  <c r="J11"/>
  <c r="I11"/>
  <c r="K11"/>
  <c r="J10"/>
  <c r="I10"/>
  <c r="K10"/>
  <c r="J9"/>
  <c r="I9"/>
  <c r="J7"/>
  <c r="I7"/>
  <c r="F64" i="37"/>
  <c r="G64"/>
  <c r="H64"/>
  <c r="I64"/>
  <c r="J64"/>
  <c r="F65"/>
  <c r="G65"/>
  <c r="H65"/>
  <c r="I65"/>
  <c r="J65"/>
  <c r="F66"/>
  <c r="G66"/>
  <c r="H66"/>
  <c r="I66"/>
  <c r="F67"/>
  <c r="G67"/>
  <c r="H67"/>
  <c r="I67"/>
  <c r="J67"/>
  <c r="F68"/>
  <c r="G68"/>
  <c r="H68"/>
  <c r="F69"/>
  <c r="G69"/>
  <c r="H69"/>
  <c r="I69"/>
  <c r="J69"/>
  <c r="E64"/>
  <c r="L64" s="1"/>
  <c r="E65"/>
  <c r="L65" s="1"/>
  <c r="E66"/>
  <c r="E67"/>
  <c r="L67" s="1"/>
  <c r="E68"/>
  <c r="E69"/>
  <c r="L69" s="1"/>
  <c r="E61"/>
  <c r="E55"/>
  <c r="F55"/>
  <c r="G55"/>
  <c r="H55"/>
  <c r="I55"/>
  <c r="J55"/>
  <c r="E56"/>
  <c r="F56"/>
  <c r="G56"/>
  <c r="H56"/>
  <c r="I56"/>
  <c r="J56"/>
  <c r="E57"/>
  <c r="F57"/>
  <c r="G57"/>
  <c r="H57"/>
  <c r="I57"/>
  <c r="J57"/>
  <c r="E58"/>
  <c r="F58"/>
  <c r="G58"/>
  <c r="H58"/>
  <c r="I58"/>
  <c r="J58"/>
  <c r="E59"/>
  <c r="F59"/>
  <c r="G59"/>
  <c r="H59"/>
  <c r="I59"/>
  <c r="J59"/>
  <c r="E60"/>
  <c r="F60"/>
  <c r="G60"/>
  <c r="H60"/>
  <c r="I60"/>
  <c r="J60"/>
  <c r="F61"/>
  <c r="G61"/>
  <c r="H61"/>
  <c r="I61"/>
  <c r="J61"/>
  <c r="F52"/>
  <c r="G52"/>
  <c r="H52"/>
  <c r="I52"/>
  <c r="J52"/>
  <c r="L52" s="1"/>
  <c r="E52"/>
  <c r="F51"/>
  <c r="F54" s="1"/>
  <c r="F62" s="1"/>
  <c r="F70" s="1"/>
  <c r="G51"/>
  <c r="G54" s="1"/>
  <c r="G62" s="1"/>
  <c r="G70" s="1"/>
  <c r="H51"/>
  <c r="H54" s="1"/>
  <c r="H62" s="1"/>
  <c r="H70" s="1"/>
  <c r="I51"/>
  <c r="H70" i="38"/>
  <c r="H63"/>
  <c r="H64"/>
  <c r="H65"/>
  <c r="H66"/>
  <c r="H55"/>
  <c r="H56"/>
  <c r="H57"/>
  <c r="H58"/>
  <c r="H59"/>
  <c r="F64"/>
  <c r="F65"/>
  <c r="F66"/>
  <c r="F57"/>
  <c r="F59"/>
  <c r="H41"/>
  <c r="H42"/>
  <c r="H43"/>
  <c r="H44"/>
  <c r="H45"/>
  <c r="H46"/>
  <c r="H47"/>
  <c r="H48"/>
  <c r="H50"/>
  <c r="F41"/>
  <c r="F43"/>
  <c r="F44"/>
  <c r="F45"/>
  <c r="F50"/>
  <c r="H73"/>
  <c r="F30"/>
  <c r="F29"/>
  <c r="F27"/>
  <c r="H20"/>
  <c r="H27"/>
  <c r="H32"/>
  <c r="H12"/>
  <c r="F17"/>
  <c r="F20" s="1"/>
  <c r="F8"/>
  <c r="F12" s="1"/>
  <c r="F10"/>
  <c r="H6" i="36"/>
  <c r="H9"/>
  <c r="H12"/>
  <c r="H13"/>
  <c r="H21"/>
  <c r="H18"/>
  <c r="H22"/>
  <c r="H31"/>
  <c r="H30"/>
  <c r="H40"/>
  <c r="H43"/>
  <c r="H58"/>
  <c r="X64" i="35"/>
  <c r="V64"/>
  <c r="L67"/>
  <c r="L70"/>
  <c r="L72"/>
  <c r="L73"/>
  <c r="L77"/>
  <c r="L79"/>
  <c r="L80"/>
  <c r="L82"/>
  <c r="L83"/>
  <c r="L89"/>
  <c r="L90"/>
  <c r="L91"/>
  <c r="L96"/>
  <c r="L102"/>
  <c r="L103"/>
  <c r="L104"/>
  <c r="L107"/>
  <c r="L106"/>
  <c r="L66"/>
  <c r="N62" i="37"/>
  <c r="N70"/>
  <c r="M62"/>
  <c r="M70"/>
  <c r="L60"/>
  <c r="I54"/>
  <c r="I62" s="1"/>
  <c r="L53"/>
  <c r="I14"/>
  <c r="F14"/>
  <c r="E14"/>
  <c r="J13"/>
  <c r="J12"/>
  <c r="J9"/>
  <c r="H7"/>
  <c r="H10" s="1"/>
  <c r="G10" s="1"/>
  <c r="L62" i="36"/>
  <c r="J62"/>
  <c r="H62"/>
  <c r="L61"/>
  <c r="J61"/>
  <c r="H61"/>
  <c r="J60"/>
  <c r="H60"/>
  <c r="O40"/>
  <c r="N40"/>
  <c r="J40"/>
  <c r="O31"/>
  <c r="N30"/>
  <c r="L59"/>
  <c r="H59"/>
  <c r="J30"/>
  <c r="O22"/>
  <c r="O12"/>
  <c r="O28"/>
  <c r="O36"/>
  <c r="N22"/>
  <c r="N12"/>
  <c r="N10"/>
  <c r="N4"/>
  <c r="J22"/>
  <c r="J18"/>
  <c r="J13"/>
  <c r="J12"/>
  <c r="O10"/>
  <c r="O4"/>
  <c r="J9"/>
  <c r="J6"/>
  <c r="L105" i="35"/>
  <c r="Y52"/>
  <c r="Y51"/>
  <c r="X50"/>
  <c r="Y50" s="1"/>
  <c r="J50"/>
  <c r="J49"/>
  <c r="V49"/>
  <c r="L49"/>
  <c r="L53"/>
  <c r="Y48"/>
  <c r="Y47"/>
  <c r="Y46"/>
  <c r="Y45"/>
  <c r="Y44"/>
  <c r="Y43"/>
  <c r="L43"/>
  <c r="J43"/>
  <c r="Y42"/>
  <c r="V41"/>
  <c r="Y41"/>
  <c r="Y40"/>
  <c r="L40"/>
  <c r="J40"/>
  <c r="V39"/>
  <c r="Y39"/>
  <c r="V36"/>
  <c r="Y36"/>
  <c r="Y35"/>
  <c r="Y37"/>
  <c r="Y38"/>
  <c r="L38"/>
  <c r="L33"/>
  <c r="L27"/>
  <c r="L26"/>
  <c r="J38"/>
  <c r="J33"/>
  <c r="X35"/>
  <c r="V35"/>
  <c r="Y34"/>
  <c r="Y33"/>
  <c r="Y32"/>
  <c r="Y31"/>
  <c r="Y30"/>
  <c r="Y29"/>
  <c r="V28"/>
  <c r="V8"/>
  <c r="X27"/>
  <c r="X26"/>
  <c r="J27"/>
  <c r="J26"/>
  <c r="Y25"/>
  <c r="Y24"/>
  <c r="Y23"/>
  <c r="X23"/>
  <c r="V23"/>
  <c r="Y22"/>
  <c r="Y21"/>
  <c r="L21"/>
  <c r="L5"/>
  <c r="J21"/>
  <c r="Y20"/>
  <c r="Y19"/>
  <c r="Y18"/>
  <c r="Y17"/>
  <c r="X17"/>
  <c r="V17"/>
  <c r="V15"/>
  <c r="Y15"/>
  <c r="Y14"/>
  <c r="L14"/>
  <c r="J14"/>
  <c r="Y13"/>
  <c r="Y12"/>
  <c r="X11"/>
  <c r="V11"/>
  <c r="Y11"/>
  <c r="Y10"/>
  <c r="Y9"/>
  <c r="Y8"/>
  <c r="Y7"/>
  <c r="X6"/>
  <c r="X5"/>
  <c r="L6"/>
  <c r="J6"/>
  <c r="J5"/>
  <c r="E30" i="33"/>
  <c r="E29"/>
  <c r="E27"/>
  <c r="G20"/>
  <c r="G27"/>
  <c r="G32"/>
  <c r="E17"/>
  <c r="E20" s="1"/>
  <c r="E8"/>
  <c r="E12" s="1"/>
  <c r="G12"/>
  <c r="E10"/>
  <c r="L18" i="5"/>
  <c r="L19"/>
  <c r="L20"/>
  <c r="L21"/>
  <c r="L22"/>
  <c r="L23"/>
  <c r="L15"/>
  <c r="L16"/>
  <c r="L97" i="35"/>
  <c r="L95"/>
  <c r="L78"/>
  <c r="L76"/>
  <c r="L81" s="1"/>
  <c r="L64"/>
  <c r="E47" i="33"/>
  <c r="F47" i="38" s="1"/>
  <c r="M25" i="5"/>
  <c r="M34"/>
  <c r="N25"/>
  <c r="N34"/>
  <c r="F17"/>
  <c r="F25"/>
  <c r="F34" s="1"/>
  <c r="G17"/>
  <c r="G25"/>
  <c r="G34" s="1"/>
  <c r="H17"/>
  <c r="I17"/>
  <c r="E17"/>
  <c r="E34"/>
  <c r="G12" i="31"/>
  <c r="O3"/>
  <c r="F12"/>
  <c r="H12"/>
  <c r="H16"/>
  <c r="G14"/>
  <c r="H14"/>
  <c r="G16"/>
  <c r="F19"/>
  <c r="G19"/>
  <c r="G22"/>
  <c r="G24"/>
  <c r="H19"/>
  <c r="J19"/>
  <c r="L8" i="6"/>
  <c r="M8"/>
  <c r="B9"/>
  <c r="J9"/>
  <c r="K9"/>
  <c r="K22"/>
  <c r="B10"/>
  <c r="B11"/>
  <c r="B12"/>
  <c r="B13"/>
  <c r="B14"/>
  <c r="B15"/>
  <c r="B16"/>
  <c r="B17"/>
  <c r="B18"/>
  <c r="B19"/>
  <c r="B20"/>
  <c r="B21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E22"/>
  <c r="F22"/>
  <c r="H22"/>
  <c r="I22"/>
  <c r="K21" i="41"/>
  <c r="M26"/>
  <c r="K9"/>
  <c r="I20"/>
  <c r="H67" i="38"/>
  <c r="E51" i="37"/>
  <c r="H5" i="36"/>
  <c r="H28"/>
  <c r="H36"/>
  <c r="J5"/>
  <c r="J28"/>
  <c r="J36"/>
  <c r="O30"/>
  <c r="J53" i="35"/>
  <c r="J51" i="37"/>
  <c r="J54" s="1"/>
  <c r="J62" s="1"/>
  <c r="H22" i="31"/>
  <c r="E20" i="43"/>
  <c r="E22"/>
  <c r="D25"/>
  <c r="I22" i="41"/>
  <c r="I23"/>
  <c r="J17" i="5"/>
  <c r="L14"/>
  <c r="L17"/>
  <c r="F63" i="38"/>
  <c r="F67" s="1"/>
  <c r="E67" i="33"/>
  <c r="J59" i="36"/>
  <c r="L54"/>
  <c r="E72" i="33"/>
  <c r="V82" i="35"/>
  <c r="F58" i="38"/>
  <c r="H10" i="49"/>
  <c r="D13"/>
  <c r="D12"/>
  <c r="E13"/>
  <c r="E11"/>
  <c r="C11"/>
  <c r="C12"/>
  <c r="H21"/>
  <c r="H30"/>
  <c r="H19"/>
  <c r="E12"/>
  <c r="E14"/>
  <c r="E8"/>
  <c r="E18"/>
  <c r="E24"/>
  <c r="E30"/>
  <c r="C14"/>
  <c r="H13"/>
  <c r="L65" i="35"/>
  <c r="L68" s="1"/>
  <c r="X69"/>
  <c r="J81"/>
  <c r="J42" i="36"/>
  <c r="J43"/>
  <c r="J50"/>
  <c r="E54" i="37"/>
  <c r="E62" s="1"/>
  <c r="E70" s="1"/>
  <c r="L51"/>
  <c r="L54" s="1"/>
  <c r="L9" i="41"/>
  <c r="Y28" i="35"/>
  <c r="Y27"/>
  <c r="Y26"/>
  <c r="V27"/>
  <c r="V26"/>
  <c r="AB28"/>
  <c r="J22" i="6"/>
  <c r="L9"/>
  <c r="M9"/>
  <c r="H24" i="31"/>
  <c r="D14" i="49"/>
  <c r="H9"/>
  <c r="H11"/>
  <c r="J57" i="36"/>
  <c r="J63"/>
  <c r="N28"/>
  <c r="J7" i="37"/>
  <c r="F12" i="49"/>
  <c r="F14"/>
  <c r="N36" i="36"/>
  <c r="J54"/>
  <c r="L57"/>
  <c r="H12" i="49"/>
  <c r="H14"/>
  <c r="N9" i="6"/>
  <c r="M10"/>
  <c r="L10" i="41"/>
  <c r="N9"/>
  <c r="O10" i="6"/>
  <c r="N10"/>
  <c r="M11"/>
  <c r="H11" i="37"/>
  <c r="J11"/>
  <c r="N10" i="41"/>
  <c r="L11"/>
  <c r="L63" i="36"/>
  <c r="H57"/>
  <c r="H63"/>
  <c r="N42"/>
  <c r="N43"/>
  <c r="H42"/>
  <c r="H51" i="38"/>
  <c r="O9" i="6"/>
  <c r="N11" i="41"/>
  <c r="N11" i="6"/>
  <c r="H52" i="36"/>
  <c r="H45"/>
  <c r="H67"/>
  <c r="H68"/>
  <c r="N50"/>
  <c r="H50"/>
  <c r="M12" i="6"/>
  <c r="O11"/>
  <c r="N12"/>
  <c r="M13"/>
  <c r="O12"/>
  <c r="N13"/>
  <c r="M14"/>
  <c r="O13"/>
  <c r="O14"/>
  <c r="N14"/>
  <c r="M15"/>
  <c r="N15"/>
  <c r="M16"/>
  <c r="O15"/>
  <c r="O16"/>
  <c r="N16"/>
  <c r="M17"/>
  <c r="N17"/>
  <c r="M18"/>
  <c r="O17"/>
  <c r="M19"/>
  <c r="O18"/>
  <c r="O19"/>
  <c r="N19"/>
  <c r="M20"/>
  <c r="N20"/>
  <c r="N22"/>
  <c r="M21"/>
  <c r="O20"/>
  <c r="E76" i="33"/>
  <c r="G73"/>
  <c r="C23" i="41"/>
  <c r="D23"/>
  <c r="L22" i="7"/>
  <c r="L25"/>
  <c r="I42" i="1" s="1"/>
  <c r="M24" i="7"/>
  <c r="O24"/>
  <c r="H81" i="36"/>
  <c r="T31" i="1"/>
  <c r="H94" i="36"/>
  <c r="H91" s="1"/>
  <c r="H96" s="1"/>
  <c r="O22" i="7"/>
  <c r="L71" i="35"/>
  <c r="J71"/>
  <c r="H49" i="38"/>
  <c r="H40"/>
  <c r="V106" i="35"/>
  <c r="J101"/>
  <c r="J105" s="1"/>
  <c r="V69"/>
  <c r="H14" i="37"/>
  <c r="J14"/>
  <c r="J93" i="35"/>
  <c r="D7" i="13"/>
  <c r="D10" i="43"/>
  <c r="J91" i="36"/>
  <c r="J96" s="1"/>
  <c r="H87"/>
  <c r="E10" i="43"/>
  <c r="E7" i="13"/>
  <c r="E12" s="1"/>
  <c r="E6"/>
  <c r="D9" i="43"/>
  <c r="E9" s="1"/>
  <c r="E15" s="1"/>
  <c r="D6" i="13"/>
  <c r="D13"/>
  <c r="D12"/>
  <c r="V16" i="35"/>
  <c r="V6" s="1"/>
  <c r="V5" s="1"/>
  <c r="V53" s="1"/>
  <c r="T21" i="1"/>
  <c r="T25" s="1"/>
  <c r="T37" s="1"/>
  <c r="Y16" i="35"/>
  <c r="Y6" s="1"/>
  <c r="Y5" s="1"/>
  <c r="P26" i="37" l="1"/>
  <c r="L28"/>
  <c r="H139" i="50"/>
  <c r="H141" s="1"/>
  <c r="F28" i="2"/>
  <c r="F128" i="50" s="1"/>
  <c r="H142"/>
  <c r="F39"/>
  <c r="H39"/>
  <c r="F32" i="38"/>
  <c r="AB36" i="35"/>
  <c r="E13" i="13"/>
  <c r="E15" s="1"/>
  <c r="E17" s="1"/>
  <c r="E19" s="1"/>
  <c r="V88" i="35"/>
  <c r="E32" i="33"/>
  <c r="F34" i="44"/>
  <c r="F58" s="1"/>
  <c r="F60" s="1"/>
  <c r="J74" i="35"/>
  <c r="H69" i="38"/>
  <c r="H72" s="1"/>
  <c r="F70" s="1"/>
  <c r="H52"/>
  <c r="G77" i="33"/>
  <c r="V77" i="35"/>
  <c r="V81" s="1"/>
  <c r="I29" i="1"/>
  <c r="J22" i="41"/>
  <c r="K12"/>
  <c r="J23"/>
  <c r="G22"/>
  <c r="G23" s="1"/>
  <c r="X49" i="35"/>
  <c r="J98"/>
  <c r="I43" i="1"/>
  <c r="I53" s="1"/>
  <c r="J43"/>
  <c r="J53" s="1"/>
  <c r="L98" i="35"/>
  <c r="L99" s="1"/>
  <c r="G29" i="2"/>
  <c r="G30" s="1"/>
  <c r="U50" i="1" s="1"/>
  <c r="U31"/>
  <c r="J29"/>
  <c r="D16" i="43"/>
  <c r="H60" i="38"/>
  <c r="L63" i="37"/>
  <c r="V92" i="35"/>
  <c r="J98" i="36"/>
  <c r="J99" i="35"/>
  <c r="J108" s="1"/>
  <c r="H98" i="36"/>
  <c r="J85" i="35"/>
  <c r="L93"/>
  <c r="L108" s="1"/>
  <c r="L74"/>
  <c r="L59" i="37"/>
  <c r="L58"/>
  <c r="L57"/>
  <c r="L56"/>
  <c r="L55"/>
  <c r="L62" s="1"/>
  <c r="X92" i="35"/>
  <c r="J56"/>
  <c r="J10" i="37"/>
  <c r="G14"/>
  <c r="L85" i="35"/>
  <c r="D15" i="43"/>
  <c r="F139" i="50" l="1"/>
  <c r="F142"/>
  <c r="J55" i="1"/>
  <c r="E56" i="33"/>
  <c r="E40"/>
  <c r="F40" i="38" s="1"/>
  <c r="F30" i="2"/>
  <c r="T50" i="1" s="1"/>
  <c r="J29" i="5" s="1"/>
  <c r="T48" i="1"/>
  <c r="I31" i="5"/>
  <c r="V94" i="35"/>
  <c r="V107"/>
  <c r="E51" i="33"/>
  <c r="F51" i="38" s="1"/>
  <c r="H100" i="36"/>
  <c r="H102" s="1"/>
  <c r="J110" i="35"/>
  <c r="I55" i="1"/>
  <c r="Y49" i="35"/>
  <c r="X53"/>
  <c r="L12" i="41"/>
  <c r="K22"/>
  <c r="X107" i="35"/>
  <c r="X108" s="1"/>
  <c r="J25" i="5"/>
  <c r="J31"/>
  <c r="J68" i="37" s="1"/>
  <c r="J29"/>
  <c r="U17" i="1"/>
  <c r="J100" i="36"/>
  <c r="J102" s="1"/>
  <c r="U52" i="1"/>
  <c r="L110" i="35"/>
  <c r="F56" i="38"/>
  <c r="F60" s="1"/>
  <c r="E60" i="33"/>
  <c r="J35" i="37" l="1"/>
  <c r="L35" s="1"/>
  <c r="L29" i="5"/>
  <c r="J66" i="37"/>
  <c r="L66" s="1"/>
  <c r="L13" i="41"/>
  <c r="N12"/>
  <c r="L56" i="35"/>
  <c r="Y53"/>
  <c r="X73"/>
  <c r="X77" s="1"/>
  <c r="X81" s="1"/>
  <c r="X94" s="1"/>
  <c r="X110" s="1"/>
  <c r="L113" s="1"/>
  <c r="U21" i="1"/>
  <c r="V105" i="35"/>
  <c r="V108" s="1"/>
  <c r="V110" s="1"/>
  <c r="J113" s="1"/>
  <c r="T52" i="1"/>
  <c r="T55" s="1"/>
  <c r="I58" s="1"/>
  <c r="L25" i="5"/>
  <c r="J34"/>
  <c r="I68" i="37"/>
  <c r="I34" i="5"/>
  <c r="L31"/>
  <c r="J33" i="37"/>
  <c r="J39" s="1"/>
  <c r="L29"/>
  <c r="L33" s="1"/>
  <c r="J70" l="1"/>
  <c r="L34" i="5"/>
  <c r="N13" i="41"/>
  <c r="L14"/>
  <c r="L68" i="37"/>
  <c r="L70" s="1"/>
  <c r="I70"/>
  <c r="P33"/>
  <c r="L39"/>
  <c r="P39" s="1"/>
  <c r="U25" i="1"/>
  <c r="U37" s="1"/>
  <c r="U55" s="1"/>
  <c r="J58" s="1"/>
  <c r="E48" i="33"/>
  <c r="N14" i="41" l="1"/>
  <c r="L15"/>
  <c r="E49" i="33"/>
  <c r="F48" i="38"/>
  <c r="N15" i="41" l="1"/>
  <c r="L16"/>
  <c r="E52" i="33"/>
  <c r="E69" s="1"/>
  <c r="E77" s="1"/>
  <c r="F49" i="38"/>
  <c r="F52" s="1"/>
  <c r="F69" s="1"/>
  <c r="F72" s="1"/>
  <c r="F77" s="1"/>
  <c r="L17" i="41" l="1"/>
  <c r="N16"/>
  <c r="N17" l="1"/>
  <c r="L18"/>
  <c r="L19" l="1"/>
  <c r="N18"/>
  <c r="N19" l="1"/>
  <c r="L20"/>
  <c r="N20" l="1"/>
  <c r="L21"/>
  <c r="N21" l="1"/>
  <c r="N22" s="1"/>
  <c r="L31"/>
  <c r="L22"/>
</calcChain>
</file>

<file path=xl/sharedStrings.xml><?xml version="1.0" encoding="utf-8"?>
<sst xmlns="http://schemas.openxmlformats.org/spreadsheetml/2006/main" count="2055" uniqueCount="1227">
  <si>
    <t>Te ardhura te tjera nga veprimtarite e shfrytezimit</t>
  </si>
  <si>
    <t>Puna e kryer nga njesia ek per qellime te veta</t>
  </si>
  <si>
    <t xml:space="preserve">Mallra, lendet e para dhe sherbimet </t>
  </si>
  <si>
    <t>Shpenzime te tjera nga veprimtarite e shfryt</t>
  </si>
  <si>
    <t>Shpenzimet e personelit</t>
  </si>
  <si>
    <t>3/a</t>
  </si>
  <si>
    <t>3/b</t>
  </si>
  <si>
    <t>3/c</t>
  </si>
  <si>
    <t>3/d</t>
  </si>
  <si>
    <t>Te ardhurat/shpenzimet fin. nga njesi. kontrolluara</t>
  </si>
  <si>
    <t>Te ardhurat/shpenzimet fin. nga pjesemarrjet</t>
  </si>
  <si>
    <t>Te ardhura dhe shpenzime financiare</t>
  </si>
  <si>
    <t>Te ardhura dhe shpenzime financiare nga interesi</t>
  </si>
  <si>
    <t>Fitimi dhe humbje nga kursi i kembimit</t>
  </si>
  <si>
    <t>Te ardhura dhe shpenzime te tjera financiare</t>
  </si>
  <si>
    <t>Fitimi (humbja) para tatimit</t>
  </si>
  <si>
    <t>Shpenzimet e tatimit mbi fitimin</t>
  </si>
  <si>
    <t>Fitim (humbje) neto e vitit financiar</t>
  </si>
  <si>
    <t>Pjesa e fitimit neto per aksionaret e shoqerise meme</t>
  </si>
  <si>
    <t>Pjesa e fitimit neto per akisoneret e pakices</t>
  </si>
  <si>
    <t>Totali i te ardhurave dhe shpenzimeve financiare</t>
  </si>
  <si>
    <t>Te ardhura/shpenzime finan. nga investime te tjera financiare</t>
  </si>
  <si>
    <t>Fitimi (humbja) nga veprimtarite e shfrytezimit</t>
  </si>
  <si>
    <t>Assets</t>
  </si>
  <si>
    <t>Cash and cash equivalents</t>
  </si>
  <si>
    <t>Derivatives and financial assets classified as held for sale</t>
  </si>
  <si>
    <t xml:space="preserve">Derivatives </t>
  </si>
  <si>
    <t>Assets classified as held for sale</t>
  </si>
  <si>
    <t>Other non-current assets</t>
  </si>
  <si>
    <t>Trade receivables</t>
  </si>
  <si>
    <t>Other receivables</t>
  </si>
  <si>
    <t>Other investments</t>
  </si>
  <si>
    <t xml:space="preserve">Raw materials </t>
  </si>
  <si>
    <t>Work in progress</t>
  </si>
  <si>
    <t>Own production</t>
  </si>
  <si>
    <t>Goods</t>
  </si>
  <si>
    <t>Prepayments for supplies</t>
  </si>
  <si>
    <t>Prepayments and deferred expenses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</si>
  <si>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</si>
  <si>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</si>
  <si>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</si>
  <si>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</si>
  <si>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Non-current receivables</t>
  </si>
  <si>
    <t>Property, plant and equipment</t>
  </si>
  <si>
    <t>Land</t>
  </si>
  <si>
    <t>Plant and equipment</t>
  </si>
  <si>
    <t>Other fixed assets</t>
  </si>
  <si>
    <t>Derivatives</t>
  </si>
  <si>
    <t>Current loans and borrowings</t>
  </si>
  <si>
    <t>Current portion of long-term borrowings</t>
  </si>
  <si>
    <t>Convertibles shares</t>
  </si>
  <si>
    <t>Trade and other payables</t>
  </si>
  <si>
    <t>Trade payables</t>
  </si>
  <si>
    <t>Payables toward employees</t>
  </si>
  <si>
    <t>Current tax payables</t>
  </si>
  <si>
    <t>Other borrowings</t>
  </si>
  <si>
    <t>Prepayments</t>
  </si>
  <si>
    <t>Grants and deferred income</t>
  </si>
  <si>
    <t>Current provisions</t>
  </si>
  <si>
    <t>Non-current loans and borrowings</t>
  </si>
  <si>
    <t>Other non-current borrowings</t>
  </si>
  <si>
    <t>Total non-current liabilities</t>
  </si>
  <si>
    <t>Total liabilities</t>
  </si>
  <si>
    <t>Minority interest</t>
  </si>
  <si>
    <t>Equity holders of the Company</t>
  </si>
  <si>
    <t>Share capital</t>
  </si>
  <si>
    <t>Share premium</t>
  </si>
  <si>
    <t>Statutory reserves</t>
  </si>
  <si>
    <t>Legal reserves</t>
  </si>
  <si>
    <t>Other reserves</t>
  </si>
  <si>
    <t>Current year profit/loss</t>
  </si>
  <si>
    <t>xxxxxxxxxxx</t>
  </si>
  <si>
    <t>Total current liabilities</t>
  </si>
  <si>
    <t xml:space="preserve">Loans, securities and financial leasing </t>
  </si>
  <si>
    <t>Hua, bono dhe detyrime nga qeraja financiare</t>
  </si>
  <si>
    <t xml:space="preserve">             A K T I V E T</t>
  </si>
  <si>
    <t xml:space="preserve"> Derivatet</t>
  </si>
  <si>
    <t xml:space="preserve"> Aktivet e mbajtur per tregtim</t>
  </si>
  <si>
    <t xml:space="preserve"> Llogari kerkesa te tjera te arketueshme</t>
  </si>
  <si>
    <t xml:space="preserve"> Investime te tjera financiare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</si>
  <si>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</si>
  <si>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</si>
  <si>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</si>
  <si>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</si>
  <si>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 xml:space="preserve"> Parapagesat per furnizime</t>
  </si>
  <si>
    <t>Total i Aktiveve Afatshkurtra</t>
  </si>
  <si>
    <t>Long Term Aktive</t>
  </si>
  <si>
    <t>e)</t>
  </si>
  <si>
    <t>Shenime</t>
  </si>
  <si>
    <t>PASQYRA E FLUKSIT TE PARASE</t>
  </si>
  <si>
    <t>Fluksi I parave nga veprimtarite e shfrytezimit</t>
  </si>
  <si>
    <t>Parate e arketuara nga klientet</t>
  </si>
  <si>
    <t>Parate e paguara ndaj furnitoreve dhe punonjesve</t>
  </si>
  <si>
    <t>Parate e ardhura nga veprimtarite</t>
  </si>
  <si>
    <t xml:space="preserve">(Metoda Indirekte) </t>
  </si>
  <si>
    <t>Paraja neto nga veprimtarite e shfrytezimit</t>
  </si>
  <si>
    <t>Blerja e kompanise se kontrolluar X minus parate e arketuara</t>
  </si>
  <si>
    <t>Blerja e aktiveve afatgjata materiale</t>
  </si>
  <si>
    <t>Te ardhurat nga shitja e paisjeve</t>
  </si>
  <si>
    <t>Dividentet e arketuar</t>
  </si>
  <si>
    <t xml:space="preserve">Paraja neto e perdorur ne veprimtarine investuese </t>
  </si>
  <si>
    <t>Te ardhura nga huamarrje afatgjata</t>
  </si>
  <si>
    <t>Pagesat e detyrimeve te qerase financiare</t>
  </si>
  <si>
    <t>Dividente te paguar</t>
  </si>
  <si>
    <t>Paraja neto e perdorur ne veprimtarite financiare</t>
  </si>
  <si>
    <t>RRITJA/RENIA NETO E MJETEVE MONETARE</t>
  </si>
  <si>
    <t>MJETET MONETARE NE FILLIM TE PERIUDHES KONTABEL</t>
  </si>
  <si>
    <t>MJETET MONETARE NE FUND TE PERIUDHES KONTABEL</t>
  </si>
  <si>
    <t>Periudha 
Raportuese</t>
  </si>
  <si>
    <t>Periudha 
Paraardhese</t>
  </si>
  <si>
    <t>Interesi i paguar</t>
  </si>
  <si>
    <t>Tatim fitimi  paguar</t>
  </si>
  <si>
    <t>Fluksi i parave nga veprimtarite investuese</t>
  </si>
  <si>
    <t>Fluksi i parave nga aktivitetet financiare</t>
  </si>
  <si>
    <t>Te ardhura nga emetimi i kapitalit aksionar</t>
  </si>
  <si>
    <t>metoda direkte</t>
  </si>
  <si>
    <t>Dec 31,2008</t>
  </si>
  <si>
    <t>Good name</t>
  </si>
  <si>
    <t>Aktive te tjera afatgjata (ne proces)</t>
  </si>
  <si>
    <t>Total Asset</t>
  </si>
  <si>
    <t>Buildings (net)</t>
  </si>
  <si>
    <t xml:space="preserve">Metoda Indirekte </t>
  </si>
  <si>
    <t>Fluksi monetar nga veprimtaritë e shfrytëzimit</t>
  </si>
  <si>
    <t>Fitimi para tatimit</t>
  </si>
  <si>
    <t>Rregullime për:</t>
  </si>
  <si>
    <t>Rritje/rënie në tepricën inventarit</t>
  </si>
  <si>
    <t>MM të përfituara nga aktivitetet</t>
  </si>
  <si>
    <t>Tatim mbi fitimin i paguar</t>
  </si>
  <si>
    <t>MM neto nga aktivitetet e shfrytëzimit</t>
  </si>
  <si>
    <t xml:space="preserve">   Amortizimin</t>
  </si>
  <si>
    <t xml:space="preserve">   Humbje nga këmbimet valutore</t>
  </si>
  <si>
    <t xml:space="preserve">   Të ardhura nga investimet</t>
  </si>
  <si>
    <t xml:space="preserve">   Shpenzime për interesa</t>
  </si>
  <si>
    <t>Rritje/rënie në tepricën e detyrimeve, për t’u paguar nga aktiviteti</t>
  </si>
  <si>
    <t>Fluksi monetar nga veprimtaritë investuese</t>
  </si>
  <si>
    <t>Blerja e shoqërisë së kontrolluar X minus paratë e arkëtuara</t>
  </si>
  <si>
    <t>Të ardhura nga shitja e pajisjeve</t>
  </si>
  <si>
    <t>Interesi i arkëtuar</t>
  </si>
  <si>
    <t>Dividendët e arkëtuar</t>
  </si>
  <si>
    <t>MM neto e përdorur në aktivitetet investuese</t>
  </si>
  <si>
    <t>Fluksi monetar nga veprimtaritë financiare</t>
  </si>
  <si>
    <t>Të ardhura nga emetimi i kapitalit aksioner</t>
  </si>
  <si>
    <t>Të ardhura nga huamarrje afatgjata</t>
  </si>
  <si>
    <t>Pagesat e detyrimeve të qirasë financiare</t>
  </si>
  <si>
    <t>Dividendët e paguar</t>
  </si>
  <si>
    <t>MM neto e përdorur në aktivitetet financiare</t>
  </si>
  <si>
    <t>Mjetet monetare në fillim të periudhës kontabël</t>
  </si>
  <si>
    <t>Mjetet monetare në fund të periudhës kontabël</t>
  </si>
  <si>
    <t>Kapitali aksionar që i përket aksionerëve të shoqërisë mëmë</t>
  </si>
  <si>
    <t>aksionar</t>
  </si>
  <si>
    <t>Primi i</t>
  </si>
  <si>
    <t>aksionit</t>
  </si>
  <si>
    <t>thesarit</t>
  </si>
  <si>
    <t>statusore</t>
  </si>
  <si>
    <t>dhe</t>
  </si>
  <si>
    <t>ligjore</t>
  </si>
  <si>
    <t>Rezerva të</t>
  </si>
  <si>
    <t>konvertimit të</t>
  </si>
  <si>
    <t>monedhave të</t>
  </si>
  <si>
    <t>huaja</t>
  </si>
  <si>
    <t>Fitimi i</t>
  </si>
  <si>
    <t>Zotërimet e</t>
  </si>
  <si>
    <t>aksionerëve</t>
  </si>
  <si>
    <t>të pakicës</t>
  </si>
  <si>
    <t>Aksionet e</t>
  </si>
  <si>
    <t>Efekti i ndryshimeve në politikat kontabel</t>
  </si>
  <si>
    <t>Pozicioni i rregulluar</t>
  </si>
  <si>
    <t>Emetim i kapitalit aksionar</t>
  </si>
  <si>
    <t>Pozicioni më 31 dhjetor 2006</t>
  </si>
  <si>
    <t>Fitimi neto për periudhën kontabël</t>
  </si>
  <si>
    <t>Aksione të thesarit të riblera</t>
  </si>
  <si>
    <t>Pozicioni më 31 dhjetor 2007</t>
  </si>
  <si>
    <t>Fitimi neto i vitit financiar</t>
  </si>
  <si>
    <t>Pozicioni më 31 dhjetor 2008</t>
  </si>
  <si>
    <t>a</t>
  </si>
  <si>
    <t>b</t>
  </si>
  <si>
    <t>c</t>
  </si>
  <si>
    <t>d</t>
  </si>
  <si>
    <t>e</t>
  </si>
  <si>
    <t>f</t>
  </si>
  <si>
    <t>g</t>
  </si>
  <si>
    <t>Pashpërndare</t>
  </si>
  <si>
    <t>Interesi i arketuar</t>
  </si>
  <si>
    <t>Rritje(-)/rënie(+) në tepricën e kërkesave të arkëtueshme nga
aktiviteti, si dhe kërkesave të arkëtueshme të tjera</t>
  </si>
  <si>
    <t>E</t>
  </si>
  <si>
    <t>F</t>
  </si>
  <si>
    <t>G</t>
  </si>
  <si>
    <t>H</t>
  </si>
  <si>
    <t>J</t>
  </si>
  <si>
    <t>K</t>
  </si>
  <si>
    <t>Rritja (+)/rënia(-) neto e mjeteve monetare</t>
  </si>
  <si>
    <t xml:space="preserve">     Pagat</t>
  </si>
  <si>
    <t xml:space="preserve">     Shpenzimet e sigurimeve shoqerore</t>
  </si>
  <si>
    <t>Amortizimi dhe Zhvleresimet</t>
  </si>
  <si>
    <t>A/1</t>
  </si>
  <si>
    <t>A/2</t>
  </si>
  <si>
    <t>A/a</t>
  </si>
  <si>
    <t>A/b</t>
  </si>
  <si>
    <t>A/3</t>
  </si>
  <si>
    <t>A/3/a</t>
  </si>
  <si>
    <t>A/3/b</t>
  </si>
  <si>
    <t>A/3/c</t>
  </si>
  <si>
    <t>A/3/d</t>
  </si>
  <si>
    <t>B/a</t>
  </si>
  <si>
    <t>B/b</t>
  </si>
  <si>
    <t>B/c</t>
  </si>
  <si>
    <t>B/d</t>
  </si>
  <si>
    <t>B/e</t>
  </si>
  <si>
    <t>B/5</t>
  </si>
  <si>
    <t>B/6</t>
  </si>
  <si>
    <t>B/7</t>
  </si>
  <si>
    <t>C/1</t>
  </si>
  <si>
    <t>C/1/a</t>
  </si>
  <si>
    <t>C/1/b</t>
  </si>
  <si>
    <t>C/1/c</t>
  </si>
  <si>
    <t>C/1/ç</t>
  </si>
  <si>
    <t>D/a</t>
  </si>
  <si>
    <t>D/b</t>
  </si>
  <si>
    <t>D/c</t>
  </si>
  <si>
    <t>D/ç</t>
  </si>
  <si>
    <t>E/3</t>
  </si>
  <si>
    <t>E/4</t>
  </si>
  <si>
    <t>E/a</t>
  </si>
  <si>
    <t>E/b</t>
  </si>
  <si>
    <t>E/c</t>
  </si>
  <si>
    <t>E/5</t>
  </si>
  <si>
    <t>E/6</t>
  </si>
  <si>
    <t>F/1</t>
  </si>
  <si>
    <t>F/2</t>
  </si>
  <si>
    <t>F/a</t>
  </si>
  <si>
    <t>F/b</t>
  </si>
  <si>
    <t>F/c</t>
  </si>
  <si>
    <t>G/3</t>
  </si>
  <si>
    <t>G/a</t>
  </si>
  <si>
    <t>G/b</t>
  </si>
  <si>
    <t>g/c</t>
  </si>
  <si>
    <t>G/ç</t>
  </si>
  <si>
    <t>G/d</t>
  </si>
  <si>
    <t>H/4</t>
  </si>
  <si>
    <t>H/5</t>
  </si>
  <si>
    <t>J/1</t>
  </si>
  <si>
    <t>J/a</t>
  </si>
  <si>
    <t>J/b</t>
  </si>
  <si>
    <t>J/2</t>
  </si>
  <si>
    <t>J/3</t>
  </si>
  <si>
    <t>J/4</t>
  </si>
  <si>
    <t>K/1</t>
  </si>
  <si>
    <t>K/2</t>
  </si>
  <si>
    <t>K/3</t>
  </si>
  <si>
    <t>K/4</t>
  </si>
  <si>
    <t>K/5</t>
  </si>
  <si>
    <t>K/6</t>
  </si>
  <si>
    <t>K/7</t>
  </si>
  <si>
    <t>K/8</t>
  </si>
  <si>
    <t>K/9</t>
  </si>
  <si>
    <t>K/10</t>
  </si>
  <si>
    <t>L/2</t>
  </si>
  <si>
    <t>L/3</t>
  </si>
  <si>
    <t>L/4</t>
  </si>
  <si>
    <t>L/5</t>
  </si>
  <si>
    <t>L/6</t>
  </si>
  <si>
    <t>L/7</t>
  </si>
  <si>
    <t>L/a</t>
  </si>
  <si>
    <t>L/b</t>
  </si>
  <si>
    <t>L/8</t>
  </si>
  <si>
    <t>M/1</t>
  </si>
  <si>
    <t>M/2</t>
  </si>
  <si>
    <t>M/3</t>
  </si>
  <si>
    <t>M/3/a</t>
  </si>
  <si>
    <t>M/3/b</t>
  </si>
  <si>
    <t>M/3/c</t>
  </si>
  <si>
    <t>M/3/d</t>
  </si>
  <si>
    <t xml:space="preserve"> Instrumente te tjera borxhi</t>
  </si>
  <si>
    <t>Kodi</t>
  </si>
  <si>
    <t>Andi</t>
  </si>
  <si>
    <t>Makineri dhe pajisje (neto)</t>
  </si>
  <si>
    <t>Akitive te tjera afatgjata materiele (neto)</t>
  </si>
  <si>
    <t>Grantet dhe te ardhura te shtyra</t>
  </si>
  <si>
    <t>Provizionet afatshkurtra</t>
  </si>
  <si>
    <t>Aktive te tjera afatgjata jomateriele</t>
  </si>
  <si>
    <t>Vlera e drejtë</t>
  </si>
  <si>
    <t>Vlera e drejtë (SKK 3)</t>
  </si>
  <si>
    <t>Derivativët me vlerë të drejtë. Aktive të
mbajtura për tregtim me vlerë të drejtë ose
me koston e amortizuar, në varësi
të politikës kontabël të zgjedhur nga njësia
ekonomike raportuese</t>
  </si>
  <si>
    <t>Kostoja e amortizuar (në përgjithësi është e
barabartë me vlerën nominale të kërkesës
për arkëtim minus zhvlerësimin, nëse ka) (SKK 3)</t>
  </si>
  <si>
    <t>Me shumën më të ulët, mes kostos dhe
vlerës neto të realizueshme. Kostoja mund të llogaritet për çdo zë më vete, ose duke përdorur
metodën FIFO, ose metodën e mesatares
së ponderuar</t>
  </si>
  <si>
    <t>Më e ulëta midis vlerës kontabël të mbartur dhe vlerës së drejtë minus kostot e shitjes.</t>
  </si>
  <si>
    <t>Kosto minus zhvlerësimin, nëse ka</t>
  </si>
  <si>
    <t>Kostoja e blerjes në pasqyrat financiare të
pakonsoliduara minus zhvlerësimin, nëse ka</t>
  </si>
  <si>
    <t xml:space="preserve">Metoda e kapitalit në pasqyrat financiare të konsoliduara; kostoja
e blerjes në pasqyrat financiare të pakonsoliduara minus
zhvlerësimin, nëse ka </t>
  </si>
  <si>
    <t xml:space="preserve">Letrat me vlerë njihen me koston e amortizuar dhe pjesëmarrje të tjera - me kosto minus zhvlerësimin </t>
  </si>
  <si>
    <t xml:space="preserve">Kosto e amortizuar minus zhvlerësimi, nëse ka </t>
  </si>
  <si>
    <t>Kosto ose shuma e rivlerësuar minus amortizimin e
akumuluar dhe zhvlerësimin, nëse ka</t>
  </si>
  <si>
    <t>Kostoja minus amortizimin e akumuluar dhe
zhvlerësimin, siç përshkruhet në SKK 4</t>
  </si>
  <si>
    <t>Kostoja e emrit të mirë dhe aktiveve të tjera afatgjata jomateriale
minus amortizimin e akumuluar dhe zhvlerësimin, nëse ka</t>
  </si>
  <si>
    <t>tjera</t>
  </si>
  <si>
    <t>Transferime në rezerva</t>
  </si>
  <si>
    <t>Kostoja e amortizuar</t>
  </si>
  <si>
    <t xml:space="preserve">Kostoja e amortizuar; për detyrime të qirasë financiare të përdoret
SKK 7 </t>
  </si>
  <si>
    <t xml:space="preserve">Kostoja e amortizuar, nëse nevojitet, duke e hequr komponentin e
kapitalit nga detyrimi  </t>
  </si>
  <si>
    <t xml:space="preserve">Grandet për shpenzimet kontabilizohen sipas  parimit të përputhshmërisë të të ardhurave dhe shpenzimeve SKK 10 </t>
  </si>
  <si>
    <t xml:space="preserve">Kosto e amortizuar, duke hequr komponentin e kapitalit
nga pasivi </t>
  </si>
  <si>
    <t xml:space="preserve">Vlerësimi i shumës së mundshme të nevojshme për shlyerjen 
e detyrimit bëhet nga drejtuesit e njësisë 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</si>
  <si>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</si>
  <si>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për aktivet kontabilizohen në përputhje me metodën
bruto, të përshkruar në SKK 10</t>
  </si>
  <si>
    <t>Sipas metodës kontabël të përshkruar në SKK 9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</si>
  <si>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</si>
  <si>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Vlera e drejtë e shumës së paguar për aksionet e riblera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</si>
  <si>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</si>
  <si>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E barabartë me fitimin/humbjen e raportuar në pasqyrën
e të ardhurave dhe shpenzimeve</t>
  </si>
  <si>
    <t>Biological assets xxxxx</t>
  </si>
  <si>
    <t xml:space="preserve"> Llogari kerkesa te arketueshme</t>
  </si>
  <si>
    <t>L/1</t>
  </si>
  <si>
    <t>Ndryshimet ne inventarin e PGatshem dhe Pproces</t>
  </si>
  <si>
    <t>Shen
ime</t>
  </si>
  <si>
    <t>Sheni
me</t>
  </si>
  <si>
    <t>Efektet e ndryshimit të kurseve të këmbimit gjatë konsolidimit</t>
  </si>
  <si>
    <t>Transferime në rezervën e detyrueshme  statutore</t>
  </si>
  <si>
    <t>Transferime në rezervën e detyrueshme statutore</t>
  </si>
  <si>
    <t>Totali i të ardhurave/i shpenzimeve, që nuk janë njohur në pasqyrën e të ardhurave &amp; shpenzimeve</t>
  </si>
  <si>
    <t>Totali i të ardhurave apo i shpenzimeve, qe nuk jane njohur në PASH</t>
  </si>
  <si>
    <t>ALL ‘000</t>
  </si>
  <si>
    <t>000/ALL</t>
  </si>
  <si>
    <t>Materiale te para</t>
  </si>
  <si>
    <t xml:space="preserve">      Totali</t>
  </si>
  <si>
    <t>Kryerja e sherbimeve (Ndertimi)</t>
  </si>
  <si>
    <t>Nga shitja e materialeve/mallrave</t>
  </si>
  <si>
    <t>Te tjera shitje e sherbime (Makinerite)</t>
  </si>
  <si>
    <t>Te Ardhura  Financiare</t>
  </si>
  <si>
    <t>Interesa Positive</t>
  </si>
  <si>
    <t>Diferenca pozitive kembimi</t>
  </si>
  <si>
    <t>Shpenzime Financiare</t>
  </si>
  <si>
    <t>Interesa te llogaritura</t>
  </si>
  <si>
    <t>Diferenca negative kembimit</t>
  </si>
  <si>
    <t xml:space="preserve">LE DICHIARAZIONI IVA </t>
  </si>
  <si>
    <t>ANNO 2008</t>
  </si>
  <si>
    <t>CEMI</t>
  </si>
  <si>
    <t>MESE</t>
  </si>
  <si>
    <t>Vendite</t>
  </si>
  <si>
    <t>Acquisti</t>
  </si>
  <si>
    <t>IVA</t>
  </si>
  <si>
    <t>DA PAGARE</t>
  </si>
  <si>
    <t>PAGATO</t>
  </si>
  <si>
    <t>DIFERENCE</t>
  </si>
  <si>
    <t>N. DETRAIBILE</t>
  </si>
  <si>
    <t>ESPORT</t>
  </si>
  <si>
    <t>TASSABILE</t>
  </si>
  <si>
    <t>N.DETRAIBILE</t>
  </si>
  <si>
    <t>IMPORTI</t>
  </si>
  <si>
    <t>PAESE</t>
  </si>
  <si>
    <t>DETRAIBILE</t>
  </si>
  <si>
    <t>Dicembre 07</t>
  </si>
  <si>
    <t>Gennaio 08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</si>
  <si>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</si>
  <si>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</si>
  <si>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</si>
  <si>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</si>
  <si>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</si>
  <si>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</si>
  <si>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</si>
  <si>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</si>
  <si>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</si>
  <si>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</si>
  <si>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</si>
  <si>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Gennaio 09</t>
  </si>
  <si>
    <t>Shuma 2008</t>
  </si>
  <si>
    <t>Totali prej fillimit</t>
  </si>
  <si>
    <t xml:space="preserve">faturuar situacione+paradhenie = </t>
  </si>
  <si>
    <t>paradhenie te pakonsumuara =</t>
  </si>
  <si>
    <t xml:space="preserve">te ardhura ne bilancin 2008 = </t>
  </si>
  <si>
    <t>VITI 2008</t>
  </si>
  <si>
    <t xml:space="preserve">(19)  Tatim fitimi </t>
  </si>
  <si>
    <t>PASQYRA  E FLUKSEVE MONETARE :</t>
  </si>
  <si>
    <t>Periudha 1 janar 2008-31. Dhjetor 2008</t>
  </si>
  <si>
    <t>Ne leke</t>
  </si>
  <si>
    <t>31.12.2008</t>
  </si>
  <si>
    <t>31.12.2007</t>
  </si>
  <si>
    <t>Fluksi  monetar  nga veprimtaria e shfrytezimit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</si>
  <si>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</si>
  <si>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</si>
  <si>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</si>
  <si>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</si>
  <si>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</si>
  <si>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</si>
  <si>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</si>
  <si>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</si>
  <si>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</si>
  <si>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 xml:space="preserve"> Rrimarje e shumave te  zhvleresimit te kredive dhe paradhenieve  (Llogari te arketueshme)</t>
  </si>
  <si>
    <t>Amortizimi I Aktiveve Afat gjate</t>
  </si>
  <si>
    <t>Te ardhura (Humbje) nga kembimet valutore</t>
  </si>
  <si>
    <t>Ndryshimet ne Flukset e MM nga aktiviteti I shfrytezimit</t>
  </si>
  <si>
    <t>Rritje/renie e kerkesave te arketueshme</t>
  </si>
  <si>
    <t>Rritje/renie e tepricave te inventarit</t>
  </si>
  <si>
    <t>Rritje/renie ne shpenzimet e shtyra</t>
  </si>
  <si>
    <t>Rritje/renie ne llogarite e furnitoreve</t>
  </si>
  <si>
    <t>Rritje/renie ne llogarite e tjera te pagueshme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</si>
  <si>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</si>
  <si>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</si>
  <si>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</si>
  <si>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</si>
  <si>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</si>
  <si>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</si>
  <si>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</si>
  <si>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</si>
  <si>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</si>
  <si>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</si>
  <si>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</si>
  <si>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</si>
  <si>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</si>
  <si>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kapitalit aksioner</t>
  </si>
  <si>
    <t>Emetim I aksione preferenciale</t>
  </si>
  <si>
    <t>Pagesa e kostove te emetimit te kapitali aksioner</t>
  </si>
  <si>
    <t>Te dala nga pakesimi I kapitali aksioner</t>
  </si>
  <si>
    <t>Te tjera rivleresime kapitali</t>
  </si>
  <si>
    <t>Rritje pakesim I detyrimeve te ortakeve</t>
  </si>
  <si>
    <t>Rritje pakesim I detyrimeve te qerase financiare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</si>
  <si>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</si>
  <si>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</si>
  <si>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</si>
  <si>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</si>
  <si>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</si>
  <si>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</si>
  <si>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</si>
  <si>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</si>
  <si>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</si>
  <si>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>Tatim Fitimi</t>
  </si>
  <si>
    <r>
      <t>(23)  Parapagime (</t>
    </r>
    <r>
      <rPr>
        <b/>
        <sz val="10"/>
        <color indexed="10"/>
        <rFont val="Calibri"/>
        <family val="2"/>
      </rPr>
      <t>vjetor</t>
    </r>
    <r>
      <rPr>
        <b/>
        <sz val="10"/>
        <rFont val="Calibri"/>
        <family val="2"/>
      </rPr>
      <t>)</t>
    </r>
  </si>
  <si>
    <t>dh</t>
  </si>
  <si>
    <t>xxxxxxxxxxxxxxxxxx</t>
  </si>
  <si>
    <t>Totali i të ardhurave/i shpenzimeve, që nuk janë njohur në Pasqyrën e të Ardhur. &amp; Shpenz.</t>
  </si>
  <si>
    <t>Shitjet Neto</t>
  </si>
  <si>
    <t>Te Ardhura te tjera nga Veprimtaria e Shfrytzimit</t>
  </si>
  <si>
    <t>Taksa Vendore</t>
  </si>
  <si>
    <t>Tatime &amp; Taksa te tjera</t>
  </si>
  <si>
    <t xml:space="preserve">Amortizime  dhe Zhvleftesime </t>
  </si>
  <si>
    <t>Mallra, lende te para dhe Sherbimet</t>
  </si>
  <si>
    <t>xxxxxxxxxxxxxxxxxxxxxxxxxx</t>
  </si>
  <si>
    <t>Sherbimet</t>
  </si>
  <si>
    <t>Shpenzime te tjera te shfrytzimit (Tatim Taksa)</t>
  </si>
  <si>
    <t xml:space="preserve">Shpenzime te tjera te shfrytzimit </t>
  </si>
  <si>
    <t>Subvencione te dhena</t>
  </si>
  <si>
    <t>Shpenzime per pritje e perfaqsime</t>
  </si>
  <si>
    <t>Gjoba e penalitete /demshperblime</t>
  </si>
  <si>
    <t>Shpenzime te tjera</t>
  </si>
  <si>
    <t>Rezultati Tatimor</t>
  </si>
  <si>
    <t>Amortizimi  AAM</t>
  </si>
  <si>
    <t>Provizione per zhvleresimin e AF</t>
  </si>
  <si>
    <t>Humbje nga rivleresimi AAM</t>
  </si>
  <si>
    <t>Rezultati Ushtrimor</t>
  </si>
  <si>
    <t>Shtesa per shpenzimet e Pazbritshme</t>
  </si>
  <si>
    <t>Paksime per te Ardhura te Patatueshme</t>
  </si>
  <si>
    <t>Amortizim mbi normat fiskale</t>
  </si>
  <si>
    <t>Shpenzime pa dokumenta Tatimore</t>
  </si>
  <si>
    <t>xxxxxxxxxxxxxxxxxxxxxxxxxxxxxxxxxxxxxxxx</t>
  </si>
  <si>
    <t>Rimarrje Provizionesh</t>
  </si>
  <si>
    <t>Fatura te vitit paraardhes me tatim neburim</t>
  </si>
  <si>
    <t>Efekti i Korigjimeve te rezultatit Ushtrimor</t>
  </si>
  <si>
    <t>% e Tatim Fitimi</t>
  </si>
  <si>
    <t>Tatimi Mbi Fitimin</t>
  </si>
  <si>
    <t xml:space="preserve">      Amortizimin</t>
  </si>
  <si>
    <t xml:space="preserve">      Humbje nga këmbimet valutore</t>
  </si>
  <si>
    <t xml:space="preserve">      Të ardhura nga investimet</t>
  </si>
  <si>
    <t xml:space="preserve">      Shpenzime për interesa</t>
  </si>
  <si>
    <t>Vlera neto</t>
  </si>
  <si>
    <t>AAM Vlera Bruto</t>
  </si>
  <si>
    <t>Control</t>
  </si>
  <si>
    <t xml:space="preserve">Derdhja e Kapitalit </t>
  </si>
  <si>
    <t>K78022502F</t>
  </si>
  <si>
    <t>Lagja: Beselidhja, LEZHE</t>
  </si>
  <si>
    <t>27.11.2006</t>
  </si>
  <si>
    <t>Emertimi dhe Forma ligjore</t>
  </si>
  <si>
    <t>NIPT-i</t>
  </si>
  <si>
    <t>Adresa e Selise</t>
  </si>
  <si>
    <t>Data e krijimit</t>
  </si>
  <si>
    <t>Nr.i Regjistrit Tregtar</t>
  </si>
  <si>
    <t>Veprimtaria Kryesore</t>
  </si>
  <si>
    <t>PASQYRAT FINANCIARE</t>
  </si>
  <si>
    <t>(Ne zbatim te Standartit Kombetar te Kontabilitetit nr.2  dhe Ligjit Nr.9228, Date 29.04.2004
 "Per Kontabilitetin dhe Pasqyrat Financiare")</t>
  </si>
  <si>
    <t>Pasqyrat Financiare jane individuale</t>
  </si>
  <si>
    <t>Pasqyrat Financiare jane te konsoliduara</t>
  </si>
  <si>
    <t>Pasqyrat Financiare jane te shprehura ne</t>
  </si>
  <si>
    <t>Pasqyrat Financiare jane te rrumbullakosura ne</t>
  </si>
  <si>
    <t>Periudha Kontabel e Pasqyrave Financiare</t>
  </si>
  <si>
    <t>Administrator</t>
  </si>
  <si>
    <t xml:space="preserve">Individuale </t>
  </si>
  <si>
    <t>Leke</t>
  </si>
  <si>
    <t>Dhjetor 31,2008</t>
  </si>
  <si>
    <t>Dhjetor 31,2007</t>
  </si>
  <si>
    <t xml:space="preserve">    Shpenzimet per personelin</t>
  </si>
  <si>
    <t>Detyrime te tjera</t>
  </si>
  <si>
    <t>Ndertim</t>
  </si>
  <si>
    <t>Shuma te 
parashikuara 
per reziqe</t>
  </si>
  <si>
    <t>DIEKAT Ndertim &amp; Konstruksion  SH.A.</t>
  </si>
  <si>
    <t>Pasqyra e levizjes se  Aktiveve Afatgjata  Materiale</t>
  </si>
  <si>
    <t xml:space="preserve">Toka  dhe ndertime </t>
  </si>
  <si>
    <t>Makineri  pajisje dhe Mjete transporti</t>
  </si>
  <si>
    <t xml:space="preserve">Pajisje zyre dhe informatike </t>
  </si>
  <si>
    <t xml:space="preserve">Te tjera ne shfrytezim </t>
  </si>
  <si>
    <t>Investime ne proces</t>
  </si>
  <si>
    <t>Amortizimi I Akumuluar</t>
  </si>
  <si>
    <t xml:space="preserve">Vlera  Bruto e AAM </t>
  </si>
  <si>
    <t>Blerje  AAM</t>
  </si>
  <si>
    <t>Shitje  AAM</t>
  </si>
  <si>
    <t>Amortizimi I AAM</t>
  </si>
  <si>
    <t xml:space="preserve">Amortizimi I AAM te shitura </t>
  </si>
  <si>
    <t>Vlera Neto e AAM me 31/12/ 2008</t>
  </si>
  <si>
    <t>Vlera Neto e AAM me 31/12/ 2007</t>
  </si>
  <si>
    <t>Vlera Neto e AAM me 01/01/ 2007</t>
  </si>
  <si>
    <t>Vlera  Bruto e AAM 1/01/ 2007</t>
  </si>
  <si>
    <t>Vlera Neto e AAM me 1/01/ 2007</t>
  </si>
  <si>
    <t>Vlera Neto e AAM me 31/01/ 2008</t>
  </si>
  <si>
    <t>Makineri  pajisje dhe 
Mjete transporti</t>
  </si>
  <si>
    <t xml:space="preserve">Toka  
dhe 
ndertime </t>
  </si>
  <si>
    <t xml:space="preserve">Pajisje zyre 
dhe 
informatike </t>
  </si>
  <si>
    <t xml:space="preserve">Te tjera 
ne 
shfrytezim </t>
  </si>
  <si>
    <t>Toka 
dhe Ndertesa</t>
  </si>
  <si>
    <t>Makineri
 Pajisje m Transporti</t>
  </si>
  <si>
    <t>Pajisje Zyre 
Informatike</t>
  </si>
  <si>
    <t>Nr.
 Ref.</t>
  </si>
  <si>
    <t xml:space="preserve">             A K T I V I </t>
  </si>
  <si>
    <t>ASSETS</t>
  </si>
  <si>
    <t>Viti Ushtrimor</t>
  </si>
  <si>
    <t>Ndryshimi</t>
  </si>
  <si>
    <t>Nr. 
Ref.</t>
  </si>
  <si>
    <t xml:space="preserve">             P A S I V I </t>
  </si>
  <si>
    <t>CAPITAL &amp; LIABILITIES</t>
  </si>
  <si>
    <t>FIXED ASSETS</t>
  </si>
  <si>
    <t>A</t>
  </si>
  <si>
    <t xml:space="preserve">K A P I T A L E T  E  V E T A </t>
  </si>
  <si>
    <t>SHARE HOLDERS EQUITY</t>
  </si>
  <si>
    <t>B  I</t>
  </si>
  <si>
    <t>Te pa Trupezuara</t>
  </si>
  <si>
    <t>Intangible Asssets</t>
  </si>
  <si>
    <t xml:space="preserve">A I </t>
  </si>
  <si>
    <t>Kapit Themel, Rezervat, Fitime/Humbje</t>
  </si>
  <si>
    <t>Capital &amp; Reserves</t>
  </si>
  <si>
    <t>B   I a</t>
  </si>
  <si>
    <t>Shpenzime te nisjes dhe zgjerimit</t>
  </si>
  <si>
    <t xml:space="preserve">        Nga ky i derdhur </t>
  </si>
  <si>
    <t>Delivered</t>
  </si>
  <si>
    <t>B   I b</t>
  </si>
  <si>
    <t>Shpenzime te kerk. Te aplik. dhe zhvill.</t>
  </si>
  <si>
    <t xml:space="preserve">Expenditures of starting and expanding </t>
  </si>
  <si>
    <t>A I a</t>
  </si>
  <si>
    <t xml:space="preserve">Kapitali i nenshkruar </t>
  </si>
  <si>
    <t>Share Capital</t>
  </si>
  <si>
    <t>B   I c</t>
  </si>
  <si>
    <t>Te tjera te shfrytzimit</t>
  </si>
  <si>
    <t xml:space="preserve">Expenditures of applied research and development </t>
  </si>
  <si>
    <t>A I b</t>
  </si>
  <si>
    <t xml:space="preserve">Prime te lidhura me kapitalin </t>
  </si>
  <si>
    <t>Prime related to the capital</t>
  </si>
  <si>
    <t>B   I d</t>
  </si>
  <si>
    <t>Pagesa pjesore te derdhura</t>
  </si>
  <si>
    <t>Other expense of explotation</t>
  </si>
  <si>
    <t>A I c</t>
  </si>
  <si>
    <t>Diferenca nga rivleresimi</t>
  </si>
  <si>
    <t xml:space="preserve">Differences from the revaluation </t>
  </si>
  <si>
    <t>B   I e</t>
  </si>
  <si>
    <t>Amortizime</t>
  </si>
  <si>
    <t xml:space="preserve">Partial Payments </t>
  </si>
  <si>
    <t>A I d</t>
  </si>
  <si>
    <t>Rezervat</t>
  </si>
  <si>
    <t>Reserves</t>
  </si>
  <si>
    <t>B   I h</t>
  </si>
  <si>
    <t>Provizione per zhvlersime</t>
  </si>
  <si>
    <t xml:space="preserve">Depreciation </t>
  </si>
  <si>
    <t xml:space="preserve">   Rezervat   ligjore </t>
  </si>
  <si>
    <t xml:space="preserve">       Legal  reserves</t>
  </si>
  <si>
    <t xml:space="preserve">   Rezervat    statutore </t>
  </si>
  <si>
    <t xml:space="preserve">       Statutory  reserves</t>
  </si>
  <si>
    <t>B  II</t>
  </si>
  <si>
    <t>Te Trupezuara</t>
  </si>
  <si>
    <t>Tangible Assets</t>
  </si>
  <si>
    <t xml:space="preserve">   Rezerva    te tjera </t>
  </si>
  <si>
    <t xml:space="preserve">       Other reserves</t>
  </si>
  <si>
    <t xml:space="preserve">B  II a </t>
  </si>
  <si>
    <t>Toka, terrene,ndertime e instal. Te pergj.</t>
  </si>
  <si>
    <t>Land, constructions and general istallations</t>
  </si>
  <si>
    <t xml:space="preserve">A I e </t>
  </si>
  <si>
    <t>Fitimi ose  humbje te mbartura (Humbjet)</t>
  </si>
  <si>
    <t>Retained earnings</t>
  </si>
  <si>
    <t xml:space="preserve">B  II b </t>
  </si>
  <si>
    <t>Istalime tek.makineri,paisje,vegla pune</t>
  </si>
  <si>
    <t>Technical installation, machinery, equipment &amp; tools</t>
  </si>
  <si>
    <t xml:space="preserve">A I h </t>
  </si>
  <si>
    <t>Profits &amp; losses of the current year</t>
  </si>
  <si>
    <t xml:space="preserve">B  II c </t>
  </si>
  <si>
    <t>A  II</t>
  </si>
  <si>
    <t>OTHER OWN FUNDS</t>
  </si>
  <si>
    <t xml:space="preserve">B  II d </t>
  </si>
  <si>
    <t>Tangible in proces and prepayments</t>
  </si>
  <si>
    <t>A  II a</t>
  </si>
  <si>
    <t>Fondi (Rezerva) i zhvillimit</t>
  </si>
  <si>
    <t>Funds of development</t>
  </si>
  <si>
    <t xml:space="preserve">B  II e </t>
  </si>
  <si>
    <t>A  II b</t>
  </si>
  <si>
    <t>Fondi i shperblimit suplementar te punonjesve</t>
  </si>
  <si>
    <t>The fund of reserve for personnel rewarding</t>
  </si>
  <si>
    <t xml:space="preserve">B  II h </t>
  </si>
  <si>
    <t>Provizione per  zhvleresim</t>
  </si>
  <si>
    <t>Provisions for Depreciation (-)</t>
  </si>
  <si>
    <t xml:space="preserve">A  II c </t>
  </si>
  <si>
    <t>Fondi i ndihmave te menjehershme</t>
  </si>
  <si>
    <t>The fund of immediate aid</t>
  </si>
  <si>
    <t>B III</t>
  </si>
  <si>
    <t>FINANCIAL FIXED ASSETS</t>
  </si>
  <si>
    <t>A  II d</t>
  </si>
  <si>
    <t xml:space="preserve">Fonde te tjera    </t>
  </si>
  <si>
    <t>Other funds</t>
  </si>
  <si>
    <t>B III a</t>
  </si>
  <si>
    <t>Pjesemarrje dhe tituj financiare te tjere</t>
  </si>
  <si>
    <t>Titles of partecipation and other financial titles</t>
  </si>
  <si>
    <t>A  III</t>
  </si>
  <si>
    <t xml:space="preserve">SUBSIDIES FOR INVESTMENTS </t>
  </si>
  <si>
    <t>B III b</t>
  </si>
  <si>
    <t>Kerkesa  debitore te lidhura me pjesemarr</t>
  </si>
  <si>
    <t>Debits requirements related to financial participation</t>
  </si>
  <si>
    <t>A I V</t>
  </si>
  <si>
    <t>Provisions</t>
  </si>
  <si>
    <t>B III c</t>
  </si>
  <si>
    <t>Kredi    te   dhena</t>
  </si>
  <si>
    <t xml:space="preserve">Credits </t>
  </si>
  <si>
    <t>A IV a</t>
  </si>
  <si>
    <t xml:space="preserve">Provizione per rreziqe     </t>
  </si>
  <si>
    <t>Expected sums for risks</t>
  </si>
  <si>
    <t>B III d</t>
  </si>
  <si>
    <t>Provizione  per  zhvleresim</t>
  </si>
  <si>
    <t>A IV b</t>
  </si>
  <si>
    <t xml:space="preserve">Provizione per shpenzime </t>
  </si>
  <si>
    <t xml:space="preserve">Expected sums for expenditures </t>
  </si>
  <si>
    <t>C</t>
  </si>
  <si>
    <t>A K T I V E   Q A R K U LL U E S E</t>
  </si>
  <si>
    <t>CURRENT ASSETS</t>
  </si>
  <si>
    <t>B</t>
  </si>
  <si>
    <t xml:space="preserve">      D E T Y R I M E </t>
  </si>
  <si>
    <t>LIABILITIES</t>
  </si>
  <si>
    <t>C  I</t>
  </si>
  <si>
    <t>Gjendje Inventari dhe ne Proces</t>
  </si>
  <si>
    <t>Inventories</t>
  </si>
  <si>
    <t xml:space="preserve">B I </t>
  </si>
  <si>
    <t xml:space="preserve">Det. te Kerk. pas me Shume se 1 Vit </t>
  </si>
  <si>
    <t xml:space="preserve">Long Terme Liabilities </t>
  </si>
  <si>
    <t>C   I a</t>
  </si>
  <si>
    <t>Materiale te para dhe materiale te tjera</t>
  </si>
  <si>
    <t xml:space="preserve">Raw materials and other materials </t>
  </si>
  <si>
    <t>B I a</t>
  </si>
  <si>
    <t>Huara nga bankat dhe institutete kreditit</t>
  </si>
  <si>
    <t>Loans from banks &amp; other credits Institutes</t>
  </si>
  <si>
    <t>C   I b</t>
  </si>
  <si>
    <t>Prodhime ,punime ,sherbime ne proces</t>
  </si>
  <si>
    <t>Products, works, and services in process</t>
  </si>
  <si>
    <t>B I b</t>
  </si>
  <si>
    <t xml:space="preserve">Huara te tjera </t>
  </si>
  <si>
    <t>Other loans</t>
  </si>
  <si>
    <t>C   I c</t>
  </si>
  <si>
    <t>Produkte dhe mallra</t>
  </si>
  <si>
    <t>Products and goods</t>
  </si>
  <si>
    <t>B I c</t>
  </si>
  <si>
    <t xml:space="preserve">Shuma te arketuara per porosi </t>
  </si>
  <si>
    <t>Amount cashed for orders</t>
  </si>
  <si>
    <t>C   I d</t>
  </si>
  <si>
    <t>Te tjera gjendje inventari</t>
  </si>
  <si>
    <t>Other inventory</t>
  </si>
  <si>
    <t xml:space="preserve">B I d </t>
  </si>
  <si>
    <t xml:space="preserve">Furnitore per blerje e sherbime </t>
  </si>
  <si>
    <t>Suppliers for purchases &amp; sales</t>
  </si>
  <si>
    <t>C   I e</t>
  </si>
  <si>
    <t>Provizione per zhvleresime</t>
  </si>
  <si>
    <t xml:space="preserve">B I e </t>
  </si>
  <si>
    <t xml:space="preserve">Shteti </t>
  </si>
  <si>
    <t>State</t>
  </si>
  <si>
    <t>C II</t>
  </si>
  <si>
    <t>Kerkesa per Arketim mbi Debitoret</t>
  </si>
  <si>
    <t>Receivables</t>
  </si>
  <si>
    <t xml:space="preserve">B I h </t>
  </si>
  <si>
    <t xml:space="preserve">Ortake </t>
  </si>
  <si>
    <t>Partners</t>
  </si>
  <si>
    <t>Nga keto me afat pas me shume se 1 vit</t>
  </si>
  <si>
    <t>More than one year</t>
  </si>
  <si>
    <t>B I f</t>
  </si>
  <si>
    <t xml:space="preserve">Te tjera   detyrime </t>
  </si>
  <si>
    <t>Other liabilities</t>
  </si>
  <si>
    <t>C  II a</t>
  </si>
  <si>
    <t>Kliente per shitje, sherbime</t>
  </si>
  <si>
    <t>Clients for sale and services</t>
  </si>
  <si>
    <t>B II</t>
  </si>
  <si>
    <t>Short terme Liabilities</t>
  </si>
  <si>
    <t>C  II b</t>
  </si>
  <si>
    <t>Ortake   kapital   i pa derdhur</t>
  </si>
  <si>
    <t xml:space="preserve">Partners undelivered capital </t>
  </si>
  <si>
    <t>B II a</t>
  </si>
  <si>
    <t xml:space="preserve">Huara nga bankat dhe institutet e kreditit </t>
  </si>
  <si>
    <t>C  II c</t>
  </si>
  <si>
    <t>Personeli  dhe persona</t>
  </si>
  <si>
    <t>Personel and related persons</t>
  </si>
  <si>
    <t>B II b</t>
  </si>
  <si>
    <t>C  II d</t>
  </si>
  <si>
    <t>Te tjera  kerkesa</t>
  </si>
  <si>
    <t>Other demands</t>
  </si>
  <si>
    <t>B II c</t>
  </si>
  <si>
    <t>C  II e</t>
  </si>
  <si>
    <t>Provizione  per zhvleresime</t>
  </si>
  <si>
    <t>B II d</t>
  </si>
  <si>
    <t>C III</t>
  </si>
  <si>
    <t xml:space="preserve">Letra me Vlere te Vendosjes  </t>
  </si>
  <si>
    <t>ESTABLISHING TEMPORARY BONDS</t>
  </si>
  <si>
    <t xml:space="preserve">B II e </t>
  </si>
  <si>
    <t xml:space="preserve">Personeli </t>
  </si>
  <si>
    <t>Personnel</t>
  </si>
  <si>
    <t>C III a</t>
  </si>
  <si>
    <t>Aksione,Obligacione,bono thesari e te ngjashme</t>
  </si>
  <si>
    <t>Shares, liabilities, bonds &amp; other similar</t>
  </si>
  <si>
    <t>B II h</t>
  </si>
  <si>
    <t xml:space="preserve">Sigurime shoqerore dhe te ngjashme </t>
  </si>
  <si>
    <t>Social Insurance and similar</t>
  </si>
  <si>
    <t>C III b</t>
  </si>
  <si>
    <t xml:space="preserve">B II f </t>
  </si>
  <si>
    <t xml:space="preserve">Shteti -tatime dhe taksa </t>
  </si>
  <si>
    <t>State Taxes &amp; Taxation</t>
  </si>
  <si>
    <t xml:space="preserve">C IV </t>
  </si>
  <si>
    <t>Likujditete dhe Vlera Arke te Tjera</t>
  </si>
  <si>
    <t xml:space="preserve">Cash  </t>
  </si>
  <si>
    <t>B II g</t>
  </si>
  <si>
    <t xml:space="preserve">Ortake                                     </t>
  </si>
  <si>
    <t>C IV a</t>
  </si>
  <si>
    <t xml:space="preserve">Depozita ne banke dhe ne llog.te tjera </t>
  </si>
  <si>
    <t>Bank deposits &amp; other accounts</t>
  </si>
  <si>
    <t>B II i</t>
  </si>
  <si>
    <t xml:space="preserve">Te tjera  detyrime                     </t>
  </si>
  <si>
    <t>C IV b</t>
  </si>
  <si>
    <t>Para ne dore  (arke)</t>
  </si>
  <si>
    <t>Cash in hand</t>
  </si>
  <si>
    <t>Te Ardhura te Marra/te Rregjistruara Avance</t>
  </si>
  <si>
    <t>Incomes Received in Advance</t>
  </si>
  <si>
    <t>C IV c</t>
  </si>
  <si>
    <t>Other cash value</t>
  </si>
  <si>
    <t xml:space="preserve">C V </t>
  </si>
  <si>
    <t>Shpenz. te Paguara ose Regj.Avance</t>
  </si>
  <si>
    <t>EXPENDITURE REGISTERED IN ADVANCE</t>
  </si>
  <si>
    <t xml:space="preserve">Nga  keto  : Mbi nje vit </t>
  </si>
  <si>
    <t>D</t>
  </si>
  <si>
    <t>OTHER ACCOUNTS</t>
  </si>
  <si>
    <t xml:space="preserve">OTHER ACCOUNTS </t>
  </si>
  <si>
    <t>D  a</t>
  </si>
  <si>
    <t>Shpenzime  (kosto) per tu shperndare</t>
  </si>
  <si>
    <t>Expenses (costs) to be delivered</t>
  </si>
  <si>
    <t>C a</t>
  </si>
  <si>
    <t>DIFERENCA  konvertimi   pasive</t>
  </si>
  <si>
    <t xml:space="preserve">Differences from the conversion of liabilities </t>
  </si>
  <si>
    <t>D  b</t>
  </si>
  <si>
    <t>Diferenca  Konvertimi   Aktive</t>
  </si>
  <si>
    <t>Differences from the conversion of assets Others</t>
  </si>
  <si>
    <t xml:space="preserve">       TOTALI I   AKTIVIT</t>
  </si>
  <si>
    <t>TOTAL ASSETS</t>
  </si>
  <si>
    <t xml:space="preserve">T O T A L I  I  P A S I V I T </t>
  </si>
  <si>
    <t>TOTAL  LIABILITIES &amp; SHARE HOLDER's EQUITY</t>
  </si>
  <si>
    <t>Nr. Ref.</t>
  </si>
  <si>
    <t>SHPENZIME</t>
  </si>
  <si>
    <t>VITI USHTRIMOR</t>
  </si>
  <si>
    <t>TE ARDHURAT</t>
  </si>
  <si>
    <t>I</t>
  </si>
  <si>
    <t>PAKESIMI I GJENDJ.PRODH.TE VET</t>
  </si>
  <si>
    <t>DECREASE ON STOKS OF PRODUCTION</t>
  </si>
  <si>
    <t>TE ARDHURAT E AFARIZMIT</t>
  </si>
  <si>
    <t>ACTIVITY  REVENUES</t>
  </si>
  <si>
    <t>II</t>
  </si>
  <si>
    <t>SHPENZ. TE SHFRYT.TE TJERA RJEDH.</t>
  </si>
  <si>
    <t>OPERACIONAL EXPENSES</t>
  </si>
  <si>
    <t>Materiale te para dhe mat. Te tjera</t>
  </si>
  <si>
    <t>Row Materials</t>
  </si>
  <si>
    <t>Nga shitja e prodhimit te vet</t>
  </si>
  <si>
    <t xml:space="preserve">Sales of products </t>
  </si>
  <si>
    <t>1/a</t>
  </si>
  <si>
    <t xml:space="preserve">       Blerje gjate ushtrimit</t>
  </si>
  <si>
    <t xml:space="preserve">       Bought during the period</t>
  </si>
  <si>
    <t xml:space="preserve">Nga kryerja e sherbimeve </t>
  </si>
  <si>
    <t>Sales of services</t>
  </si>
  <si>
    <t>1/b</t>
  </si>
  <si>
    <t xml:space="preserve">       Ndryshim i gjendjes</t>
  </si>
  <si>
    <t xml:space="preserve">       Change of stock</t>
  </si>
  <si>
    <t>Nga shitja e mallrave</t>
  </si>
  <si>
    <t>Sales of goods</t>
  </si>
  <si>
    <t>Mallra</t>
  </si>
  <si>
    <t>Te tjera shitje dhe sherbime</t>
  </si>
  <si>
    <t>Other sales and services</t>
  </si>
  <si>
    <t>2/a</t>
  </si>
  <si>
    <t xml:space="preserve">       Amortization</t>
  </si>
  <si>
    <t>TOTAL SHIFRA NETO E AFARIZMIT</t>
  </si>
  <si>
    <t>TOTAL OF ACTIVITY</t>
  </si>
  <si>
    <t>2/b</t>
  </si>
  <si>
    <t xml:space="preserve">       Provisions for depreciation</t>
  </si>
  <si>
    <t xml:space="preserve"> NGA KJO :EXPORT</t>
  </si>
  <si>
    <t>From wich Export</t>
  </si>
  <si>
    <t>Reparing, services,subcontractors,</t>
  </si>
  <si>
    <t>OTHER REVENUES (exept financ.)</t>
  </si>
  <si>
    <t>Shpenzime personeli</t>
  </si>
  <si>
    <t>Personel Expenses</t>
  </si>
  <si>
    <t>4/a</t>
  </si>
  <si>
    <t xml:space="preserve">       Paga</t>
  </si>
  <si>
    <t xml:space="preserve">       Salaries</t>
  </si>
  <si>
    <t>Shtesa e gjendjes se prodhimit te vet</t>
  </si>
  <si>
    <t>Increase in stoks of production</t>
  </si>
  <si>
    <t>4/b</t>
  </si>
  <si>
    <t xml:space="preserve">       Trajtime dhe shperblime</t>
  </si>
  <si>
    <t xml:space="preserve">       Training and premiums</t>
  </si>
  <si>
    <t>Prodhim AQ</t>
  </si>
  <si>
    <t>Production of fixed assets</t>
  </si>
  <si>
    <t>4/c</t>
  </si>
  <si>
    <t xml:space="preserve">       Sigurime shoqerore</t>
  </si>
  <si>
    <t xml:space="preserve">       Social insurance and similar</t>
  </si>
  <si>
    <t>Subvencione te shfrytezimit</t>
  </si>
  <si>
    <t>Subsidies receved</t>
  </si>
  <si>
    <t>Tatime,taksa e derdhje te ngjashme</t>
  </si>
  <si>
    <t>Taxes and other similar</t>
  </si>
  <si>
    <t>Te ardhura te tjera rrjedhese</t>
  </si>
  <si>
    <t>Other current revenues</t>
  </si>
  <si>
    <t>Shpenzime te tjera rrjedhese</t>
  </si>
  <si>
    <t>Other Expenses</t>
  </si>
  <si>
    <t xml:space="preserve">      Cmimi shitje se AQ</t>
  </si>
  <si>
    <t xml:space="preserve">      Sales of fixed assets</t>
  </si>
  <si>
    <t>6/a</t>
  </si>
  <si>
    <t xml:space="preserve">       Vlera kontabel e AQ te shitura</t>
  </si>
  <si>
    <t xml:space="preserve">       Accounting value of fixed assets</t>
  </si>
  <si>
    <t xml:space="preserve">      Arketim i debitoreve</t>
  </si>
  <si>
    <t xml:space="preserve">      Reven. due to paym.of bad debts</t>
  </si>
  <si>
    <t>6/b</t>
  </si>
  <si>
    <t xml:space="preserve">       Humje nga mos arketim i debitoreve</t>
  </si>
  <si>
    <t xml:space="preserve">       Losses from bad clients</t>
  </si>
  <si>
    <t xml:space="preserve">      Te tjera</t>
  </si>
  <si>
    <t xml:space="preserve">      Other</t>
  </si>
  <si>
    <t>6/c</t>
  </si>
  <si>
    <t xml:space="preserve">       Te tjera</t>
  </si>
  <si>
    <t xml:space="preserve">       Other Expenses</t>
  </si>
  <si>
    <t>Amortizime dhe provizione</t>
  </si>
  <si>
    <t>Depreciation and Provisions</t>
  </si>
  <si>
    <t>Rimarje amortizimi dhe provizione</t>
  </si>
  <si>
    <t>Adjustments of Depreciat.&amp; Provisions</t>
  </si>
  <si>
    <t>7/a</t>
  </si>
  <si>
    <t xml:space="preserve">       Amortizim AQ</t>
  </si>
  <si>
    <t xml:space="preserve">       Depreciation of fixed assets</t>
  </si>
  <si>
    <t xml:space="preserve">      Per AQ</t>
  </si>
  <si>
    <t xml:space="preserve">      For depreciation of fixed assets</t>
  </si>
  <si>
    <t>7/b</t>
  </si>
  <si>
    <t xml:space="preserve">       Provizion per zhvleres. e AQ</t>
  </si>
  <si>
    <t xml:space="preserve">       Provisions related fixed assets</t>
  </si>
  <si>
    <t xml:space="preserve">      Per prov.te AQ</t>
  </si>
  <si>
    <t xml:space="preserve">      For provisions of fixed assets</t>
  </si>
  <si>
    <t>7/c</t>
  </si>
  <si>
    <t xml:space="preserve">       Provizion per zhvleres. e A qarkulluese</t>
  </si>
  <si>
    <t xml:space="preserve">       Provisions related circular assets</t>
  </si>
  <si>
    <t xml:space="preserve">      For provisions of Circuliar assets</t>
  </si>
  <si>
    <t>7/d</t>
  </si>
  <si>
    <t xml:space="preserve">       Provizion per rreziqe e shpenzime </t>
  </si>
  <si>
    <t xml:space="preserve">       Provisions related exp, &amp; other risks</t>
  </si>
  <si>
    <t xml:space="preserve">      Per prov.per rreziqe e shpenzime</t>
  </si>
  <si>
    <t xml:space="preserve">      For provis. for risks and expens.</t>
  </si>
  <si>
    <t>7/e</t>
  </si>
  <si>
    <t xml:space="preserve">       Shpenzime per tu shperndare</t>
  </si>
  <si>
    <t xml:space="preserve">       Amortization of  Prepaid expenses</t>
  </si>
  <si>
    <t>TOTAL     (I+II)</t>
  </si>
  <si>
    <t>TOTAL OF OPERAC. EXPENS. (I+II)</t>
  </si>
  <si>
    <t>TOTAL  TE ARDHURA (I+II)</t>
  </si>
  <si>
    <t>TOTAL OF OPERAC. REVENUES (I+II)</t>
  </si>
  <si>
    <t>III</t>
  </si>
  <si>
    <t>ne Leke</t>
  </si>
  <si>
    <t>SHPENZIME FINANCIARE</t>
  </si>
  <si>
    <t>FINANCIAL EXPENSES</t>
  </si>
  <si>
    <t>TE ARDHURA FINANCIARE</t>
  </si>
  <si>
    <t>FINANCIAL REVENUES</t>
  </si>
  <si>
    <t>Interesa te paguara dhe per tu paguar</t>
  </si>
  <si>
    <t>Interes expense calculated to be paid</t>
  </si>
  <si>
    <t>Int.te fituara dhe te ngjashme</t>
  </si>
  <si>
    <t>Int. income from loans and deposits</t>
  </si>
  <si>
    <t>Minusvlera nga shitja e letrave me vlere</t>
  </si>
  <si>
    <t>Losses on sales of financial assets</t>
  </si>
  <si>
    <t>Plus vlera nga shitja e letrave me vlere</t>
  </si>
  <si>
    <t>Gain on sales of finacial assets</t>
  </si>
  <si>
    <t>Difernca negative nga kembimi</t>
  </si>
  <si>
    <t xml:space="preserve">Losses from the exchange rates </t>
  </si>
  <si>
    <t>Diferenca pozitive nga kembimi</t>
  </si>
  <si>
    <t>Gain from exchange rate</t>
  </si>
  <si>
    <t>Provis. related financial circular assets</t>
  </si>
  <si>
    <t>Adjustments of provis. for circul. assets</t>
  </si>
  <si>
    <t>Te tjera shpenzime financiare</t>
  </si>
  <si>
    <t>Other financial expenses</t>
  </si>
  <si>
    <t>Te tjera te ardhura financiare</t>
  </si>
  <si>
    <t>Other finacial revenues</t>
  </si>
  <si>
    <t>TOTAL     (I+II+III)</t>
  </si>
  <si>
    <t>ORDINARY EXPENSE OF ACTIVITY</t>
  </si>
  <si>
    <t>TOTAL  TE ARDHURA (I+II+III)</t>
  </si>
  <si>
    <t>ORDINARY REVENUES OF ACTIVITY</t>
  </si>
  <si>
    <t>IV</t>
  </si>
  <si>
    <t>SHPENZIME TE JASHTEZAKONSHME</t>
  </si>
  <si>
    <t>EXTRAORDINARY EXPENSES</t>
  </si>
  <si>
    <t>TE ARDHURA TE JASHTEZAKONSHME</t>
  </si>
  <si>
    <t>EXTRAORDINARY REVENUE</t>
  </si>
  <si>
    <t>REZULTAT I JASHTEZAKONSHEM</t>
  </si>
  <si>
    <t>EXTRAORDINARY  RESULT</t>
  </si>
  <si>
    <t>REZULTAT I  JASHTEZAKONSHEM</t>
  </si>
  <si>
    <t>FITIMI PARA TATIMIT</t>
  </si>
  <si>
    <t>INCOME BEFORE TAXES</t>
  </si>
  <si>
    <t>HUMBJE</t>
  </si>
  <si>
    <t>TATIM MBI FITIMIN</t>
  </si>
  <si>
    <t>PROFIT TAXES</t>
  </si>
  <si>
    <t>Tatim mbi fitimin</t>
  </si>
  <si>
    <t>Profit taxes</t>
  </si>
  <si>
    <t xml:space="preserve">       Tatim mbi fitimin</t>
  </si>
  <si>
    <t xml:space="preserve"> Profit tax</t>
  </si>
  <si>
    <t xml:space="preserve">           -  Related ordinary activity</t>
  </si>
  <si>
    <t xml:space="preserve">       Zbritje te tjera</t>
  </si>
  <si>
    <t xml:space="preserve">       Other redaction</t>
  </si>
  <si>
    <t>FITIMI NETO</t>
  </si>
  <si>
    <t>NET PROFIT</t>
  </si>
  <si>
    <t>Cash Flow nga aktiviteti I shfrytzimit</t>
  </si>
  <si>
    <t>Cash flows from operating activities</t>
  </si>
  <si>
    <t>Rezultati</t>
  </si>
  <si>
    <t>Shpenzimet</t>
  </si>
  <si>
    <t>Ardhurat</t>
  </si>
  <si>
    <t xml:space="preserve">(Humbje)/ fitimi para tatimit </t>
  </si>
  <si>
    <t>Net (Loss) / profit before income taxes</t>
  </si>
  <si>
    <t>Sistemim per:</t>
  </si>
  <si>
    <t>Adjustments for:</t>
  </si>
  <si>
    <t xml:space="preserve">     Rezultati Financiar neto (e ardhur) shpenzim</t>
  </si>
  <si>
    <t>Net finance (income) / costs</t>
  </si>
  <si>
    <t xml:space="preserve">     Amortizimi</t>
  </si>
  <si>
    <t>Depreciation</t>
  </si>
  <si>
    <t xml:space="preserve">     Provizionet</t>
  </si>
  <si>
    <t xml:space="preserve">     Humbje nga shitja e AQT</t>
  </si>
  <si>
    <t>Loss on disposal of property, plant &amp; equipment</t>
  </si>
  <si>
    <t>Rezultati para ndryshimeve ne Kapitalin Qarkullues</t>
  </si>
  <si>
    <t>Operating profit before working capital changes:</t>
  </si>
  <si>
    <t>Kapitali</t>
  </si>
  <si>
    <t>Rezerva</t>
  </si>
  <si>
    <t>Fit e humb 
mbartura</t>
  </si>
  <si>
    <t>Fit e humb
v. ushtrimor</t>
  </si>
  <si>
    <t>Provi</t>
  </si>
  <si>
    <t>Total</t>
  </si>
  <si>
    <t>Themeltar</t>
  </si>
  <si>
    <t>zionet</t>
  </si>
  <si>
    <t xml:space="preserve">Shtesa e kapitalit </t>
  </si>
  <si>
    <t>Fitim i shperndare</t>
  </si>
  <si>
    <t xml:space="preserve">Fitimi vitit ushtrimor </t>
  </si>
  <si>
    <t>Provizonet neto</t>
  </si>
  <si>
    <t>Nr</t>
  </si>
  <si>
    <t>Muajt</t>
  </si>
  <si>
    <t>Shitjet</t>
  </si>
  <si>
    <t>Blerjet</t>
  </si>
  <si>
    <t>TVSH</t>
  </si>
  <si>
    <t>Per tu Paguar
/Kredituar</t>
  </si>
  <si>
    <t>Paguar</t>
  </si>
  <si>
    <t>Kredituar</t>
  </si>
  <si>
    <t>Te perjasht.</t>
  </si>
  <si>
    <t>Eksporte</t>
  </si>
  <si>
    <t>Tatueshme</t>
  </si>
  <si>
    <t>Perjasht</t>
  </si>
  <si>
    <t>Importe</t>
  </si>
  <si>
    <t>Vendi</t>
  </si>
  <si>
    <t>Llogaritur</t>
  </si>
  <si>
    <t>Zbritshme</t>
  </si>
  <si>
    <t>Diferenca</t>
  </si>
  <si>
    <t>Dhjetor ' 04</t>
  </si>
  <si>
    <t>Janar 05</t>
  </si>
  <si>
    <t>Shkurt 05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</si>
  <si>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</si>
  <si>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</si>
  <si>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</si>
  <si>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</si>
  <si>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</si>
  <si>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</si>
  <si>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</si>
  <si>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</si>
  <si>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</si>
  <si>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 05</t>
  </si>
  <si>
    <t>Janar ' 06</t>
  </si>
  <si>
    <t>Pershkrimi</t>
  </si>
  <si>
    <t>Toka</t>
  </si>
  <si>
    <t>Ndertesat</t>
  </si>
  <si>
    <t>Te tjera</t>
  </si>
  <si>
    <t>TOTAL</t>
  </si>
  <si>
    <t>Kontroll 
me FS</t>
  </si>
  <si>
    <t>Opening bal</t>
  </si>
  <si>
    <t>Gross value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</si>
  <si>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</si>
  <si>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</si>
  <si>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</si>
  <si>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</si>
  <si>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</si>
  <si>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</si>
  <si>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</si>
  <si>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</si>
  <si>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</si>
  <si>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</si>
  <si>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</si>
  <si>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</si>
  <si>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</si>
  <si>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</si>
  <si>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</si>
  <si>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</si>
  <si>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</si>
  <si>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</si>
  <si>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</si>
  <si>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</si>
  <si>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</si>
  <si>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</si>
  <si>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</si>
  <si>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</si>
  <si>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ALL</t>
  </si>
  <si>
    <t xml:space="preserve">Llogaritja e rezultatit </t>
  </si>
  <si>
    <t>Te ardhurat dhe shpenzimet</t>
  </si>
  <si>
    <t>Te ardhura/shpenzime finan. nga investime te tjera fin.</t>
  </si>
  <si>
    <t>Ndryshimet ne inventarin e P.Gatshem dhe P.Proces</t>
  </si>
  <si>
    <t>Te ushtrimit</t>
  </si>
  <si>
    <t>Tatimore</t>
  </si>
  <si>
    <t>(8/9)      Te ardhurat</t>
  </si>
  <si>
    <t>(10/11)  Shpenzimet</t>
  </si>
  <si>
    <t>(12)       Shpenzimet e pazbritshme</t>
  </si>
  <si>
    <t xml:space="preserve">(13/14)  Humbja </t>
  </si>
  <si>
    <t>(15/16)  Fitimi</t>
  </si>
  <si>
    <t>(17)       Humbje e mbartur</t>
  </si>
  <si>
    <t>(18)       Fitimi i tatueshem neto (16-17)</t>
  </si>
  <si>
    <t xml:space="preserve">Llogaritja e tatim  fitimit </t>
  </si>
  <si>
    <t>(20)  Tatim fitimi me perqindje te tjera</t>
  </si>
  <si>
    <t>(21)  Tatim fitimi (19+20)</t>
  </si>
  <si>
    <t xml:space="preserve">(22)  Tatim fitimi i shtyre </t>
  </si>
  <si>
    <t xml:space="preserve">(24)  Tatim fitimi i mbipaguar </t>
  </si>
  <si>
    <t>(25)  Tatimi fitimi i detyrueshem per tu paguar</t>
  </si>
  <si>
    <t>(26)  Denime / interesa per vonesa</t>
  </si>
  <si>
    <t>(27)  TOTALI PER TU PAGUAR</t>
  </si>
  <si>
    <t>Formule</t>
  </si>
  <si>
    <t>Plotesohen me dore</t>
  </si>
  <si>
    <t>Nuk plotesohen</t>
  </si>
  <si>
    <t>(19)  Tatim fitimi me 30%, 25%, 23 %</t>
  </si>
  <si>
    <t>Financiare</t>
  </si>
  <si>
    <t>Provizione per rreziqe dhe shpenzime</t>
  </si>
  <si>
    <t>Subvencione per investime</t>
  </si>
  <si>
    <t xml:space="preserve">LLOGARI TE TJERA </t>
  </si>
  <si>
    <t>Ne proces dhe pagesa pjesore</t>
  </si>
  <si>
    <t>HUMBJA NETO</t>
  </si>
  <si>
    <t>AKTIVE TE QENDRUESHME</t>
  </si>
  <si>
    <t>Ne proces</t>
  </si>
  <si>
    <t>Fiitime ose humbje te ushtrimit (Humbje)</t>
  </si>
  <si>
    <t xml:space="preserve">Fonde te Tjera Te Vetat </t>
  </si>
  <si>
    <r>
      <t>(23)  Parapagime (</t>
    </r>
    <r>
      <rPr>
        <b/>
        <sz val="12"/>
        <color indexed="10"/>
        <rFont val="Times New Roman"/>
        <family val="1"/>
      </rPr>
      <t>vjetor</t>
    </r>
    <r>
      <rPr>
        <b/>
        <sz val="12"/>
        <rFont val="Times New Roman"/>
        <family val="1"/>
      </rPr>
      <t>)</t>
    </r>
  </si>
  <si>
    <t xml:space="preserve">Detyrime te Kerkushme deri nje Vit </t>
  </si>
  <si>
    <t xml:space="preserve">Vlera arke te tjera </t>
  </si>
  <si>
    <t>Furnitura,nentrajt. dhe sherbime</t>
  </si>
  <si>
    <t>Provis. Per aktivet financ.te qendr. E qark</t>
  </si>
  <si>
    <t xml:space="preserve">          -  Per fitimin nga vep. Te zakonshme</t>
  </si>
  <si>
    <t>TE ARDHURA TE TJERA (vec financiare)</t>
  </si>
  <si>
    <t xml:space="preserve">      Per prov.te A.qarkulluese</t>
  </si>
  <si>
    <t>Rimarrje provizionesh per A. financiare</t>
  </si>
  <si>
    <t>Dec 31,2007</t>
  </si>
  <si>
    <t>CT Telecom</t>
  </si>
  <si>
    <t>K72121015P</t>
  </si>
  <si>
    <t>Per vitin 2007</t>
  </si>
  <si>
    <t>Exchange Rate</t>
  </si>
  <si>
    <t>EUR/ALL</t>
  </si>
  <si>
    <t>CHF/ALL</t>
  </si>
  <si>
    <t>EUR/CHF</t>
  </si>
  <si>
    <t>Cash &amp; Bank Statement on 31.12.2007</t>
  </si>
  <si>
    <t>Liquidities</t>
  </si>
  <si>
    <t>Cur
rency</t>
  </si>
  <si>
    <t>Amount</t>
  </si>
  <si>
    <t>Rate</t>
  </si>
  <si>
    <t>Total
Euro</t>
  </si>
  <si>
    <t>Total
ALL</t>
  </si>
  <si>
    <t>EUR</t>
  </si>
  <si>
    <t>CASH  IN  HAND</t>
  </si>
  <si>
    <t>BKT</t>
  </si>
  <si>
    <t>USD</t>
  </si>
  <si>
    <t>Jun 30,2008</t>
  </si>
  <si>
    <t>Me 1 January 2007</t>
  </si>
  <si>
    <t>Me 30 June 2008</t>
  </si>
  <si>
    <t>Aktive Afatshkurtra</t>
  </si>
  <si>
    <t>Mjetet Monetare</t>
  </si>
  <si>
    <t>Derivate dhe Aktive Financiare te mbajtur per tregtim</t>
  </si>
  <si>
    <t>Derivatet</t>
  </si>
  <si>
    <t>Totali</t>
  </si>
  <si>
    <t>a)</t>
  </si>
  <si>
    <t>b)</t>
  </si>
  <si>
    <t>Aktive te tjera Financiare afatshkurter</t>
  </si>
  <si>
    <t>c)</t>
  </si>
  <si>
    <t>d)</t>
  </si>
  <si>
    <t>Inventari</t>
  </si>
  <si>
    <t>Aktive Biologjike afatshkurter</t>
  </si>
  <si>
    <t>Aktive Afatshkurtra te mbajtur per shitje</t>
  </si>
  <si>
    <t>Parapagime dhe shpenzime te shtyra</t>
  </si>
  <si>
    <t>Aktive Afatgjata</t>
  </si>
  <si>
    <t>Investime financiare afatgjata</t>
  </si>
  <si>
    <t>ç)</t>
  </si>
  <si>
    <t>Aksione dhe pjesemarrje te tjera ne njesi te kontrolluara</t>
  </si>
  <si>
    <t>Aksione dhe investime te tjera ne pjesemarrje</t>
  </si>
  <si>
    <t>Aksione dhe letra te tjera me vlere</t>
  </si>
  <si>
    <t>Llogari kerkese te arketueshme</t>
  </si>
  <si>
    <t>Aktive Afatgjata Materiale</t>
  </si>
  <si>
    <t>Ndertesa (neto)</t>
  </si>
  <si>
    <t>Aktive Biologjike Afatgjate</t>
  </si>
  <si>
    <t>Aktive Afatgjata Jomateriale</t>
  </si>
  <si>
    <t>Emri i mire</t>
  </si>
  <si>
    <t>Shpenzimet e zhvillimit</t>
  </si>
  <si>
    <t>Kapitali aksionar i papaguar</t>
  </si>
  <si>
    <t>Totali i Aktiveve Afatgjata</t>
  </si>
  <si>
    <t>PASIVET DHE KAPITALI</t>
  </si>
  <si>
    <t xml:space="preserve">Pasivet Afatshkurta 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</si>
  <si>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</si>
  <si>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</si>
  <si>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</si>
  <si>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</si>
  <si>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</si>
  <si>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</si>
  <si>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</si>
  <si>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</si>
  <si>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</si>
  <si>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</si>
  <si>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Pasive Totale Afatshkurtra</t>
  </si>
  <si>
    <t>Pasivet Afatgjata</t>
  </si>
  <si>
    <t>Huate afatgjata</t>
  </si>
  <si>
    <t>Bonot e konvertueshme</t>
  </si>
  <si>
    <t>Huamarrje te tjera afatgjata</t>
  </si>
  <si>
    <t>Provizionet afatgjata</t>
  </si>
  <si>
    <t>Grandet dhe te ardhura te shtyra</t>
  </si>
  <si>
    <t>Pasive Totale Afatgjata</t>
  </si>
  <si>
    <t>Totali i pasiveve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</si>
  <si>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</si>
  <si>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</si>
  <si>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</si>
  <si>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</si>
  <si>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</si>
  <si>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</si>
  <si>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r>
      <t xml:space="preserve">Fitimi neto për periudhën kontabël </t>
    </r>
    <r>
      <rPr>
        <sz val="10"/>
        <color indexed="23"/>
        <rFont val="Calibri"/>
        <family val="2"/>
      </rPr>
      <t>(viti 2008)</t>
    </r>
  </si>
  <si>
    <r>
      <t xml:space="preserve">Fitimi neto i vitit financiar </t>
    </r>
    <r>
      <rPr>
        <sz val="10"/>
        <color indexed="23"/>
        <rFont val="Calibri"/>
        <family val="2"/>
      </rPr>
      <t>(viti 2007)</t>
    </r>
  </si>
  <si>
    <t>1 Janar 2007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</si>
  <si>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</si>
  <si>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</si>
  <si>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</si>
  <si>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</si>
  <si>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</si>
  <si>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</si>
  <si>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TOTALI AKTIVEVE</t>
  </si>
  <si>
    <t>Shitje neto</t>
  </si>
  <si>
    <t>Dec 31,2013</t>
  </si>
  <si>
    <t>Bilanci i Celjes     01.01.2014</t>
  </si>
  <si>
    <t>Aktive te tjera afagjata (per shitje)</t>
  </si>
  <si>
    <t>E mbartur</t>
  </si>
  <si>
    <t xml:space="preserve">Humbje </t>
  </si>
  <si>
    <t>Shitja/Blerja e aktiveve afatgjata materiale</t>
  </si>
  <si>
    <t>Te ardhura nga shpenzimet e parapaguara</t>
  </si>
  <si>
    <t>Viti 2014</t>
  </si>
  <si>
    <t>Nga 01.01.2014</t>
  </si>
  <si>
    <t>Deri 31.12.2014</t>
  </si>
  <si>
    <t>Pozicioni më 31 dhjetor 2013</t>
  </si>
  <si>
    <t>Pozicioni më 31 dhjetor 2014</t>
  </si>
  <si>
    <t>Hyrjet  2014</t>
  </si>
  <si>
    <t>Daljet  2014</t>
  </si>
  <si>
    <t>Bilanci i Mbylljes 31.12.2014</t>
  </si>
  <si>
    <t>Bilanci I Mbylljes 31.12.2014</t>
  </si>
  <si>
    <t>Bilanci i Celjes     01.01.2015</t>
  </si>
  <si>
    <t>Dec 31,2014</t>
  </si>
  <si>
    <t>Pasqyrat financiare jane miratuar nga Administratori me date 20.03.2015</t>
  </si>
  <si>
    <t xml:space="preserve">Mjete Monetare </t>
  </si>
  <si>
    <t>Deposita ne banke e llogari te tjera</t>
  </si>
  <si>
    <t>Vlera ne Arke</t>
  </si>
  <si>
    <t xml:space="preserve">ALL </t>
  </si>
  <si>
    <t>Inventari materiale te para</t>
  </si>
  <si>
    <t>Llogari Kerkesa te Tjera te Arketueshme</t>
  </si>
  <si>
    <t>TVSH e kreditueshme</t>
  </si>
  <si>
    <t xml:space="preserve">Tatim fitimi </t>
  </si>
  <si>
    <t>Sigurime Shoqerore per tu rregulluar</t>
  </si>
  <si>
    <t>TAP per tu rregulluar</t>
  </si>
  <si>
    <t>TVSH per tu rregulluar</t>
  </si>
  <si>
    <t>Debitore dhe kreditore te tjere</t>
  </si>
  <si>
    <t>Aktive afatgjata ne proces</t>
  </si>
  <si>
    <t>Ndertim ne Proces</t>
  </si>
  <si>
    <t>Te Pagueshme ndaj Furnitoreve</t>
  </si>
  <si>
    <t>Furnitore per fatura te pranuara</t>
  </si>
  <si>
    <t>Furnitore per faturuara te pa mberitura</t>
  </si>
  <si>
    <t>Furnitore per garanci te ndalura</t>
  </si>
  <si>
    <t>Detyrime Tatimore</t>
  </si>
  <si>
    <t>Sigurimet Shoqerore</t>
  </si>
  <si>
    <t>Tatim ne burim</t>
  </si>
  <si>
    <t>Tatim mbi te Ardhurat Personale te Punonjesve</t>
  </si>
  <si>
    <t>……………..</t>
  </si>
  <si>
    <t>Detyrime Te tjera</t>
  </si>
  <si>
    <t>Ortaku</t>
  </si>
  <si>
    <t>Dividente per tu paguar</t>
  </si>
  <si>
    <t>Parapagimet e Arketueshme</t>
  </si>
  <si>
    <t>Shuma te arketuara per porosi</t>
  </si>
  <si>
    <t>Kostoja e materialeve te para</t>
  </si>
  <si>
    <t>Nenkontraktore per punime</t>
  </si>
  <si>
    <t>Te tjera  shpenzime</t>
  </si>
  <si>
    <t>Sigurime Mjetet</t>
  </si>
  <si>
    <t>Konsulenca ligjore, ekonomike etj</t>
  </si>
  <si>
    <t>Sherbime bankare</t>
  </si>
  <si>
    <t>Shpenzime te panjohura</t>
  </si>
  <si>
    <t>Shpenzime  telefonike</t>
  </si>
  <si>
    <t>Gjobat kamat vonesat</t>
  </si>
  <si>
    <t>Taxa lokale</t>
  </si>
  <si>
    <t>Te ndryshme</t>
  </si>
  <si>
    <t>Shpenzime administrative</t>
  </si>
  <si>
    <t xml:space="preserve">Totali </t>
  </si>
  <si>
    <t>Rezultati para tatimit</t>
  </si>
  <si>
    <t>Shpenzime  te  panjohura</t>
  </si>
  <si>
    <t>Gjoba nga Aktkontrolli, etj</t>
  </si>
  <si>
    <t>Paga CASH</t>
  </si>
  <si>
    <t>Humbje e mbartur</t>
  </si>
  <si>
    <t>Shpenzime te tjera korente</t>
  </si>
  <si>
    <t>Totali i Shpenzimeve te panjohura</t>
  </si>
  <si>
    <t xml:space="preserve">Rezultati  Fiskal </t>
  </si>
  <si>
    <t>Shkalla  e  tatim  fitimit</t>
  </si>
  <si>
    <t>Tatim  fitimi  i  llogaritur</t>
  </si>
  <si>
    <t>Fitimi (Humbja)  Neto  e  vitit  financiar</t>
  </si>
  <si>
    <t>Ndertim ne Shitje</t>
  </si>
  <si>
    <t>TVSH e pagueshme</t>
  </si>
  <si>
    <t>Ndertim Banesa Lezhe 2</t>
  </si>
  <si>
    <t>Shpenzime &amp; Te Ardhura financiare</t>
  </si>
  <si>
    <t>Te ardhura financiare</t>
  </si>
  <si>
    <t>Te Ardhura nga Kembimi</t>
  </si>
  <si>
    <t>Shpenzime nga Kembimi</t>
  </si>
  <si>
    <t>Kosto e shitjes se baneses</t>
  </si>
  <si>
    <t>Dieta  pa  dokumenta  te  regullta  fiskale</t>
  </si>
  <si>
    <t>Penalitete</t>
  </si>
  <si>
    <t>Shitje  AAM  nen  vleren  kontabel</t>
  </si>
  <si>
    <t xml:space="preserve"> Instrumenta te tjera borxhi</t>
  </si>
  <si>
    <t xml:space="preserve">Shitje e baneses </t>
  </si>
  <si>
    <t>Ndrek LLESHI</t>
  </si>
  <si>
    <t>ALB-VIZION CONSTRUCTION  SH.P.K.</t>
  </si>
  <si>
    <t>SHENIME SHPJEGUESE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</si>
</sst>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%"/>
    <numFmt numFmtId="168" formatCode="#,##0.0_ ;[Red]\-#,##0.0\ "/>
    <numFmt numFmtId="169" formatCode="&quot; &quot;#,##0&quot; &quot;;\(#,##0\)"/>
    <numFmt numFmtId="170" formatCode="_-* #,##0.0_-;\-* #,##0.0_-;_-* &quot;-&quot;??_-;_-@_-"/>
    <numFmt numFmtId="171" formatCode="_(* #,##0.0_);_(* \(#,##0.0\);_(* &quot;-&quot;??_);_(@_)"/>
    <numFmt numFmtId="172" formatCode="_(* #,##0.00000000000_);_(* \(#,##0.00000000000\);_(* &quot;-&quot;??_);_(@_)"/>
    <numFmt numFmtId="173" formatCode="0.00_);\(0.00\)"/>
  </numFmts>
  <fonts count="119">
    <font>
      <sz val="10"/>
      <name val="Arial"/>
    </font>
    <font>
      <sz val="10"/>
      <name val="Arial"/>
      <family val="2"/>
    </font>
    <font>
      <sz val="12"/>
      <name val="Arial CE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9"/>
      <name val="Arial"/>
      <family val="2"/>
    </font>
    <font>
      <b/>
      <sz val="12"/>
      <color indexed="9"/>
      <name val="Tahoma"/>
      <family val="2"/>
    </font>
    <font>
      <sz val="10"/>
      <color indexed="9"/>
      <name val="Tahoma"/>
      <family val="2"/>
    </font>
    <font>
      <b/>
      <sz val="12"/>
      <name val="Tahoma"/>
      <family val="2"/>
    </font>
    <font>
      <b/>
      <u/>
      <sz val="10"/>
      <name val="Tahoma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56"/>
      <name val="Calibri"/>
      <family val="2"/>
    </font>
    <font>
      <sz val="10"/>
      <color indexed="56"/>
      <name val="Calibri"/>
      <family val="2"/>
    </font>
    <font>
      <sz val="10"/>
      <color indexed="10"/>
      <name val="Calibri"/>
      <family val="2"/>
    </font>
    <font>
      <b/>
      <vertAlign val="subscript"/>
      <sz val="10"/>
      <name val="Calibri"/>
      <family val="2"/>
    </font>
    <font>
      <vertAlign val="subscript"/>
      <sz val="10"/>
      <name val="Calibri"/>
      <family val="2"/>
    </font>
    <font>
      <b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i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color indexed="12"/>
      <name val="Calibri"/>
      <family val="2"/>
    </font>
    <font>
      <sz val="10"/>
      <color indexed="12"/>
      <name val="Calibri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36"/>
      <name val="Calibri"/>
      <family val="2"/>
    </font>
    <font>
      <b/>
      <sz val="10"/>
      <color indexed="36"/>
      <name val="Calibri"/>
      <family val="2"/>
    </font>
    <font>
      <i/>
      <sz val="10"/>
      <color indexed="36"/>
      <name val="Calibri"/>
      <family val="2"/>
    </font>
    <font>
      <b/>
      <i/>
      <sz val="10"/>
      <color indexed="36"/>
      <name val="Calibri"/>
      <family val="2"/>
    </font>
    <font>
      <sz val="10"/>
      <color indexed="9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2"/>
      <name val="Times New Roman"/>
      <family val="1"/>
    </font>
    <font>
      <b/>
      <sz val="22"/>
      <color indexed="8"/>
      <name val="Calibri"/>
      <family val="2"/>
    </font>
    <font>
      <b/>
      <sz val="2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MS Sans Serif"/>
      <family val="2"/>
    </font>
    <font>
      <sz val="12"/>
      <color indexed="22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1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Book Antiqua"/>
      <family val="1"/>
    </font>
    <font>
      <sz val="10"/>
      <color indexed="18"/>
      <name val="Calibri"/>
      <family val="2"/>
    </font>
    <font>
      <sz val="10"/>
      <color indexed="23"/>
      <name val="Calibri"/>
      <family val="2"/>
    </font>
    <font>
      <b/>
      <sz val="10"/>
      <name val="Book Antiqua"/>
      <family val="1"/>
    </font>
    <font>
      <b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Garamond"/>
      <family val="1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</font>
    <font>
      <sz val="14"/>
      <color rgb="FFFF0000"/>
      <name val="Calibri"/>
      <family val="2"/>
    </font>
    <font>
      <b/>
      <sz val="14"/>
      <color indexed="36"/>
      <name val="Calibri"/>
      <family val="2"/>
    </font>
    <font>
      <sz val="14"/>
      <color indexed="36"/>
      <name val="Calibri"/>
      <family val="2"/>
    </font>
    <font>
      <b/>
      <sz val="16"/>
      <color indexed="8"/>
      <name val="Calibri"/>
      <family val="2"/>
    </font>
    <font>
      <sz val="16"/>
      <name val="Calibri"/>
      <family val="2"/>
    </font>
    <font>
      <b/>
      <sz val="14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9"/>
      </bottom>
      <diagonal/>
    </border>
    <border>
      <left style="medium">
        <color indexed="8"/>
      </left>
      <right/>
      <top style="medium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164" fontId="1" fillId="0" borderId="0" applyFont="0" applyFill="0" applyBorder="0" applyAlignment="0" applyProtection="0"/>
    <xf numFmtId="167" fontId="4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43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3" fillId="22" borderId="0" applyNumberFormat="0" applyBorder="0" applyAlignment="0" applyProtection="0"/>
    <xf numFmtId="0" fontId="1" fillId="0" borderId="0"/>
    <xf numFmtId="0" fontId="83" fillId="0" borderId="0"/>
    <xf numFmtId="0" fontId="10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87" fillId="0" borderId="0"/>
    <xf numFmtId="0" fontId="5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1" fillId="23" borderId="7" applyNumberFormat="0" applyFont="0" applyAlignment="0" applyProtection="0"/>
    <xf numFmtId="0" fontId="34" fillId="20" borderId="8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</cellStyleXfs>
  <cellXfs count="1488">
    <xf numFmtId="0" fontId="0" fillId="0" borderId="0" xfId="0"/>
    <xf numFmtId="0" fontId="0" fillId="0" borderId="0" xfId="0" applyFill="1"/>
    <xf numFmtId="0" fontId="7" fillId="0" borderId="0" xfId="0" applyFont="1"/>
    <xf numFmtId="0" fontId="10" fillId="0" borderId="0" xfId="0" applyFont="1"/>
    <xf numFmtId="166" fontId="1" fillId="0" borderId="0" xfId="35" applyNumberFormat="1"/>
    <xf numFmtId="166" fontId="1" fillId="0" borderId="0" xfId="35" applyNumberFormat="1" applyFont="1"/>
    <xf numFmtId="0" fontId="3" fillId="0" borderId="10" xfId="0" applyFont="1" applyBorder="1"/>
    <xf numFmtId="166" fontId="1" fillId="0" borderId="11" xfId="35" applyNumberForma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166" fontId="1" fillId="0" borderId="13" xfId="35" applyNumberFormat="1" applyBorder="1"/>
    <xf numFmtId="166" fontId="1" fillId="0" borderId="15" xfId="35" applyNumberFormat="1" applyBorder="1"/>
    <xf numFmtId="166" fontId="1" fillId="0" borderId="16" xfId="35" applyNumberFormat="1" applyBorder="1"/>
    <xf numFmtId="166" fontId="1" fillId="0" borderId="17" xfId="35" applyNumberFormat="1" applyBorder="1"/>
    <xf numFmtId="166" fontId="1" fillId="0" borderId="14" xfId="35" applyNumberFormat="1" applyBorder="1"/>
    <xf numFmtId="166" fontId="1" fillId="0" borderId="18" xfId="35" applyNumberFormat="1" applyBorder="1"/>
    <xf numFmtId="0" fontId="0" fillId="0" borderId="19" xfId="0" applyBorder="1"/>
    <xf numFmtId="0" fontId="0" fillId="0" borderId="20" xfId="0" applyBorder="1"/>
    <xf numFmtId="166" fontId="1" fillId="0" borderId="19" xfId="35" applyNumberFormat="1" applyBorder="1"/>
    <xf numFmtId="166" fontId="1" fillId="0" borderId="21" xfId="35" applyNumberFormat="1" applyBorder="1"/>
    <xf numFmtId="166" fontId="1" fillId="0" borderId="22" xfId="35" applyNumberFormat="1" applyBorder="1"/>
    <xf numFmtId="166" fontId="1" fillId="0" borderId="23" xfId="35" applyNumberFormat="1" applyBorder="1"/>
    <xf numFmtId="166" fontId="1" fillId="0" borderId="20" xfId="35" applyNumberFormat="1" applyBorder="1"/>
    <xf numFmtId="166" fontId="1" fillId="0" borderId="24" xfId="35" applyNumberFormat="1" applyBorder="1"/>
    <xf numFmtId="166" fontId="1" fillId="0" borderId="25" xfId="35" applyNumberFormat="1" applyBorder="1"/>
    <xf numFmtId="166" fontId="1" fillId="0" borderId="26" xfId="35" applyNumberFormat="1" applyBorder="1"/>
    <xf numFmtId="166" fontId="1" fillId="0" borderId="27" xfId="35" applyNumberFormat="1" applyBorder="1"/>
    <xf numFmtId="166" fontId="1" fillId="0" borderId="28" xfId="35" applyNumberFormat="1" applyBorder="1"/>
    <xf numFmtId="0" fontId="0" fillId="0" borderId="24" xfId="0" applyBorder="1"/>
    <xf numFmtId="0" fontId="0" fillId="0" borderId="29" xfId="0" applyBorder="1"/>
    <xf numFmtId="166" fontId="1" fillId="0" borderId="29" xfId="35" applyNumberFormat="1" applyBorder="1"/>
    <xf numFmtId="166" fontId="1" fillId="0" borderId="27" xfId="35" applyNumberFormat="1" applyFill="1" applyBorder="1"/>
    <xf numFmtId="166" fontId="1" fillId="0" borderId="26" xfId="35" applyNumberFormat="1" applyFill="1" applyBorder="1"/>
    <xf numFmtId="166" fontId="1" fillId="0" borderId="25" xfId="35" applyNumberFormat="1" applyFont="1" applyBorder="1"/>
    <xf numFmtId="0" fontId="0" fillId="0" borderId="30" xfId="0" applyBorder="1"/>
    <xf numFmtId="166" fontId="1" fillId="0" borderId="31" xfId="35" applyNumberFormat="1" applyBorder="1"/>
    <xf numFmtId="166" fontId="1" fillId="0" borderId="32" xfId="35" applyNumberFormat="1" applyBorder="1"/>
    <xf numFmtId="166" fontId="1" fillId="0" borderId="33" xfId="35" applyNumberFormat="1" applyBorder="1"/>
    <xf numFmtId="166" fontId="1" fillId="0" borderId="34" xfId="35" applyNumberFormat="1" applyBorder="1"/>
    <xf numFmtId="166" fontId="1" fillId="0" borderId="30" xfId="35" applyNumberFormat="1" applyBorder="1"/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6" fontId="4" fillId="0" borderId="36" xfId="35" applyNumberFormat="1" applyFont="1" applyBorder="1"/>
    <xf numFmtId="166" fontId="4" fillId="0" borderId="37" xfId="35" applyNumberFormat="1" applyFont="1" applyBorder="1"/>
    <xf numFmtId="166" fontId="4" fillId="0" borderId="38" xfId="35" applyNumberFormat="1" applyFont="1" applyBorder="1"/>
    <xf numFmtId="166" fontId="4" fillId="0" borderId="39" xfId="35" applyNumberFormat="1" applyFont="1" applyBorder="1"/>
    <xf numFmtId="166" fontId="4" fillId="0" borderId="35" xfId="35" applyNumberFormat="1" applyFont="1" applyBorder="1" applyAlignment="1">
      <alignment vertical="center" wrapText="1"/>
    </xf>
    <xf numFmtId="166" fontId="4" fillId="0" borderId="36" xfId="35" applyNumberFormat="1" applyFont="1" applyBorder="1" applyAlignment="1">
      <alignment vertical="center" wrapText="1"/>
    </xf>
    <xf numFmtId="166" fontId="4" fillId="0" borderId="37" xfId="35" applyNumberFormat="1" applyFont="1" applyBorder="1" applyAlignment="1">
      <alignment horizontal="center" vertical="center" wrapText="1"/>
    </xf>
    <xf numFmtId="166" fontId="4" fillId="0" borderId="40" xfId="35" applyNumberFormat="1" applyFont="1" applyBorder="1" applyAlignment="1">
      <alignment horizontal="center" vertical="center" wrapText="1"/>
    </xf>
    <xf numFmtId="166" fontId="4" fillId="0" borderId="38" xfId="35" applyNumberFormat="1" applyFont="1" applyBorder="1" applyAlignment="1">
      <alignment horizontal="center" vertical="center" wrapText="1"/>
    </xf>
    <xf numFmtId="0" fontId="0" fillId="24" borderId="0" xfId="0" applyFill="1"/>
    <xf numFmtId="0" fontId="0" fillId="25" borderId="0" xfId="0" applyFill="1"/>
    <xf numFmtId="0" fontId="0" fillId="26" borderId="0" xfId="0" applyFill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6" fontId="1" fillId="0" borderId="41" xfId="35" applyNumberFormat="1" applyBorder="1"/>
    <xf numFmtId="0" fontId="12" fillId="0" borderId="0" xfId="0" applyFont="1"/>
    <xf numFmtId="0" fontId="14" fillId="0" borderId="0" xfId="0" applyFont="1" applyAlignment="1">
      <alignment horizontal="left" vertical="top" wrapText="1"/>
    </xf>
    <xf numFmtId="0" fontId="16" fillId="0" borderId="0" xfId="0" applyFont="1"/>
    <xf numFmtId="0" fontId="14" fillId="0" borderId="0" xfId="0" applyFont="1" applyAlignment="1">
      <alignment horizontal="center" vertical="top" wrapText="1"/>
    </xf>
    <xf numFmtId="0" fontId="14" fillId="0" borderId="46" xfId="0" applyFont="1" applyBorder="1" applyAlignment="1">
      <alignment horizontal="center" wrapText="1"/>
    </xf>
    <xf numFmtId="0" fontId="14" fillId="0" borderId="47" xfId="0" applyFont="1" applyBorder="1" applyAlignment="1">
      <alignment horizontal="left" vertical="top" wrapText="1"/>
    </xf>
    <xf numFmtId="165" fontId="17" fillId="24" borderId="48" xfId="28" applyNumberFormat="1" applyFont="1" applyFill="1" applyBorder="1" applyAlignment="1">
      <alignment horizontal="right" vertical="top" wrapText="1"/>
    </xf>
    <xf numFmtId="165" fontId="17" fillId="24" borderId="49" xfId="28" applyNumberFormat="1" applyFont="1" applyFill="1" applyBorder="1" applyAlignment="1">
      <alignment horizontal="right" vertical="top" wrapText="1"/>
    </xf>
    <xf numFmtId="165" fontId="17" fillId="24" borderId="50" xfId="28" applyNumberFormat="1" applyFont="1" applyFill="1" applyBorder="1" applyAlignment="1">
      <alignment horizontal="right" vertical="top" wrapText="1"/>
    </xf>
    <xf numFmtId="165" fontId="17" fillId="24" borderId="51" xfId="28" applyNumberFormat="1" applyFont="1" applyFill="1" applyBorder="1" applyAlignment="1">
      <alignment horizontal="right" vertical="top" wrapText="1"/>
    </xf>
    <xf numFmtId="165" fontId="18" fillId="26" borderId="52" xfId="28" applyNumberFormat="1" applyFont="1" applyFill="1" applyBorder="1" applyAlignment="1">
      <alignment horizontal="right" vertical="top" wrapText="1"/>
    </xf>
    <xf numFmtId="165" fontId="17" fillId="25" borderId="53" xfId="28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165" fontId="18" fillId="0" borderId="54" xfId="28" applyNumberFormat="1" applyFont="1" applyFill="1" applyBorder="1" applyAlignment="1">
      <alignment horizontal="right" vertical="top" wrapText="1"/>
    </xf>
    <xf numFmtId="0" fontId="16" fillId="0" borderId="0" xfId="0" applyFont="1" applyFill="1"/>
    <xf numFmtId="0" fontId="15" fillId="0" borderId="0" xfId="0" applyFont="1" applyAlignment="1">
      <alignment horizontal="left" vertical="top" wrapText="1"/>
    </xf>
    <xf numFmtId="165" fontId="14" fillId="0" borderId="0" xfId="28" applyNumberFormat="1" applyFont="1" applyBorder="1" applyAlignment="1">
      <alignment horizontal="right" wrapText="1"/>
    </xf>
    <xf numFmtId="0" fontId="19" fillId="0" borderId="0" xfId="0" applyFont="1" applyAlignment="1">
      <alignment horizontal="left" vertical="top" wrapText="1"/>
    </xf>
    <xf numFmtId="165" fontId="14" fillId="0" borderId="46" xfId="28" applyNumberFormat="1" applyFont="1" applyBorder="1" applyAlignment="1">
      <alignment horizontal="right" wrapText="1"/>
    </xf>
    <xf numFmtId="165" fontId="17" fillId="24" borderId="52" xfId="28" applyNumberFormat="1" applyFont="1" applyFill="1" applyBorder="1" applyAlignment="1">
      <alignment horizontal="right" vertical="top" wrapText="1"/>
    </xf>
    <xf numFmtId="165" fontId="17" fillId="24" borderId="53" xfId="28" applyNumberFormat="1" applyFont="1" applyFill="1" applyBorder="1" applyAlignment="1">
      <alignment horizontal="right" vertical="top" wrapText="1"/>
    </xf>
    <xf numFmtId="0" fontId="18" fillId="0" borderId="55" xfId="0" applyFont="1" applyBorder="1" applyAlignment="1">
      <alignment horizontal="right" vertical="top" wrapText="1"/>
    </xf>
    <xf numFmtId="165" fontId="17" fillId="25" borderId="56" xfId="28" applyNumberFormat="1" applyFont="1" applyFill="1" applyBorder="1" applyAlignment="1">
      <alignment horizontal="right" vertical="top" wrapText="1"/>
    </xf>
    <xf numFmtId="0" fontId="18" fillId="0" borderId="47" xfId="0" applyFont="1" applyBorder="1" applyAlignment="1">
      <alignment horizontal="right" vertical="top" wrapText="1"/>
    </xf>
    <xf numFmtId="165" fontId="17" fillId="24" borderId="57" xfId="28" applyNumberFormat="1" applyFont="1" applyFill="1" applyBorder="1" applyAlignment="1">
      <alignment horizontal="right" vertical="top" wrapText="1"/>
    </xf>
    <xf numFmtId="0" fontId="18" fillId="0" borderId="47" xfId="0" applyFont="1" applyBorder="1" applyAlignment="1">
      <alignment horizontal="left" vertical="top" wrapText="1"/>
    </xf>
    <xf numFmtId="166" fontId="17" fillId="24" borderId="56" xfId="0" applyNumberFormat="1" applyFont="1" applyFill="1" applyBorder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18" fillId="0" borderId="59" xfId="0" applyFont="1" applyBorder="1" applyAlignment="1">
      <alignment horizontal="left" vertical="top" wrapText="1"/>
    </xf>
    <xf numFmtId="166" fontId="17" fillId="24" borderId="57" xfId="0" applyNumberFormat="1" applyFont="1" applyFill="1" applyBorder="1" applyAlignment="1">
      <alignment horizontal="left" vertical="top" wrapText="1"/>
    </xf>
    <xf numFmtId="0" fontId="17" fillId="0" borderId="56" xfId="0" applyFont="1" applyBorder="1" applyAlignment="1">
      <alignment horizontal="right" vertical="top" wrapText="1"/>
    </xf>
    <xf numFmtId="0" fontId="18" fillId="0" borderId="60" xfId="0" applyFont="1" applyBorder="1" applyAlignment="1">
      <alignment horizontal="left" vertical="top" wrapText="1"/>
    </xf>
    <xf numFmtId="165" fontId="17" fillId="25" borderId="58" xfId="28" applyNumberFormat="1" applyFont="1" applyFill="1" applyBorder="1" applyAlignment="1">
      <alignment horizontal="right" vertical="top" wrapText="1"/>
    </xf>
    <xf numFmtId="0" fontId="18" fillId="0" borderId="61" xfId="0" applyFont="1" applyBorder="1" applyAlignment="1">
      <alignment horizontal="left" vertical="top" wrapText="1"/>
    </xf>
    <xf numFmtId="165" fontId="17" fillId="0" borderId="57" xfId="28" applyNumberFormat="1" applyFont="1" applyBorder="1" applyAlignment="1">
      <alignment horizontal="right" vertical="top" wrapText="1"/>
    </xf>
    <xf numFmtId="0" fontId="18" fillId="0" borderId="62" xfId="0" applyFont="1" applyBorder="1" applyAlignment="1">
      <alignment horizontal="left" vertical="top" wrapText="1"/>
    </xf>
    <xf numFmtId="0" fontId="18" fillId="0" borderId="55" xfId="0" applyFont="1" applyBorder="1" applyAlignment="1">
      <alignment horizontal="left" vertical="top" wrapText="1"/>
    </xf>
    <xf numFmtId="0" fontId="17" fillId="25" borderId="58" xfId="0" applyFont="1" applyFill="1" applyBorder="1" applyAlignment="1">
      <alignment horizontal="right" vertical="top" wrapText="1"/>
    </xf>
    <xf numFmtId="0" fontId="17" fillId="0" borderId="57" xfId="0" applyFont="1" applyBorder="1" applyAlignment="1">
      <alignment horizontal="right" vertical="top" wrapText="1"/>
    </xf>
    <xf numFmtId="0" fontId="13" fillId="0" borderId="0" xfId="0" applyFont="1"/>
    <xf numFmtId="0" fontId="4" fillId="27" borderId="0" xfId="0" applyFont="1" applyFill="1"/>
    <xf numFmtId="2" fontId="4" fillId="27" borderId="0" xfId="0" applyNumberFormat="1" applyFont="1" applyFill="1"/>
    <xf numFmtId="0" fontId="7" fillId="0" borderId="0" xfId="0" applyFont="1" applyAlignment="1">
      <alignment horizontal="left"/>
    </xf>
    <xf numFmtId="171" fontId="7" fillId="0" borderId="0" xfId="36" applyNumberFormat="1" applyFont="1"/>
    <xf numFmtId="43" fontId="7" fillId="0" borderId="0" xfId="36" applyNumberFormat="1" applyFont="1" applyAlignment="1">
      <alignment horizontal="center"/>
    </xf>
    <xf numFmtId="43" fontId="7" fillId="0" borderId="0" xfId="36" applyNumberFormat="1" applyFont="1"/>
    <xf numFmtId="43" fontId="7" fillId="0" borderId="0" xfId="36" applyNumberFormat="1" applyFont="1" applyFill="1"/>
    <xf numFmtId="43" fontId="40" fillId="0" borderId="0" xfId="36" applyNumberFormat="1" applyFont="1" applyFill="1" applyAlignment="1">
      <alignment horizontal="center"/>
    </xf>
    <xf numFmtId="166" fontId="41" fillId="0" borderId="0" xfId="36" applyNumberFormat="1" applyFont="1" applyAlignment="1">
      <alignment horizontal="left"/>
    </xf>
    <xf numFmtId="166" fontId="7" fillId="0" borderId="0" xfId="36" applyNumberFormat="1" applyFont="1" applyAlignment="1">
      <alignment horizontal="center"/>
    </xf>
    <xf numFmtId="171" fontId="7" fillId="0" borderId="0" xfId="36" applyNumberFormat="1" applyFont="1" applyAlignment="1">
      <alignment horizontal="center"/>
    </xf>
    <xf numFmtId="43" fontId="7" fillId="0" borderId="0" xfId="36" applyNumberFormat="1" applyFont="1" applyFill="1" applyAlignment="1">
      <alignment horizontal="center"/>
    </xf>
    <xf numFmtId="166" fontId="6" fillId="0" borderId="0" xfId="36" applyNumberFormat="1" applyFont="1" applyAlignment="1">
      <alignment horizontal="left"/>
    </xf>
    <xf numFmtId="43" fontId="6" fillId="0" borderId="0" xfId="36" applyNumberFormat="1" applyFont="1" applyBorder="1" applyAlignment="1">
      <alignment horizontal="center" vertical="center" wrapText="1"/>
    </xf>
    <xf numFmtId="0" fontId="7" fillId="0" borderId="0" xfId="0" applyFont="1" applyFill="1"/>
    <xf numFmtId="166" fontId="7" fillId="0" borderId="63" xfId="36" applyNumberFormat="1" applyFont="1" applyBorder="1" applyAlignment="1">
      <alignment horizontal="center"/>
    </xf>
    <xf numFmtId="43" fontId="7" fillId="0" borderId="63" xfId="36" applyNumberFormat="1" applyFont="1" applyBorder="1"/>
    <xf numFmtId="43" fontId="7" fillId="0" borderId="64" xfId="36" applyNumberFormat="1" applyFont="1" applyBorder="1"/>
    <xf numFmtId="43" fontId="7" fillId="0" borderId="65" xfId="36" applyNumberFormat="1" applyFont="1" applyBorder="1" applyAlignment="1">
      <alignment horizontal="right"/>
    </xf>
    <xf numFmtId="43" fontId="7" fillId="0" borderId="64" xfId="36" applyNumberFormat="1" applyFont="1" applyBorder="1" applyAlignment="1">
      <alignment horizontal="center"/>
    </xf>
    <xf numFmtId="43" fontId="7" fillId="0" borderId="0" xfId="36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66" xfId="36" applyNumberFormat="1" applyFont="1" applyBorder="1" applyAlignment="1">
      <alignment horizontal="center"/>
    </xf>
    <xf numFmtId="43" fontId="7" fillId="0" borderId="66" xfId="36" applyNumberFormat="1" applyFont="1" applyBorder="1"/>
    <xf numFmtId="43" fontId="7" fillId="0" borderId="67" xfId="36" applyNumberFormat="1" applyFont="1" applyBorder="1"/>
    <xf numFmtId="43" fontId="7" fillId="0" borderId="68" xfId="36" applyNumberFormat="1" applyFont="1" applyBorder="1" applyAlignment="1">
      <alignment horizontal="right"/>
    </xf>
    <xf numFmtId="43" fontId="7" fillId="0" borderId="67" xfId="36" applyNumberFormat="1" applyFont="1" applyBorder="1" applyAlignment="1">
      <alignment horizontal="center"/>
    </xf>
    <xf numFmtId="166" fontId="7" fillId="0" borderId="0" xfId="36" applyNumberFormat="1" applyFont="1" applyBorder="1" applyAlignment="1">
      <alignment horizontal="left" vertical="center"/>
    </xf>
    <xf numFmtId="166" fontId="7" fillId="0" borderId="0" xfId="36" applyNumberFormat="1" applyFont="1" applyBorder="1" applyAlignment="1">
      <alignment horizontal="center"/>
    </xf>
    <xf numFmtId="171" fontId="7" fillId="0" borderId="0" xfId="36" applyNumberFormat="1" applyFont="1" applyBorder="1" applyAlignment="1">
      <alignment horizontal="center"/>
    </xf>
    <xf numFmtId="43" fontId="7" fillId="0" borderId="0" xfId="36" applyNumberFormat="1" applyFont="1" applyBorder="1" applyAlignment="1"/>
    <xf numFmtId="171" fontId="6" fillId="0" borderId="0" xfId="36" applyNumberFormat="1" applyFont="1" applyBorder="1" applyAlignment="1">
      <alignment horizontal="center"/>
    </xf>
    <xf numFmtId="43" fontId="6" fillId="0" borderId="69" xfId="36" applyNumberFormat="1" applyFont="1" applyBorder="1" applyAlignment="1">
      <alignment horizontal="center"/>
    </xf>
    <xf numFmtId="43" fontId="6" fillId="0" borderId="70" xfId="36" applyNumberFormat="1" applyFont="1" applyBorder="1" applyAlignment="1">
      <alignment horizontal="center"/>
    </xf>
    <xf numFmtId="43" fontId="6" fillId="0" borderId="0" xfId="36" applyNumberFormat="1" applyFont="1" applyBorder="1" applyAlignment="1">
      <alignment horizontal="center"/>
    </xf>
    <xf numFmtId="166" fontId="6" fillId="0" borderId="0" xfId="36" applyNumberFormat="1" applyFont="1" applyBorder="1" applyAlignment="1">
      <alignment horizontal="left"/>
    </xf>
    <xf numFmtId="171" fontId="7" fillId="0" borderId="63" xfId="36" applyNumberFormat="1" applyFont="1" applyBorder="1" applyAlignment="1">
      <alignment horizontal="center"/>
    </xf>
    <xf numFmtId="171" fontId="7" fillId="0" borderId="64" xfId="36" applyNumberFormat="1" applyFont="1" applyBorder="1" applyAlignment="1">
      <alignment horizontal="center"/>
    </xf>
    <xf numFmtId="43" fontId="7" fillId="0" borderId="65" xfId="36" applyNumberFormat="1" applyFont="1" applyBorder="1" applyAlignment="1">
      <alignment horizontal="center"/>
    </xf>
    <xf numFmtId="166" fontId="7" fillId="0" borderId="71" xfId="36" applyNumberFormat="1" applyFont="1" applyBorder="1" applyAlignment="1">
      <alignment horizontal="center"/>
    </xf>
    <xf numFmtId="171" fontId="7" fillId="0" borderId="71" xfId="36" applyNumberFormat="1" applyFont="1" applyBorder="1" applyAlignment="1">
      <alignment horizontal="center"/>
    </xf>
    <xf numFmtId="43" fontId="7" fillId="0" borderId="72" xfId="36" applyNumberFormat="1" applyFont="1" applyBorder="1" applyAlignment="1">
      <alignment horizontal="center"/>
    </xf>
    <xf numFmtId="43" fontId="7" fillId="0" borderId="73" xfId="36" applyNumberFormat="1" applyFont="1" applyBorder="1" applyAlignment="1">
      <alignment horizontal="center"/>
    </xf>
    <xf numFmtId="171" fontId="7" fillId="0" borderId="0" xfId="0" applyNumberFormat="1" applyFont="1" applyFill="1"/>
    <xf numFmtId="171" fontId="7" fillId="0" borderId="66" xfId="36" applyNumberFormat="1" applyFont="1" applyBorder="1" applyAlignment="1">
      <alignment horizontal="center"/>
    </xf>
    <xf numFmtId="171" fontId="7" fillId="0" borderId="67" xfId="36" applyNumberFormat="1" applyFont="1" applyBorder="1" applyAlignment="1">
      <alignment horizontal="center"/>
    </xf>
    <xf numFmtId="43" fontId="7" fillId="0" borderId="68" xfId="36" applyNumberFormat="1" applyFont="1" applyBorder="1" applyAlignment="1">
      <alignment horizontal="center"/>
    </xf>
    <xf numFmtId="166" fontId="7" fillId="0" borderId="0" xfId="36" applyNumberFormat="1" applyFont="1"/>
    <xf numFmtId="166" fontId="7" fillId="0" borderId="74" xfId="36" applyNumberFormat="1" applyFont="1" applyBorder="1" applyAlignment="1">
      <alignment horizontal="center"/>
    </xf>
    <xf numFmtId="43" fontId="7" fillId="0" borderId="74" xfId="36" applyNumberFormat="1" applyFont="1" applyBorder="1"/>
    <xf numFmtId="43" fontId="7" fillId="0" borderId="75" xfId="36" applyNumberFormat="1" applyFont="1" applyBorder="1"/>
    <xf numFmtId="43" fontId="7" fillId="0" borderId="76" xfId="36" applyNumberFormat="1" applyFont="1" applyBorder="1" applyAlignment="1">
      <alignment horizontal="right"/>
    </xf>
    <xf numFmtId="43" fontId="7" fillId="0" borderId="75" xfId="36" applyNumberFormat="1" applyFont="1" applyBorder="1" applyAlignment="1">
      <alignment horizontal="center"/>
    </xf>
    <xf numFmtId="166" fontId="7" fillId="0" borderId="77" xfId="36" applyNumberFormat="1" applyFont="1" applyBorder="1" applyAlignment="1">
      <alignment vertical="center" wrapText="1"/>
    </xf>
    <xf numFmtId="166" fontId="7" fillId="0" borderId="76" xfId="36" applyNumberFormat="1" applyFont="1" applyBorder="1" applyAlignment="1">
      <alignment vertical="center" wrapText="1"/>
    </xf>
    <xf numFmtId="166" fontId="7" fillId="0" borderId="78" xfId="36" applyNumberFormat="1" applyFont="1" applyBorder="1" applyAlignment="1">
      <alignment vertical="center" wrapText="1"/>
    </xf>
    <xf numFmtId="0" fontId="46" fillId="0" borderId="0" xfId="58" applyFont="1" applyFill="1" applyBorder="1" applyAlignment="1">
      <alignment horizontal="center" vertical="center" wrapText="1"/>
    </xf>
    <xf numFmtId="0" fontId="46" fillId="0" borderId="0" xfId="58" applyFont="1" applyBorder="1" applyAlignment="1"/>
    <xf numFmtId="0" fontId="47" fillId="0" borderId="0" xfId="58" applyFont="1"/>
    <xf numFmtId="9" fontId="46" fillId="0" borderId="0" xfId="65" applyFont="1" applyFill="1" applyBorder="1" applyAlignment="1">
      <alignment horizontal="center" vertical="center"/>
    </xf>
    <xf numFmtId="9" fontId="46" fillId="0" borderId="0" xfId="65" applyFont="1" applyFill="1" applyBorder="1" applyAlignment="1">
      <alignment horizontal="center"/>
    </xf>
    <xf numFmtId="9" fontId="47" fillId="0" borderId="0" xfId="65" applyFont="1"/>
    <xf numFmtId="166" fontId="46" fillId="0" borderId="0" xfId="38" applyNumberFormat="1" applyFont="1" applyFill="1" applyBorder="1"/>
    <xf numFmtId="0" fontId="46" fillId="0" borderId="0" xfId="58" applyFont="1" applyFill="1" applyBorder="1"/>
    <xf numFmtId="165" fontId="46" fillId="0" borderId="0" xfId="28" applyNumberFormat="1" applyFont="1" applyFill="1" applyBorder="1"/>
    <xf numFmtId="0" fontId="46" fillId="0" borderId="0" xfId="58" applyFont="1" applyFill="1" applyBorder="1" applyAlignment="1">
      <alignment horizontal="left"/>
    </xf>
    <xf numFmtId="0" fontId="47" fillId="0" borderId="0" xfId="58" applyFont="1" applyFill="1" applyBorder="1" applyAlignment="1">
      <alignment horizontal="left"/>
    </xf>
    <xf numFmtId="0" fontId="47" fillId="0" borderId="0" xfId="58" applyFont="1" applyFill="1" applyBorder="1"/>
    <xf numFmtId="0" fontId="46" fillId="0" borderId="0" xfId="58" applyFont="1" applyFill="1" applyBorder="1" applyAlignment="1">
      <alignment horizontal="right"/>
    </xf>
    <xf numFmtId="166" fontId="46" fillId="0" borderId="0" xfId="38" applyNumberFormat="1" applyFont="1" applyFill="1" applyBorder="1" applyAlignment="1">
      <alignment horizontal="right"/>
    </xf>
    <xf numFmtId="0" fontId="48" fillId="0" borderId="0" xfId="58" applyFont="1" applyFill="1" applyBorder="1"/>
    <xf numFmtId="165" fontId="47" fillId="0" borderId="0" xfId="28" applyNumberFormat="1" applyFont="1" applyFill="1" applyBorder="1"/>
    <xf numFmtId="0" fontId="49" fillId="0" borderId="0" xfId="58" applyFont="1" applyFill="1" applyBorder="1"/>
    <xf numFmtId="165" fontId="48" fillId="0" borderId="0" xfId="28" applyNumberFormat="1" applyFont="1" applyFill="1" applyBorder="1"/>
    <xf numFmtId="0" fontId="47" fillId="0" borderId="0" xfId="58" applyFont="1" applyFill="1" applyBorder="1" applyAlignment="1">
      <alignment horizontal="right"/>
    </xf>
    <xf numFmtId="166" fontId="49" fillId="0" borderId="0" xfId="38" applyNumberFormat="1" applyFont="1" applyFill="1" applyBorder="1"/>
    <xf numFmtId="9" fontId="46" fillId="0" borderId="79" xfId="65" applyFont="1" applyFill="1" applyBorder="1" applyAlignment="1">
      <alignment horizontal="center" vertical="center"/>
    </xf>
    <xf numFmtId="9" fontId="46" fillId="0" borderId="79" xfId="65" applyFont="1" applyFill="1" applyBorder="1" applyAlignment="1">
      <alignment horizontal="center"/>
    </xf>
    <xf numFmtId="0" fontId="46" fillId="0" borderId="0" xfId="58" applyFont="1" applyFill="1" applyBorder="1" applyAlignment="1">
      <alignment horizontal="center"/>
    </xf>
    <xf numFmtId="0" fontId="47" fillId="0" borderId="0" xfId="58" applyFont="1" applyFill="1" applyBorder="1" applyAlignment="1">
      <alignment horizontal="center"/>
    </xf>
    <xf numFmtId="0" fontId="49" fillId="0" borderId="0" xfId="58" applyFont="1" applyFill="1" applyBorder="1" applyAlignment="1">
      <alignment horizontal="center"/>
    </xf>
    <xf numFmtId="165" fontId="50" fillId="0" borderId="0" xfId="28" applyNumberFormat="1" applyFont="1" applyFill="1" applyBorder="1"/>
    <xf numFmtId="165" fontId="51" fillId="0" borderId="0" xfId="28" applyNumberFormat="1" applyFont="1" applyFill="1" applyBorder="1"/>
    <xf numFmtId="165" fontId="51" fillId="0" borderId="79" xfId="28" applyNumberFormat="1" applyFont="1" applyFill="1" applyBorder="1"/>
    <xf numFmtId="165" fontId="48" fillId="0" borderId="79" xfId="28" applyNumberFormat="1" applyFont="1" applyFill="1" applyBorder="1"/>
    <xf numFmtId="165" fontId="47" fillId="0" borderId="79" xfId="28" applyNumberFormat="1" applyFont="1" applyFill="1" applyBorder="1"/>
    <xf numFmtId="165" fontId="46" fillId="0" borderId="80" xfId="28" applyNumberFormat="1" applyFont="1" applyFill="1" applyBorder="1"/>
    <xf numFmtId="165" fontId="50" fillId="0" borderId="79" xfId="28" applyNumberFormat="1" applyFont="1" applyFill="1" applyBorder="1"/>
    <xf numFmtId="165" fontId="46" fillId="0" borderId="79" xfId="28" applyNumberFormat="1" applyFont="1" applyFill="1" applyBorder="1"/>
    <xf numFmtId="0" fontId="48" fillId="0" borderId="0" xfId="58" applyFont="1" applyFill="1" applyBorder="1" applyAlignment="1">
      <alignment horizontal="left"/>
    </xf>
    <xf numFmtId="0" fontId="47" fillId="0" borderId="0" xfId="50" applyFont="1"/>
    <xf numFmtId="0" fontId="47" fillId="0" borderId="0" xfId="50" applyFont="1" applyBorder="1"/>
    <xf numFmtId="165" fontId="47" fillId="0" borderId="0" xfId="28" applyNumberFormat="1" applyFont="1"/>
    <xf numFmtId="0" fontId="52" fillId="0" borderId="0" xfId="50" applyFont="1"/>
    <xf numFmtId="0" fontId="53" fillId="0" borderId="81" xfId="50" applyFont="1" applyBorder="1"/>
    <xf numFmtId="0" fontId="53" fillId="0" borderId="82" xfId="50" applyFont="1" applyBorder="1"/>
    <xf numFmtId="0" fontId="53" fillId="0" borderId="83" xfId="50" applyFont="1" applyBorder="1" applyAlignment="1">
      <alignment vertical="center"/>
    </xf>
    <xf numFmtId="0" fontId="46" fillId="0" borderId="0" xfId="50" applyFont="1" applyBorder="1"/>
    <xf numFmtId="165" fontId="46" fillId="0" borderId="82" xfId="28" applyNumberFormat="1" applyFont="1" applyBorder="1" applyAlignment="1">
      <alignment horizontal="center" vertical="center" wrapText="1"/>
    </xf>
    <xf numFmtId="165" fontId="46" fillId="0" borderId="0" xfId="28" applyNumberFormat="1" applyFont="1" applyFill="1" applyBorder="1" applyAlignment="1">
      <alignment horizontal="center" vertical="center" wrapText="1"/>
    </xf>
    <xf numFmtId="165" fontId="46" fillId="0" borderId="84" xfId="28" applyNumberFormat="1" applyFont="1" applyBorder="1" applyAlignment="1">
      <alignment horizontal="center" vertical="center" wrapText="1"/>
    </xf>
    <xf numFmtId="0" fontId="46" fillId="0" borderId="0" xfId="50" applyFont="1"/>
    <xf numFmtId="0" fontId="54" fillId="0" borderId="0" xfId="50" applyFont="1"/>
    <xf numFmtId="0" fontId="53" fillId="0" borderId="85" xfId="50" applyFont="1" applyBorder="1"/>
    <xf numFmtId="0" fontId="53" fillId="0" borderId="10" xfId="50" applyFont="1" applyBorder="1"/>
    <xf numFmtId="165" fontId="47" fillId="0" borderId="11" xfId="28" applyNumberFormat="1" applyFont="1" applyBorder="1"/>
    <xf numFmtId="165" fontId="47" fillId="0" borderId="12" xfId="28" applyNumberFormat="1" applyFont="1" applyBorder="1"/>
    <xf numFmtId="0" fontId="54" fillId="0" borderId="86" xfId="50" applyFont="1" applyBorder="1"/>
    <xf numFmtId="0" fontId="54" fillId="0" borderId="87" xfId="50" applyFont="1" applyBorder="1"/>
    <xf numFmtId="165" fontId="47" fillId="0" borderId="88" xfId="28" applyNumberFormat="1" applyFont="1" applyBorder="1"/>
    <xf numFmtId="165" fontId="47" fillId="0" borderId="89" xfId="28" applyNumberFormat="1" applyFont="1" applyBorder="1"/>
    <xf numFmtId="0" fontId="54" fillId="0" borderId="25" xfId="50" applyFont="1" applyBorder="1"/>
    <xf numFmtId="0" fontId="54" fillId="0" borderId="29" xfId="50" applyFont="1" applyBorder="1"/>
    <xf numFmtId="165" fontId="47" fillId="0" borderId="90" xfId="28" applyNumberFormat="1" applyFont="1" applyBorder="1"/>
    <xf numFmtId="165" fontId="47" fillId="0" borderId="28" xfId="28" applyNumberFormat="1" applyFont="1" applyBorder="1"/>
    <xf numFmtId="0" fontId="54" fillId="0" borderId="91" xfId="50" applyFont="1" applyBorder="1"/>
    <xf numFmtId="0" fontId="54" fillId="0" borderId="92" xfId="50" applyFont="1" applyBorder="1"/>
    <xf numFmtId="165" fontId="47" fillId="0" borderId="93" xfId="28" applyNumberFormat="1" applyFont="1" applyBorder="1"/>
    <xf numFmtId="165" fontId="47" fillId="0" borderId="94" xfId="28" applyNumberFormat="1" applyFont="1" applyBorder="1"/>
    <xf numFmtId="0" fontId="54" fillId="24" borderId="85" xfId="50" applyFont="1" applyFill="1" applyBorder="1"/>
    <xf numFmtId="0" fontId="54" fillId="24" borderId="10" xfId="50" applyFont="1" applyFill="1" applyBorder="1"/>
    <xf numFmtId="165" fontId="47" fillId="24" borderId="11" xfId="28" applyNumberFormat="1" applyFont="1" applyFill="1" applyBorder="1"/>
    <xf numFmtId="165" fontId="47" fillId="24" borderId="12" xfId="28" applyNumberFormat="1" applyFont="1" applyFill="1" applyBorder="1"/>
    <xf numFmtId="0" fontId="53" fillId="24" borderId="10" xfId="50" applyFont="1" applyFill="1" applyBorder="1"/>
    <xf numFmtId="0" fontId="54" fillId="0" borderId="11" xfId="50" applyFont="1" applyFill="1" applyBorder="1"/>
    <xf numFmtId="0" fontId="53" fillId="0" borderId="11" xfId="50" applyFont="1" applyFill="1" applyBorder="1"/>
    <xf numFmtId="0" fontId="47" fillId="0" borderId="0" xfId="50" applyFont="1" applyFill="1" applyBorder="1"/>
    <xf numFmtId="165" fontId="47" fillId="0" borderId="11" xfId="28" applyNumberFormat="1" applyFont="1" applyFill="1" applyBorder="1"/>
    <xf numFmtId="0" fontId="54" fillId="25" borderId="85" xfId="50" applyFont="1" applyFill="1" applyBorder="1"/>
    <xf numFmtId="0" fontId="54" fillId="25" borderId="10" xfId="50" applyFont="1" applyFill="1" applyBorder="1"/>
    <xf numFmtId="0" fontId="53" fillId="25" borderId="10" xfId="50" applyFont="1" applyFill="1" applyBorder="1"/>
    <xf numFmtId="165" fontId="46" fillId="25" borderId="11" xfId="28" applyNumberFormat="1" applyFont="1" applyFill="1" applyBorder="1"/>
    <xf numFmtId="165" fontId="46" fillId="25" borderId="12" xfId="28" applyNumberFormat="1" applyFont="1" applyFill="1" applyBorder="1"/>
    <xf numFmtId="0" fontId="47" fillId="0" borderId="0" xfId="59" applyFont="1"/>
    <xf numFmtId="164" fontId="47" fillId="0" borderId="0" xfId="28" applyFont="1"/>
    <xf numFmtId="166" fontId="47" fillId="0" borderId="0" xfId="59" applyNumberFormat="1" applyFont="1"/>
    <xf numFmtId="0" fontId="47" fillId="0" borderId="0" xfId="53" applyFont="1" applyBorder="1"/>
    <xf numFmtId="0" fontId="46" fillId="26" borderId="0" xfId="53" applyFont="1" applyFill="1" applyBorder="1"/>
    <xf numFmtId="0" fontId="46" fillId="0" borderId="0" xfId="53" applyFont="1" applyBorder="1"/>
    <xf numFmtId="0" fontId="47" fillId="0" borderId="0" xfId="53" applyFont="1" applyFill="1" applyBorder="1"/>
    <xf numFmtId="3" fontId="46" fillId="26" borderId="0" xfId="53" applyNumberFormat="1" applyFont="1" applyFill="1" applyBorder="1"/>
    <xf numFmtId="0" fontId="46" fillId="0" borderId="79" xfId="53" applyFont="1" applyBorder="1"/>
    <xf numFmtId="0" fontId="46" fillId="0" borderId="11" xfId="53" applyFont="1" applyBorder="1"/>
    <xf numFmtId="0" fontId="47" fillId="0" borderId="0" xfId="0" applyFont="1"/>
    <xf numFmtId="0" fontId="47" fillId="0" borderId="0" xfId="0" applyFont="1" applyBorder="1"/>
    <xf numFmtId="0" fontId="46" fillId="0" borderId="0" xfId="0" applyFont="1" applyBorder="1"/>
    <xf numFmtId="0" fontId="46" fillId="0" borderId="0" xfId="0" applyFont="1"/>
    <xf numFmtId="0" fontId="47" fillId="0" borderId="0" xfId="0" applyFont="1" applyFill="1" applyBorder="1"/>
    <xf numFmtId="165" fontId="47" fillId="0" borderId="0" xfId="28" applyNumberFormat="1" applyFont="1" applyBorder="1"/>
    <xf numFmtId="0" fontId="55" fillId="0" borderId="0" xfId="58" applyFont="1"/>
    <xf numFmtId="0" fontId="52" fillId="0" borderId="0" xfId="58" applyFont="1"/>
    <xf numFmtId="166" fontId="52" fillId="0" borderId="0" xfId="58" applyNumberFormat="1" applyFont="1"/>
    <xf numFmtId="0" fontId="55" fillId="0" borderId="96" xfId="58" applyFont="1" applyBorder="1" applyAlignment="1">
      <alignment horizontal="center" vertical="center" wrapText="1"/>
    </xf>
    <xf numFmtId="0" fontId="55" fillId="0" borderId="97" xfId="58" applyFont="1" applyBorder="1" applyAlignment="1">
      <alignment horizontal="center" vertical="center" wrapText="1"/>
    </xf>
    <xf numFmtId="0" fontId="55" fillId="0" borderId="98" xfId="58" applyFont="1" applyBorder="1" applyAlignment="1">
      <alignment horizontal="center" vertical="center" wrapText="1"/>
    </xf>
    <xf numFmtId="0" fontId="55" fillId="0" borderId="99" xfId="0" applyNumberFormat="1" applyFont="1" applyBorder="1" applyAlignment="1">
      <alignment horizontal="center"/>
    </xf>
    <xf numFmtId="0" fontId="55" fillId="0" borderId="100" xfId="0" applyNumberFormat="1" applyFont="1" applyBorder="1" applyAlignment="1">
      <alignment horizontal="center"/>
    </xf>
    <xf numFmtId="15" fontId="55" fillId="0" borderId="99" xfId="0" applyNumberFormat="1" applyFont="1" applyBorder="1" applyAlignment="1">
      <alignment horizontal="center"/>
    </xf>
    <xf numFmtId="15" fontId="55" fillId="0" borderId="101" xfId="0" applyNumberFormat="1" applyFont="1" applyBorder="1" applyAlignment="1">
      <alignment horizontal="center"/>
    </xf>
    <xf numFmtId="0" fontId="56" fillId="28" borderId="97" xfId="58" applyFont="1" applyFill="1" applyBorder="1" applyAlignment="1">
      <alignment horizontal="left"/>
    </xf>
    <xf numFmtId="0" fontId="55" fillId="28" borderId="97" xfId="58" applyFont="1" applyFill="1" applyBorder="1" applyAlignment="1">
      <alignment horizontal="left"/>
    </xf>
    <xf numFmtId="0" fontId="56" fillId="28" borderId="97" xfId="58" applyFont="1" applyFill="1" applyBorder="1"/>
    <xf numFmtId="0" fontId="56" fillId="28" borderId="97" xfId="0" applyFont="1" applyFill="1" applyBorder="1"/>
    <xf numFmtId="166" fontId="55" fillId="28" borderId="97" xfId="38" applyNumberFormat="1" applyFont="1" applyFill="1" applyBorder="1"/>
    <xf numFmtId="166" fontId="55" fillId="28" borderId="102" xfId="38" applyNumberFormat="1" applyFont="1" applyFill="1" applyBorder="1"/>
    <xf numFmtId="166" fontId="56" fillId="28" borderId="103" xfId="38" applyNumberFormat="1" applyFont="1" applyFill="1" applyBorder="1"/>
    <xf numFmtId="166" fontId="55" fillId="28" borderId="104" xfId="38" applyNumberFormat="1" applyFont="1" applyFill="1" applyBorder="1"/>
    <xf numFmtId="0" fontId="52" fillId="0" borderId="0" xfId="58" applyFont="1" applyFill="1"/>
    <xf numFmtId="0" fontId="56" fillId="28" borderId="21" xfId="58" applyFont="1" applyFill="1" applyBorder="1" applyAlignment="1">
      <alignment horizontal="left"/>
    </xf>
    <xf numFmtId="0" fontId="55" fillId="28" borderId="21" xfId="58" applyFont="1" applyFill="1" applyBorder="1" applyAlignment="1">
      <alignment horizontal="left"/>
    </xf>
    <xf numFmtId="0" fontId="56" fillId="28" borderId="21" xfId="58" applyFont="1" applyFill="1" applyBorder="1"/>
    <xf numFmtId="0" fontId="56" fillId="28" borderId="21" xfId="0" applyFont="1" applyFill="1" applyBorder="1"/>
    <xf numFmtId="166" fontId="55" fillId="28" borderId="21" xfId="38" applyNumberFormat="1" applyFont="1" applyFill="1" applyBorder="1"/>
    <xf numFmtId="166" fontId="55" fillId="28" borderId="20" xfId="38" applyNumberFormat="1" applyFont="1" applyFill="1" applyBorder="1"/>
    <xf numFmtId="166" fontId="55" fillId="0" borderId="105" xfId="38" applyNumberFormat="1" applyFont="1" applyFill="1" applyBorder="1"/>
    <xf numFmtId="0" fontId="55" fillId="0" borderId="21" xfId="58" applyFont="1" applyFill="1" applyBorder="1"/>
    <xf numFmtId="0" fontId="55" fillId="0" borderId="21" xfId="0" applyFont="1" applyFill="1" applyBorder="1"/>
    <xf numFmtId="166" fontId="55" fillId="0" borderId="21" xfId="38" applyNumberFormat="1" applyFont="1" applyFill="1" applyBorder="1"/>
    <xf numFmtId="166" fontId="55" fillId="0" borderId="106" xfId="38" applyNumberFormat="1" applyFont="1" applyFill="1" applyBorder="1"/>
    <xf numFmtId="0" fontId="55" fillId="0" borderId="0" xfId="58" applyFont="1" applyFill="1"/>
    <xf numFmtId="0" fontId="55" fillId="0" borderId="25" xfId="58" applyFont="1" applyBorder="1" applyAlignment="1">
      <alignment horizontal="left"/>
    </xf>
    <xf numFmtId="0" fontId="52" fillId="0" borderId="25" xfId="58" applyFont="1" applyBorder="1"/>
    <xf numFmtId="0" fontId="52" fillId="0" borderId="25" xfId="0" applyFont="1" applyBorder="1"/>
    <xf numFmtId="166" fontId="55" fillId="0" borderId="25" xfId="38" applyNumberFormat="1" applyFont="1" applyBorder="1"/>
    <xf numFmtId="166" fontId="55" fillId="0" borderId="29" xfId="38" applyNumberFormat="1" applyFont="1" applyBorder="1"/>
    <xf numFmtId="166" fontId="55" fillId="0" borderId="107" xfId="38" applyNumberFormat="1" applyFont="1" applyBorder="1"/>
    <xf numFmtId="0" fontId="52" fillId="0" borderId="21" xfId="58" applyFont="1" applyFill="1" applyBorder="1" applyAlignment="1">
      <alignment horizontal="left"/>
    </xf>
    <xf numFmtId="0" fontId="52" fillId="0" borderId="21" xfId="0" applyFont="1" applyFill="1" applyBorder="1" applyAlignment="1">
      <alignment horizontal="left"/>
    </xf>
    <xf numFmtId="166" fontId="52" fillId="0" borderId="25" xfId="38" applyNumberFormat="1" applyFont="1" applyBorder="1"/>
    <xf numFmtId="166" fontId="52" fillId="0" borderId="108" xfId="38" applyNumberFormat="1" applyFont="1" applyBorder="1"/>
    <xf numFmtId="0" fontId="55" fillId="0" borderId="25" xfId="58" applyFont="1" applyBorder="1" applyAlignment="1">
      <alignment horizontal="right"/>
    </xf>
    <xf numFmtId="166" fontId="52" fillId="0" borderId="29" xfId="38" applyNumberFormat="1" applyFont="1" applyBorder="1"/>
    <xf numFmtId="0" fontId="55" fillId="0" borderId="109" xfId="58" applyFont="1" applyBorder="1" applyAlignment="1">
      <alignment horizontal="left"/>
    </xf>
    <xf numFmtId="0" fontId="52" fillId="0" borderId="109" xfId="58" applyFont="1" applyBorder="1"/>
    <xf numFmtId="0" fontId="52" fillId="0" borderId="109" xfId="0" applyFont="1" applyBorder="1"/>
    <xf numFmtId="166" fontId="55" fillId="0" borderId="109" xfId="38" applyNumberFormat="1" applyFont="1" applyBorder="1"/>
    <xf numFmtId="166" fontId="55" fillId="0" borderId="110" xfId="38" applyNumberFormat="1" applyFont="1" applyBorder="1"/>
    <xf numFmtId="166" fontId="55" fillId="0" borderId="111" xfId="38" applyNumberFormat="1" applyFont="1" applyBorder="1"/>
    <xf numFmtId="0" fontId="55" fillId="0" borderId="25" xfId="0" applyFont="1" applyBorder="1" applyAlignment="1">
      <alignment horizontal="right"/>
    </xf>
    <xf numFmtId="166" fontId="55" fillId="0" borderId="108" xfId="38" applyNumberFormat="1" applyFont="1" applyBorder="1"/>
    <xf numFmtId="166" fontId="55" fillId="25" borderId="25" xfId="38" applyNumberFormat="1" applyFont="1" applyFill="1" applyBorder="1"/>
    <xf numFmtId="166" fontId="55" fillId="25" borderId="29" xfId="38" applyNumberFormat="1" applyFont="1" applyFill="1" applyBorder="1"/>
    <xf numFmtId="166" fontId="56" fillId="28" borderId="107" xfId="38" applyNumberFormat="1" applyFont="1" applyFill="1" applyBorder="1"/>
    <xf numFmtId="0" fontId="52" fillId="28" borderId="25" xfId="58" applyFont="1" applyFill="1" applyBorder="1"/>
    <xf numFmtId="0" fontId="56" fillId="28" borderId="25" xfId="58" applyFont="1" applyFill="1" applyBorder="1"/>
    <xf numFmtId="0" fontId="56" fillId="28" borderId="25" xfId="0" applyFont="1" applyFill="1" applyBorder="1"/>
    <xf numFmtId="166" fontId="52" fillId="28" borderId="25" xfId="38" applyNumberFormat="1" applyFont="1" applyFill="1" applyBorder="1"/>
    <xf numFmtId="166" fontId="55" fillId="28" borderId="108" xfId="38" applyNumberFormat="1" applyFont="1" applyFill="1" applyBorder="1"/>
    <xf numFmtId="0" fontId="55" fillId="0" borderId="21" xfId="58" applyFont="1" applyBorder="1" applyAlignment="1">
      <alignment horizontal="left"/>
    </xf>
    <xf numFmtId="0" fontId="52" fillId="0" borderId="21" xfId="58" applyFont="1" applyBorder="1"/>
    <xf numFmtId="0" fontId="52" fillId="0" borderId="21" xfId="0" applyFont="1" applyBorder="1"/>
    <xf numFmtId="166" fontId="55" fillId="25" borderId="21" xfId="38" applyNumberFormat="1" applyFont="1" applyFill="1" applyBorder="1"/>
    <xf numFmtId="166" fontId="55" fillId="25" borderId="20" xfId="38" applyNumberFormat="1" applyFont="1" applyFill="1" applyBorder="1"/>
    <xf numFmtId="166" fontId="55" fillId="0" borderId="105" xfId="38" applyNumberFormat="1" applyFont="1" applyBorder="1"/>
    <xf numFmtId="166" fontId="52" fillId="25" borderId="25" xfId="38" applyNumberFormat="1" applyFont="1" applyFill="1" applyBorder="1"/>
    <xf numFmtId="166" fontId="52" fillId="0" borderId="25" xfId="38" applyNumberFormat="1" applyFont="1" applyFill="1" applyBorder="1"/>
    <xf numFmtId="166" fontId="52" fillId="0" borderId="108" xfId="38" applyNumberFormat="1" applyFont="1" applyFill="1" applyBorder="1"/>
    <xf numFmtId="166" fontId="56" fillId="0" borderId="25" xfId="38" applyNumberFormat="1" applyFont="1" applyBorder="1"/>
    <xf numFmtId="166" fontId="56" fillId="0" borderId="108" xfId="38" applyNumberFormat="1" applyFont="1" applyBorder="1"/>
    <xf numFmtId="0" fontId="56" fillId="0" borderId="25" xfId="58" applyFont="1" applyBorder="1" applyAlignment="1">
      <alignment horizontal="right"/>
    </xf>
    <xf numFmtId="166" fontId="56" fillId="0" borderId="29" xfId="38" applyNumberFormat="1" applyFont="1" applyBorder="1"/>
    <xf numFmtId="0" fontId="52" fillId="0" borderId="25" xfId="58" applyFont="1" applyBorder="1" applyAlignment="1">
      <alignment horizontal="left"/>
    </xf>
    <xf numFmtId="0" fontId="55" fillId="0" borderId="25" xfId="58" applyFont="1" applyFill="1" applyBorder="1" applyAlignment="1">
      <alignment horizontal="right"/>
    </xf>
    <xf numFmtId="0" fontId="52" fillId="0" borderId="25" xfId="0" applyFont="1" applyFill="1" applyBorder="1"/>
    <xf numFmtId="166" fontId="55" fillId="0" borderId="25" xfId="38" applyNumberFormat="1" applyFont="1" applyFill="1" applyBorder="1"/>
    <xf numFmtId="166" fontId="55" fillId="0" borderId="29" xfId="38" applyNumberFormat="1" applyFont="1" applyFill="1" applyBorder="1"/>
    <xf numFmtId="166" fontId="55" fillId="0" borderId="107" xfId="38" applyNumberFormat="1" applyFont="1" applyFill="1" applyBorder="1"/>
    <xf numFmtId="166" fontId="55" fillId="0" borderId="108" xfId="38" applyNumberFormat="1" applyFont="1" applyFill="1" applyBorder="1"/>
    <xf numFmtId="166" fontId="56" fillId="0" borderId="107" xfId="38" applyNumberFormat="1" applyFont="1" applyBorder="1"/>
    <xf numFmtId="166" fontId="57" fillId="0" borderId="25" xfId="38" applyNumberFormat="1" applyFont="1" applyBorder="1"/>
    <xf numFmtId="166" fontId="57" fillId="0" borderId="108" xfId="38" applyNumberFormat="1" applyFont="1" applyBorder="1"/>
    <xf numFmtId="0" fontId="55" fillId="0" borderId="109" xfId="58" applyFont="1" applyBorder="1" applyAlignment="1">
      <alignment horizontal="right"/>
    </xf>
    <xf numFmtId="166" fontId="52" fillId="0" borderId="109" xfId="38" applyNumberFormat="1" applyFont="1" applyBorder="1"/>
    <xf numFmtId="166" fontId="52" fillId="0" borderId="110" xfId="38" applyNumberFormat="1" applyFont="1" applyBorder="1"/>
    <xf numFmtId="166" fontId="52" fillId="0" borderId="112" xfId="38" applyNumberFormat="1" applyFont="1" applyBorder="1"/>
    <xf numFmtId="0" fontId="55" fillId="26" borderId="85" xfId="58" applyFont="1" applyFill="1" applyBorder="1" applyAlignment="1">
      <alignment horizontal="left"/>
    </xf>
    <xf numFmtId="0" fontId="55" fillId="26" borderId="85" xfId="58" applyFont="1" applyFill="1" applyBorder="1" applyAlignment="1">
      <alignment horizontal="center"/>
    </xf>
    <xf numFmtId="0" fontId="55" fillId="26" borderId="85" xfId="0" applyFont="1" applyFill="1" applyBorder="1" applyAlignment="1">
      <alignment horizontal="right"/>
    </xf>
    <xf numFmtId="166" fontId="55" fillId="26" borderId="85" xfId="38" applyNumberFormat="1" applyFont="1" applyFill="1" applyBorder="1"/>
    <xf numFmtId="166" fontId="55" fillId="26" borderId="10" xfId="38" applyNumberFormat="1" applyFont="1" applyFill="1" applyBorder="1"/>
    <xf numFmtId="166" fontId="55" fillId="26" borderId="113" xfId="38" applyNumberFormat="1" applyFont="1" applyFill="1" applyBorder="1"/>
    <xf numFmtId="0" fontId="55" fillId="26" borderId="85" xfId="58" applyFont="1" applyFill="1" applyBorder="1" applyAlignment="1">
      <alignment horizontal="right"/>
    </xf>
    <xf numFmtId="166" fontId="55" fillId="26" borderId="114" xfId="38" applyNumberFormat="1" applyFont="1" applyFill="1" applyBorder="1"/>
    <xf numFmtId="0" fontId="55" fillId="0" borderId="21" xfId="58" applyFont="1" applyBorder="1"/>
    <xf numFmtId="166" fontId="52" fillId="0" borderId="21" xfId="58" applyNumberFormat="1" applyFont="1" applyBorder="1"/>
    <xf numFmtId="166" fontId="52" fillId="0" borderId="21" xfId="38" applyNumberFormat="1" applyFont="1" applyBorder="1"/>
    <xf numFmtId="166" fontId="52" fillId="0" borderId="20" xfId="38" applyNumberFormat="1" applyFont="1" applyBorder="1"/>
    <xf numFmtId="166" fontId="52" fillId="0" borderId="106" xfId="38" applyNumberFormat="1" applyFont="1" applyBorder="1"/>
    <xf numFmtId="0" fontId="56" fillId="28" borderId="25" xfId="58" applyFont="1" applyFill="1" applyBorder="1" applyAlignment="1">
      <alignment horizontal="left"/>
    </xf>
    <xf numFmtId="0" fontId="55" fillId="28" borderId="25" xfId="58" applyFont="1" applyFill="1" applyBorder="1" applyAlignment="1">
      <alignment horizontal="left"/>
    </xf>
    <xf numFmtId="166" fontId="55" fillId="28" borderId="25" xfId="38" applyNumberFormat="1" applyFont="1" applyFill="1" applyBorder="1"/>
    <xf numFmtId="166" fontId="55" fillId="28" borderId="29" xfId="38" applyNumberFormat="1" applyFont="1" applyFill="1" applyBorder="1"/>
    <xf numFmtId="166" fontId="52" fillId="25" borderId="29" xfId="38" applyNumberFormat="1" applyFont="1" applyFill="1" applyBorder="1"/>
    <xf numFmtId="166" fontId="52" fillId="0" borderId="29" xfId="38" applyNumberFormat="1" applyFont="1" applyFill="1" applyBorder="1"/>
    <xf numFmtId="166" fontId="52" fillId="25" borderId="109" xfId="38" applyNumberFormat="1" applyFont="1" applyFill="1" applyBorder="1"/>
    <xf numFmtId="166" fontId="52" fillId="25" borderId="110" xfId="38" applyNumberFormat="1" applyFont="1" applyFill="1" applyBorder="1"/>
    <xf numFmtId="166" fontId="52" fillId="28" borderId="29" xfId="38" applyNumberFormat="1" applyFont="1" applyFill="1" applyBorder="1"/>
    <xf numFmtId="0" fontId="55" fillId="0" borderId="25" xfId="58" applyFont="1" applyBorder="1"/>
    <xf numFmtId="0" fontId="55" fillId="29" borderId="25" xfId="58" applyFont="1" applyFill="1" applyBorder="1" applyAlignment="1">
      <alignment horizontal="right"/>
    </xf>
    <xf numFmtId="0" fontId="55" fillId="29" borderId="25" xfId="0" applyFont="1" applyFill="1" applyBorder="1" applyAlignment="1">
      <alignment horizontal="right"/>
    </xf>
    <xf numFmtId="166" fontId="55" fillId="29" borderId="25" xfId="38" applyNumberFormat="1" applyFont="1" applyFill="1" applyBorder="1"/>
    <xf numFmtId="166" fontId="55" fillId="29" borderId="29" xfId="38" applyNumberFormat="1" applyFont="1" applyFill="1" applyBorder="1"/>
    <xf numFmtId="166" fontId="55" fillId="29" borderId="107" xfId="38" applyNumberFormat="1" applyFont="1" applyFill="1" applyBorder="1"/>
    <xf numFmtId="0" fontId="52" fillId="29" borderId="25" xfId="0" applyFont="1" applyFill="1" applyBorder="1"/>
    <xf numFmtId="166" fontId="52" fillId="29" borderId="25" xfId="38" applyNumberFormat="1" applyFont="1" applyFill="1" applyBorder="1"/>
    <xf numFmtId="166" fontId="52" fillId="29" borderId="108" xfId="38" applyNumberFormat="1" applyFont="1" applyFill="1" applyBorder="1"/>
    <xf numFmtId="167" fontId="52" fillId="0" borderId="25" xfId="65" applyNumberFormat="1" applyFont="1" applyBorder="1"/>
    <xf numFmtId="167" fontId="52" fillId="0" borderId="29" xfId="65" applyNumberFormat="1" applyFont="1" applyBorder="1"/>
    <xf numFmtId="0" fontId="55" fillId="30" borderId="25" xfId="58" applyFont="1" applyFill="1" applyBorder="1" applyAlignment="1">
      <alignment horizontal="right"/>
    </xf>
    <xf numFmtId="0" fontId="55" fillId="30" borderId="25" xfId="0" applyFont="1" applyFill="1" applyBorder="1" applyAlignment="1">
      <alignment horizontal="right"/>
    </xf>
    <xf numFmtId="166" fontId="55" fillId="30" borderId="25" xfId="38" applyNumberFormat="1" applyFont="1" applyFill="1" applyBorder="1"/>
    <xf numFmtId="166" fontId="55" fillId="30" borderId="29" xfId="38" applyNumberFormat="1" applyFont="1" applyFill="1" applyBorder="1"/>
    <xf numFmtId="166" fontId="55" fillId="30" borderId="107" xfId="38" applyNumberFormat="1" applyFont="1" applyFill="1" applyBorder="1"/>
    <xf numFmtId="0" fontId="55" fillId="30" borderId="95" xfId="58" applyFont="1" applyFill="1" applyBorder="1" applyAlignment="1">
      <alignment horizontal="center"/>
    </xf>
    <xf numFmtId="0" fontId="56" fillId="30" borderId="25" xfId="0" applyFont="1" applyFill="1" applyBorder="1"/>
    <xf numFmtId="166" fontId="56" fillId="30" borderId="25" xfId="38" applyNumberFormat="1" applyFont="1" applyFill="1" applyBorder="1"/>
    <xf numFmtId="0" fontId="52" fillId="30" borderId="115" xfId="58" applyFont="1" applyFill="1" applyBorder="1"/>
    <xf numFmtId="166" fontId="55" fillId="28" borderId="107" xfId="38" applyNumberFormat="1" applyFont="1" applyFill="1" applyBorder="1"/>
    <xf numFmtId="0" fontId="52" fillId="28" borderId="25" xfId="0" applyFont="1" applyFill="1" applyBorder="1"/>
    <xf numFmtId="0" fontId="52" fillId="28" borderId="115" xfId="58" applyFont="1" applyFill="1" applyBorder="1"/>
    <xf numFmtId="0" fontId="55" fillId="0" borderId="25" xfId="0" applyFont="1" applyBorder="1"/>
    <xf numFmtId="0" fontId="52" fillId="0" borderId="25" xfId="0" applyFont="1" applyBorder="1" applyAlignment="1"/>
    <xf numFmtId="0" fontId="52" fillId="0" borderId="25" xfId="58" applyFont="1" applyFill="1" applyBorder="1"/>
    <xf numFmtId="166" fontId="55" fillId="0" borderId="116" xfId="38" applyNumberFormat="1" applyFont="1" applyFill="1" applyBorder="1"/>
    <xf numFmtId="0" fontId="52" fillId="0" borderId="116" xfId="58" applyFont="1" applyFill="1" applyBorder="1"/>
    <xf numFmtId="0" fontId="55" fillId="0" borderId="25" xfId="58" applyFont="1" applyFill="1" applyBorder="1"/>
    <xf numFmtId="0" fontId="55" fillId="0" borderId="25" xfId="0" applyFont="1" applyFill="1" applyBorder="1"/>
    <xf numFmtId="166" fontId="56" fillId="0" borderId="25" xfId="38" applyNumberFormat="1" applyFont="1" applyFill="1" applyBorder="1"/>
    <xf numFmtId="166" fontId="56" fillId="0" borderId="108" xfId="38" applyNumberFormat="1" applyFont="1" applyFill="1" applyBorder="1"/>
    <xf numFmtId="0" fontId="55" fillId="0" borderId="117" xfId="58" applyFont="1" applyBorder="1"/>
    <xf numFmtId="0" fontId="52" fillId="0" borderId="117" xfId="58" applyFont="1" applyBorder="1"/>
    <xf numFmtId="0" fontId="52" fillId="0" borderId="117" xfId="0" applyFont="1" applyBorder="1"/>
    <xf numFmtId="166" fontId="52" fillId="0" borderId="117" xfId="38" applyNumberFormat="1" applyFont="1" applyBorder="1"/>
    <xf numFmtId="166" fontId="52" fillId="0" borderId="118" xfId="38" applyNumberFormat="1" applyFont="1" applyBorder="1"/>
    <xf numFmtId="166" fontId="55" fillId="0" borderId="119" xfId="38" applyNumberFormat="1" applyFont="1" applyBorder="1"/>
    <xf numFmtId="166" fontId="52" fillId="0" borderId="120" xfId="38" applyNumberFormat="1" applyFont="1" applyBorder="1"/>
    <xf numFmtId="0" fontId="55" fillId="30" borderId="121" xfId="58" applyFont="1" applyFill="1" applyBorder="1" applyAlignment="1">
      <alignment horizontal="right"/>
    </xf>
    <xf numFmtId="0" fontId="55" fillId="30" borderId="121" xfId="0" applyFont="1" applyFill="1" applyBorder="1" applyAlignment="1">
      <alignment horizontal="right"/>
    </xf>
    <xf numFmtId="166" fontId="55" fillId="30" borderId="121" xfId="38" applyNumberFormat="1" applyFont="1" applyFill="1" applyBorder="1"/>
    <xf numFmtId="166" fontId="55" fillId="30" borderId="83" xfId="38" applyNumberFormat="1" applyFont="1" applyFill="1" applyBorder="1"/>
    <xf numFmtId="166" fontId="55" fillId="30" borderId="81" xfId="38" applyNumberFormat="1" applyFont="1" applyFill="1" applyBorder="1"/>
    <xf numFmtId="0" fontId="55" fillId="30" borderId="121" xfId="0" applyFont="1" applyFill="1" applyBorder="1"/>
    <xf numFmtId="166" fontId="55" fillId="30" borderId="122" xfId="38" applyNumberFormat="1" applyFont="1" applyFill="1" applyBorder="1"/>
    <xf numFmtId="0" fontId="46" fillId="0" borderId="0" xfId="58" applyFont="1"/>
    <xf numFmtId="166" fontId="46" fillId="0" borderId="0" xfId="58" applyNumberFormat="1" applyFont="1"/>
    <xf numFmtId="166" fontId="47" fillId="0" borderId="0" xfId="58" applyNumberFormat="1" applyFont="1"/>
    <xf numFmtId="0" fontId="46" fillId="0" borderId="0" xfId="58" applyFont="1" applyAlignment="1">
      <alignment horizontal="right"/>
    </xf>
    <xf numFmtId="166" fontId="46" fillId="0" borderId="123" xfId="58" applyNumberFormat="1" applyFont="1" applyBorder="1"/>
    <xf numFmtId="43" fontId="58" fillId="28" borderId="124" xfId="58" applyNumberFormat="1" applyFont="1" applyFill="1" applyBorder="1"/>
    <xf numFmtId="43" fontId="58" fillId="28" borderId="0" xfId="58" applyNumberFormat="1" applyFont="1" applyFill="1" applyBorder="1"/>
    <xf numFmtId="43" fontId="58" fillId="28" borderId="125" xfId="58" applyNumberFormat="1" applyFont="1" applyFill="1" applyBorder="1"/>
    <xf numFmtId="0" fontId="47" fillId="0" borderId="0" xfId="58" applyFont="1" applyAlignment="1">
      <alignment horizontal="center"/>
    </xf>
    <xf numFmtId="9" fontId="46" fillId="0" borderId="0" xfId="65" applyFont="1" applyFill="1" applyBorder="1"/>
    <xf numFmtId="0" fontId="46" fillId="0" borderId="0" xfId="0" applyFont="1" applyFill="1" applyBorder="1"/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165" fontId="52" fillId="0" borderId="0" xfId="28" applyNumberFormat="1" applyFont="1"/>
    <xf numFmtId="0" fontId="52" fillId="0" borderId="0" xfId="0" applyFont="1" applyBorder="1"/>
    <xf numFmtId="0" fontId="52" fillId="0" borderId="0" xfId="0" applyFont="1"/>
    <xf numFmtId="0" fontId="55" fillId="0" borderId="0" xfId="0" applyNumberFormat="1" applyFont="1" applyFill="1" applyBorder="1" applyAlignment="1">
      <alignment horizontal="center"/>
    </xf>
    <xf numFmtId="0" fontId="55" fillId="0" borderId="0" xfId="0" applyNumberFormat="1" applyFont="1" applyBorder="1" applyAlignment="1">
      <alignment horizontal="center"/>
    </xf>
    <xf numFmtId="0" fontId="52" fillId="0" borderId="0" xfId="0" applyFont="1" applyFill="1" applyBorder="1"/>
    <xf numFmtId="0" fontId="55" fillId="0" borderId="0" xfId="0" applyFont="1" applyFill="1" applyBorder="1"/>
    <xf numFmtId="0" fontId="55" fillId="0" borderId="0" xfId="0" applyFont="1" applyFill="1" applyBorder="1" applyAlignment="1">
      <alignment horizontal="center" vertical="center"/>
    </xf>
    <xf numFmtId="166" fontId="55" fillId="0" borderId="0" xfId="34" applyNumberFormat="1" applyFont="1" applyFill="1" applyBorder="1"/>
    <xf numFmtId="0" fontId="55" fillId="28" borderId="0" xfId="0" applyFont="1" applyFill="1" applyBorder="1"/>
    <xf numFmtId="0" fontId="55" fillId="28" borderId="0" xfId="0" applyFont="1" applyFill="1" applyBorder="1" applyAlignment="1">
      <alignment horizontal="center" vertical="center"/>
    </xf>
    <xf numFmtId="165" fontId="55" fillId="28" borderId="0" xfId="28" applyNumberFormat="1" applyFont="1" applyFill="1" applyBorder="1"/>
    <xf numFmtId="165" fontId="55" fillId="0" borderId="0" xfId="28" applyNumberFormat="1" applyFont="1" applyFill="1" applyBorder="1"/>
    <xf numFmtId="166" fontId="55" fillId="28" borderId="0" xfId="34" applyNumberFormat="1" applyFont="1" applyFill="1" applyBorder="1"/>
    <xf numFmtId="166" fontId="55" fillId="28" borderId="89" xfId="34" applyNumberFormat="1" applyFont="1" applyFill="1" applyBorder="1"/>
    <xf numFmtId="0" fontId="56" fillId="0" borderId="0" xfId="0" applyFont="1" applyFill="1" applyBorder="1"/>
    <xf numFmtId="166" fontId="56" fillId="0" borderId="0" xfId="34" applyNumberFormat="1" applyFont="1" applyFill="1" applyBorder="1"/>
    <xf numFmtId="0" fontId="55" fillId="0" borderId="0" xfId="0" applyFont="1" applyBorder="1"/>
    <xf numFmtId="0" fontId="56" fillId="0" borderId="0" xfId="0" applyFont="1" applyBorder="1"/>
    <xf numFmtId="166" fontId="56" fillId="0" borderId="23" xfId="34" applyNumberFormat="1" applyFont="1" applyBorder="1"/>
    <xf numFmtId="166" fontId="52" fillId="0" borderId="0" xfId="34" applyNumberFormat="1" applyFont="1" applyFill="1" applyBorder="1"/>
    <xf numFmtId="165" fontId="52" fillId="0" borderId="0" xfId="28" applyNumberFormat="1" applyFont="1" applyFill="1" applyBorder="1"/>
    <xf numFmtId="166" fontId="52" fillId="0" borderId="28" xfId="0" applyNumberFormat="1" applyFont="1" applyBorder="1"/>
    <xf numFmtId="165" fontId="52" fillId="29" borderId="0" xfId="28" applyNumberFormat="1" applyFont="1" applyFill="1" applyBorder="1"/>
    <xf numFmtId="166" fontId="52" fillId="29" borderId="0" xfId="34" applyNumberFormat="1" applyFont="1" applyFill="1" applyBorder="1"/>
    <xf numFmtId="165" fontId="52" fillId="0" borderId="0" xfId="0" applyNumberFormat="1" applyFont="1" applyBorder="1"/>
    <xf numFmtId="9" fontId="52" fillId="0" borderId="0" xfId="65" applyFont="1" applyBorder="1"/>
    <xf numFmtId="166" fontId="52" fillId="0" borderId="0" xfId="0" applyNumberFormat="1" applyFont="1" applyBorder="1"/>
    <xf numFmtId="166" fontId="55" fillId="0" borderId="28" xfId="0" applyNumberFormat="1" applyFont="1" applyBorder="1"/>
    <xf numFmtId="43" fontId="52" fillId="0" borderId="0" xfId="0" applyNumberFormat="1" applyFont="1" applyBorder="1"/>
    <xf numFmtId="165" fontId="56" fillId="0" borderId="0" xfId="28" applyNumberFormat="1" applyFont="1" applyFill="1" applyBorder="1"/>
    <xf numFmtId="166" fontId="56" fillId="0" borderId="28" xfId="34" applyNumberFormat="1" applyFont="1" applyBorder="1"/>
    <xf numFmtId="165" fontId="52" fillId="0" borderId="0" xfId="28" applyNumberFormat="1" applyFont="1" applyBorder="1"/>
    <xf numFmtId="166" fontId="56" fillId="0" borderId="28" xfId="0" applyNumberFormat="1" applyFont="1" applyBorder="1"/>
    <xf numFmtId="166" fontId="55" fillId="28" borderId="28" xfId="34" applyNumberFormat="1" applyFont="1" applyFill="1" applyBorder="1"/>
    <xf numFmtId="165" fontId="55" fillId="0" borderId="0" xfId="28" applyNumberFormat="1" applyFont="1" applyBorder="1"/>
    <xf numFmtId="170" fontId="52" fillId="0" borderId="0" xfId="28" applyNumberFormat="1" applyFont="1" applyBorder="1"/>
    <xf numFmtId="164" fontId="52" fillId="0" borderId="0" xfId="28" applyFont="1" applyFill="1" applyBorder="1"/>
    <xf numFmtId="164" fontId="52" fillId="0" borderId="0" xfId="28" applyFont="1" applyBorder="1"/>
    <xf numFmtId="166" fontId="55" fillId="28" borderId="28" xfId="0" applyNumberFormat="1" applyFont="1" applyFill="1" applyBorder="1"/>
    <xf numFmtId="166" fontId="55" fillId="0" borderId="94" xfId="0" applyNumberFormat="1" applyFont="1" applyBorder="1"/>
    <xf numFmtId="166" fontId="47" fillId="0" borderId="0" xfId="34" applyNumberFormat="1" applyFont="1" applyFill="1" applyBorder="1"/>
    <xf numFmtId="170" fontId="47" fillId="0" borderId="0" xfId="28" applyNumberFormat="1" applyFont="1" applyBorder="1"/>
    <xf numFmtId="166" fontId="47" fillId="0" borderId="0" xfId="0" applyNumberFormat="1" applyFont="1" applyFill="1" applyBorder="1"/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center" vertical="center" wrapText="1"/>
    </xf>
    <xf numFmtId="0" fontId="46" fillId="0" borderId="79" xfId="0" applyNumberFormat="1" applyFont="1" applyFill="1" applyBorder="1" applyAlignment="1">
      <alignment horizontal="center"/>
    </xf>
    <xf numFmtId="0" fontId="46" fillId="0" borderId="0" xfId="0" applyNumberFormat="1" applyFont="1" applyFill="1" applyBorder="1" applyAlignment="1">
      <alignment horizontal="center"/>
    </xf>
    <xf numFmtId="0" fontId="46" fillId="0" borderId="79" xfId="0" applyNumberFormat="1" applyFont="1" applyBorder="1" applyAlignment="1">
      <alignment horizontal="center"/>
    </xf>
    <xf numFmtId="0" fontId="46" fillId="31" borderId="0" xfId="0" applyFont="1" applyFill="1" applyBorder="1" applyAlignment="1">
      <alignment horizontal="center"/>
    </xf>
    <xf numFmtId="0" fontId="46" fillId="31" borderId="0" xfId="0" applyFont="1" applyFill="1" applyBorder="1"/>
    <xf numFmtId="0" fontId="46" fillId="0" borderId="0" xfId="0" applyFont="1" applyFill="1" applyBorder="1" applyAlignment="1">
      <alignment horizontal="center" vertical="center"/>
    </xf>
    <xf numFmtId="166" fontId="46" fillId="0" borderId="0" xfId="34" applyNumberFormat="1" applyFont="1" applyFill="1" applyBorder="1"/>
    <xf numFmtId="0" fontId="46" fillId="31" borderId="0" xfId="0" applyFont="1" applyFill="1" applyBorder="1" applyAlignment="1">
      <alignment horizontal="center" vertical="center"/>
    </xf>
    <xf numFmtId="166" fontId="46" fillId="28" borderId="89" xfId="34" applyNumberFormat="1" applyFont="1" applyFill="1" applyBorder="1"/>
    <xf numFmtId="0" fontId="46" fillId="0" borderId="0" xfId="0" applyFont="1" applyFill="1" applyBorder="1" applyAlignment="1">
      <alignment horizontal="right"/>
    </xf>
    <xf numFmtId="0" fontId="49" fillId="0" borderId="0" xfId="0" applyFont="1" applyFill="1" applyBorder="1"/>
    <xf numFmtId="166" fontId="49" fillId="0" borderId="0" xfId="34" applyNumberFormat="1" applyFont="1" applyFill="1" applyBorder="1"/>
    <xf numFmtId="166" fontId="49" fillId="0" borderId="23" xfId="34" applyNumberFormat="1" applyFont="1" applyBorder="1"/>
    <xf numFmtId="166" fontId="47" fillId="0" borderId="28" xfId="0" applyNumberFormat="1" applyFont="1" applyBorder="1"/>
    <xf numFmtId="0" fontId="47" fillId="0" borderId="0" xfId="0" applyFont="1" applyFill="1" applyBorder="1" applyAlignment="1">
      <alignment horizontal="right"/>
    </xf>
    <xf numFmtId="0" fontId="47" fillId="0" borderId="0" xfId="0" applyFont="1" applyBorder="1" applyAlignment="1">
      <alignment horizontal="right"/>
    </xf>
    <xf numFmtId="166" fontId="47" fillId="0" borderId="79" xfId="34" applyNumberFormat="1" applyFont="1" applyFill="1" applyBorder="1"/>
    <xf numFmtId="0" fontId="47" fillId="0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right"/>
    </xf>
    <xf numFmtId="165" fontId="47" fillId="0" borderId="0" xfId="0" applyNumberFormat="1" applyFont="1" applyBorder="1"/>
    <xf numFmtId="0" fontId="47" fillId="0" borderId="0" xfId="0" applyFont="1" applyBorder="1" applyAlignment="1">
      <alignment horizontal="center"/>
    </xf>
    <xf numFmtId="9" fontId="47" fillId="0" borderId="0" xfId="65" applyFont="1" applyBorder="1"/>
    <xf numFmtId="166" fontId="47" fillId="0" borderId="0" xfId="0" applyNumberFormat="1" applyFont="1" applyBorder="1"/>
    <xf numFmtId="166" fontId="46" fillId="0" borderId="28" xfId="0" applyNumberFormat="1" applyFont="1" applyBorder="1"/>
    <xf numFmtId="43" fontId="47" fillId="0" borderId="0" xfId="0" applyNumberFormat="1" applyFont="1" applyBorder="1"/>
    <xf numFmtId="165" fontId="49" fillId="0" borderId="0" xfId="28" applyNumberFormat="1" applyFont="1" applyFill="1" applyBorder="1"/>
    <xf numFmtId="166" fontId="49" fillId="0" borderId="28" xfId="34" applyNumberFormat="1" applyFont="1" applyBorder="1"/>
    <xf numFmtId="0" fontId="59" fillId="0" borderId="0" xfId="0" applyFont="1" applyBorder="1"/>
    <xf numFmtId="0" fontId="59" fillId="0" borderId="0" xfId="0" applyFont="1" applyFill="1" applyBorder="1"/>
    <xf numFmtId="165" fontId="49" fillId="0" borderId="11" xfId="28" applyNumberFormat="1" applyFont="1" applyFill="1" applyBorder="1"/>
    <xf numFmtId="166" fontId="49" fillId="0" borderId="11" xfId="34" applyNumberFormat="1" applyFont="1" applyFill="1" applyBorder="1"/>
    <xf numFmtId="166" fontId="49" fillId="0" borderId="28" xfId="0" applyNumberFormat="1" applyFont="1" applyBorder="1"/>
    <xf numFmtId="0" fontId="49" fillId="0" borderId="0" xfId="0" applyFont="1" applyBorder="1"/>
    <xf numFmtId="0" fontId="47" fillId="31" borderId="0" xfId="0" applyFont="1" applyFill="1" applyBorder="1"/>
    <xf numFmtId="166" fontId="46" fillId="28" borderId="28" xfId="34" applyNumberFormat="1" applyFont="1" applyFill="1" applyBorder="1"/>
    <xf numFmtId="165" fontId="46" fillId="0" borderId="0" xfId="28" applyNumberFormat="1" applyFont="1" applyBorder="1"/>
    <xf numFmtId="166" fontId="46" fillId="0" borderId="0" xfId="34" applyNumberFormat="1" applyFont="1" applyFill="1" applyBorder="1" applyAlignment="1">
      <alignment horizontal="center"/>
    </xf>
    <xf numFmtId="166" fontId="46" fillId="0" borderId="11" xfId="34" applyNumberFormat="1" applyFont="1" applyFill="1" applyBorder="1"/>
    <xf numFmtId="166" fontId="48" fillId="0" borderId="79" xfId="34" applyNumberFormat="1" applyFont="1" applyFill="1" applyBorder="1"/>
    <xf numFmtId="166" fontId="48" fillId="0" borderId="0" xfId="34" applyNumberFormat="1" applyFont="1" applyFill="1" applyBorder="1"/>
    <xf numFmtId="0" fontId="49" fillId="0" borderId="0" xfId="0" applyFont="1" applyFill="1" applyBorder="1" applyAlignment="1">
      <alignment horizontal="right"/>
    </xf>
    <xf numFmtId="164" fontId="47" fillId="0" borderId="0" xfId="28" applyFont="1" applyFill="1" applyBorder="1"/>
    <xf numFmtId="164" fontId="47" fillId="0" borderId="0" xfId="28" applyFont="1" applyBorder="1"/>
    <xf numFmtId="0" fontId="46" fillId="0" borderId="0" xfId="0" applyFont="1" applyFill="1" applyBorder="1" applyAlignment="1">
      <alignment horizontal="left"/>
    </xf>
    <xf numFmtId="166" fontId="46" fillId="0" borderId="94" xfId="0" applyNumberFormat="1" applyFont="1" applyBorder="1"/>
    <xf numFmtId="166" fontId="46" fillId="0" borderId="123" xfId="34" applyNumberFormat="1" applyFont="1" applyFill="1" applyBorder="1"/>
    <xf numFmtId="165" fontId="46" fillId="0" borderId="123" xfId="28" applyNumberFormat="1" applyFont="1" applyFill="1" applyBorder="1"/>
    <xf numFmtId="0" fontId="49" fillId="0" borderId="0" xfId="0" applyFont="1"/>
    <xf numFmtId="0" fontId="46" fillId="0" borderId="0" xfId="0" applyFont="1" applyAlignment="1"/>
    <xf numFmtId="0" fontId="46" fillId="0" borderId="0" xfId="0" applyFont="1" applyAlignment="1">
      <alignment horizontal="left"/>
    </xf>
    <xf numFmtId="0" fontId="59" fillId="0" borderId="0" xfId="0" applyFont="1" applyAlignment="1">
      <alignment horizontal="center" vertical="top" wrapText="1"/>
    </xf>
    <xf numFmtId="0" fontId="59" fillId="0" borderId="0" xfId="0" applyFont="1" applyAlignment="1">
      <alignment horizontal="left" vertical="top" wrapText="1"/>
    </xf>
    <xf numFmtId="0" fontId="59" fillId="0" borderId="46" xfId="0" applyFont="1" applyBorder="1" applyAlignment="1">
      <alignment horizontal="center" wrapText="1"/>
    </xf>
    <xf numFmtId="0" fontId="59" fillId="0" borderId="47" xfId="0" applyFont="1" applyBorder="1" applyAlignment="1">
      <alignment horizontal="left" vertical="top" wrapText="1"/>
    </xf>
    <xf numFmtId="165" fontId="61" fillId="32" borderId="48" xfId="28" applyNumberFormat="1" applyFont="1" applyFill="1" applyBorder="1" applyAlignment="1">
      <alignment horizontal="right" vertical="top" wrapText="1"/>
    </xf>
    <xf numFmtId="165" fontId="61" fillId="32" borderId="49" xfId="28" applyNumberFormat="1" applyFont="1" applyFill="1" applyBorder="1" applyAlignment="1">
      <alignment horizontal="right" vertical="top" wrapText="1"/>
    </xf>
    <xf numFmtId="165" fontId="61" fillId="32" borderId="50" xfId="28" applyNumberFormat="1" applyFont="1" applyFill="1" applyBorder="1" applyAlignment="1">
      <alignment horizontal="right" vertical="top" wrapText="1"/>
    </xf>
    <xf numFmtId="165" fontId="61" fillId="32" borderId="51" xfId="28" applyNumberFormat="1" applyFont="1" applyFill="1" applyBorder="1" applyAlignment="1">
      <alignment horizontal="right" vertical="top" wrapText="1"/>
    </xf>
    <xf numFmtId="165" fontId="62" fillId="26" borderId="52" xfId="28" applyNumberFormat="1" applyFont="1" applyFill="1" applyBorder="1" applyAlignment="1">
      <alignment horizontal="right" vertical="top" wrapText="1"/>
    </xf>
    <xf numFmtId="165" fontId="61" fillId="29" borderId="53" xfId="28" applyNumberFormat="1" applyFont="1" applyFill="1" applyBorder="1" applyAlignment="1">
      <alignment horizontal="right" vertical="top" wrapText="1"/>
    </xf>
    <xf numFmtId="0" fontId="47" fillId="0" borderId="0" xfId="0" applyFont="1" applyFill="1"/>
    <xf numFmtId="0" fontId="59" fillId="0" borderId="0" xfId="0" applyFont="1" applyFill="1" applyBorder="1" applyAlignment="1">
      <alignment horizontal="left" vertical="top" wrapText="1"/>
    </xf>
    <xf numFmtId="165" fontId="62" fillId="0" borderId="54" xfId="28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horizontal="left" vertical="top" wrapText="1"/>
    </xf>
    <xf numFmtId="165" fontId="59" fillId="0" borderId="0" xfId="28" applyNumberFormat="1" applyFont="1" applyBorder="1" applyAlignment="1">
      <alignment horizontal="right" wrapText="1"/>
    </xf>
    <xf numFmtId="0" fontId="63" fillId="0" borderId="0" xfId="0" applyFont="1" applyAlignment="1">
      <alignment horizontal="left" vertical="top" wrapText="1"/>
    </xf>
    <xf numFmtId="165" fontId="59" fillId="0" borderId="46" xfId="28" applyNumberFormat="1" applyFont="1" applyBorder="1" applyAlignment="1">
      <alignment horizontal="right" wrapText="1"/>
    </xf>
    <xf numFmtId="0" fontId="47" fillId="29" borderId="0" xfId="0" applyFont="1" applyFill="1"/>
    <xf numFmtId="165" fontId="61" fillId="32" borderId="52" xfId="28" applyNumberFormat="1" applyFont="1" applyFill="1" applyBorder="1" applyAlignment="1">
      <alignment horizontal="right" vertical="top" wrapText="1"/>
    </xf>
    <xf numFmtId="165" fontId="61" fillId="32" borderId="53" xfId="28" applyNumberFormat="1" applyFont="1" applyFill="1" applyBorder="1" applyAlignment="1">
      <alignment horizontal="right" vertical="top" wrapText="1"/>
    </xf>
    <xf numFmtId="0" fontId="62" fillId="0" borderId="55" xfId="0" applyFont="1" applyBorder="1" applyAlignment="1">
      <alignment horizontal="right" vertical="top" wrapText="1"/>
    </xf>
    <xf numFmtId="165" fontId="61" fillId="29" borderId="56" xfId="28" applyNumberFormat="1" applyFont="1" applyFill="1" applyBorder="1" applyAlignment="1">
      <alignment horizontal="right" vertical="top" wrapText="1"/>
    </xf>
    <xf numFmtId="0" fontId="62" fillId="0" borderId="47" xfId="0" applyFont="1" applyBorder="1" applyAlignment="1">
      <alignment horizontal="right" vertical="top" wrapText="1"/>
    </xf>
    <xf numFmtId="165" fontId="61" fillId="32" borderId="57" xfId="28" applyNumberFormat="1" applyFont="1" applyFill="1" applyBorder="1" applyAlignment="1">
      <alignment horizontal="right" vertical="top" wrapText="1"/>
    </xf>
    <xf numFmtId="0" fontId="62" fillId="0" borderId="47" xfId="0" applyFont="1" applyBorder="1" applyAlignment="1">
      <alignment horizontal="left" vertical="top" wrapText="1"/>
    </xf>
    <xf numFmtId="166" fontId="61" fillId="32" borderId="56" xfId="0" applyNumberFormat="1" applyFont="1" applyFill="1" applyBorder="1" applyAlignment="1">
      <alignment horizontal="left" vertical="top" wrapText="1"/>
    </xf>
    <xf numFmtId="0" fontId="61" fillId="0" borderId="58" xfId="0" applyFont="1" applyBorder="1" applyAlignment="1">
      <alignment horizontal="left" vertical="top" wrapText="1"/>
    </xf>
    <xf numFmtId="0" fontId="62" fillId="0" borderId="59" xfId="0" applyFont="1" applyBorder="1" applyAlignment="1">
      <alignment horizontal="left" vertical="top" wrapText="1"/>
    </xf>
    <xf numFmtId="166" fontId="61" fillId="32" borderId="57" xfId="0" applyNumberFormat="1" applyFont="1" applyFill="1" applyBorder="1" applyAlignment="1">
      <alignment horizontal="left" vertical="top" wrapText="1"/>
    </xf>
    <xf numFmtId="0" fontId="61" fillId="0" borderId="56" xfId="0" applyFont="1" applyBorder="1" applyAlignment="1">
      <alignment horizontal="right" vertical="top" wrapText="1"/>
    </xf>
    <xf numFmtId="0" fontId="62" fillId="0" borderId="60" xfId="0" applyFont="1" applyBorder="1" applyAlignment="1">
      <alignment horizontal="left" vertical="top" wrapText="1"/>
    </xf>
    <xf numFmtId="165" fontId="61" fillId="29" borderId="58" xfId="28" applyNumberFormat="1" applyFont="1" applyFill="1" applyBorder="1" applyAlignment="1">
      <alignment horizontal="right" vertical="top" wrapText="1"/>
    </xf>
    <xf numFmtId="0" fontId="62" fillId="0" borderId="61" xfId="0" applyFont="1" applyBorder="1" applyAlignment="1">
      <alignment horizontal="left" vertical="top" wrapText="1"/>
    </xf>
    <xf numFmtId="165" fontId="61" fillId="0" borderId="57" xfId="28" applyNumberFormat="1" applyFont="1" applyBorder="1" applyAlignment="1">
      <alignment horizontal="right" vertical="top" wrapText="1"/>
    </xf>
    <xf numFmtId="0" fontId="62" fillId="0" borderId="62" xfId="0" applyFont="1" applyBorder="1" applyAlignment="1">
      <alignment horizontal="left" vertical="top" wrapText="1"/>
    </xf>
    <xf numFmtId="0" fontId="62" fillId="0" borderId="55" xfId="0" applyFont="1" applyBorder="1" applyAlignment="1">
      <alignment horizontal="left" vertical="top" wrapText="1"/>
    </xf>
    <xf numFmtId="0" fontId="61" fillId="29" borderId="58" xfId="0" applyFont="1" applyFill="1" applyBorder="1" applyAlignment="1">
      <alignment horizontal="right" vertical="top" wrapText="1"/>
    </xf>
    <xf numFmtId="0" fontId="61" fillId="0" borderId="57" xfId="0" applyFont="1" applyBorder="1" applyAlignment="1">
      <alignment horizontal="right" vertical="top" wrapText="1"/>
    </xf>
    <xf numFmtId="0" fontId="47" fillId="24" borderId="0" xfId="0" applyFont="1" applyFill="1"/>
    <xf numFmtId="0" fontId="47" fillId="25" borderId="0" xfId="0" applyFont="1" applyFill="1"/>
    <xf numFmtId="0" fontId="47" fillId="26" borderId="0" xfId="0" applyFont="1" applyFill="1"/>
    <xf numFmtId="0" fontId="49" fillId="0" borderId="0" xfId="61" applyFont="1"/>
    <xf numFmtId="166" fontId="47" fillId="0" borderId="27" xfId="48" applyNumberFormat="1" applyFont="1" applyBorder="1"/>
    <xf numFmtId="3" fontId="47" fillId="0" borderId="0" xfId="61" applyNumberFormat="1" applyFont="1"/>
    <xf numFmtId="0" fontId="46" fillId="0" borderId="44" xfId="61" applyFont="1" applyBorder="1" applyAlignment="1">
      <alignment horizontal="center"/>
    </xf>
    <xf numFmtId="0" fontId="46" fillId="0" borderId="42" xfId="61" applyFont="1" applyBorder="1" applyAlignment="1">
      <alignment horizontal="center"/>
    </xf>
    <xf numFmtId="0" fontId="46" fillId="0" borderId="43" xfId="61" applyFont="1" applyBorder="1" applyAlignment="1">
      <alignment horizontal="center"/>
    </xf>
    <xf numFmtId="0" fontId="46" fillId="0" borderId="45" xfId="61" applyFont="1" applyBorder="1" applyAlignment="1">
      <alignment horizontal="center"/>
    </xf>
    <xf numFmtId="0" fontId="46" fillId="0" borderId="41" xfId="61" applyFont="1" applyBorder="1" applyAlignment="1">
      <alignment horizontal="center"/>
    </xf>
    <xf numFmtId="166" fontId="46" fillId="0" borderId="43" xfId="48" applyNumberFormat="1" applyFont="1" applyBorder="1" applyAlignment="1">
      <alignment horizontal="center"/>
    </xf>
    <xf numFmtId="166" fontId="47" fillId="0" borderId="13" xfId="48" applyNumberFormat="1" applyFont="1" applyBorder="1"/>
    <xf numFmtId="166" fontId="47" fillId="0" borderId="15" xfId="48" applyNumberFormat="1" applyFont="1" applyBorder="1"/>
    <xf numFmtId="166" fontId="47" fillId="0" borderId="16" xfId="48" applyNumberFormat="1" applyFont="1" applyBorder="1"/>
    <xf numFmtId="166" fontId="47" fillId="0" borderId="17" xfId="48" applyNumberFormat="1" applyFont="1" applyBorder="1"/>
    <xf numFmtId="166" fontId="47" fillId="0" borderId="14" xfId="48" applyNumberFormat="1" applyFont="1" applyBorder="1"/>
    <xf numFmtId="166" fontId="47" fillId="28" borderId="13" xfId="48" applyNumberFormat="1" applyFont="1" applyFill="1" applyBorder="1"/>
    <xf numFmtId="166" fontId="47" fillId="28" borderId="15" xfId="48" applyNumberFormat="1" applyFont="1" applyFill="1" applyBorder="1"/>
    <xf numFmtId="166" fontId="47" fillId="28" borderId="16" xfId="48" applyNumberFormat="1" applyFont="1" applyFill="1" applyBorder="1"/>
    <xf numFmtId="166" fontId="47" fillId="28" borderId="126" xfId="48" applyNumberFormat="1" applyFont="1" applyFill="1" applyBorder="1"/>
    <xf numFmtId="166" fontId="47" fillId="0" borderId="19" xfId="48" applyNumberFormat="1" applyFont="1" applyBorder="1"/>
    <xf numFmtId="166" fontId="47" fillId="0" borderId="21" xfId="48" applyNumberFormat="1" applyFont="1" applyBorder="1"/>
    <xf numFmtId="166" fontId="47" fillId="0" borderId="22" xfId="48" applyNumberFormat="1" applyFont="1" applyBorder="1"/>
    <xf numFmtId="166" fontId="47" fillId="0" borderId="23" xfId="48" applyNumberFormat="1" applyFont="1" applyBorder="1"/>
    <xf numFmtId="166" fontId="47" fillId="0" borderId="116" xfId="48" applyNumberFormat="1" applyFont="1" applyBorder="1"/>
    <xf numFmtId="166" fontId="47" fillId="28" borderId="19" xfId="48" applyNumberFormat="1" applyFont="1" applyFill="1" applyBorder="1"/>
    <xf numFmtId="166" fontId="47" fillId="28" borderId="21" xfId="48" applyNumberFormat="1" applyFont="1" applyFill="1" applyBorder="1"/>
    <xf numFmtId="166" fontId="47" fillId="28" borderId="22" xfId="48" applyNumberFormat="1" applyFont="1" applyFill="1" applyBorder="1"/>
    <xf numFmtId="166" fontId="47" fillId="28" borderId="127" xfId="48" applyNumberFormat="1" applyFont="1" applyFill="1" applyBorder="1"/>
    <xf numFmtId="166" fontId="47" fillId="0" borderId="26" xfId="48" applyNumberFormat="1" applyFont="1" applyBorder="1"/>
    <xf numFmtId="166" fontId="47" fillId="28" borderId="24" xfId="48" applyNumberFormat="1" applyFont="1" applyFill="1" applyBorder="1"/>
    <xf numFmtId="166" fontId="47" fillId="28" borderId="25" xfId="48" applyNumberFormat="1" applyFont="1" applyFill="1" applyBorder="1"/>
    <xf numFmtId="166" fontId="47" fillId="28" borderId="26" xfId="48" applyNumberFormat="1" applyFont="1" applyFill="1" applyBorder="1"/>
    <xf numFmtId="166" fontId="47" fillId="0" borderId="28" xfId="48" applyNumberFormat="1" applyFont="1" applyBorder="1"/>
    <xf numFmtId="166" fontId="47" fillId="0" borderId="24" xfId="48" applyNumberFormat="1" applyFont="1" applyBorder="1"/>
    <xf numFmtId="166" fontId="47" fillId="0" borderId="25" xfId="48" applyNumberFormat="1" applyFont="1" applyBorder="1"/>
    <xf numFmtId="166" fontId="47" fillId="0" borderId="29" xfId="48" applyNumberFormat="1" applyFont="1" applyBorder="1"/>
    <xf numFmtId="166" fontId="47" fillId="0" borderId="128" xfId="48" applyNumberFormat="1" applyFont="1" applyFill="1" applyBorder="1"/>
    <xf numFmtId="166" fontId="47" fillId="0" borderId="26" xfId="48" applyNumberFormat="1" applyFont="1" applyFill="1" applyBorder="1"/>
    <xf numFmtId="166" fontId="47" fillId="0" borderId="116" xfId="48" applyNumberFormat="1" applyFont="1" applyFill="1" applyBorder="1"/>
    <xf numFmtId="166" fontId="47" fillId="0" borderId="25" xfId="48" applyNumberFormat="1" applyFont="1" applyFill="1" applyBorder="1"/>
    <xf numFmtId="166" fontId="47" fillId="0" borderId="129" xfId="48" applyNumberFormat="1" applyFont="1" applyBorder="1"/>
    <xf numFmtId="166" fontId="47" fillId="0" borderId="109" xfId="48" applyNumberFormat="1" applyFont="1" applyBorder="1"/>
    <xf numFmtId="166" fontId="47" fillId="0" borderId="130" xfId="48" applyNumberFormat="1" applyFont="1" applyBorder="1"/>
    <xf numFmtId="166" fontId="47" fillId="0" borderId="110" xfId="48" applyNumberFormat="1" applyFont="1" applyBorder="1"/>
    <xf numFmtId="166" fontId="47" fillId="0" borderId="131" xfId="48" applyNumberFormat="1" applyFont="1" applyBorder="1"/>
    <xf numFmtId="166" fontId="47" fillId="28" borderId="129" xfId="48" applyNumberFormat="1" applyFont="1" applyFill="1" applyBorder="1"/>
    <xf numFmtId="166" fontId="47" fillId="28" borderId="109" xfId="48" applyNumberFormat="1" applyFont="1" applyFill="1" applyBorder="1"/>
    <xf numFmtId="166" fontId="47" fillId="28" borderId="131" xfId="48" applyNumberFormat="1" applyFont="1" applyFill="1" applyBorder="1"/>
    <xf numFmtId="166" fontId="47" fillId="28" borderId="132" xfId="48" applyNumberFormat="1" applyFont="1" applyFill="1" applyBorder="1"/>
    <xf numFmtId="166" fontId="47" fillId="0" borderId="32" xfId="48" applyNumberFormat="1" applyFont="1" applyBorder="1"/>
    <xf numFmtId="166" fontId="47" fillId="0" borderId="34" xfId="48" applyNumberFormat="1" applyFont="1" applyBorder="1"/>
    <xf numFmtId="166" fontId="47" fillId="0" borderId="33" xfId="48" applyNumberFormat="1" applyFont="1" applyBorder="1"/>
    <xf numFmtId="166" fontId="47" fillId="0" borderId="35" xfId="48" applyNumberFormat="1" applyFont="1" applyBorder="1"/>
    <xf numFmtId="166" fontId="47" fillId="0" borderId="36" xfId="48" applyNumberFormat="1" applyFont="1" applyBorder="1"/>
    <xf numFmtId="166" fontId="47" fillId="0" borderId="37" xfId="48" applyNumberFormat="1" applyFont="1" applyBorder="1"/>
    <xf numFmtId="166" fontId="47" fillId="0" borderId="38" xfId="48" applyNumberFormat="1" applyFont="1" applyBorder="1"/>
    <xf numFmtId="166" fontId="47" fillId="0" borderId="39" xfId="48" applyNumberFormat="1" applyFont="1" applyBorder="1"/>
    <xf numFmtId="166" fontId="47" fillId="0" borderId="128" xfId="48" applyNumberFormat="1" applyFont="1" applyBorder="1"/>
    <xf numFmtId="166" fontId="46" fillId="0" borderId="13" xfId="48" applyNumberFormat="1" applyFont="1" applyBorder="1"/>
    <xf numFmtId="166" fontId="46" fillId="0" borderId="15" xfId="48" applyNumberFormat="1" applyFont="1" applyBorder="1"/>
    <xf numFmtId="166" fontId="46" fillId="0" borderId="16" xfId="48" applyNumberFormat="1" applyFont="1" applyBorder="1"/>
    <xf numFmtId="166" fontId="46" fillId="0" borderId="133" xfId="48" applyNumberFormat="1" applyFont="1" applyBorder="1"/>
    <xf numFmtId="166" fontId="46" fillId="0" borderId="134" xfId="48" applyNumberFormat="1" applyFont="1" applyBorder="1"/>
    <xf numFmtId="166" fontId="46" fillId="0" borderId="135" xfId="48" applyNumberFormat="1" applyFont="1" applyBorder="1"/>
    <xf numFmtId="166" fontId="46" fillId="0" borderId="31" xfId="48" applyNumberFormat="1" applyFont="1" applyBorder="1"/>
    <xf numFmtId="166" fontId="46" fillId="0" borderId="32" xfId="48" applyNumberFormat="1" applyFont="1" applyBorder="1" applyAlignment="1"/>
    <xf numFmtId="166" fontId="46" fillId="0" borderId="136" xfId="48" applyNumberFormat="1" applyFont="1" applyBorder="1" applyAlignment="1"/>
    <xf numFmtId="166" fontId="46" fillId="0" borderId="137" xfId="48" applyNumberFormat="1" applyFont="1" applyBorder="1"/>
    <xf numFmtId="166" fontId="46" fillId="0" borderId="138" xfId="48" applyNumberFormat="1" applyFont="1" applyBorder="1" applyAlignment="1"/>
    <xf numFmtId="166" fontId="46" fillId="0" borderId="139" xfId="48" applyNumberFormat="1" applyFont="1" applyBorder="1" applyAlignment="1"/>
    <xf numFmtId="166" fontId="47" fillId="0" borderId="0" xfId="48" applyNumberFormat="1" applyFont="1"/>
    <xf numFmtId="166" fontId="46" fillId="0" borderId="0" xfId="48" applyNumberFormat="1" applyFont="1"/>
    <xf numFmtId="10" fontId="46" fillId="0" borderId="0" xfId="66" applyNumberFormat="1" applyFont="1"/>
    <xf numFmtId="9" fontId="46" fillId="0" borderId="0" xfId="66" applyFont="1"/>
    <xf numFmtId="9" fontId="47" fillId="0" borderId="0" xfId="66" applyFont="1"/>
    <xf numFmtId="3" fontId="46" fillId="0" borderId="0" xfId="48" applyNumberFormat="1" applyFont="1"/>
    <xf numFmtId="172" fontId="47" fillId="0" borderId="0" xfId="48" applyNumberFormat="1" applyFont="1"/>
    <xf numFmtId="166" fontId="47" fillId="0" borderId="0" xfId="48" applyNumberFormat="1" applyFont="1" applyBorder="1"/>
    <xf numFmtId="0" fontId="64" fillId="0" borderId="0" xfId="50" applyFont="1" applyAlignment="1">
      <alignment horizontal="center" wrapText="1"/>
    </xf>
    <xf numFmtId="0" fontId="64" fillId="0" borderId="79" xfId="50" applyFont="1" applyBorder="1" applyAlignment="1">
      <alignment horizontal="center" wrapText="1"/>
    </xf>
    <xf numFmtId="0" fontId="65" fillId="0" borderId="0" xfId="50" applyFont="1" applyAlignment="1">
      <alignment horizontal="right" vertical="top" wrapText="1"/>
    </xf>
    <xf numFmtId="0" fontId="47" fillId="0" borderId="0" xfId="50" applyFont="1" applyAlignment="1">
      <alignment horizontal="justify" vertical="top" wrapText="1"/>
    </xf>
    <xf numFmtId="3" fontId="68" fillId="0" borderId="140" xfId="50" applyNumberFormat="1" applyFont="1" applyBorder="1" applyAlignment="1">
      <alignment horizontal="right" vertical="top" wrapText="1"/>
    </xf>
    <xf numFmtId="0" fontId="66" fillId="0" borderId="0" xfId="50" applyFont="1" applyAlignment="1">
      <alignment horizontal="right" vertical="top" wrapText="1"/>
    </xf>
    <xf numFmtId="3" fontId="66" fillId="0" borderId="79" xfId="50" applyNumberFormat="1" applyFont="1" applyBorder="1" applyAlignment="1">
      <alignment horizontal="right" wrapText="1"/>
    </xf>
    <xf numFmtId="0" fontId="66" fillId="0" borderId="0" xfId="50" applyFont="1" applyAlignment="1">
      <alignment horizontal="right" wrapText="1"/>
    </xf>
    <xf numFmtId="0" fontId="67" fillId="0" borderId="0" xfId="50" applyFont="1" applyAlignment="1">
      <alignment horizontal="left" vertical="top" wrapText="1" indent="2"/>
    </xf>
    <xf numFmtId="3" fontId="68" fillId="0" borderId="140" xfId="50" applyNumberFormat="1" applyFont="1" applyBorder="1" applyAlignment="1">
      <alignment horizontal="right" wrapText="1"/>
    </xf>
    <xf numFmtId="0" fontId="68" fillId="0" borderId="0" xfId="50" applyFont="1" applyAlignment="1">
      <alignment horizontal="right" vertical="top" wrapText="1"/>
    </xf>
    <xf numFmtId="0" fontId="46" fillId="0" borderId="0" xfId="50" applyFont="1" applyAlignment="1">
      <alignment horizontal="center" wrapText="1"/>
    </xf>
    <xf numFmtId="0" fontId="46" fillId="0" borderId="0" xfId="50" applyFont="1" applyAlignment="1">
      <alignment horizontal="center" vertical="top" wrapText="1"/>
    </xf>
    <xf numFmtId="0" fontId="46" fillId="0" borderId="79" xfId="50" applyFont="1" applyBorder="1" applyAlignment="1">
      <alignment horizontal="center" wrapText="1"/>
    </xf>
    <xf numFmtId="3" fontId="66" fillId="0" borderId="0" xfId="50" applyNumberFormat="1" applyFont="1" applyAlignment="1">
      <alignment horizontal="right" wrapText="1"/>
    </xf>
    <xf numFmtId="0" fontId="46" fillId="0" borderId="0" xfId="50" applyFont="1" applyAlignment="1">
      <alignment horizontal="justify" vertical="top" wrapText="1"/>
    </xf>
    <xf numFmtId="0" fontId="67" fillId="0" borderId="0" xfId="50" applyFont="1" applyAlignment="1">
      <alignment horizontal="center" vertical="top" wrapText="1"/>
    </xf>
    <xf numFmtId="0" fontId="47" fillId="0" borderId="0" xfId="50" applyFont="1" applyAlignment="1">
      <alignment horizontal="right" wrapText="1"/>
    </xf>
    <xf numFmtId="0" fontId="47" fillId="0" borderId="0" xfId="50" applyFont="1" applyAlignment="1">
      <alignment horizontal="center" vertical="top" wrapText="1"/>
    </xf>
    <xf numFmtId="0" fontId="47" fillId="0" borderId="0" xfId="50" applyFont="1" applyAlignment="1">
      <alignment horizontal="center" wrapText="1"/>
    </xf>
    <xf numFmtId="0" fontId="47" fillId="0" borderId="0" xfId="56" applyFont="1" applyBorder="1" applyAlignment="1">
      <alignment horizontal="left"/>
    </xf>
    <xf numFmtId="0" fontId="47" fillId="0" borderId="0" xfId="56" applyFont="1" applyFill="1" applyBorder="1" applyAlignment="1">
      <alignment horizontal="left"/>
    </xf>
    <xf numFmtId="0" fontId="47" fillId="0" borderId="0" xfId="56" applyFont="1" applyBorder="1"/>
    <xf numFmtId="0" fontId="47" fillId="0" borderId="0" xfId="56" applyFont="1" applyFill="1" applyBorder="1"/>
    <xf numFmtId="169" fontId="47" fillId="0" borderId="0" xfId="56" applyNumberFormat="1" applyFont="1" applyBorder="1"/>
    <xf numFmtId="0" fontId="47" fillId="0" borderId="79" xfId="0" applyFont="1" applyBorder="1"/>
    <xf numFmtId="0" fontId="59" fillId="0" borderId="0" xfId="0" applyFont="1" applyAlignment="1">
      <alignment horizontal="left" vertical="center"/>
    </xf>
    <xf numFmtId="0" fontId="47" fillId="0" borderId="0" xfId="0" applyNumberFormat="1" applyFont="1" applyFill="1" applyBorder="1" applyAlignment="1" applyProtection="1">
      <alignment horizontal="center"/>
    </xf>
    <xf numFmtId="3" fontId="47" fillId="0" borderId="0" xfId="0" applyNumberFormat="1" applyFont="1" applyFill="1" applyBorder="1" applyAlignment="1" applyProtection="1">
      <alignment horizontal="right"/>
    </xf>
    <xf numFmtId="0" fontId="62" fillId="0" borderId="0" xfId="0" applyFont="1" applyAlignment="1">
      <alignment vertical="center"/>
    </xf>
    <xf numFmtId="3" fontId="63" fillId="0" borderId="0" xfId="0" applyNumberFormat="1" applyFont="1" applyAlignment="1">
      <alignment horizontal="right" vertical="center"/>
    </xf>
    <xf numFmtId="0" fontId="59" fillId="0" borderId="140" xfId="0" applyFont="1" applyFill="1" applyBorder="1" applyAlignment="1">
      <alignment horizontal="center" vertical="center"/>
    </xf>
    <xf numFmtId="3" fontId="59" fillId="0" borderId="140" xfId="0" applyNumberFormat="1" applyFont="1" applyFill="1" applyBorder="1" applyAlignment="1">
      <alignment horizontal="right" vertical="center" wrapText="1"/>
    </xf>
    <xf numFmtId="0" fontId="59" fillId="0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center" vertical="center"/>
    </xf>
    <xf numFmtId="3" fontId="59" fillId="0" borderId="0" xfId="0" applyNumberFormat="1" applyFont="1" applyFill="1" applyBorder="1" applyAlignment="1">
      <alignment horizontal="right" vertical="center" wrapText="1"/>
    </xf>
    <xf numFmtId="3" fontId="47" fillId="0" borderId="0" xfId="0" applyNumberFormat="1" applyFont="1"/>
    <xf numFmtId="3" fontId="46" fillId="0" borderId="0" xfId="0" applyNumberFormat="1" applyFont="1"/>
    <xf numFmtId="0" fontId="62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center" vertical="center"/>
    </xf>
    <xf numFmtId="3" fontId="62" fillId="0" borderId="0" xfId="0" applyNumberFormat="1" applyFont="1" applyFill="1" applyBorder="1" applyAlignment="1">
      <alignment horizontal="right" vertical="center" wrapText="1"/>
    </xf>
    <xf numFmtId="0" fontId="62" fillId="0" borderId="0" xfId="0" applyFont="1" applyFill="1" applyBorder="1" applyAlignment="1">
      <alignment horizontal="left" vertical="justify"/>
    </xf>
    <xf numFmtId="3" fontId="69" fillId="0" borderId="0" xfId="0" applyNumberFormat="1" applyFont="1"/>
    <xf numFmtId="3" fontId="62" fillId="0" borderId="0" xfId="0" applyNumberFormat="1" applyFont="1" applyFill="1" applyBorder="1" applyAlignment="1" applyProtection="1">
      <alignment horizontal="right"/>
    </xf>
    <xf numFmtId="3" fontId="59" fillId="0" borderId="0" xfId="0" applyNumberFormat="1" applyFont="1" applyFill="1" applyBorder="1" applyAlignment="1" applyProtection="1">
      <alignment horizontal="right"/>
    </xf>
    <xf numFmtId="3" fontId="59" fillId="0" borderId="0" xfId="0" applyNumberFormat="1" applyFont="1" applyBorder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 wrapText="1"/>
    </xf>
    <xf numFmtId="0" fontId="69" fillId="0" borderId="0" xfId="0" applyFont="1"/>
    <xf numFmtId="0" fontId="46" fillId="0" borderId="141" xfId="53" applyFont="1" applyBorder="1"/>
    <xf numFmtId="0" fontId="47" fillId="0" borderId="142" xfId="53" applyFont="1" applyBorder="1"/>
    <xf numFmtId="0" fontId="47" fillId="0" borderId="143" xfId="53" applyFont="1" applyBorder="1"/>
    <xf numFmtId="0" fontId="47" fillId="0" borderId="144" xfId="53" applyFont="1" applyBorder="1"/>
    <xf numFmtId="0" fontId="47" fillId="0" borderId="145" xfId="53" applyFont="1" applyBorder="1"/>
    <xf numFmtId="0" fontId="47" fillId="0" borderId="0" xfId="53" applyFont="1" applyProtection="1"/>
    <xf numFmtId="0" fontId="47" fillId="0" borderId="0" xfId="53" applyFont="1"/>
    <xf numFmtId="3" fontId="47" fillId="0" borderId="0" xfId="53" applyNumberFormat="1" applyFont="1"/>
    <xf numFmtId="3" fontId="47" fillId="0" borderId="0" xfId="53" applyNumberFormat="1" applyFont="1" applyBorder="1"/>
    <xf numFmtId="0" fontId="70" fillId="0" borderId="0" xfId="53" applyFont="1" applyBorder="1" applyAlignment="1" applyProtection="1">
      <alignment horizontal="center" vertical="center" wrapText="1"/>
    </xf>
    <xf numFmtId="3" fontId="48" fillId="0" borderId="0" xfId="55" applyNumberFormat="1" applyFont="1" applyBorder="1" applyAlignment="1">
      <alignment horizontal="right"/>
    </xf>
    <xf numFmtId="3" fontId="46" fillId="0" borderId="0" xfId="55" applyNumberFormat="1" applyFont="1" applyAlignment="1">
      <alignment horizontal="center" vertical="center"/>
    </xf>
    <xf numFmtId="3" fontId="46" fillId="0" borderId="0" xfId="55" applyNumberFormat="1" applyFont="1" applyBorder="1" applyAlignment="1">
      <alignment horizontal="center" vertical="center"/>
    </xf>
    <xf numFmtId="0" fontId="47" fillId="0" borderId="0" xfId="53" applyFont="1" applyAlignment="1">
      <alignment horizontal="center"/>
    </xf>
    <xf numFmtId="3" fontId="46" fillId="0" borderId="79" xfId="55" applyNumberFormat="1" applyFont="1" applyBorder="1" applyAlignment="1">
      <alignment horizontal="center" vertical="center"/>
    </xf>
    <xf numFmtId="3" fontId="48" fillId="0" borderId="0" xfId="55" applyNumberFormat="1" applyFont="1" applyAlignment="1">
      <alignment horizontal="right"/>
    </xf>
    <xf numFmtId="3" fontId="47" fillId="0" borderId="0" xfId="55" applyNumberFormat="1" applyFont="1" applyBorder="1" applyAlignment="1">
      <alignment horizontal="right" vertical="top"/>
    </xf>
    <xf numFmtId="3" fontId="47" fillId="0" borderId="0" xfId="55" applyNumberFormat="1" applyFont="1" applyBorder="1" applyAlignment="1">
      <alignment horizontal="right"/>
    </xf>
    <xf numFmtId="165" fontId="46" fillId="0" borderId="0" xfId="37" applyNumberFormat="1" applyFont="1" applyBorder="1" applyProtection="1"/>
    <xf numFmtId="3" fontId="46" fillId="0" borderId="0" xfId="55" applyNumberFormat="1" applyFont="1" applyAlignment="1"/>
    <xf numFmtId="3" fontId="46" fillId="0" borderId="0" xfId="55" applyNumberFormat="1" applyFont="1" applyBorder="1" applyAlignment="1"/>
    <xf numFmtId="3" fontId="60" fillId="0" borderId="0" xfId="55" applyNumberFormat="1" applyFont="1" applyAlignment="1">
      <alignment horizontal="right"/>
    </xf>
    <xf numFmtId="0" fontId="47" fillId="0" borderId="0" xfId="53" applyFont="1" applyBorder="1" applyProtection="1"/>
    <xf numFmtId="3" fontId="47" fillId="0" borderId="0" xfId="55" applyNumberFormat="1" applyFont="1" applyAlignment="1"/>
    <xf numFmtId="3" fontId="47" fillId="0" borderId="0" xfId="55" applyNumberFormat="1" applyFont="1" applyBorder="1" applyAlignment="1"/>
    <xf numFmtId="3" fontId="47" fillId="0" borderId="0" xfId="55" applyNumberFormat="1" applyFont="1" applyAlignment="1">
      <alignment horizontal="right" vertical="top"/>
    </xf>
    <xf numFmtId="3" fontId="47" fillId="0" borderId="0" xfId="55" applyNumberFormat="1" applyFont="1" applyAlignment="1">
      <alignment horizontal="right"/>
    </xf>
    <xf numFmtId="3" fontId="46" fillId="0" borderId="0" xfId="55" applyNumberFormat="1" applyFont="1" applyAlignment="1">
      <alignment horizontal="right"/>
    </xf>
    <xf numFmtId="3" fontId="47" fillId="0" borderId="0" xfId="28" applyNumberFormat="1" applyFont="1" applyAlignment="1">
      <alignment horizontal="right"/>
    </xf>
    <xf numFmtId="3" fontId="47" fillId="0" borderId="0" xfId="53" applyNumberFormat="1" applyFont="1" applyBorder="1" applyAlignment="1" applyProtection="1">
      <alignment horizontal="right"/>
    </xf>
    <xf numFmtId="3" fontId="46" fillId="0" borderId="0" xfId="55" applyNumberFormat="1" applyFont="1" applyBorder="1" applyAlignment="1">
      <alignment horizontal="center" vertical="top"/>
    </xf>
    <xf numFmtId="3" fontId="46" fillId="0" borderId="0" xfId="55" applyNumberFormat="1" applyFont="1" applyBorder="1" applyAlignment="1">
      <alignment horizontal="right"/>
    </xf>
    <xf numFmtId="3" fontId="47" fillId="0" borderId="79" xfId="53" applyNumberFormat="1" applyFont="1" applyBorder="1" applyProtection="1"/>
    <xf numFmtId="3" fontId="46" fillId="0" borderId="80" xfId="55" applyNumberFormat="1" applyFont="1" applyBorder="1" applyAlignment="1">
      <alignment horizontal="center" vertical="center"/>
    </xf>
    <xf numFmtId="0" fontId="47" fillId="0" borderId="0" xfId="53" applyFont="1" applyFill="1"/>
    <xf numFmtId="3" fontId="46" fillId="0" borderId="0" xfId="53" applyNumberFormat="1" applyFont="1" applyFill="1" applyBorder="1"/>
    <xf numFmtId="165" fontId="47" fillId="0" borderId="0" xfId="53" applyNumberFormat="1" applyFont="1" applyFill="1" applyBorder="1"/>
    <xf numFmtId="3" fontId="46" fillId="0" borderId="0" xfId="53" applyNumberFormat="1" applyFont="1" applyBorder="1"/>
    <xf numFmtId="0" fontId="46" fillId="33" borderId="0" xfId="0" applyFont="1" applyFill="1" applyAlignment="1">
      <alignment vertical="top" wrapText="1"/>
    </xf>
    <xf numFmtId="168" fontId="46" fillId="33" borderId="0" xfId="0" applyNumberFormat="1" applyFont="1" applyFill="1" applyAlignment="1">
      <alignment horizontal="right" wrapText="1"/>
    </xf>
    <xf numFmtId="0" fontId="47" fillId="33" borderId="0" xfId="0" applyFont="1" applyFill="1" applyAlignment="1">
      <alignment vertical="top" wrapText="1"/>
    </xf>
    <xf numFmtId="164" fontId="62" fillId="33" borderId="0" xfId="28" applyFont="1" applyFill="1" applyAlignment="1">
      <alignment horizontal="right" wrapText="1"/>
    </xf>
    <xf numFmtId="0" fontId="47" fillId="33" borderId="0" xfId="0" applyFont="1" applyFill="1" applyAlignment="1">
      <alignment horizontal="left" vertical="top" wrapText="1" indent="1"/>
    </xf>
    <xf numFmtId="168" fontId="59" fillId="33" borderId="123" xfId="0" applyNumberFormat="1" applyFont="1" applyFill="1" applyBorder="1" applyAlignment="1">
      <alignment horizontal="right" wrapText="1"/>
    </xf>
    <xf numFmtId="0" fontId="71" fillId="0" borderId="0" xfId="0" applyFont="1" applyFill="1" applyBorder="1"/>
    <xf numFmtId="0" fontId="71" fillId="0" borderId="0" xfId="0" applyFont="1" applyBorder="1"/>
    <xf numFmtId="0" fontId="72" fillId="0" borderId="0" xfId="0" applyFont="1" applyFill="1" applyBorder="1" applyAlignment="1">
      <alignment horizontal="center" vertical="center"/>
    </xf>
    <xf numFmtId="0" fontId="72" fillId="31" borderId="0" xfId="0" applyFont="1" applyFill="1" applyBorder="1" applyAlignment="1">
      <alignment horizontal="center" vertical="center"/>
    </xf>
    <xf numFmtId="0" fontId="73" fillId="0" borderId="0" xfId="0" applyFont="1" applyFill="1" applyBorder="1"/>
    <xf numFmtId="0" fontId="73" fillId="0" borderId="0" xfId="0" applyFont="1" applyFill="1" applyBorder="1" applyAlignment="1">
      <alignment horizontal="left" wrapText="1"/>
    </xf>
    <xf numFmtId="0" fontId="72" fillId="0" borderId="0" xfId="0" applyFont="1" applyBorder="1"/>
    <xf numFmtId="0" fontId="72" fillId="0" borderId="0" xfId="0" applyFont="1" applyFill="1" applyBorder="1"/>
    <xf numFmtId="0" fontId="71" fillId="0" borderId="0" xfId="0" applyFont="1" applyBorder="1" applyAlignment="1">
      <alignment wrapText="1"/>
    </xf>
    <xf numFmtId="0" fontId="71" fillId="0" borderId="0" xfId="0" applyFont="1" applyFill="1" applyBorder="1" applyAlignment="1">
      <alignment wrapText="1"/>
    </xf>
    <xf numFmtId="0" fontId="72" fillId="0" borderId="0" xfId="0" applyFont="1" applyFill="1" applyBorder="1" applyAlignment="1">
      <alignment horizontal="right"/>
    </xf>
    <xf numFmtId="0" fontId="73" fillId="0" borderId="0" xfId="0" applyFont="1" applyFill="1" applyBorder="1" applyAlignment="1">
      <alignment wrapText="1"/>
    </xf>
    <xf numFmtId="0" fontId="71" fillId="31" borderId="0" xfId="0" applyFont="1" applyFill="1" applyBorder="1"/>
    <xf numFmtId="0" fontId="74" fillId="0" borderId="0" xfId="0" applyFont="1" applyFill="1" applyBorder="1"/>
    <xf numFmtId="166" fontId="72" fillId="0" borderId="0" xfId="34" applyNumberFormat="1" applyFont="1" applyFill="1" applyBorder="1"/>
    <xf numFmtId="0" fontId="74" fillId="0" borderId="0" xfId="0" applyFont="1" applyFill="1" applyBorder="1" applyAlignment="1">
      <alignment horizontal="right"/>
    </xf>
    <xf numFmtId="0" fontId="71" fillId="0" borderId="0" xfId="0" applyFont="1" applyFill="1" applyBorder="1" applyAlignment="1">
      <alignment horizontal="left" wrapText="1"/>
    </xf>
    <xf numFmtId="0" fontId="62" fillId="0" borderId="0" xfId="61" applyFont="1"/>
    <xf numFmtId="166" fontId="62" fillId="0" borderId="0" xfId="48" applyNumberFormat="1" applyFont="1"/>
    <xf numFmtId="0" fontId="49" fillId="0" borderId="0" xfId="61" applyFont="1" applyAlignment="1">
      <alignment horizontal="center"/>
    </xf>
    <xf numFmtId="166" fontId="62" fillId="0" borderId="0" xfId="48" applyNumberFormat="1" applyFont="1" applyAlignment="1">
      <alignment horizontal="center"/>
    </xf>
    <xf numFmtId="0" fontId="62" fillId="0" borderId="0" xfId="61" applyFont="1" applyAlignment="1">
      <alignment horizontal="center"/>
    </xf>
    <xf numFmtId="0" fontId="62" fillId="0" borderId="13" xfId="61" applyFont="1" applyBorder="1"/>
    <xf numFmtId="0" fontId="62" fillId="0" borderId="14" xfId="61" applyFont="1" applyBorder="1"/>
    <xf numFmtId="0" fontId="62" fillId="0" borderId="19" xfId="61" applyFont="1" applyBorder="1"/>
    <xf numFmtId="0" fontId="62" fillId="0" borderId="20" xfId="61" applyFont="1" applyBorder="1"/>
    <xf numFmtId="3" fontId="59" fillId="0" borderId="85" xfId="61" applyNumberFormat="1" applyFont="1" applyBorder="1" applyAlignment="1"/>
    <xf numFmtId="0" fontId="62" fillId="0" borderId="24" xfId="61" applyFont="1" applyBorder="1"/>
    <xf numFmtId="0" fontId="62" fillId="0" borderId="29" xfId="61" applyFont="1" applyBorder="1"/>
    <xf numFmtId="166" fontId="62" fillId="0" borderId="146" xfId="48" applyNumberFormat="1" applyFont="1" applyBorder="1"/>
    <xf numFmtId="0" fontId="62" fillId="0" borderId="110" xfId="61" applyFont="1" applyBorder="1"/>
    <xf numFmtId="0" fontId="62" fillId="0" borderId="129" xfId="61" applyFont="1" applyBorder="1"/>
    <xf numFmtId="0" fontId="62" fillId="0" borderId="35" xfId="61" applyFont="1" applyBorder="1"/>
    <xf numFmtId="0" fontId="62" fillId="0" borderId="39" xfId="61" applyFont="1" applyBorder="1"/>
    <xf numFmtId="166" fontId="62" fillId="0" borderId="0" xfId="61" applyNumberFormat="1" applyFont="1"/>
    <xf numFmtId="0" fontId="62" fillId="0" borderId="0" xfId="61" applyFont="1" applyBorder="1"/>
    <xf numFmtId="166" fontId="62" fillId="0" borderId="0" xfId="48" applyNumberFormat="1" applyFont="1" applyBorder="1"/>
    <xf numFmtId="169" fontId="47" fillId="0" borderId="0" xfId="54" applyNumberFormat="1" applyFont="1" applyBorder="1" applyAlignment="1" applyProtection="1">
      <alignment horizontal="center" vertical="center"/>
    </xf>
    <xf numFmtId="169" fontId="47" fillId="0" borderId="0" xfId="54" applyNumberFormat="1" applyFont="1" applyFill="1" applyBorder="1" applyAlignment="1">
      <alignment horizontal="center" vertical="center"/>
    </xf>
    <xf numFmtId="0" fontId="47" fillId="0" borderId="0" xfId="56" applyFont="1" applyBorder="1" applyAlignment="1">
      <alignment horizontal="center" vertical="center"/>
    </xf>
    <xf numFmtId="165" fontId="47" fillId="0" borderId="0" xfId="28" applyNumberFormat="1" applyFont="1" applyFill="1" applyBorder="1" applyAlignment="1" applyProtection="1">
      <alignment horizontal="right"/>
      <protection locked="0"/>
    </xf>
    <xf numFmtId="169" fontId="47" fillId="0" borderId="0" xfId="54" applyNumberFormat="1" applyFont="1" applyFill="1" applyBorder="1" applyAlignment="1" applyProtection="1">
      <alignment horizontal="right"/>
    </xf>
    <xf numFmtId="169" fontId="47" fillId="0" borderId="0" xfId="54" applyNumberFormat="1" applyFont="1" applyFill="1" applyBorder="1"/>
    <xf numFmtId="0" fontId="47" fillId="0" borderId="147" xfId="53" applyFont="1" applyBorder="1"/>
    <xf numFmtId="0" fontId="47" fillId="0" borderId="96" xfId="53" applyFont="1" applyFill="1" applyBorder="1"/>
    <xf numFmtId="0" fontId="47" fillId="0" borderId="148" xfId="53" applyFont="1" applyBorder="1"/>
    <xf numFmtId="0" fontId="47" fillId="0" borderId="149" xfId="53" applyFont="1" applyBorder="1"/>
    <xf numFmtId="0" fontId="47" fillId="0" borderId="150" xfId="53" applyFont="1" applyBorder="1"/>
    <xf numFmtId="0" fontId="47" fillId="0" borderId="151" xfId="53" applyFont="1" applyBorder="1"/>
    <xf numFmtId="0" fontId="47" fillId="0" borderId="95" xfId="53" applyFont="1" applyBorder="1"/>
    <xf numFmtId="0" fontId="47" fillId="0" borderId="152" xfId="53" applyFont="1" applyBorder="1"/>
    <xf numFmtId="0" fontId="47" fillId="0" borderId="153" xfId="53" applyFont="1" applyBorder="1"/>
    <xf numFmtId="0" fontId="47" fillId="0" borderId="98" xfId="53" applyFont="1" applyBorder="1"/>
    <xf numFmtId="0" fontId="46" fillId="26" borderId="95" xfId="53" applyFont="1" applyFill="1" applyBorder="1"/>
    <xf numFmtId="0" fontId="46" fillId="26" borderId="115" xfId="53" applyFont="1" applyFill="1" applyBorder="1"/>
    <xf numFmtId="0" fontId="47" fillId="0" borderId="141" xfId="53" applyFont="1" applyBorder="1"/>
    <xf numFmtId="0" fontId="47" fillId="0" borderId="85" xfId="53" applyFont="1" applyBorder="1"/>
    <xf numFmtId="0" fontId="46" fillId="26" borderId="114" xfId="53" applyFont="1" applyFill="1" applyBorder="1"/>
    <xf numFmtId="0" fontId="47" fillId="0" borderId="21" xfId="53" applyFont="1" applyBorder="1"/>
    <xf numFmtId="0" fontId="46" fillId="26" borderId="106" xfId="53" applyFont="1" applyFill="1" applyBorder="1"/>
    <xf numFmtId="0" fontId="47" fillId="0" borderId="109" xfId="53" applyFont="1" applyBorder="1"/>
    <xf numFmtId="0" fontId="46" fillId="26" borderId="112" xfId="53" applyFont="1" applyFill="1" applyBorder="1"/>
    <xf numFmtId="0" fontId="47" fillId="0" borderId="154" xfId="53" applyFont="1" applyBorder="1"/>
    <xf numFmtId="0" fontId="47" fillId="0" borderId="25" xfId="53" applyFont="1" applyBorder="1"/>
    <xf numFmtId="0" fontId="46" fillId="26" borderId="108" xfId="53" applyFont="1" applyFill="1" applyBorder="1"/>
    <xf numFmtId="3" fontId="47" fillId="0" borderId="85" xfId="53" applyNumberFormat="1" applyFont="1" applyBorder="1"/>
    <xf numFmtId="3" fontId="46" fillId="26" borderId="114" xfId="53" applyNumberFormat="1" applyFont="1" applyFill="1" applyBorder="1"/>
    <xf numFmtId="0" fontId="46" fillId="26" borderId="155" xfId="53" applyFont="1" applyFill="1" applyBorder="1"/>
    <xf numFmtId="0" fontId="47" fillId="0" borderId="156" xfId="53" applyFont="1" applyBorder="1"/>
    <xf numFmtId="3" fontId="46" fillId="0" borderId="99" xfId="53" applyNumberFormat="1" applyFont="1" applyBorder="1"/>
    <xf numFmtId="3" fontId="46" fillId="26" borderId="101" xfId="53" applyNumberFormat="1" applyFont="1" applyFill="1" applyBorder="1"/>
    <xf numFmtId="0" fontId="75" fillId="34" borderId="0" xfId="50" applyFont="1" applyFill="1" applyAlignment="1">
      <alignment horizontal="center"/>
    </xf>
    <xf numFmtId="0" fontId="64" fillId="0" borderId="0" xfId="50" applyFont="1" applyAlignment="1">
      <alignment horizontal="right" vertical="top" wrapText="1"/>
    </xf>
    <xf numFmtId="0" fontId="47" fillId="0" borderId="0" xfId="50" applyFont="1" applyFill="1"/>
    <xf numFmtId="3" fontId="68" fillId="0" borderId="80" xfId="50" applyNumberFormat="1" applyFont="1" applyBorder="1" applyAlignment="1">
      <alignment horizontal="right" wrapText="1"/>
    </xf>
    <xf numFmtId="0" fontId="67" fillId="0" borderId="0" xfId="50" applyFont="1" applyAlignment="1">
      <alignment horizontal="left" vertical="top" wrapText="1"/>
    </xf>
    <xf numFmtId="3" fontId="66" fillId="0" borderId="0" xfId="50" applyNumberFormat="1" applyFont="1" applyBorder="1" applyAlignment="1">
      <alignment horizontal="right" wrapText="1"/>
    </xf>
    <xf numFmtId="0" fontId="76" fillId="0" borderId="0" xfId="50" applyFont="1" applyAlignment="1">
      <alignment horizontal="right" vertical="top" wrapText="1"/>
    </xf>
    <xf numFmtId="0" fontId="68" fillId="0" borderId="140" xfId="50" applyFont="1" applyBorder="1" applyAlignment="1">
      <alignment horizontal="right" vertical="top" wrapText="1"/>
    </xf>
    <xf numFmtId="0" fontId="47" fillId="0" borderId="79" xfId="50" applyFont="1" applyBorder="1" applyAlignment="1">
      <alignment horizontal="right" wrapText="1"/>
    </xf>
    <xf numFmtId="3" fontId="68" fillId="0" borderId="124" xfId="50" applyNumberFormat="1" applyFont="1" applyBorder="1" applyAlignment="1">
      <alignment horizontal="right" wrapText="1"/>
    </xf>
    <xf numFmtId="0" fontId="47" fillId="0" borderId="80" xfId="50" applyFont="1" applyBorder="1"/>
    <xf numFmtId="0" fontId="47" fillId="0" borderId="0" xfId="50" applyFont="1" applyAlignment="1">
      <alignment horizontal="right"/>
    </xf>
    <xf numFmtId="0" fontId="47" fillId="0" borderId="124" xfId="50" applyFont="1" applyBorder="1"/>
    <xf numFmtId="0" fontId="47" fillId="0" borderId="0" xfId="0" applyFont="1" applyAlignment="1">
      <alignment wrapText="1"/>
    </xf>
    <xf numFmtId="0" fontId="47" fillId="0" borderId="0" xfId="0" applyFont="1" applyAlignment="1">
      <alignment horizontal="center" vertical="center"/>
    </xf>
    <xf numFmtId="165" fontId="47" fillId="0" borderId="0" xfId="28" applyNumberFormat="1" applyFont="1" applyFill="1" applyBorder="1" applyAlignment="1" applyProtection="1">
      <protection locked="0"/>
    </xf>
    <xf numFmtId="165" fontId="47" fillId="0" borderId="0" xfId="28" applyNumberFormat="1" applyFont="1" applyFill="1" applyBorder="1" applyAlignment="1" applyProtection="1">
      <alignment wrapText="1"/>
      <protection locked="0"/>
    </xf>
    <xf numFmtId="165" fontId="47" fillId="0" borderId="0" xfId="28" applyNumberFormat="1" applyFont="1" applyFill="1" applyBorder="1" applyAlignment="1" applyProtection="1">
      <alignment horizontal="right"/>
    </xf>
    <xf numFmtId="0" fontId="46" fillId="0" borderId="0" xfId="0" applyFont="1" applyBorder="1" applyAlignment="1"/>
    <xf numFmtId="165" fontId="62" fillId="0" borderId="0" xfId="28" applyNumberFormat="1" applyFont="1" applyFill="1" applyBorder="1" applyAlignment="1">
      <alignment horizontal="right" vertical="top" wrapText="1"/>
    </xf>
    <xf numFmtId="0" fontId="46" fillId="0" borderId="0" xfId="0" applyFont="1" applyFill="1" applyAlignment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60" fillId="0" borderId="0" xfId="0" applyFont="1" applyFill="1" applyAlignment="1">
      <alignment horizontal="center" vertical="top" wrapText="1"/>
    </xf>
    <xf numFmtId="0" fontId="59" fillId="0" borderId="0" xfId="0" applyFont="1" applyFill="1" applyAlignment="1">
      <alignment horizontal="center" vertical="top" wrapText="1"/>
    </xf>
    <xf numFmtId="0" fontId="59" fillId="0" borderId="0" xfId="0" applyFont="1" applyFill="1" applyBorder="1" applyAlignment="1">
      <alignment horizontal="center" wrapText="1"/>
    </xf>
    <xf numFmtId="165" fontId="61" fillId="0" borderId="0" xfId="28" applyNumberFormat="1" applyFont="1" applyFill="1" applyBorder="1" applyAlignment="1">
      <alignment horizontal="right" vertical="top" wrapText="1"/>
    </xf>
    <xf numFmtId="165" fontId="59" fillId="0" borderId="0" xfId="28" applyNumberFormat="1" applyFont="1" applyFill="1" applyBorder="1" applyAlignment="1">
      <alignment horizontal="right" wrapText="1"/>
    </xf>
    <xf numFmtId="0" fontId="60" fillId="0" borderId="0" xfId="0" applyFont="1" applyFill="1" applyBorder="1" applyAlignment="1">
      <alignment horizontal="center" vertical="top" wrapText="1"/>
    </xf>
    <xf numFmtId="166" fontId="61" fillId="0" borderId="0" xfId="0" applyNumberFormat="1" applyFont="1" applyFill="1" applyBorder="1" applyAlignment="1">
      <alignment horizontal="left" vertical="top" wrapText="1"/>
    </xf>
    <xf numFmtId="0" fontId="61" fillId="0" borderId="0" xfId="0" applyFont="1" applyFill="1" applyBorder="1" applyAlignment="1">
      <alignment horizontal="left" vertical="top" wrapText="1"/>
    </xf>
    <xf numFmtId="0" fontId="62" fillId="0" borderId="0" xfId="0" applyFont="1" applyFill="1" applyBorder="1" applyAlignment="1">
      <alignment horizontal="left" vertical="top" wrapText="1"/>
    </xf>
    <xf numFmtId="0" fontId="61" fillId="0" borderId="0" xfId="0" applyFont="1" applyFill="1" applyBorder="1" applyAlignment="1">
      <alignment horizontal="right" vertical="top" wrapText="1"/>
    </xf>
    <xf numFmtId="0" fontId="46" fillId="0" borderId="0" xfId="0" applyFont="1" applyAlignment="1">
      <alignment horizontal="center" vertical="center"/>
    </xf>
    <xf numFmtId="0" fontId="73" fillId="0" borderId="0" xfId="0" applyFont="1"/>
    <xf numFmtId="3" fontId="47" fillId="0" borderId="0" xfId="0" applyNumberFormat="1" applyFont="1" applyBorder="1"/>
    <xf numFmtId="3" fontId="46" fillId="0" borderId="0" xfId="0" applyNumberFormat="1" applyFont="1" applyBorder="1"/>
    <xf numFmtId="169" fontId="47" fillId="0" borderId="0" xfId="54" applyNumberFormat="1" applyFont="1" applyBorder="1" applyAlignment="1">
      <alignment horizontal="left"/>
    </xf>
    <xf numFmtId="169" fontId="47" fillId="0" borderId="0" xfId="54" applyNumberFormat="1" applyFont="1" applyBorder="1" applyAlignment="1">
      <alignment horizontal="left" vertical="top"/>
    </xf>
    <xf numFmtId="169" fontId="47" fillId="0" borderId="0" xfId="54" applyNumberFormat="1" applyFont="1" applyFill="1" applyBorder="1" applyAlignment="1">
      <alignment horizontal="left"/>
    </xf>
    <xf numFmtId="3" fontId="63" fillId="0" borderId="0" xfId="0" applyNumberFormat="1" applyFont="1" applyBorder="1" applyAlignment="1">
      <alignment horizontal="right" vertical="center"/>
    </xf>
    <xf numFmtId="0" fontId="59" fillId="0" borderId="0" xfId="0" applyFont="1" applyBorder="1" applyAlignment="1">
      <alignment horizontal="left" vertical="center"/>
    </xf>
    <xf numFmtId="165" fontId="47" fillId="26" borderId="113" xfId="28" applyNumberFormat="1" applyFont="1" applyFill="1" applyBorder="1"/>
    <xf numFmtId="165" fontId="47" fillId="26" borderId="85" xfId="28" applyNumberFormat="1" applyFont="1" applyFill="1" applyBorder="1"/>
    <xf numFmtId="165" fontId="46" fillId="26" borderId="85" xfId="28" applyNumberFormat="1" applyFont="1" applyFill="1" applyBorder="1"/>
    <xf numFmtId="165" fontId="47" fillId="0" borderId="105" xfId="28" applyNumberFormat="1" applyFont="1" applyBorder="1"/>
    <xf numFmtId="165" fontId="47" fillId="0" borderId="21" xfId="28" applyNumberFormat="1" applyFont="1" applyBorder="1"/>
    <xf numFmtId="165" fontId="47" fillId="26" borderId="21" xfId="28" applyNumberFormat="1" applyFont="1" applyFill="1" applyBorder="1"/>
    <xf numFmtId="165" fontId="46" fillId="26" borderId="21" xfId="28" applyNumberFormat="1" applyFont="1" applyFill="1" applyBorder="1"/>
    <xf numFmtId="165" fontId="47" fillId="0" borderId="111" xfId="28" applyNumberFormat="1" applyFont="1" applyBorder="1"/>
    <xf numFmtId="165" fontId="47" fillId="0" borderId="109" xfId="28" applyNumberFormat="1" applyFont="1" applyBorder="1"/>
    <xf numFmtId="165" fontId="46" fillId="26" borderId="109" xfId="28" applyNumberFormat="1" applyFont="1" applyFill="1" applyBorder="1"/>
    <xf numFmtId="165" fontId="47" fillId="0" borderId="151" xfId="28" applyNumberFormat="1" applyFont="1" applyBorder="1"/>
    <xf numFmtId="165" fontId="47" fillId="0" borderId="95" xfId="28" applyNumberFormat="1" applyFont="1" applyBorder="1"/>
    <xf numFmtId="165" fontId="47" fillId="26" borderId="95" xfId="28" applyNumberFormat="1" applyFont="1" applyFill="1" applyBorder="1"/>
    <xf numFmtId="165" fontId="46" fillId="26" borderId="95" xfId="28" applyNumberFormat="1" applyFont="1" applyFill="1" applyBorder="1"/>
    <xf numFmtId="165" fontId="47" fillId="0" borderId="107" xfId="28" applyNumberFormat="1" applyFont="1" applyBorder="1"/>
    <xf numFmtId="165" fontId="47" fillId="0" borderId="25" xfId="28" applyNumberFormat="1" applyFont="1" applyBorder="1"/>
    <xf numFmtId="165" fontId="46" fillId="26" borderId="25" xfId="28" applyNumberFormat="1" applyFont="1" applyFill="1" applyBorder="1"/>
    <xf numFmtId="165" fontId="47" fillId="26" borderId="107" xfId="28" applyNumberFormat="1" applyFont="1" applyFill="1" applyBorder="1"/>
    <xf numFmtId="165" fontId="47" fillId="26" borderId="25" xfId="28" applyNumberFormat="1" applyFont="1" applyFill="1" applyBorder="1"/>
    <xf numFmtId="165" fontId="46" fillId="26" borderId="157" xfId="28" applyNumberFormat="1" applyFont="1" applyFill="1" applyBorder="1"/>
    <xf numFmtId="165" fontId="46" fillId="26" borderId="99" xfId="28" applyNumberFormat="1" applyFont="1" applyFill="1" applyBorder="1"/>
    <xf numFmtId="0" fontId="47" fillId="0" borderId="158" xfId="53" applyFont="1" applyBorder="1"/>
    <xf numFmtId="165" fontId="47" fillId="0" borderId="159" xfId="28" applyNumberFormat="1" applyFont="1" applyBorder="1"/>
    <xf numFmtId="165" fontId="47" fillId="0" borderId="86" xfId="28" applyNumberFormat="1" applyFont="1" applyBorder="1"/>
    <xf numFmtId="165" fontId="46" fillId="26" borderId="86" xfId="28" applyNumberFormat="1" applyFont="1" applyFill="1" applyBorder="1"/>
    <xf numFmtId="0" fontId="47" fillId="0" borderId="86" xfId="53" applyFont="1" applyBorder="1"/>
    <xf numFmtId="0" fontId="100" fillId="0" borderId="0" xfId="52"/>
    <xf numFmtId="0" fontId="78" fillId="0" borderId="0" xfId="52" applyFont="1" applyBorder="1"/>
    <xf numFmtId="0" fontId="78" fillId="0" borderId="79" xfId="52" applyFont="1" applyBorder="1"/>
    <xf numFmtId="0" fontId="100" fillId="0" borderId="0" xfId="52" applyBorder="1"/>
    <xf numFmtId="14" fontId="78" fillId="0" borderId="79" xfId="52" applyNumberFormat="1" applyFont="1" applyBorder="1"/>
    <xf numFmtId="0" fontId="79" fillId="0" borderId="0" xfId="50" applyFont="1"/>
    <xf numFmtId="0" fontId="100" fillId="0" borderId="79" xfId="52" applyBorder="1"/>
    <xf numFmtId="0" fontId="82" fillId="0" borderId="0" xfId="52" applyFont="1" applyBorder="1"/>
    <xf numFmtId="0" fontId="84" fillId="0" borderId="0" xfId="52" applyFont="1" applyBorder="1"/>
    <xf numFmtId="0" fontId="46" fillId="0" borderId="0" xfId="0" applyFont="1" applyFill="1"/>
    <xf numFmtId="0" fontId="85" fillId="0" borderId="0" xfId="52" applyFont="1" applyBorder="1"/>
    <xf numFmtId="0" fontId="46" fillId="0" borderId="0" xfId="59" applyFont="1"/>
    <xf numFmtId="165" fontId="46" fillId="26" borderId="0" xfId="28" applyNumberFormat="1" applyFont="1" applyFill="1" applyBorder="1"/>
    <xf numFmtId="165" fontId="46" fillId="26" borderId="11" xfId="28" applyNumberFormat="1" applyFont="1" applyFill="1" applyBorder="1"/>
    <xf numFmtId="165" fontId="46" fillId="26" borderId="79" xfId="28" applyNumberFormat="1" applyFont="1" applyFill="1" applyBorder="1"/>
    <xf numFmtId="164" fontId="52" fillId="0" borderId="0" xfId="28" applyFont="1"/>
    <xf numFmtId="3" fontId="47" fillId="0" borderId="79" xfId="0" applyNumberFormat="1" applyFont="1" applyBorder="1"/>
    <xf numFmtId="3" fontId="75" fillId="0" borderId="0" xfId="0" applyNumberFormat="1" applyFont="1"/>
    <xf numFmtId="0" fontId="52" fillId="0" borderId="0" xfId="56" applyFont="1" applyBorder="1"/>
    <xf numFmtId="0" fontId="52" fillId="0" borderId="0" xfId="56" applyFont="1" applyFill="1" applyBorder="1"/>
    <xf numFmtId="165" fontId="52" fillId="0" borderId="0" xfId="56" applyNumberFormat="1" applyFont="1" applyFill="1" applyBorder="1"/>
    <xf numFmtId="165" fontId="44" fillId="0" borderId="0" xfId="28" applyNumberFormat="1" applyFont="1" applyFill="1" applyBorder="1"/>
    <xf numFmtId="166" fontId="44" fillId="0" borderId="0" xfId="34" applyNumberFormat="1" applyFont="1" applyFill="1" applyBorder="1"/>
    <xf numFmtId="166" fontId="46" fillId="0" borderId="79" xfId="34" applyNumberFormat="1" applyFont="1" applyFill="1" applyBorder="1"/>
    <xf numFmtId="0" fontId="0" fillId="0" borderId="0" xfId="0" applyBorder="1"/>
    <xf numFmtId="0" fontId="4" fillId="0" borderId="0" xfId="0" applyFont="1" applyBorder="1"/>
    <xf numFmtId="0" fontId="88" fillId="0" borderId="0" xfId="57" applyFont="1" applyBorder="1"/>
    <xf numFmtId="0" fontId="89" fillId="0" borderId="0" xfId="0" applyFont="1"/>
    <xf numFmtId="0" fontId="90" fillId="0" borderId="0" xfId="0" applyFont="1"/>
    <xf numFmtId="0" fontId="79" fillId="0" borderId="0" xfId="0" applyFont="1" applyAlignment="1">
      <alignment wrapText="1"/>
    </xf>
    <xf numFmtId="0" fontId="79" fillId="0" borderId="0" xfId="0" applyFont="1"/>
    <xf numFmtId="0" fontId="91" fillId="0" borderId="0" xfId="0" applyFont="1"/>
    <xf numFmtId="0" fontId="79" fillId="0" borderId="0" xfId="0" applyFont="1" applyBorder="1"/>
    <xf numFmtId="4" fontId="79" fillId="0" borderId="0" xfId="0" applyNumberFormat="1" applyFont="1" applyBorder="1"/>
    <xf numFmtId="0" fontId="11" fillId="0" borderId="0" xfId="0" applyFont="1" applyBorder="1"/>
    <xf numFmtId="4" fontId="11" fillId="0" borderId="0" xfId="0" applyNumberFormat="1" applyFont="1" applyBorder="1"/>
    <xf numFmtId="0" fontId="79" fillId="0" borderId="79" xfId="0" applyFont="1" applyBorder="1"/>
    <xf numFmtId="0" fontId="11" fillId="0" borderId="79" xfId="0" applyFont="1" applyBorder="1" applyAlignment="1">
      <alignment horizontal="center" wrapText="1"/>
    </xf>
    <xf numFmtId="0" fontId="11" fillId="0" borderId="79" xfId="0" applyFont="1" applyBorder="1" applyAlignment="1">
      <alignment horizontal="center" vertical="center" wrapText="1"/>
    </xf>
    <xf numFmtId="4" fontId="79" fillId="0" borderId="79" xfId="0" applyNumberFormat="1" applyFont="1" applyBorder="1"/>
    <xf numFmtId="3" fontId="79" fillId="0" borderId="0" xfId="0" applyNumberFormat="1" applyFont="1" applyBorder="1"/>
    <xf numFmtId="3" fontId="79" fillId="0" borderId="79" xfId="0" applyNumberFormat="1" applyFont="1" applyBorder="1"/>
    <xf numFmtId="3" fontId="11" fillId="0" borderId="0" xfId="0" applyNumberFormat="1" applyFont="1" applyBorder="1"/>
    <xf numFmtId="0" fontId="92" fillId="0" borderId="0" xfId="0" applyFont="1"/>
    <xf numFmtId="0" fontId="93" fillId="0" borderId="0" xfId="0" applyFont="1"/>
    <xf numFmtId="3" fontId="11" fillId="0" borderId="79" xfId="0" applyNumberFormat="1" applyFont="1" applyBorder="1"/>
    <xf numFmtId="4" fontId="11" fillId="0" borderId="79" xfId="0" applyNumberFormat="1" applyFont="1" applyBorder="1"/>
    <xf numFmtId="0" fontId="92" fillId="0" borderId="0" xfId="0" applyFont="1" applyBorder="1"/>
    <xf numFmtId="0" fontId="44" fillId="0" borderId="0" xfId="0" applyFont="1"/>
    <xf numFmtId="0" fontId="46" fillId="0" borderId="0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165" fontId="47" fillId="0" borderId="0" xfId="28" applyNumberFormat="1" applyFont="1" applyFill="1" applyBorder="1" applyAlignment="1">
      <alignment horizontal="center"/>
    </xf>
    <xf numFmtId="3" fontId="45" fillId="0" borderId="0" xfId="0" applyNumberFormat="1" applyFont="1" applyFill="1"/>
    <xf numFmtId="3" fontId="45" fillId="0" borderId="0" xfId="0" applyNumberFormat="1" applyFont="1" applyFill="1" applyBorder="1"/>
    <xf numFmtId="3" fontId="52" fillId="0" borderId="0" xfId="0" applyNumberFormat="1" applyFont="1"/>
    <xf numFmtId="0" fontId="57" fillId="0" borderId="0" xfId="59" applyFont="1"/>
    <xf numFmtId="0" fontId="44" fillId="0" borderId="79" xfId="59" applyFont="1" applyBorder="1" applyAlignment="1">
      <alignment horizontal="center"/>
    </xf>
    <xf numFmtId="0" fontId="44" fillId="0" borderId="79" xfId="59" applyFont="1" applyBorder="1" applyAlignment="1">
      <alignment horizontal="center" wrapText="1"/>
    </xf>
    <xf numFmtId="0" fontId="44" fillId="0" borderId="0" xfId="59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79" xfId="0" applyFont="1" applyBorder="1"/>
    <xf numFmtId="3" fontId="44" fillId="0" borderId="79" xfId="0" applyNumberFormat="1" applyFont="1" applyBorder="1" applyAlignment="1">
      <alignment wrapText="1"/>
    </xf>
    <xf numFmtId="3" fontId="44" fillId="0" borderId="0" xfId="0" applyNumberFormat="1" applyFont="1" applyBorder="1" applyAlignment="1">
      <alignment wrapText="1"/>
    </xf>
    <xf numFmtId="0" fontId="47" fillId="0" borderId="0" xfId="59" applyFont="1" applyFill="1"/>
    <xf numFmtId="0" fontId="96" fillId="0" borderId="0" xfId="53" applyFont="1" applyAlignment="1">
      <alignment horizontal="right"/>
    </xf>
    <xf numFmtId="3" fontId="96" fillId="0" borderId="0" xfId="53" applyNumberFormat="1" applyFont="1" applyAlignment="1">
      <alignment horizontal="right"/>
    </xf>
    <xf numFmtId="0" fontId="96" fillId="0" borderId="0" xfId="53" applyFont="1" applyBorder="1" applyAlignment="1">
      <alignment horizontal="right"/>
    </xf>
    <xf numFmtId="0" fontId="96" fillId="0" borderId="0" xfId="53" applyFont="1" applyBorder="1" applyAlignment="1">
      <alignment horizontal="right" vertical="center"/>
    </xf>
    <xf numFmtId="0" fontId="98" fillId="0" borderId="0" xfId="0" applyFont="1" applyBorder="1" applyAlignment="1">
      <alignment horizontal="center" vertical="center"/>
    </xf>
    <xf numFmtId="171" fontId="98" fillId="0" borderId="0" xfId="33" applyNumberFormat="1" applyFont="1" applyBorder="1"/>
    <xf numFmtId="165" fontId="98" fillId="0" borderId="0" xfId="28" applyNumberFormat="1" applyFont="1" applyBorder="1"/>
    <xf numFmtId="43" fontId="95" fillId="0" borderId="0" xfId="33" applyFont="1" applyBorder="1"/>
    <xf numFmtId="43" fontId="98" fillId="0" borderId="0" xfId="33" applyFont="1" applyBorder="1"/>
    <xf numFmtId="171" fontId="95" fillId="0" borderId="0" xfId="33" applyNumberFormat="1" applyFont="1" applyBorder="1"/>
    <xf numFmtId="0" fontId="95" fillId="0" borderId="0" xfId="0" applyFont="1" applyBorder="1"/>
    <xf numFmtId="0" fontId="99" fillId="34" borderId="0" xfId="53" applyFont="1" applyFill="1" applyBorder="1"/>
    <xf numFmtId="165" fontId="99" fillId="34" borderId="0" xfId="28" applyNumberFormat="1" applyFont="1" applyFill="1" applyBorder="1"/>
    <xf numFmtId="166" fontId="48" fillId="0" borderId="0" xfId="38" applyNumberFormat="1" applyFont="1" applyFill="1" applyBorder="1" applyAlignment="1">
      <alignment horizontal="right"/>
    </xf>
    <xf numFmtId="166" fontId="48" fillId="0" borderId="0" xfId="38" applyNumberFormat="1" applyFont="1" applyFill="1" applyBorder="1"/>
    <xf numFmtId="0" fontId="49" fillId="0" borderId="79" xfId="56" applyFont="1" applyBorder="1" applyAlignment="1">
      <alignment horizontal="center"/>
    </xf>
    <xf numFmtId="0" fontId="47" fillId="0" borderId="0" xfId="59" applyFont="1" applyAlignment="1">
      <alignment wrapText="1"/>
    </xf>
    <xf numFmtId="164" fontId="52" fillId="0" borderId="0" xfId="59" applyNumberFormat="1" applyFont="1"/>
    <xf numFmtId="3" fontId="47" fillId="0" borderId="0" xfId="28" applyNumberFormat="1" applyFont="1"/>
    <xf numFmtId="3" fontId="47" fillId="0" borderId="79" xfId="28" applyNumberFormat="1" applyFont="1" applyBorder="1"/>
    <xf numFmtId="3" fontId="46" fillId="0" borderId="0" xfId="28" applyNumberFormat="1" applyFont="1"/>
    <xf numFmtId="3" fontId="46" fillId="0" borderId="124" xfId="28" applyNumberFormat="1" applyFont="1" applyBorder="1"/>
    <xf numFmtId="3" fontId="47" fillId="0" borderId="124" xfId="28" applyNumberFormat="1" applyFont="1" applyBorder="1"/>
    <xf numFmtId="3" fontId="46" fillId="0" borderId="80" xfId="28" applyNumberFormat="1" applyFont="1" applyBorder="1"/>
    <xf numFmtId="3" fontId="44" fillId="0" borderId="80" xfId="28" applyNumberFormat="1" applyFont="1" applyBorder="1"/>
    <xf numFmtId="3" fontId="44" fillId="0" borderId="0" xfId="55" applyNumberFormat="1" applyFont="1" applyBorder="1" applyAlignment="1">
      <alignment horizontal="center" vertical="center"/>
    </xf>
    <xf numFmtId="3" fontId="44" fillId="0" borderId="0" xfId="55" applyNumberFormat="1" applyFont="1" applyAlignment="1">
      <alignment horizontal="right"/>
    </xf>
    <xf numFmtId="165" fontId="44" fillId="26" borderId="79" xfId="28" applyNumberFormat="1" applyFont="1" applyFill="1" applyBorder="1"/>
    <xf numFmtId="165" fontId="44" fillId="26" borderId="0" xfId="28" applyNumberFormat="1" applyFont="1" applyFill="1" applyBorder="1"/>
    <xf numFmtId="165" fontId="44" fillId="26" borderId="11" xfId="28" applyNumberFormat="1" applyFont="1" applyFill="1" applyBorder="1"/>
    <xf numFmtId="165" fontId="44" fillId="34" borderId="0" xfId="28" applyNumberFormat="1" applyFont="1" applyFill="1" applyBorder="1"/>
    <xf numFmtId="0" fontId="44" fillId="0" borderId="0" xfId="53" applyFont="1" applyBorder="1"/>
    <xf numFmtId="0" fontId="44" fillId="0" borderId="79" xfId="53" applyFont="1" applyBorder="1"/>
    <xf numFmtId="169" fontId="44" fillId="0" borderId="0" xfId="54" applyNumberFormat="1" applyFont="1" applyBorder="1" applyAlignment="1">
      <alignment horizontal="center" vertical="center"/>
    </xf>
    <xf numFmtId="169" fontId="44" fillId="0" borderId="0" xfId="54" applyNumberFormat="1" applyFont="1" applyFill="1" applyBorder="1" applyAlignment="1">
      <alignment horizontal="center" vertical="center"/>
    </xf>
    <xf numFmtId="169" fontId="44" fillId="0" borderId="0" xfId="54" applyNumberFormat="1" applyFont="1" applyBorder="1" applyAlignment="1" applyProtection="1">
      <alignment horizontal="center" vertical="center"/>
      <protection locked="0"/>
    </xf>
    <xf numFmtId="169" fontId="44" fillId="0" borderId="0" xfId="54" applyNumberFormat="1" applyFont="1" applyBorder="1" applyAlignment="1">
      <alignment horizontal="left"/>
    </xf>
    <xf numFmtId="169" fontId="44" fillId="0" borderId="0" xfId="54" applyNumberFormat="1" applyFont="1" applyFill="1" applyBorder="1" applyAlignment="1">
      <alignment horizontal="left"/>
    </xf>
    <xf numFmtId="165" fontId="44" fillId="0" borderId="0" xfId="28" applyNumberFormat="1" applyFont="1" applyFill="1" applyBorder="1" applyAlignment="1" applyProtection="1">
      <protection locked="0"/>
    </xf>
    <xf numFmtId="165" fontId="44" fillId="0" borderId="0" xfId="28" applyNumberFormat="1" applyFont="1" applyFill="1" applyBorder="1" applyAlignment="1" applyProtection="1">
      <alignment wrapText="1"/>
      <protection locked="0"/>
    </xf>
    <xf numFmtId="165" fontId="44" fillId="0" borderId="0" xfId="28" applyNumberFormat="1" applyFont="1" applyFill="1" applyBorder="1" applyAlignment="1" applyProtection="1">
      <alignment horizontal="right"/>
      <protection locked="0"/>
    </xf>
    <xf numFmtId="165" fontId="44" fillId="0" borderId="0" xfId="28" applyNumberFormat="1" applyFont="1" applyFill="1" applyBorder="1" applyAlignment="1" applyProtection="1">
      <alignment horizontal="right"/>
    </xf>
    <xf numFmtId="169" fontId="44" fillId="0" borderId="0" xfId="54" applyNumberFormat="1" applyFont="1" applyFill="1" applyBorder="1" applyAlignment="1" applyProtection="1">
      <alignment horizontal="right"/>
    </xf>
    <xf numFmtId="169" fontId="44" fillId="0" borderId="0" xfId="54" applyNumberFormat="1" applyFont="1" applyBorder="1" applyAlignment="1">
      <alignment horizontal="left" vertical="top"/>
    </xf>
    <xf numFmtId="169" fontId="44" fillId="0" borderId="0" xfId="54" applyNumberFormat="1" applyFont="1" applyFill="1" applyBorder="1" applyAlignment="1">
      <alignment horizontal="left" vertical="top"/>
    </xf>
    <xf numFmtId="165" fontId="44" fillId="0" borderId="11" xfId="28" applyNumberFormat="1" applyFont="1" applyFill="1" applyBorder="1" applyAlignment="1" applyProtection="1">
      <protection locked="0"/>
    </xf>
    <xf numFmtId="169" fontId="44" fillId="36" borderId="0" xfId="54" applyNumberFormat="1" applyFont="1" applyFill="1" applyBorder="1" applyAlignment="1">
      <alignment horizontal="left"/>
    </xf>
    <xf numFmtId="165" fontId="44" fillId="0" borderId="0" xfId="28" applyNumberFormat="1" applyFont="1" applyFill="1" applyBorder="1" applyAlignment="1" applyProtection="1"/>
    <xf numFmtId="169" fontId="44" fillId="36" borderId="0" xfId="54" applyNumberFormat="1" applyFont="1" applyFill="1" applyBorder="1" applyAlignment="1" applyProtection="1">
      <alignment horizontal="left"/>
      <protection locked="0"/>
    </xf>
    <xf numFmtId="165" fontId="44" fillId="0" borderId="160" xfId="28" applyNumberFormat="1" applyFont="1" applyFill="1" applyBorder="1" applyAlignment="1" applyProtection="1">
      <protection locked="0"/>
    </xf>
    <xf numFmtId="0" fontId="44" fillId="0" borderId="141" xfId="53" applyFont="1" applyBorder="1"/>
    <xf numFmtId="0" fontId="44" fillId="0" borderId="156" xfId="53" applyFont="1" applyBorder="1"/>
    <xf numFmtId="169" fontId="49" fillId="0" borderId="0" xfId="54" quotePrefix="1" applyNumberFormat="1" applyFont="1" applyFill="1" applyBorder="1" applyAlignment="1">
      <alignment horizontal="center"/>
    </xf>
    <xf numFmtId="169" fontId="49" fillId="0" borderId="0" xfId="54" applyNumberFormat="1" applyFont="1" applyFill="1" applyBorder="1" applyAlignment="1">
      <alignment horizontal="center"/>
    </xf>
    <xf numFmtId="0" fontId="101" fillId="0" borderId="0" xfId="0" applyFont="1"/>
    <xf numFmtId="0" fontId="75" fillId="0" borderId="0" xfId="50" applyFont="1" applyFill="1" applyAlignment="1">
      <alignment horizontal="center"/>
    </xf>
    <xf numFmtId="0" fontId="59" fillId="0" borderId="0" xfId="50" applyFont="1" applyAlignment="1">
      <alignment horizontal="left" vertical="top" wrapText="1"/>
    </xf>
    <xf numFmtId="0" fontId="63" fillId="0" borderId="0" xfId="50" applyFont="1" applyAlignment="1">
      <alignment horizontal="center" wrapText="1"/>
    </xf>
    <xf numFmtId="0" fontId="63" fillId="0" borderId="79" xfId="50" applyFont="1" applyBorder="1" applyAlignment="1">
      <alignment horizontal="center" wrapText="1"/>
    </xf>
    <xf numFmtId="0" fontId="62" fillId="0" borderId="0" xfId="50" applyFont="1" applyAlignment="1">
      <alignment horizontal="right" vertical="top" wrapText="1"/>
    </xf>
    <xf numFmtId="0" fontId="62" fillId="0" borderId="0" xfId="50" applyFont="1" applyBorder="1" applyAlignment="1">
      <alignment horizontal="right" vertical="top" wrapText="1"/>
    </xf>
    <xf numFmtId="3" fontId="62" fillId="0" borderId="0" xfId="50" applyNumberFormat="1" applyFont="1" applyAlignment="1">
      <alignment horizontal="right" vertical="top" wrapText="1"/>
    </xf>
    <xf numFmtId="165" fontId="62" fillId="0" borderId="79" xfId="28" applyNumberFormat="1" applyFont="1" applyBorder="1" applyAlignment="1">
      <alignment horizontal="right" vertical="top" wrapText="1"/>
    </xf>
    <xf numFmtId="0" fontId="59" fillId="0" borderId="0" xfId="50" applyFont="1" applyAlignment="1">
      <alignment horizontal="left" vertical="top" wrapText="1" indent="2"/>
    </xf>
    <xf numFmtId="3" fontId="59" fillId="0" borderId="140" xfId="50" applyNumberFormat="1" applyFont="1" applyBorder="1" applyAlignment="1">
      <alignment horizontal="right" vertical="top" wrapText="1"/>
    </xf>
    <xf numFmtId="0" fontId="59" fillId="0" borderId="0" xfId="50" applyFont="1" applyBorder="1" applyAlignment="1">
      <alignment horizontal="right" vertical="top" wrapText="1"/>
    </xf>
    <xf numFmtId="3" fontId="47" fillId="0" borderId="0" xfId="50" applyNumberFormat="1" applyFont="1" applyAlignment="1">
      <alignment horizontal="right" vertical="top" wrapText="1"/>
    </xf>
    <xf numFmtId="0" fontId="47" fillId="0" borderId="0" xfId="50" applyFont="1" applyBorder="1" applyAlignment="1">
      <alignment horizontal="right" vertical="top" wrapText="1"/>
    </xf>
    <xf numFmtId="3" fontId="47" fillId="0" borderId="79" xfId="50" applyNumberFormat="1" applyFont="1" applyBorder="1" applyAlignment="1">
      <alignment horizontal="right" wrapText="1"/>
    </xf>
    <xf numFmtId="0" fontId="47" fillId="0" borderId="0" xfId="50" applyFont="1" applyBorder="1" applyAlignment="1">
      <alignment horizontal="right" wrapText="1"/>
    </xf>
    <xf numFmtId="3" fontId="44" fillId="0" borderId="140" xfId="50" applyNumberFormat="1" applyFont="1" applyBorder="1" applyAlignment="1">
      <alignment horizontal="right" wrapText="1"/>
    </xf>
    <xf numFmtId="0" fontId="44" fillId="0" borderId="0" xfId="50" applyFont="1" applyBorder="1" applyAlignment="1">
      <alignment horizontal="right" wrapText="1"/>
    </xf>
    <xf numFmtId="3" fontId="44" fillId="0" borderId="0" xfId="50" applyNumberFormat="1" applyFont="1" applyBorder="1" applyAlignment="1">
      <alignment horizontal="right" wrapText="1"/>
    </xf>
    <xf numFmtId="3" fontId="60" fillId="0" borderId="0" xfId="50" applyNumberFormat="1" applyFont="1" applyBorder="1" applyAlignment="1">
      <alignment horizontal="right" wrapText="1"/>
    </xf>
    <xf numFmtId="0" fontId="60" fillId="0" borderId="0" xfId="50" applyFont="1" applyBorder="1" applyAlignment="1">
      <alignment horizontal="right" wrapText="1"/>
    </xf>
    <xf numFmtId="3" fontId="47" fillId="0" borderId="0" xfId="50" applyNumberFormat="1" applyFont="1" applyBorder="1" applyAlignment="1">
      <alignment horizontal="right" wrapText="1"/>
    </xf>
    <xf numFmtId="0" fontId="47" fillId="0" borderId="0" xfId="50" applyFont="1" applyAlignment="1">
      <alignment horizontal="right" vertical="top" wrapText="1"/>
    </xf>
    <xf numFmtId="3" fontId="47" fillId="0" borderId="79" xfId="50" applyNumberFormat="1" applyFont="1" applyBorder="1" applyAlignment="1">
      <alignment horizontal="right" vertical="top" wrapText="1"/>
    </xf>
    <xf numFmtId="3" fontId="44" fillId="0" borderId="140" xfId="50" applyNumberFormat="1" applyFont="1" applyBorder="1" applyAlignment="1">
      <alignment horizontal="right" vertical="top" wrapText="1"/>
    </xf>
    <xf numFmtId="0" fontId="44" fillId="0" borderId="0" xfId="50" applyFont="1" applyBorder="1" applyAlignment="1">
      <alignment horizontal="right" vertical="top" wrapText="1"/>
    </xf>
    <xf numFmtId="0" fontId="62" fillId="0" borderId="0" xfId="50" applyFont="1" applyAlignment="1">
      <alignment horizontal="left" vertical="top" wrapText="1"/>
    </xf>
    <xf numFmtId="165" fontId="62" fillId="0" borderId="0" xfId="28" applyNumberFormat="1" applyFont="1" applyAlignment="1">
      <alignment horizontal="right" vertical="top" wrapText="1"/>
    </xf>
    <xf numFmtId="165" fontId="62" fillId="0" borderId="0" xfId="28" applyNumberFormat="1" applyFont="1" applyBorder="1" applyAlignment="1">
      <alignment horizontal="right" vertical="top" wrapText="1"/>
    </xf>
    <xf numFmtId="165" fontId="47" fillId="0" borderId="0" xfId="28" applyNumberFormat="1" applyFont="1" applyAlignment="1">
      <alignment horizontal="right" vertical="top" wrapText="1"/>
    </xf>
    <xf numFmtId="165" fontId="47" fillId="0" borderId="0" xfId="28" applyNumberFormat="1" applyFont="1" applyBorder="1" applyAlignment="1">
      <alignment horizontal="right" vertical="top" wrapText="1"/>
    </xf>
    <xf numFmtId="3" fontId="44" fillId="0" borderId="80" xfId="50" applyNumberFormat="1" applyFont="1" applyBorder="1" applyAlignment="1">
      <alignment horizontal="right" wrapText="1"/>
    </xf>
    <xf numFmtId="0" fontId="85" fillId="0" borderId="0" xfId="0" applyFont="1" applyFill="1" applyBorder="1"/>
    <xf numFmtId="39" fontId="102" fillId="0" borderId="0" xfId="0" applyNumberFormat="1" applyFont="1" applyFill="1"/>
    <xf numFmtId="39" fontId="102" fillId="0" borderId="0" xfId="0" applyNumberFormat="1" applyFont="1"/>
    <xf numFmtId="39" fontId="103" fillId="0" borderId="0" xfId="0" applyNumberFormat="1" applyFont="1"/>
    <xf numFmtId="39" fontId="104" fillId="0" borderId="0" xfId="0" applyNumberFormat="1" applyFont="1"/>
    <xf numFmtId="39" fontId="104" fillId="0" borderId="0" xfId="0" applyNumberFormat="1" applyFont="1" applyBorder="1"/>
    <xf numFmtId="39" fontId="105" fillId="0" borderId="0" xfId="0" applyNumberFormat="1" applyFont="1" applyBorder="1" applyAlignment="1">
      <alignment horizontal="center"/>
    </xf>
    <xf numFmtId="166" fontId="104" fillId="0" borderId="0" xfId="28" applyNumberFormat="1" applyFont="1" applyBorder="1" applyAlignment="1"/>
    <xf numFmtId="173" fontId="104" fillId="0" borderId="0" xfId="0" applyNumberFormat="1" applyFont="1" applyBorder="1" applyAlignment="1">
      <alignment horizontal="center"/>
    </xf>
    <xf numFmtId="173" fontId="104" fillId="0" borderId="0" xfId="0" applyNumberFormat="1" applyFont="1"/>
    <xf numFmtId="166" fontId="104" fillId="0" borderId="0" xfId="28" applyNumberFormat="1" applyFont="1" applyBorder="1" applyAlignment="1">
      <alignment horizontal="center"/>
    </xf>
    <xf numFmtId="0" fontId="104" fillId="0" borderId="0" xfId="0" applyFont="1"/>
    <xf numFmtId="165" fontId="44" fillId="0" borderId="80" xfId="28" applyNumberFormat="1" applyFont="1" applyBorder="1"/>
    <xf numFmtId="164" fontId="44" fillId="0" borderId="0" xfId="28" applyFont="1" applyBorder="1"/>
    <xf numFmtId="39" fontId="102" fillId="0" borderId="0" xfId="0" applyNumberFormat="1" applyFont="1" applyBorder="1"/>
    <xf numFmtId="37" fontId="103" fillId="0" borderId="79" xfId="0" applyNumberFormat="1" applyFont="1" applyBorder="1" applyAlignment="1">
      <alignment horizontal="right" wrapText="1"/>
    </xf>
    <xf numFmtId="39" fontId="103" fillId="0" borderId="0" xfId="0" applyNumberFormat="1" applyFont="1" applyBorder="1" applyAlignment="1">
      <alignment horizontal="center"/>
    </xf>
    <xf numFmtId="39" fontId="106" fillId="0" borderId="0" xfId="0" applyNumberFormat="1" applyFont="1" applyBorder="1" applyAlignment="1">
      <alignment horizontal="center" wrapText="1"/>
    </xf>
    <xf numFmtId="37" fontId="104" fillId="0" borderId="0" xfId="0" applyNumberFormat="1" applyFont="1"/>
    <xf numFmtId="39" fontId="103" fillId="0" borderId="0" xfId="0" applyNumberFormat="1" applyFont="1" applyAlignment="1">
      <alignment horizontal="center"/>
    </xf>
    <xf numFmtId="37" fontId="103" fillId="0" borderId="80" xfId="0" applyNumberFormat="1" applyFont="1" applyBorder="1"/>
    <xf numFmtId="37" fontId="103" fillId="0" borderId="0" xfId="0" applyNumberFormat="1" applyFont="1" applyBorder="1"/>
    <xf numFmtId="37" fontId="103" fillId="0" borderId="0" xfId="0" applyNumberFormat="1" applyFont="1"/>
    <xf numFmtId="9" fontId="103" fillId="0" borderId="0" xfId="0" applyNumberFormat="1" applyFont="1"/>
    <xf numFmtId="9" fontId="103" fillId="0" borderId="0" xfId="0" applyNumberFormat="1" applyFont="1" applyBorder="1"/>
    <xf numFmtId="37" fontId="101" fillId="0" borderId="80" xfId="0" applyNumberFormat="1" applyFont="1" applyBorder="1"/>
    <xf numFmtId="37" fontId="101" fillId="0" borderId="0" xfId="0" applyNumberFormat="1" applyFont="1" applyBorder="1"/>
    <xf numFmtId="165" fontId="85" fillId="0" borderId="0" xfId="28" applyNumberFormat="1" applyFont="1"/>
    <xf numFmtId="165" fontId="85" fillId="0" borderId="25" xfId="28" applyNumberFormat="1" applyFont="1" applyFill="1" applyBorder="1"/>
    <xf numFmtId="165" fontId="85" fillId="0" borderId="108" xfId="28" applyNumberFormat="1" applyFont="1" applyFill="1" applyBorder="1"/>
    <xf numFmtId="165" fontId="85" fillId="0" borderId="109" xfId="28" applyNumberFormat="1" applyFont="1" applyFill="1" applyBorder="1"/>
    <xf numFmtId="165" fontId="85" fillId="0" borderId="112" xfId="28" applyNumberFormat="1" applyFont="1" applyFill="1" applyBorder="1"/>
    <xf numFmtId="165" fontId="85" fillId="0" borderId="21" xfId="28" applyNumberFormat="1" applyFont="1" applyFill="1" applyBorder="1"/>
    <xf numFmtId="165" fontId="85" fillId="0" borderId="106" xfId="28" applyNumberFormat="1" applyFont="1" applyFill="1" applyBorder="1"/>
    <xf numFmtId="165" fontId="101" fillId="0" borderId="108" xfId="28" applyNumberFormat="1" applyFont="1" applyFill="1" applyBorder="1"/>
    <xf numFmtId="165" fontId="101" fillId="0" borderId="85" xfId="28" applyNumberFormat="1" applyFont="1" applyFill="1" applyBorder="1"/>
    <xf numFmtId="165" fontId="101" fillId="0" borderId="114" xfId="28" applyNumberFormat="1" applyFont="1" applyFill="1" applyBorder="1"/>
    <xf numFmtId="165" fontId="101" fillId="0" borderId="25" xfId="28" applyNumberFormat="1" applyFont="1" applyFill="1" applyBorder="1"/>
    <xf numFmtId="165" fontId="85" fillId="0" borderId="95" xfId="28" applyNumberFormat="1" applyFont="1" applyFill="1" applyBorder="1"/>
    <xf numFmtId="165" fontId="85" fillId="0" borderId="115" xfId="28" applyNumberFormat="1" applyFont="1" applyFill="1" applyBorder="1"/>
    <xf numFmtId="0" fontId="109" fillId="0" borderId="0" xfId="0" applyFont="1"/>
    <xf numFmtId="0" fontId="109" fillId="0" borderId="0" xfId="0" applyFont="1" applyFill="1"/>
    <xf numFmtId="165" fontId="109" fillId="0" borderId="0" xfId="28" applyNumberFormat="1" applyFont="1"/>
    <xf numFmtId="170" fontId="109" fillId="0" borderId="0" xfId="28" applyNumberFormat="1" applyFont="1" applyBorder="1"/>
    <xf numFmtId="0" fontId="109" fillId="0" borderId="0" xfId="0" applyFont="1" applyBorder="1"/>
    <xf numFmtId="0" fontId="110" fillId="0" borderId="162" xfId="0" applyFont="1" applyBorder="1" applyAlignment="1">
      <alignment horizontal="center" vertical="center" wrapText="1"/>
    </xf>
    <xf numFmtId="0" fontId="110" fillId="0" borderId="96" xfId="0" applyFont="1" applyBorder="1" applyAlignment="1">
      <alignment horizontal="center" vertical="center" wrapText="1"/>
    </xf>
    <xf numFmtId="0" fontId="110" fillId="0" borderId="0" xfId="0" applyFont="1" applyBorder="1" applyAlignment="1">
      <alignment horizontal="center"/>
    </xf>
    <xf numFmtId="0" fontId="110" fillId="0" borderId="0" xfId="0" applyFont="1" applyFill="1" applyBorder="1" applyAlignment="1">
      <alignment horizontal="center"/>
    </xf>
    <xf numFmtId="0" fontId="110" fillId="0" borderId="97" xfId="0" applyFont="1" applyBorder="1" applyAlignment="1">
      <alignment horizontal="center" vertical="center" wrapText="1"/>
    </xf>
    <xf numFmtId="0" fontId="110" fillId="0" borderId="0" xfId="0" applyFont="1" applyBorder="1" applyAlignment="1">
      <alignment horizontal="center" vertical="center" wrapText="1"/>
    </xf>
    <xf numFmtId="0" fontId="110" fillId="0" borderId="163" xfId="0" applyFont="1" applyBorder="1" applyAlignment="1">
      <alignment horizontal="center" vertical="center" wrapText="1"/>
    </xf>
    <xf numFmtId="0" fontId="110" fillId="0" borderId="98" xfId="0" applyFont="1" applyBorder="1" applyAlignment="1">
      <alignment horizontal="center" vertical="center" wrapText="1"/>
    </xf>
    <xf numFmtId="0" fontId="110" fillId="0" borderId="99" xfId="0" applyNumberFormat="1" applyFont="1" applyBorder="1" applyAlignment="1">
      <alignment horizontal="center"/>
    </xf>
    <xf numFmtId="0" fontId="110" fillId="0" borderId="101" xfId="0" applyNumberFormat="1" applyFont="1" applyBorder="1" applyAlignment="1">
      <alignment horizontal="center"/>
    </xf>
    <xf numFmtId="0" fontId="110" fillId="0" borderId="0" xfId="0" applyNumberFormat="1" applyFont="1" applyFill="1" applyBorder="1" applyAlignment="1">
      <alignment horizontal="center"/>
    </xf>
    <xf numFmtId="0" fontId="110" fillId="0" borderId="99" xfId="0" applyFont="1" applyBorder="1" applyAlignment="1">
      <alignment horizontal="center" vertical="center" wrapText="1"/>
    </xf>
    <xf numFmtId="0" fontId="110" fillId="31" borderId="103" xfId="0" applyFont="1" applyFill="1" applyBorder="1" applyAlignment="1">
      <alignment horizontal="center"/>
    </xf>
    <xf numFmtId="0" fontId="110" fillId="31" borderId="167" xfId="0" applyFont="1" applyFill="1" applyBorder="1" applyAlignment="1">
      <alignment horizontal="center"/>
    </xf>
    <xf numFmtId="0" fontId="110" fillId="31" borderId="97" xfId="0" applyFont="1" applyFill="1" applyBorder="1"/>
    <xf numFmtId="0" fontId="110" fillId="31" borderId="97" xfId="0" applyFont="1" applyFill="1" applyBorder="1" applyAlignment="1">
      <alignment horizontal="center" vertical="center"/>
    </xf>
    <xf numFmtId="166" fontId="110" fillId="31" borderId="97" xfId="34" applyNumberFormat="1" applyFont="1" applyFill="1" applyBorder="1"/>
    <xf numFmtId="166" fontId="110" fillId="31" borderId="104" xfId="34" applyNumberFormat="1" applyFont="1" applyFill="1" applyBorder="1"/>
    <xf numFmtId="166" fontId="110" fillId="0" borderId="0" xfId="34" applyNumberFormat="1" applyFont="1" applyFill="1" applyBorder="1"/>
    <xf numFmtId="0" fontId="110" fillId="31" borderId="97" xfId="0" applyFont="1" applyFill="1" applyBorder="1" applyAlignment="1">
      <alignment horizontal="center"/>
    </xf>
    <xf numFmtId="165" fontId="110" fillId="31" borderId="97" xfId="28" applyNumberFormat="1" applyFont="1" applyFill="1" applyBorder="1"/>
    <xf numFmtId="165" fontId="110" fillId="31" borderId="104" xfId="28" applyNumberFormat="1" applyFont="1" applyFill="1" applyBorder="1"/>
    <xf numFmtId="166" fontId="110" fillId="28" borderId="89" xfId="34" applyNumberFormat="1" applyFont="1" applyFill="1" applyBorder="1"/>
    <xf numFmtId="0" fontId="110" fillId="0" borderId="105" xfId="0" applyFont="1" applyBorder="1" applyAlignment="1">
      <alignment horizontal="right"/>
    </xf>
    <xf numFmtId="0" fontId="110" fillId="0" borderId="23" xfId="0" applyFont="1" applyBorder="1" applyAlignment="1">
      <alignment horizontal="right"/>
    </xf>
    <xf numFmtId="0" fontId="110" fillId="0" borderId="21" xfId="0" applyFont="1" applyBorder="1"/>
    <xf numFmtId="0" fontId="111" fillId="0" borderId="21" xfId="0" applyFont="1" applyBorder="1"/>
    <xf numFmtId="0" fontId="112" fillId="0" borderId="21" xfId="0" applyFont="1" applyBorder="1"/>
    <xf numFmtId="166" fontId="110" fillId="0" borderId="21" xfId="34" applyNumberFormat="1" applyFont="1" applyBorder="1"/>
    <xf numFmtId="166" fontId="110" fillId="0" borderId="106" xfId="34" applyNumberFormat="1" applyFont="1" applyBorder="1"/>
    <xf numFmtId="166" fontId="111" fillId="0" borderId="0" xfId="34" applyNumberFormat="1" applyFont="1" applyFill="1" applyBorder="1"/>
    <xf numFmtId="0" fontId="110" fillId="0" borderId="159" xfId="0" applyFont="1" applyBorder="1"/>
    <xf numFmtId="0" fontId="109" fillId="0" borderId="21" xfId="0" applyFont="1" applyBorder="1"/>
    <xf numFmtId="166" fontId="111" fillId="0" borderId="21" xfId="34" applyNumberFormat="1" applyFont="1" applyFill="1" applyBorder="1"/>
    <xf numFmtId="166" fontId="111" fillId="0" borderId="106" xfId="34" applyNumberFormat="1" applyFont="1" applyFill="1" applyBorder="1"/>
    <xf numFmtId="166" fontId="111" fillId="0" borderId="23" xfId="34" applyNumberFormat="1" applyFont="1" applyBorder="1"/>
    <xf numFmtId="166" fontId="111" fillId="0" borderId="0" xfId="34" applyNumberFormat="1" applyFont="1" applyBorder="1"/>
    <xf numFmtId="0" fontId="110" fillId="0" borderId="107" xfId="0" applyFont="1" applyBorder="1" applyAlignment="1">
      <alignment horizontal="right"/>
    </xf>
    <xf numFmtId="0" fontId="110" fillId="0" borderId="28" xfId="0" applyFont="1" applyBorder="1" applyAlignment="1">
      <alignment horizontal="right"/>
    </xf>
    <xf numFmtId="0" fontId="110" fillId="0" borderId="25" xfId="0" applyFont="1" applyBorder="1"/>
    <xf numFmtId="0" fontId="111" fillId="0" borderId="25" xfId="0" applyFont="1" applyBorder="1"/>
    <xf numFmtId="166" fontId="109" fillId="0" borderId="25" xfId="34" applyNumberFormat="1" applyFont="1" applyBorder="1"/>
    <xf numFmtId="166" fontId="109" fillId="0" borderId="108" xfId="34" applyNumberFormat="1" applyFont="1" applyBorder="1"/>
    <xf numFmtId="166" fontId="109" fillId="0" borderId="0" xfId="34" applyNumberFormat="1" applyFont="1" applyFill="1" applyBorder="1"/>
    <xf numFmtId="0" fontId="110" fillId="0" borderId="107" xfId="0" applyFont="1" applyBorder="1"/>
    <xf numFmtId="165" fontId="109" fillId="0" borderId="25" xfId="28" applyNumberFormat="1" applyFont="1" applyFill="1" applyBorder="1"/>
    <xf numFmtId="165" fontId="109" fillId="0" borderId="108" xfId="28" applyNumberFormat="1" applyFont="1" applyFill="1" applyBorder="1"/>
    <xf numFmtId="166" fontId="109" fillId="0" borderId="28" xfId="0" applyNumberFormat="1" applyFont="1" applyBorder="1"/>
    <xf numFmtId="166" fontId="109" fillId="0" borderId="0" xfId="0" applyNumberFormat="1" applyFont="1" applyBorder="1"/>
    <xf numFmtId="0" fontId="109" fillId="0" borderId="107" xfId="0" applyFont="1" applyBorder="1" applyAlignment="1">
      <alignment horizontal="right"/>
    </xf>
    <xf numFmtId="0" fontId="109" fillId="0" borderId="28" xfId="0" applyFont="1" applyBorder="1" applyAlignment="1">
      <alignment horizontal="right"/>
    </xf>
    <xf numFmtId="0" fontId="109" fillId="0" borderId="25" xfId="0" applyFont="1" applyBorder="1"/>
    <xf numFmtId="0" fontId="109" fillId="0" borderId="25" xfId="0" applyFont="1" applyBorder="1" applyAlignment="1">
      <alignment horizontal="right"/>
    </xf>
    <xf numFmtId="0" fontId="109" fillId="0" borderId="111" xfId="0" applyFont="1" applyBorder="1" applyAlignment="1">
      <alignment horizontal="right"/>
    </xf>
    <xf numFmtId="0" fontId="109" fillId="0" borderId="130" xfId="0" applyFont="1" applyBorder="1" applyAlignment="1">
      <alignment horizontal="right"/>
    </xf>
    <xf numFmtId="0" fontId="109" fillId="0" borderId="109" xfId="0" applyFont="1" applyBorder="1"/>
    <xf numFmtId="166" fontId="109" fillId="0" borderId="109" xfId="34" applyNumberFormat="1" applyFont="1" applyBorder="1"/>
    <xf numFmtId="166" fontId="109" fillId="0" borderId="112" xfId="34" applyNumberFormat="1" applyFont="1" applyBorder="1"/>
    <xf numFmtId="0" fontId="109" fillId="0" borderId="25" xfId="0" applyFont="1" applyBorder="1" applyAlignment="1">
      <alignment wrapText="1"/>
    </xf>
    <xf numFmtId="0" fontId="109" fillId="0" borderId="113" xfId="0" applyFont="1" applyBorder="1" applyAlignment="1">
      <alignment horizontal="right"/>
    </xf>
    <xf numFmtId="0" fontId="109" fillId="0" borderId="12" xfId="0" applyFont="1" applyBorder="1" applyAlignment="1">
      <alignment horizontal="right"/>
    </xf>
    <xf numFmtId="0" fontId="110" fillId="0" borderId="85" xfId="0" applyFont="1" applyBorder="1" applyAlignment="1">
      <alignment horizontal="right"/>
    </xf>
    <xf numFmtId="0" fontId="110" fillId="0" borderId="11" xfId="0" applyFont="1" applyBorder="1" applyAlignment="1">
      <alignment horizontal="right"/>
    </xf>
    <xf numFmtId="0" fontId="109" fillId="0" borderId="11" xfId="0" applyFont="1" applyBorder="1"/>
    <xf numFmtId="166" fontId="109" fillId="0" borderId="85" xfId="34" applyNumberFormat="1" applyFont="1" applyBorder="1"/>
    <xf numFmtId="166" fontId="109" fillId="0" borderId="114" xfId="34" applyNumberFormat="1" applyFont="1" applyBorder="1"/>
    <xf numFmtId="0" fontId="109" fillId="0" borderId="109" xfId="0" applyFont="1" applyBorder="1" applyAlignment="1">
      <alignment horizontal="right"/>
    </xf>
    <xf numFmtId="0" fontId="109" fillId="0" borderId="109" xfId="0" applyFont="1" applyBorder="1" applyAlignment="1">
      <alignment wrapText="1"/>
    </xf>
    <xf numFmtId="165" fontId="109" fillId="0" borderId="109" xfId="28" applyNumberFormat="1" applyFont="1" applyFill="1" applyBorder="1"/>
    <xf numFmtId="165" fontId="109" fillId="0" borderId="112" xfId="28" applyNumberFormat="1" applyFont="1" applyFill="1" applyBorder="1"/>
    <xf numFmtId="166" fontId="109" fillId="0" borderId="21" xfId="34" applyNumberFormat="1" applyFont="1" applyBorder="1"/>
    <xf numFmtId="166" fontId="109" fillId="0" borderId="106" xfId="34" applyNumberFormat="1" applyFont="1" applyBorder="1"/>
    <xf numFmtId="0" fontId="109" fillId="0" borderId="85" xfId="0" applyFont="1" applyBorder="1" applyAlignment="1">
      <alignment horizontal="right"/>
    </xf>
    <xf numFmtId="0" fontId="110" fillId="0" borderId="85" xfId="0" applyFont="1" applyBorder="1"/>
    <xf numFmtId="165" fontId="109" fillId="0" borderId="85" xfId="28" applyNumberFormat="1" applyFont="1" applyFill="1" applyBorder="1"/>
    <xf numFmtId="165" fontId="109" fillId="0" borderId="114" xfId="28" applyNumberFormat="1" applyFont="1" applyFill="1" applyBorder="1"/>
    <xf numFmtId="165" fontId="109" fillId="0" borderId="0" xfId="0" applyNumberFormat="1" applyFont="1" applyBorder="1"/>
    <xf numFmtId="0" fontId="110" fillId="0" borderId="21" xfId="0" applyFont="1" applyBorder="1" applyAlignment="1">
      <alignment horizontal="right"/>
    </xf>
    <xf numFmtId="165" fontId="109" fillId="0" borderId="21" xfId="28" applyNumberFormat="1" applyFont="1" applyFill="1" applyBorder="1"/>
    <xf numFmtId="165" fontId="109" fillId="0" borderId="106" xfId="28" applyNumberFormat="1" applyFont="1" applyFill="1" applyBorder="1"/>
    <xf numFmtId="166" fontId="109" fillId="0" borderId="25" xfId="34" applyNumberFormat="1" applyFont="1" applyFill="1" applyBorder="1"/>
    <xf numFmtId="166" fontId="109" fillId="0" borderId="108" xfId="34" applyNumberFormat="1" applyFont="1" applyFill="1" applyBorder="1"/>
    <xf numFmtId="0" fontId="109" fillId="0" borderId="105" xfId="0" applyFont="1" applyBorder="1" applyAlignment="1">
      <alignment horizontal="right"/>
    </xf>
    <xf numFmtId="0" fontId="109" fillId="0" borderId="23" xfId="0" applyFont="1" applyBorder="1" applyAlignment="1">
      <alignment horizontal="right"/>
    </xf>
    <xf numFmtId="166" fontId="109" fillId="38" borderId="25" xfId="34" applyNumberFormat="1" applyFont="1" applyFill="1" applyBorder="1"/>
    <xf numFmtId="166" fontId="109" fillId="0" borderId="95" xfId="34" applyNumberFormat="1" applyFont="1" applyBorder="1"/>
    <xf numFmtId="9" fontId="109" fillId="0" borderId="0" xfId="65" applyFont="1" applyBorder="1"/>
    <xf numFmtId="0" fontId="109" fillId="0" borderId="85" xfId="0" applyFont="1" applyBorder="1"/>
    <xf numFmtId="165" fontId="110" fillId="38" borderId="25" xfId="28" applyNumberFormat="1" applyFont="1" applyFill="1" applyBorder="1"/>
    <xf numFmtId="165" fontId="110" fillId="0" borderId="108" xfId="28" applyNumberFormat="1" applyFont="1" applyFill="1" applyBorder="1"/>
    <xf numFmtId="166" fontId="110" fillId="0" borderId="28" xfId="0" applyNumberFormat="1" applyFont="1" applyBorder="1"/>
    <xf numFmtId="166" fontId="110" fillId="0" borderId="0" xfId="0" applyNumberFormat="1" applyFont="1" applyBorder="1"/>
    <xf numFmtId="43" fontId="109" fillId="0" borderId="0" xfId="0" applyNumberFormat="1" applyFont="1" applyBorder="1"/>
    <xf numFmtId="166" fontId="111" fillId="0" borderId="28" xfId="34" applyNumberFormat="1" applyFont="1" applyBorder="1"/>
    <xf numFmtId="165" fontId="110" fillId="0" borderId="85" xfId="28" applyNumberFormat="1" applyFont="1" applyFill="1" applyBorder="1"/>
    <xf numFmtId="165" fontId="110" fillId="0" borderId="114" xfId="28" applyNumberFormat="1" applyFont="1" applyFill="1" applyBorder="1"/>
    <xf numFmtId="165" fontId="109" fillId="0" borderId="0" xfId="28" applyNumberFormat="1" applyFont="1" applyBorder="1"/>
    <xf numFmtId="0" fontId="112" fillId="0" borderId="150" xfId="0" applyFont="1" applyBorder="1" applyAlignment="1">
      <alignment wrapText="1"/>
    </xf>
    <xf numFmtId="0" fontId="109" fillId="0" borderId="21" xfId="0" applyFont="1" applyBorder="1" applyAlignment="1">
      <alignment wrapText="1"/>
    </xf>
    <xf numFmtId="0" fontId="112" fillId="0" borderId="95" xfId="0" applyFont="1" applyBorder="1" applyAlignment="1">
      <alignment wrapText="1"/>
    </xf>
    <xf numFmtId="0" fontId="110" fillId="0" borderId="25" xfId="0" applyFont="1" applyBorder="1" applyAlignment="1">
      <alignment horizontal="right"/>
    </xf>
    <xf numFmtId="0" fontId="112" fillId="0" borderId="161" xfId="0" applyFont="1" applyBorder="1" applyAlignment="1">
      <alignment wrapText="1"/>
    </xf>
    <xf numFmtId="166" fontId="109" fillId="0" borderId="109" xfId="34" applyNumberFormat="1" applyFont="1" applyFill="1" applyBorder="1"/>
    <xf numFmtId="166" fontId="109" fillId="0" borderId="112" xfId="34" applyNumberFormat="1" applyFont="1" applyFill="1" applyBorder="1"/>
    <xf numFmtId="166" fontId="111" fillId="0" borderId="28" xfId="0" applyNumberFormat="1" applyFont="1" applyBorder="1"/>
    <xf numFmtId="166" fontId="111" fillId="0" borderId="0" xfId="0" applyNumberFormat="1" applyFont="1" applyBorder="1"/>
    <xf numFmtId="0" fontId="110" fillId="0" borderId="11" xfId="0" applyFont="1" applyBorder="1"/>
    <xf numFmtId="165" fontId="111" fillId="0" borderId="85" xfId="28" applyNumberFormat="1" applyFont="1" applyFill="1" applyBorder="1"/>
    <xf numFmtId="165" fontId="111" fillId="0" borderId="114" xfId="28" applyNumberFormat="1" applyFont="1" applyFill="1" applyBorder="1"/>
    <xf numFmtId="0" fontId="110" fillId="31" borderId="113" xfId="0" applyFont="1" applyFill="1" applyBorder="1" applyAlignment="1">
      <alignment horizontal="center"/>
    </xf>
    <xf numFmtId="0" fontId="110" fillId="31" borderId="85" xfId="0" applyFont="1" applyFill="1" applyBorder="1" applyAlignment="1">
      <alignment horizontal="center"/>
    </xf>
    <xf numFmtId="0" fontId="110" fillId="31" borderId="85" xfId="0" applyFont="1" applyFill="1" applyBorder="1"/>
    <xf numFmtId="0" fontId="109" fillId="31" borderId="85" xfId="0" applyFont="1" applyFill="1" applyBorder="1"/>
    <xf numFmtId="165" fontId="109" fillId="31" borderId="85" xfId="28" applyNumberFormat="1" applyFont="1" applyFill="1" applyBorder="1"/>
    <xf numFmtId="165" fontId="109" fillId="31" borderId="114" xfId="28" applyNumberFormat="1" applyFont="1" applyFill="1" applyBorder="1"/>
    <xf numFmtId="0" fontId="109" fillId="0" borderId="105" xfId="0" applyFont="1" applyBorder="1"/>
    <xf numFmtId="0" fontId="110" fillId="0" borderId="109" xfId="0" applyFont="1" applyBorder="1"/>
    <xf numFmtId="0" fontId="110" fillId="0" borderId="107" xfId="0" applyFont="1" applyFill="1" applyBorder="1"/>
    <xf numFmtId="0" fontId="110" fillId="0" borderId="25" xfId="0" applyFont="1" applyFill="1" applyBorder="1"/>
    <xf numFmtId="165" fontId="110" fillId="0" borderId="25" xfId="28" applyNumberFormat="1" applyFont="1" applyFill="1" applyBorder="1"/>
    <xf numFmtId="166" fontId="110" fillId="28" borderId="28" xfId="34" applyNumberFormat="1" applyFont="1" applyFill="1" applyBorder="1"/>
    <xf numFmtId="165" fontId="110" fillId="0" borderId="0" xfId="28" applyNumberFormat="1" applyFont="1" applyBorder="1"/>
    <xf numFmtId="0" fontId="110" fillId="0" borderId="113" xfId="0" applyFont="1" applyBorder="1"/>
    <xf numFmtId="0" fontId="110" fillId="0" borderId="12" xfId="0" applyFont="1" applyBorder="1"/>
    <xf numFmtId="0" fontId="111" fillId="0" borderId="85" xfId="0" applyFont="1" applyBorder="1"/>
    <xf numFmtId="166" fontId="111" fillId="0" borderId="85" xfId="34" applyNumberFormat="1" applyFont="1" applyBorder="1"/>
    <xf numFmtId="166" fontId="111" fillId="0" borderId="114" xfId="34" applyNumberFormat="1" applyFont="1" applyBorder="1"/>
    <xf numFmtId="0" fontId="109" fillId="0" borderId="107" xfId="0" applyFont="1" applyFill="1" applyBorder="1" applyAlignment="1">
      <alignment horizontal="right"/>
    </xf>
    <xf numFmtId="0" fontId="109" fillId="0" borderId="25" xfId="0" applyFont="1" applyFill="1" applyBorder="1" applyAlignment="1">
      <alignment horizontal="right"/>
    </xf>
    <xf numFmtId="0" fontId="109" fillId="0" borderId="25" xfId="0" applyFont="1" applyFill="1" applyBorder="1"/>
    <xf numFmtId="0" fontId="110" fillId="0" borderId="168" xfId="0" applyFont="1" applyBorder="1"/>
    <xf numFmtId="0" fontId="111" fillId="0" borderId="11" xfId="0" applyFont="1" applyBorder="1"/>
    <xf numFmtId="166" fontId="111" fillId="0" borderId="11" xfId="34" applyNumberFormat="1" applyFont="1" applyBorder="1"/>
    <xf numFmtId="166" fontId="111" fillId="0" borderId="182" xfId="34" applyNumberFormat="1" applyFont="1" applyBorder="1"/>
    <xf numFmtId="0" fontId="109" fillId="0" borderId="111" xfId="0" applyFont="1" applyFill="1" applyBorder="1" applyAlignment="1">
      <alignment horizontal="right"/>
    </xf>
    <xf numFmtId="0" fontId="109" fillId="0" borderId="109" xfId="0" applyFont="1" applyFill="1" applyBorder="1" applyAlignment="1">
      <alignment horizontal="right"/>
    </xf>
    <xf numFmtId="0" fontId="109" fillId="0" borderId="109" xfId="0" applyFont="1" applyFill="1" applyBorder="1"/>
    <xf numFmtId="0" fontId="110" fillId="31" borderId="12" xfId="0" applyFont="1" applyFill="1" applyBorder="1" applyAlignment="1">
      <alignment horizontal="center"/>
    </xf>
    <xf numFmtId="166" fontId="110" fillId="31" borderId="85" xfId="34" applyNumberFormat="1" applyFont="1" applyFill="1" applyBorder="1"/>
    <xf numFmtId="166" fontId="109" fillId="31" borderId="85" xfId="34" applyNumberFormat="1" applyFont="1" applyFill="1" applyBorder="1"/>
    <xf numFmtId="166" fontId="109" fillId="31" borderId="114" xfId="34" applyNumberFormat="1" applyFont="1" applyFill="1" applyBorder="1"/>
    <xf numFmtId="0" fontId="109" fillId="0" borderId="113" xfId="0" applyFont="1" applyFill="1" applyBorder="1"/>
    <xf numFmtId="0" fontId="109" fillId="0" borderId="85" xfId="0" applyFont="1" applyFill="1" applyBorder="1"/>
    <xf numFmtId="0" fontId="110" fillId="0" borderId="85" xfId="0" applyFont="1" applyFill="1" applyBorder="1" applyAlignment="1">
      <alignment horizontal="right"/>
    </xf>
    <xf numFmtId="0" fontId="110" fillId="0" borderId="105" xfId="0" applyFont="1" applyBorder="1"/>
    <xf numFmtId="0" fontId="110" fillId="0" borderId="23" xfId="0" applyFont="1" applyBorder="1"/>
    <xf numFmtId="0" fontId="110" fillId="0" borderId="105" xfId="0" applyFont="1" applyFill="1" applyBorder="1"/>
    <xf numFmtId="0" fontId="110" fillId="0" borderId="21" xfId="0" applyFont="1" applyFill="1" applyBorder="1"/>
    <xf numFmtId="166" fontId="109" fillId="0" borderId="0" xfId="34" applyNumberFormat="1" applyFont="1" applyBorder="1"/>
    <xf numFmtId="0" fontId="110" fillId="0" borderId="111" xfId="0" applyFont="1" applyFill="1" applyBorder="1"/>
    <xf numFmtId="0" fontId="110" fillId="0" borderId="109" xfId="0" applyFont="1" applyFill="1" applyBorder="1"/>
    <xf numFmtId="166" fontId="112" fillId="0" borderId="0" xfId="34" applyNumberFormat="1" applyFont="1" applyFill="1" applyBorder="1"/>
    <xf numFmtId="0" fontId="109" fillId="0" borderId="151" xfId="0" applyFont="1" applyFill="1" applyBorder="1"/>
    <xf numFmtId="0" fontId="109" fillId="0" borderId="95" xfId="0" applyFont="1" applyFill="1" applyBorder="1"/>
    <xf numFmtId="165" fontId="109" fillId="0" borderId="95" xfId="28" applyNumberFormat="1" applyFont="1" applyFill="1" applyBorder="1"/>
    <xf numFmtId="165" fontId="109" fillId="0" borderId="115" xfId="28" applyNumberFormat="1" applyFont="1" applyFill="1" applyBorder="1"/>
    <xf numFmtId="0" fontId="110" fillId="0" borderId="113" xfId="0" applyFont="1" applyBorder="1" applyAlignment="1">
      <alignment horizontal="right"/>
    </xf>
    <xf numFmtId="0" fontId="110" fillId="0" borderId="12" xfId="0" applyFont="1" applyBorder="1" applyAlignment="1">
      <alignment horizontal="right"/>
    </xf>
    <xf numFmtId="0" fontId="111" fillId="0" borderId="85" xfId="0" applyFont="1" applyBorder="1" applyAlignment="1">
      <alignment horizontal="right"/>
    </xf>
    <xf numFmtId="166" fontId="110" fillId="0" borderId="85" xfId="34" applyNumberFormat="1" applyFont="1" applyBorder="1"/>
    <xf numFmtId="166" fontId="110" fillId="0" borderId="114" xfId="34" applyNumberFormat="1" applyFont="1" applyBorder="1"/>
    <xf numFmtId="166" fontId="110" fillId="0" borderId="0" xfId="34" applyNumberFormat="1" applyFont="1" applyBorder="1"/>
    <xf numFmtId="0" fontId="110" fillId="0" borderId="113" xfId="0" applyFont="1" applyFill="1" applyBorder="1"/>
    <xf numFmtId="0" fontId="110" fillId="0" borderId="85" xfId="0" applyFont="1" applyFill="1" applyBorder="1"/>
    <xf numFmtId="0" fontId="110" fillId="0" borderId="23" xfId="0" applyFont="1" applyBorder="1" applyAlignment="1">
      <alignment horizontal="center"/>
    </xf>
    <xf numFmtId="0" fontId="109" fillId="0" borderId="95" xfId="0" applyFont="1" applyBorder="1"/>
    <xf numFmtId="0" fontId="109" fillId="0" borderId="105" xfId="0" applyFont="1" applyFill="1" applyBorder="1"/>
    <xf numFmtId="0" fontId="109" fillId="0" borderId="21" xfId="0" applyFont="1" applyFill="1" applyBorder="1"/>
    <xf numFmtId="164" fontId="109" fillId="0" borderId="0" xfId="28" applyFont="1" applyFill="1" applyBorder="1"/>
    <xf numFmtId="0" fontId="109" fillId="0" borderId="109" xfId="0" applyFont="1" applyBorder="1" applyAlignment="1">
      <alignment horizontal="left" wrapText="1"/>
    </xf>
    <xf numFmtId="164" fontId="109" fillId="0" borderId="0" xfId="28" applyFont="1" applyBorder="1"/>
    <xf numFmtId="0" fontId="109" fillId="0" borderId="25" xfId="0" applyFont="1" applyFill="1" applyBorder="1" applyAlignment="1">
      <alignment wrapText="1"/>
    </xf>
    <xf numFmtId="0" fontId="111" fillId="0" borderId="109" xfId="0" applyFont="1" applyBorder="1"/>
    <xf numFmtId="0" fontId="110" fillId="0" borderId="95" xfId="0" applyFont="1" applyFill="1" applyBorder="1"/>
    <xf numFmtId="0" fontId="110" fillId="0" borderId="151" xfId="0" applyFont="1" applyBorder="1" applyAlignment="1">
      <alignment horizontal="right"/>
    </xf>
    <xf numFmtId="0" fontId="110" fillId="0" borderId="165" xfId="0" applyFont="1" applyBorder="1" applyAlignment="1">
      <alignment horizontal="center"/>
    </xf>
    <xf numFmtId="0" fontId="110" fillId="0" borderId="95" xfId="0" applyFont="1" applyBorder="1"/>
    <xf numFmtId="166" fontId="110" fillId="0" borderId="95" xfId="34" applyNumberFormat="1" applyFont="1" applyBorder="1"/>
    <xf numFmtId="166" fontId="110" fillId="0" borderId="115" xfId="34" applyNumberFormat="1" applyFont="1" applyBorder="1"/>
    <xf numFmtId="165" fontId="113" fillId="0" borderId="95" xfId="28" applyNumberFormat="1" applyFont="1" applyFill="1" applyBorder="1"/>
    <xf numFmtId="165" fontId="113" fillId="0" borderId="115" xfId="28" applyNumberFormat="1" applyFont="1" applyFill="1" applyBorder="1"/>
    <xf numFmtId="0" fontId="110" fillId="0" borderId="111" xfId="0" applyFont="1" applyBorder="1" applyAlignment="1">
      <alignment horizontal="right"/>
    </xf>
    <xf numFmtId="0" fontId="110" fillId="0" borderId="130" xfId="0" applyFont="1" applyBorder="1" applyAlignment="1">
      <alignment horizontal="right"/>
    </xf>
    <xf numFmtId="166" fontId="110" fillId="0" borderId="109" xfId="34" applyNumberFormat="1" applyFont="1" applyBorder="1"/>
    <xf numFmtId="166" fontId="110" fillId="0" borderId="112" xfId="34" applyNumberFormat="1" applyFont="1" applyBorder="1"/>
    <xf numFmtId="166" fontId="110" fillId="28" borderId="28" xfId="0" applyNumberFormat="1" applyFont="1" applyFill="1" applyBorder="1"/>
    <xf numFmtId="166" fontId="110" fillId="0" borderId="0" xfId="0" applyNumberFormat="1" applyFont="1" applyFill="1" applyBorder="1"/>
    <xf numFmtId="0" fontId="110" fillId="0" borderId="12" xfId="0" applyFont="1" applyFill="1" applyBorder="1"/>
    <xf numFmtId="166" fontId="110" fillId="0" borderId="85" xfId="34" applyNumberFormat="1" applyFont="1" applyFill="1" applyBorder="1"/>
    <xf numFmtId="166" fontId="110" fillId="0" borderId="114" xfId="34" applyNumberFormat="1" applyFont="1" applyFill="1" applyBorder="1"/>
    <xf numFmtId="0" fontId="109" fillId="0" borderId="107" xfId="0" applyFont="1" applyBorder="1"/>
    <xf numFmtId="0" fontId="109" fillId="0" borderId="28" xfId="0" applyFont="1" applyBorder="1"/>
    <xf numFmtId="166" fontId="110" fillId="0" borderId="94" xfId="0" applyNumberFormat="1" applyFont="1" applyBorder="1"/>
    <xf numFmtId="0" fontId="110" fillId="0" borderId="81" xfId="0" applyFont="1" applyBorder="1"/>
    <xf numFmtId="0" fontId="110" fillId="0" borderId="166" xfId="0" applyFont="1" applyBorder="1"/>
    <xf numFmtId="0" fontId="110" fillId="0" borderId="121" xfId="0" applyFont="1" applyBorder="1"/>
    <xf numFmtId="0" fontId="114" fillId="0" borderId="121" xfId="0" applyFont="1" applyBorder="1"/>
    <xf numFmtId="166" fontId="110" fillId="0" borderId="121" xfId="34" applyNumberFormat="1" applyFont="1" applyBorder="1"/>
    <xf numFmtId="166" fontId="110" fillId="0" borderId="122" xfId="34" applyNumberFormat="1" applyFont="1" applyBorder="1"/>
    <xf numFmtId="0" fontId="109" fillId="0" borderId="81" xfId="0" applyFont="1" applyBorder="1"/>
    <xf numFmtId="0" fontId="109" fillId="0" borderId="121" xfId="0" applyFont="1" applyBorder="1"/>
    <xf numFmtId="165" fontId="110" fillId="0" borderId="121" xfId="28" applyNumberFormat="1" applyFont="1" applyFill="1" applyBorder="1"/>
    <xf numFmtId="165" fontId="110" fillId="0" borderId="122" xfId="28" applyNumberFormat="1" applyFont="1" applyFill="1" applyBorder="1"/>
    <xf numFmtId="0" fontId="109" fillId="35" borderId="0" xfId="0" applyFont="1" applyFill="1"/>
    <xf numFmtId="0" fontId="115" fillId="0" borderId="0" xfId="0" applyFont="1"/>
    <xf numFmtId="166" fontId="113" fillId="35" borderId="0" xfId="0" applyNumberFormat="1" applyFont="1" applyFill="1"/>
    <xf numFmtId="166" fontId="109" fillId="35" borderId="0" xfId="0" applyNumberFormat="1" applyFont="1" applyFill="1"/>
    <xf numFmtId="166" fontId="109" fillId="0" borderId="0" xfId="0" applyNumberFormat="1" applyFont="1"/>
    <xf numFmtId="0" fontId="101" fillId="0" borderId="0" xfId="58" applyFont="1"/>
    <xf numFmtId="0" fontId="85" fillId="0" borderId="0" xfId="58" applyFont="1"/>
    <xf numFmtId="0" fontId="101" fillId="0" borderId="162" xfId="59" applyFont="1" applyBorder="1" applyAlignment="1">
      <alignment horizontal="center" vertical="center" wrapText="1"/>
    </xf>
    <xf numFmtId="0" fontId="101" fillId="0" borderId="0" xfId="58" applyFont="1" applyBorder="1" applyAlignment="1"/>
    <xf numFmtId="0" fontId="101" fillId="0" borderId="163" xfId="59" applyFont="1" applyBorder="1" applyAlignment="1">
      <alignment horizontal="center" vertical="center" wrapText="1"/>
    </xf>
    <xf numFmtId="9" fontId="101" fillId="0" borderId="98" xfId="65" applyFont="1" applyBorder="1" applyAlignment="1">
      <alignment horizontal="center" vertical="center"/>
    </xf>
    <xf numFmtId="9" fontId="85" fillId="0" borderId="0" xfId="65" applyFont="1"/>
    <xf numFmtId="166" fontId="101" fillId="0" borderId="105" xfId="38" applyNumberFormat="1" applyFont="1" applyFill="1" applyBorder="1"/>
    <xf numFmtId="166" fontId="101" fillId="0" borderId="165" xfId="38" applyNumberFormat="1" applyFont="1" applyFill="1" applyBorder="1"/>
    <xf numFmtId="0" fontId="101" fillId="0" borderId="95" xfId="59" applyFont="1" applyFill="1" applyBorder="1"/>
    <xf numFmtId="0" fontId="101" fillId="0" borderId="21" xfId="59" applyFont="1" applyFill="1" applyBorder="1"/>
    <xf numFmtId="165" fontId="101" fillId="0" borderId="21" xfId="28" applyNumberFormat="1" applyFont="1" applyFill="1" applyBorder="1"/>
    <xf numFmtId="166" fontId="101" fillId="0" borderId="23" xfId="38" applyNumberFormat="1" applyFont="1" applyFill="1" applyBorder="1"/>
    <xf numFmtId="0" fontId="101" fillId="0" borderId="25" xfId="59" applyFont="1" applyFill="1" applyBorder="1" applyAlignment="1">
      <alignment horizontal="left"/>
    </xf>
    <xf numFmtId="166" fontId="101" fillId="0" borderId="107" xfId="38" applyNumberFormat="1" applyFont="1" applyBorder="1"/>
    <xf numFmtId="166" fontId="101" fillId="0" borderId="28" xfId="38" applyNumberFormat="1" applyFont="1" applyBorder="1"/>
    <xf numFmtId="0" fontId="85" fillId="0" borderId="21" xfId="59" applyFont="1" applyFill="1" applyBorder="1" applyAlignment="1">
      <alignment horizontal="left"/>
    </xf>
    <xf numFmtId="0" fontId="85" fillId="0" borderId="25" xfId="59" applyFont="1" applyFill="1" applyBorder="1"/>
    <xf numFmtId="0" fontId="101" fillId="0" borderId="25" xfId="59" applyFont="1" applyFill="1" applyBorder="1"/>
    <xf numFmtId="0" fontId="101" fillId="0" borderId="25" xfId="59" applyFont="1" applyFill="1" applyBorder="1" applyAlignment="1">
      <alignment horizontal="right"/>
    </xf>
    <xf numFmtId="166" fontId="101" fillId="0" borderId="105" xfId="38" applyNumberFormat="1" applyFont="1" applyFill="1" applyBorder="1" applyAlignment="1">
      <alignment horizontal="right"/>
    </xf>
    <xf numFmtId="166" fontId="101" fillId="0" borderId="23" xfId="38" applyNumberFormat="1" applyFont="1" applyFill="1" applyBorder="1" applyAlignment="1">
      <alignment horizontal="right"/>
    </xf>
    <xf numFmtId="0" fontId="108" fillId="0" borderId="25" xfId="59" applyFont="1" applyFill="1" applyBorder="1"/>
    <xf numFmtId="166" fontId="107" fillId="0" borderId="107" xfId="38" applyNumberFormat="1" applyFont="1" applyFill="1" applyBorder="1" applyAlignment="1">
      <alignment horizontal="right"/>
    </xf>
    <xf numFmtId="166" fontId="101" fillId="0" borderId="28" xfId="38" applyNumberFormat="1" applyFont="1" applyFill="1" applyBorder="1" applyAlignment="1">
      <alignment horizontal="right"/>
    </xf>
    <xf numFmtId="0" fontId="107" fillId="0" borderId="25" xfId="59" applyFont="1" applyFill="1" applyBorder="1"/>
    <xf numFmtId="0" fontId="108" fillId="0" borderId="25" xfId="59" applyFont="1" applyFill="1" applyBorder="1" applyAlignment="1">
      <alignment horizontal="left"/>
    </xf>
    <xf numFmtId="166" fontId="101" fillId="0" borderId="111" xfId="38" applyNumberFormat="1" applyFont="1" applyBorder="1"/>
    <xf numFmtId="166" fontId="101" fillId="0" borderId="130" xfId="38" applyNumberFormat="1" applyFont="1" applyBorder="1"/>
    <xf numFmtId="0" fontId="101" fillId="0" borderId="109" xfId="59" applyFont="1" applyFill="1" applyBorder="1" applyAlignment="1">
      <alignment horizontal="left"/>
    </xf>
    <xf numFmtId="0" fontId="85" fillId="0" borderId="109" xfId="59" applyFont="1" applyFill="1" applyBorder="1"/>
    <xf numFmtId="165" fontId="101" fillId="0" borderId="109" xfId="28" applyNumberFormat="1" applyFont="1" applyFill="1" applyBorder="1"/>
    <xf numFmtId="166" fontId="101" fillId="28" borderId="113" xfId="38" applyNumberFormat="1" applyFont="1" applyFill="1" applyBorder="1"/>
    <xf numFmtId="166" fontId="101" fillId="28" borderId="12" xfId="38" applyNumberFormat="1" applyFont="1" applyFill="1" applyBorder="1"/>
    <xf numFmtId="0" fontId="101" fillId="28" borderId="85" xfId="59" applyFont="1" applyFill="1" applyBorder="1" applyAlignment="1">
      <alignment horizontal="left"/>
    </xf>
    <xf numFmtId="0" fontId="85" fillId="28" borderId="85" xfId="59" applyFont="1" applyFill="1" applyBorder="1"/>
    <xf numFmtId="165" fontId="101" fillId="28" borderId="85" xfId="28" applyNumberFormat="1" applyFont="1" applyFill="1" applyBorder="1"/>
    <xf numFmtId="166" fontId="101" fillId="0" borderId="105" xfId="38" applyNumberFormat="1" applyFont="1" applyBorder="1"/>
    <xf numFmtId="166" fontId="101" fillId="0" borderId="23" xfId="38" applyNumberFormat="1" applyFont="1" applyBorder="1"/>
    <xf numFmtId="0" fontId="85" fillId="0" borderId="21" xfId="59" applyFont="1" applyFill="1" applyBorder="1"/>
    <xf numFmtId="0" fontId="85" fillId="0" borderId="25" xfId="59" applyFont="1" applyFill="1" applyBorder="1" applyAlignment="1">
      <alignment horizontal="left"/>
    </xf>
    <xf numFmtId="0" fontId="85" fillId="0" borderId="25" xfId="59" applyFont="1" applyFill="1" applyBorder="1" applyAlignment="1">
      <alignment horizontal="right"/>
    </xf>
    <xf numFmtId="165" fontId="85" fillId="0" borderId="0" xfId="58" applyNumberFormat="1" applyFont="1"/>
    <xf numFmtId="166" fontId="101" fillId="0" borderId="107" xfId="38" applyNumberFormat="1" applyFont="1" applyFill="1" applyBorder="1"/>
    <xf numFmtId="166" fontId="101" fillId="0" borderId="28" xfId="38" applyNumberFormat="1" applyFont="1" applyFill="1" applyBorder="1"/>
    <xf numFmtId="166" fontId="107" fillId="0" borderId="107" xfId="38" applyNumberFormat="1" applyFont="1" applyBorder="1"/>
    <xf numFmtId="166" fontId="101" fillId="0" borderId="81" xfId="38" applyNumberFormat="1" applyFont="1" applyFill="1" applyBorder="1"/>
    <xf numFmtId="166" fontId="101" fillId="0" borderId="166" xfId="38" applyNumberFormat="1" applyFont="1" applyFill="1" applyBorder="1"/>
    <xf numFmtId="0" fontId="85" fillId="0" borderId="121" xfId="59" applyFont="1" applyFill="1" applyBorder="1"/>
    <xf numFmtId="0" fontId="101" fillId="0" borderId="121" xfId="59" applyFont="1" applyFill="1" applyBorder="1" applyAlignment="1">
      <alignment horizontal="right"/>
    </xf>
    <xf numFmtId="9" fontId="101" fillId="0" borderId="121" xfId="65" applyFont="1" applyFill="1" applyBorder="1"/>
    <xf numFmtId="166" fontId="85" fillId="0" borderId="0" xfId="58" applyNumberFormat="1" applyFont="1"/>
    <xf numFmtId="0" fontId="116" fillId="0" borderId="0" xfId="52" applyFont="1" applyBorder="1"/>
    <xf numFmtId="0" fontId="117" fillId="0" borderId="0" xfId="0" applyFont="1"/>
    <xf numFmtId="0" fontId="117" fillId="0" borderId="0" xfId="0" applyFont="1" applyFill="1"/>
    <xf numFmtId="165" fontId="117" fillId="0" borderId="0" xfId="28" applyNumberFormat="1" applyFont="1"/>
    <xf numFmtId="0" fontId="117" fillId="0" borderId="0" xfId="0" applyFont="1" applyBorder="1"/>
    <xf numFmtId="9" fontId="101" fillId="0" borderId="164" xfId="65" applyFont="1" applyBorder="1" applyAlignment="1">
      <alignment horizontal="center" vertical="center"/>
    </xf>
    <xf numFmtId="165" fontId="101" fillId="0" borderId="106" xfId="28" applyNumberFormat="1" applyFont="1" applyFill="1" applyBorder="1"/>
    <xf numFmtId="165" fontId="101" fillId="0" borderId="112" xfId="28" applyNumberFormat="1" applyFont="1" applyFill="1" applyBorder="1"/>
    <xf numFmtId="165" fontId="101" fillId="28" borderId="114" xfId="28" applyNumberFormat="1" applyFont="1" applyFill="1" applyBorder="1"/>
    <xf numFmtId="9" fontId="101" fillId="0" borderId="122" xfId="65" applyFont="1" applyFill="1" applyBorder="1"/>
    <xf numFmtId="0" fontId="80" fillId="0" borderId="0" xfId="52" applyFont="1" applyBorder="1" applyAlignment="1">
      <alignment horizontal="center"/>
    </xf>
    <xf numFmtId="0" fontId="100" fillId="0" borderId="0" xfId="52" applyBorder="1" applyAlignment="1">
      <alignment horizontal="center" wrapText="1"/>
    </xf>
    <xf numFmtId="0" fontId="81" fillId="0" borderId="0" xfId="52" applyFont="1" applyBorder="1" applyAlignment="1">
      <alignment horizontal="center"/>
    </xf>
    <xf numFmtId="0" fontId="110" fillId="0" borderId="103" xfId="0" applyFont="1" applyBorder="1" applyAlignment="1">
      <alignment horizontal="center" vertical="center" wrapText="1"/>
    </xf>
    <xf numFmtId="0" fontId="110" fillId="0" borderId="157" xfId="0" applyFont="1" applyBorder="1" applyAlignment="1">
      <alignment horizontal="center" vertical="center" wrapText="1"/>
    </xf>
    <xf numFmtId="0" fontId="110" fillId="0" borderId="96" xfId="0" applyFont="1" applyBorder="1" applyAlignment="1">
      <alignment horizontal="center" vertical="center" wrapText="1"/>
    </xf>
    <xf numFmtId="0" fontId="110" fillId="0" borderId="98" xfId="0" applyFont="1" applyBorder="1" applyAlignment="1">
      <alignment horizontal="center" vertical="center" wrapText="1"/>
    </xf>
    <xf numFmtId="0" fontId="109" fillId="0" borderId="109" xfId="0" applyFont="1" applyBorder="1" applyAlignment="1">
      <alignment horizontal="left" wrapText="1"/>
    </xf>
    <xf numFmtId="0" fontId="109" fillId="0" borderId="95" xfId="0" applyFont="1" applyBorder="1" applyAlignment="1">
      <alignment horizontal="left" wrapText="1"/>
    </xf>
    <xf numFmtId="0" fontId="109" fillId="0" borderId="161" xfId="0" applyFont="1" applyBorder="1" applyAlignment="1">
      <alignment horizontal="left" wrapText="1"/>
    </xf>
    <xf numFmtId="0" fontId="112" fillId="0" borderId="109" xfId="0" applyFont="1" applyBorder="1" applyAlignment="1">
      <alignment horizontal="left" wrapText="1"/>
    </xf>
    <xf numFmtId="0" fontId="112" fillId="0" borderId="95" xfId="0" applyFont="1" applyBorder="1" applyAlignment="1">
      <alignment horizontal="left" wrapText="1"/>
    </xf>
    <xf numFmtId="0" fontId="112" fillId="0" borderId="161" xfId="0" applyFont="1" applyBorder="1" applyAlignment="1">
      <alignment horizontal="left" wrapText="1"/>
    </xf>
    <xf numFmtId="0" fontId="110" fillId="0" borderId="12" xfId="0" applyFont="1" applyBorder="1" applyAlignment="1">
      <alignment horizontal="center" vertical="center" wrapText="1"/>
    </xf>
    <xf numFmtId="0" fontId="110" fillId="0" borderId="97" xfId="0" applyFont="1" applyFill="1" applyBorder="1" applyAlignment="1">
      <alignment horizontal="center"/>
    </xf>
    <xf numFmtId="0" fontId="110" fillId="0" borderId="104" xfId="0" applyFont="1" applyFill="1" applyBorder="1" applyAlignment="1">
      <alignment horizontal="center"/>
    </xf>
    <xf numFmtId="0" fontId="110" fillId="0" borderId="97" xfId="0" applyFont="1" applyBorder="1" applyAlignment="1">
      <alignment horizontal="center" vertical="center" wrapText="1"/>
    </xf>
    <xf numFmtId="0" fontId="110" fillId="0" borderId="99" xfId="0" applyFont="1" applyBorder="1" applyAlignment="1">
      <alignment horizontal="center" vertical="center" wrapText="1"/>
    </xf>
    <xf numFmtId="0" fontId="110" fillId="0" borderId="97" xfId="0" applyFont="1" applyBorder="1" applyAlignment="1">
      <alignment horizontal="center"/>
    </xf>
    <xf numFmtId="0" fontId="110" fillId="0" borderId="104" xfId="0" applyFont="1" applyBorder="1" applyAlignment="1">
      <alignment horizontal="center"/>
    </xf>
    <xf numFmtId="0" fontId="101" fillId="0" borderId="169" xfId="59" applyFont="1" applyBorder="1" applyAlignment="1">
      <alignment horizontal="center" vertical="center" wrapText="1"/>
    </xf>
    <xf numFmtId="0" fontId="101" fillId="0" borderId="153" xfId="59" applyFont="1" applyBorder="1" applyAlignment="1">
      <alignment horizontal="center" vertical="center" wrapText="1"/>
    </xf>
    <xf numFmtId="0" fontId="101" fillId="0" borderId="97" xfId="59" applyFont="1" applyBorder="1" applyAlignment="1">
      <alignment horizontal="center" vertical="center" wrapText="1"/>
    </xf>
    <xf numFmtId="0" fontId="101" fillId="0" borderId="99" xfId="59" applyFont="1" applyBorder="1" applyAlignment="1">
      <alignment horizontal="center" vertical="center" wrapText="1"/>
    </xf>
    <xf numFmtId="0" fontId="101" fillId="0" borderId="102" xfId="59" applyFont="1" applyBorder="1" applyAlignment="1">
      <alignment horizontal="center"/>
    </xf>
    <xf numFmtId="0" fontId="101" fillId="0" borderId="170" xfId="59" applyFont="1" applyBorder="1" applyAlignment="1">
      <alignment horizontal="center"/>
    </xf>
    <xf numFmtId="0" fontId="101" fillId="0" borderId="96" xfId="59" applyFont="1" applyBorder="1" applyAlignment="1">
      <alignment horizontal="center" vertical="center" wrapText="1"/>
    </xf>
    <xf numFmtId="0" fontId="101" fillId="0" borderId="98" xfId="59" applyFont="1" applyBorder="1" applyAlignment="1">
      <alignment horizontal="center" vertical="center" wrapText="1"/>
    </xf>
    <xf numFmtId="0" fontId="47" fillId="0" borderId="171" xfId="53" applyFont="1" applyBorder="1" applyAlignment="1">
      <alignment horizontal="center"/>
    </xf>
    <xf numFmtId="0" fontId="47" fillId="0" borderId="172" xfId="53" applyFont="1" applyBorder="1" applyAlignment="1">
      <alignment horizontal="center"/>
    </xf>
    <xf numFmtId="0" fontId="47" fillId="0" borderId="167" xfId="53" applyFont="1" applyBorder="1" applyAlignment="1">
      <alignment horizontal="center"/>
    </xf>
    <xf numFmtId="0" fontId="46" fillId="0" borderId="150" xfId="53" applyFont="1" applyBorder="1" applyAlignment="1">
      <alignment horizontal="center" vertical="center"/>
    </xf>
    <xf numFmtId="0" fontId="46" fillId="0" borderId="95" xfId="53" applyFont="1" applyBorder="1" applyAlignment="1">
      <alignment horizontal="center" vertical="center"/>
    </xf>
    <xf numFmtId="0" fontId="46" fillId="0" borderId="98" xfId="53" applyFont="1" applyBorder="1" applyAlignment="1">
      <alignment horizontal="center" vertical="center"/>
    </xf>
    <xf numFmtId="0" fontId="46" fillId="0" borderId="155" xfId="53" applyFont="1" applyBorder="1" applyAlignment="1">
      <alignment horizontal="center" vertical="center"/>
    </xf>
    <xf numFmtId="0" fontId="46" fillId="0" borderId="115" xfId="53" applyFont="1" applyBorder="1" applyAlignment="1">
      <alignment horizontal="center" vertical="center"/>
    </xf>
    <xf numFmtId="0" fontId="46" fillId="0" borderId="164" xfId="53" applyFont="1" applyBorder="1" applyAlignment="1">
      <alignment horizontal="center" vertical="center"/>
    </xf>
    <xf numFmtId="166" fontId="7" fillId="0" borderId="65" xfId="36" applyNumberFormat="1" applyFont="1" applyBorder="1" applyAlignment="1">
      <alignment horizontal="center" vertical="center"/>
    </xf>
    <xf numFmtId="166" fontId="7" fillId="0" borderId="73" xfId="36" applyNumberFormat="1" applyFont="1" applyBorder="1" applyAlignment="1">
      <alignment horizontal="center" vertical="center"/>
    </xf>
    <xf numFmtId="166" fontId="7" fillId="0" borderId="68" xfId="36" applyNumberFormat="1" applyFont="1" applyBorder="1" applyAlignment="1">
      <alignment horizontal="center" vertical="center"/>
    </xf>
    <xf numFmtId="0" fontId="38" fillId="27" borderId="0" xfId="0" applyFont="1" applyFill="1" applyAlignment="1">
      <alignment horizontal="center" vertical="center"/>
    </xf>
    <xf numFmtId="166" fontId="39" fillId="37" borderId="0" xfId="36" applyNumberFormat="1" applyFont="1" applyFill="1" applyAlignment="1">
      <alignment horizontal="center"/>
    </xf>
    <xf numFmtId="166" fontId="42" fillId="0" borderId="65" xfId="36" applyNumberFormat="1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66" fontId="42" fillId="0" borderId="63" xfId="36" applyNumberFormat="1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171" fontId="6" fillId="0" borderId="63" xfId="36" applyNumberFormat="1" applyFont="1" applyBorder="1" applyAlignment="1">
      <alignment horizontal="center" vertical="center" wrapText="1"/>
    </xf>
    <xf numFmtId="171" fontId="7" fillId="0" borderId="66" xfId="36" applyNumberFormat="1" applyFont="1" applyBorder="1" applyAlignment="1">
      <alignment horizontal="center" vertical="center" wrapText="1"/>
    </xf>
    <xf numFmtId="43" fontId="6" fillId="0" borderId="64" xfId="36" applyNumberFormat="1" applyFont="1" applyBorder="1" applyAlignment="1">
      <alignment horizontal="center" vertical="center" wrapText="1"/>
    </xf>
    <xf numFmtId="43" fontId="6" fillId="0" borderId="67" xfId="36" applyNumberFormat="1" applyFont="1" applyBorder="1" applyAlignment="1">
      <alignment horizontal="center" vertical="center" wrapText="1"/>
    </xf>
    <xf numFmtId="43" fontId="6" fillId="0" borderId="65" xfId="36" applyNumberFormat="1" applyFont="1" applyBorder="1" applyAlignment="1">
      <alignment horizontal="center" vertical="center" wrapText="1"/>
    </xf>
    <xf numFmtId="43" fontId="6" fillId="0" borderId="68" xfId="36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7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74" xfId="0" applyFont="1" applyBorder="1" applyAlignment="1">
      <alignment horizontal="center"/>
    </xf>
    <xf numFmtId="0" fontId="4" fillId="0" borderId="175" xfId="0" applyFont="1" applyBorder="1" applyAlignment="1">
      <alignment horizontal="center"/>
    </xf>
    <xf numFmtId="0" fontId="4" fillId="0" borderId="176" xfId="0" applyFont="1" applyBorder="1" applyAlignment="1">
      <alignment horizontal="center"/>
    </xf>
    <xf numFmtId="0" fontId="4" fillId="0" borderId="178" xfId="0" applyFont="1" applyBorder="1" applyAlignment="1">
      <alignment horizontal="center"/>
    </xf>
    <xf numFmtId="0" fontId="4" fillId="0" borderId="179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justify"/>
    </xf>
    <xf numFmtId="0" fontId="67" fillId="0" borderId="0" xfId="50" applyFont="1" applyAlignment="1">
      <alignment horizontal="left" vertical="top" wrapText="1"/>
    </xf>
    <xf numFmtId="0" fontId="64" fillId="0" borderId="0" xfId="50" applyFont="1" applyAlignment="1">
      <alignment horizontal="right" vertical="top" wrapText="1"/>
    </xf>
    <xf numFmtId="0" fontId="64" fillId="0" borderId="0" xfId="50" applyFont="1" applyAlignment="1">
      <alignment horizontal="center" wrapText="1"/>
    </xf>
    <xf numFmtId="169" fontId="44" fillId="0" borderId="0" xfId="54" applyNumberFormat="1" applyFont="1" applyBorder="1" applyAlignment="1">
      <alignment horizontal="center" vertical="center"/>
    </xf>
    <xf numFmtId="169" fontId="44" fillId="0" borderId="0" xfId="56" applyNumberFormat="1" applyFont="1" applyBorder="1" applyAlignment="1" applyProtection="1">
      <alignment horizontal="center" vertical="center" wrapText="1"/>
      <protection locked="0"/>
    </xf>
    <xf numFmtId="169" fontId="44" fillId="0" borderId="79" xfId="56" applyNumberFormat="1" applyFont="1" applyBorder="1" applyAlignment="1" applyProtection="1">
      <alignment horizontal="center" vertical="center"/>
      <protection locked="0"/>
    </xf>
    <xf numFmtId="169" fontId="44" fillId="0" borderId="0" xfId="56" applyNumberFormat="1" applyFont="1" applyBorder="1" applyAlignment="1" applyProtection="1">
      <alignment horizontal="center" vertical="center"/>
      <protection locked="0"/>
    </xf>
    <xf numFmtId="169" fontId="44" fillId="0" borderId="0" xfId="54" applyNumberFormat="1" applyFont="1" applyBorder="1" applyAlignment="1" applyProtection="1">
      <alignment horizontal="center" vertical="center"/>
      <protection locked="0"/>
    </xf>
    <xf numFmtId="169" fontId="44" fillId="0" borderId="79" xfId="54" applyNumberFormat="1" applyFont="1" applyBorder="1" applyAlignment="1" applyProtection="1">
      <alignment horizontal="center" vertical="center"/>
      <protection locked="0"/>
    </xf>
    <xf numFmtId="169" fontId="45" fillId="0" borderId="0" xfId="54" applyNumberFormat="1" applyFont="1" applyBorder="1" applyAlignment="1" applyProtection="1">
      <alignment horizontal="center" vertical="center" wrapText="1"/>
      <protection locked="0"/>
    </xf>
    <xf numFmtId="169" fontId="44" fillId="0" borderId="79" xfId="54" applyNumberFormat="1" applyFont="1" applyBorder="1" applyAlignment="1">
      <alignment horizontal="center" vertical="center"/>
    </xf>
    <xf numFmtId="169" fontId="44" fillId="0" borderId="79" xfId="56" applyNumberFormat="1" applyFont="1" applyBorder="1" applyAlignment="1" applyProtection="1">
      <alignment horizontal="center" vertical="center" wrapText="1"/>
      <protection locked="0"/>
    </xf>
    <xf numFmtId="0" fontId="59" fillId="0" borderId="0" xfId="50" applyFont="1" applyAlignment="1">
      <alignment horizontal="left" vertical="top" wrapText="1"/>
    </xf>
    <xf numFmtId="0" fontId="63" fillId="0" borderId="0" xfId="50" applyFont="1" applyBorder="1" applyAlignment="1">
      <alignment horizontal="center" wrapText="1"/>
    </xf>
    <xf numFmtId="0" fontId="46" fillId="0" borderId="13" xfId="61" applyFont="1" applyBorder="1" applyAlignment="1">
      <alignment horizontal="center" vertical="center" wrapText="1"/>
    </xf>
    <xf numFmtId="0" fontId="46" fillId="0" borderId="31" xfId="61" applyFont="1" applyBorder="1" applyAlignment="1">
      <alignment horizontal="center" vertical="center" wrapText="1"/>
    </xf>
    <xf numFmtId="0" fontId="46" fillId="0" borderId="14" xfId="61" applyFont="1" applyBorder="1" applyAlignment="1">
      <alignment horizontal="center" vertical="center" wrapText="1"/>
    </xf>
    <xf numFmtId="0" fontId="46" fillId="0" borderId="30" xfId="61" applyFont="1" applyBorder="1" applyAlignment="1">
      <alignment horizontal="center" vertical="center" wrapText="1"/>
    </xf>
    <xf numFmtId="43" fontId="46" fillId="0" borderId="13" xfId="48" applyNumberFormat="1" applyFont="1" applyBorder="1" applyAlignment="1">
      <alignment horizontal="center" vertical="center" wrapText="1"/>
    </xf>
    <xf numFmtId="43" fontId="46" fillId="0" borderId="31" xfId="48" applyNumberFormat="1" applyFont="1" applyBorder="1" applyAlignment="1">
      <alignment horizontal="center" vertical="center" wrapText="1"/>
    </xf>
    <xf numFmtId="0" fontId="46" fillId="0" borderId="174" xfId="61" applyFont="1" applyBorder="1" applyAlignment="1">
      <alignment horizontal="center"/>
    </xf>
    <xf numFmtId="0" fontId="46" fillId="0" borderId="175" xfId="61" applyFont="1" applyBorder="1" applyAlignment="1">
      <alignment horizontal="center"/>
    </xf>
    <xf numFmtId="0" fontId="46" fillId="0" borderId="176" xfId="61" applyFont="1" applyBorder="1" applyAlignment="1">
      <alignment horizontal="center"/>
    </xf>
    <xf numFmtId="43" fontId="46" fillId="0" borderId="15" xfId="48" applyNumberFormat="1" applyFont="1" applyBorder="1" applyAlignment="1">
      <alignment horizontal="center" vertical="center" wrapText="1"/>
    </xf>
    <xf numFmtId="43" fontId="46" fillId="0" borderId="32" xfId="48" applyNumberFormat="1" applyFont="1" applyBorder="1" applyAlignment="1">
      <alignment horizontal="center" vertical="center" wrapText="1"/>
    </xf>
    <xf numFmtId="0" fontId="46" fillId="0" borderId="178" xfId="61" applyFont="1" applyBorder="1" applyAlignment="1">
      <alignment horizontal="center"/>
    </xf>
    <xf numFmtId="0" fontId="46" fillId="0" borderId="179" xfId="61" applyFont="1" applyBorder="1" applyAlignment="1">
      <alignment horizontal="center"/>
    </xf>
    <xf numFmtId="166" fontId="46" fillId="0" borderId="18" xfId="48" applyNumberFormat="1" applyFont="1" applyBorder="1" applyAlignment="1">
      <alignment horizontal="center" vertical="center" wrapText="1"/>
    </xf>
    <xf numFmtId="166" fontId="46" fillId="0" borderId="177" xfId="48" applyNumberFormat="1" applyFont="1" applyBorder="1" applyAlignment="1">
      <alignment horizontal="center" vertical="center" wrapText="1"/>
    </xf>
    <xf numFmtId="166" fontId="46" fillId="0" borderId="181" xfId="48" applyNumberFormat="1" applyFont="1" applyBorder="1" applyAlignment="1">
      <alignment horizontal="center" vertical="center" wrapText="1"/>
    </xf>
    <xf numFmtId="166" fontId="46" fillId="0" borderId="41" xfId="48" applyNumberFormat="1" applyFont="1" applyBorder="1" applyAlignment="1">
      <alignment horizontal="center" vertical="center" wrapText="1"/>
    </xf>
    <xf numFmtId="43" fontId="46" fillId="0" borderId="16" xfId="48" applyNumberFormat="1" applyFont="1" applyBorder="1" applyAlignment="1">
      <alignment horizontal="center" vertical="center" wrapText="1"/>
    </xf>
    <xf numFmtId="43" fontId="46" fillId="0" borderId="33" xfId="48" applyNumberFormat="1" applyFont="1" applyBorder="1" applyAlignment="1">
      <alignment horizontal="center" vertical="center" wrapText="1"/>
    </xf>
    <xf numFmtId="166" fontId="46" fillId="0" borderId="180" xfId="48" applyNumberFormat="1" applyFont="1" applyBorder="1" applyAlignment="1">
      <alignment horizontal="center" vertical="center" wrapText="1"/>
    </xf>
    <xf numFmtId="166" fontId="46" fillId="0" borderId="136" xfId="48" applyNumberFormat="1" applyFont="1" applyBorder="1" applyAlignment="1">
      <alignment horizontal="center" vertical="center" wrapText="1"/>
    </xf>
    <xf numFmtId="0" fontId="46" fillId="0" borderId="15" xfId="61" applyFont="1" applyBorder="1" applyAlignment="1">
      <alignment horizontal="center" vertical="center" wrapText="1"/>
    </xf>
    <xf numFmtId="0" fontId="46" fillId="0" borderId="32" xfId="61" applyFont="1" applyBorder="1" applyAlignment="1">
      <alignment horizontal="center" vertical="center" wrapText="1"/>
    </xf>
    <xf numFmtId="0" fontId="46" fillId="0" borderId="17" xfId="61" applyFont="1" applyBorder="1" applyAlignment="1">
      <alignment horizontal="center" vertical="center" wrapText="1"/>
    </xf>
    <xf numFmtId="0" fontId="46" fillId="0" borderId="34" xfId="61" applyFont="1" applyBorder="1" applyAlignment="1">
      <alignment horizontal="center" vertical="center" wrapText="1"/>
    </xf>
    <xf numFmtId="0" fontId="46" fillId="0" borderId="16" xfId="61" applyFont="1" applyBorder="1" applyAlignment="1">
      <alignment horizontal="center" vertical="center" wrapText="1"/>
    </xf>
    <xf numFmtId="0" fontId="46" fillId="0" borderId="33" xfId="61" applyFont="1" applyBorder="1" applyAlignment="1">
      <alignment horizontal="center" vertical="center" wrapText="1"/>
    </xf>
    <xf numFmtId="166" fontId="46" fillId="0" borderId="15" xfId="48" applyNumberFormat="1" applyFont="1" applyBorder="1" applyAlignment="1">
      <alignment horizontal="center" vertical="center" wrapText="1"/>
    </xf>
    <xf numFmtId="166" fontId="46" fillId="0" borderId="32" xfId="48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center" vertical="top" wrapText="1"/>
    </xf>
    <xf numFmtId="0" fontId="60" fillId="0" borderId="173" xfId="0" applyFont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79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46" fillId="0" borderId="79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46" fillId="0" borderId="12" xfId="0" applyFont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wrapText="1"/>
    </xf>
    <xf numFmtId="0" fontId="73" fillId="0" borderId="0" xfId="0" applyFont="1" applyFill="1" applyBorder="1" applyAlignment="1">
      <alignment horizontal="left" wrapText="1"/>
    </xf>
    <xf numFmtId="0" fontId="55" fillId="0" borderId="169" xfId="58" applyFont="1" applyBorder="1" applyAlignment="1">
      <alignment horizontal="center" vertical="center" wrapText="1"/>
    </xf>
    <xf numFmtId="0" fontId="55" fillId="0" borderId="153" xfId="58" applyFont="1" applyBorder="1" applyAlignment="1">
      <alignment horizontal="center" vertical="center" wrapText="1"/>
    </xf>
    <xf numFmtId="0" fontId="55" fillId="0" borderId="97" xfId="58" applyFont="1" applyBorder="1" applyAlignment="1">
      <alignment horizontal="center" vertical="center" wrapText="1"/>
    </xf>
    <xf numFmtId="0" fontId="55" fillId="0" borderId="99" xfId="58" applyFont="1" applyBorder="1" applyAlignment="1">
      <alignment horizontal="center" vertical="center" wrapText="1"/>
    </xf>
    <xf numFmtId="0" fontId="55" fillId="0" borderId="97" xfId="58" applyFont="1" applyBorder="1" applyAlignment="1">
      <alignment horizontal="center"/>
    </xf>
    <xf numFmtId="0" fontId="55" fillId="0" borderId="104" xfId="58" applyFont="1" applyBorder="1" applyAlignment="1">
      <alignment horizontal="center"/>
    </xf>
    <xf numFmtId="0" fontId="46" fillId="0" borderId="0" xfId="58" applyFont="1" applyFill="1" applyBorder="1" applyAlignment="1">
      <alignment horizontal="center" vertical="center" wrapText="1"/>
    </xf>
    <xf numFmtId="0" fontId="46" fillId="0" borderId="79" xfId="58" applyFont="1" applyFill="1" applyBorder="1" applyAlignment="1">
      <alignment horizontal="center" vertical="center" wrapText="1"/>
    </xf>
    <xf numFmtId="0" fontId="46" fillId="0" borderId="79" xfId="58" applyFont="1" applyFill="1" applyBorder="1" applyAlignment="1">
      <alignment horizontal="center"/>
    </xf>
    <xf numFmtId="0" fontId="55" fillId="0" borderId="96" xfId="58" applyFont="1" applyBorder="1" applyAlignment="1">
      <alignment horizontal="center" vertical="center" wrapText="1"/>
    </xf>
    <xf numFmtId="0" fontId="55" fillId="0" borderId="98" xfId="58" applyFont="1" applyBorder="1" applyAlignment="1">
      <alignment horizontal="center" vertical="center" wrapText="1"/>
    </xf>
    <xf numFmtId="9" fontId="55" fillId="0" borderId="97" xfId="65" applyFont="1" applyBorder="1" applyAlignment="1">
      <alignment horizontal="center" vertical="center"/>
    </xf>
    <xf numFmtId="9" fontId="55" fillId="0" borderId="102" xfId="65" applyFont="1" applyBorder="1" applyAlignment="1">
      <alignment horizontal="center" vertical="center"/>
    </xf>
    <xf numFmtId="3" fontId="48" fillId="0" borderId="0" xfId="55" applyNumberFormat="1" applyFont="1" applyAlignment="1">
      <alignment horizontal="right"/>
    </xf>
    <xf numFmtId="0" fontId="98" fillId="0" borderId="0" xfId="0" applyFont="1" applyBorder="1" applyAlignment="1">
      <alignment horizontal="center" vertical="center"/>
    </xf>
    <xf numFmtId="0" fontId="46" fillId="0" borderId="0" xfId="53" applyFont="1" applyBorder="1" applyAlignment="1">
      <alignment horizontal="center" vertical="center"/>
    </xf>
    <xf numFmtId="0" fontId="46" fillId="0" borderId="79" xfId="53" applyFont="1" applyBorder="1" applyAlignment="1">
      <alignment horizontal="center" vertical="center"/>
    </xf>
    <xf numFmtId="0" fontId="47" fillId="0" borderId="79" xfId="53" applyFont="1" applyBorder="1" applyAlignment="1">
      <alignment horizontal="center"/>
    </xf>
    <xf numFmtId="3" fontId="46" fillId="0" borderId="0" xfId="55" applyNumberFormat="1" applyFont="1" applyBorder="1" applyAlignment="1">
      <alignment horizontal="center" vertical="center"/>
    </xf>
    <xf numFmtId="3" fontId="46" fillId="0" borderId="79" xfId="55" applyNumberFormat="1" applyFont="1" applyBorder="1" applyAlignment="1">
      <alignment horizontal="center" vertical="center"/>
    </xf>
    <xf numFmtId="3" fontId="46" fillId="0" borderId="0" xfId="55" applyNumberFormat="1" applyFont="1" applyBorder="1" applyAlignment="1">
      <alignment horizontal="center" vertical="center" wrapText="1"/>
    </xf>
    <xf numFmtId="0" fontId="44" fillId="0" borderId="124" xfId="53" applyFont="1" applyBorder="1" applyAlignment="1">
      <alignment horizontal="left" wrapText="1"/>
    </xf>
    <xf numFmtId="0" fontId="44" fillId="0" borderId="0" xfId="53" applyFont="1" applyBorder="1" applyAlignment="1">
      <alignment horizontal="left" wrapText="1"/>
    </xf>
    <xf numFmtId="0" fontId="44" fillId="0" borderId="79" xfId="53" applyFont="1" applyBorder="1" applyAlignment="1">
      <alignment horizontal="left" wrapText="1"/>
    </xf>
    <xf numFmtId="0" fontId="47" fillId="0" borderId="0" xfId="53" applyFont="1" applyBorder="1" applyAlignment="1">
      <alignment horizontal="center"/>
    </xf>
    <xf numFmtId="0" fontId="118" fillId="0" borderId="0" xfId="52" applyFont="1" applyBorder="1"/>
    <xf numFmtId="0" fontId="101" fillId="0" borderId="0" xfId="50" applyFont="1" applyAlignment="1">
      <alignment horizontal="center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5" xfId="32"/>
    <cellStyle name="Comma_Bilanci + P &amp; L  2005  Gjoka" xfId="33"/>
    <cellStyle name="Comma_Bilanci Albavia" xfId="34"/>
    <cellStyle name="Comma_Deti Pro" xfId="35"/>
    <cellStyle name="Comma_Pasqyrat 6 m II 2007 Quick Start" xfId="36"/>
    <cellStyle name="Comma_Pasqyrat Financiare 2003" xfId="37"/>
    <cellStyle name="Comma_Profit &amp; Loss acc. Albavia" xfId="38"/>
    <cellStyle name="Explanatory Text" xfId="39" builtinId="53" customBuiltin="1"/>
    <cellStyle name="Good" xfId="40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45" builtinId="20" customBuiltin="1"/>
    <cellStyle name="Linked Cell" xfId="46" builtinId="24" customBuiltin="1"/>
    <cellStyle name="Migliaia 2" xfId="47"/>
    <cellStyle name="Migliaia 3" xfId="48"/>
    <cellStyle name="Neutral" xfId="49" builtinId="28" customBuiltin="1"/>
    <cellStyle name="Normal" xfId="0" builtinId="0"/>
    <cellStyle name="Normal 2" xfId="50"/>
    <cellStyle name="Normal 3" xfId="51"/>
    <cellStyle name="Normal 3 2" xfId="52"/>
    <cellStyle name="Normal_B-Sheet Diekati 2003" xfId="53"/>
    <cellStyle name="Normal_Documents C1 à C8 ENGLISH" xfId="54"/>
    <cellStyle name="Normal_Equity Karl Gega" xfId="55"/>
    <cellStyle name="Normal_Levizja e Mjeteve Kryesore" xfId="56"/>
    <cellStyle name="Normal_Profit &amp; Loss 31,12,02" xfId="57"/>
    <cellStyle name="Normal_Profit &amp; Loss acc. Albavia" xfId="58"/>
    <cellStyle name="Normal_Profit &amp; Loss acc. Albavia 2" xfId="59"/>
    <cellStyle name="Normale 2" xfId="60"/>
    <cellStyle name="Normale 3" xfId="61"/>
    <cellStyle name="Normalny_AKTYWA" xfId="62"/>
    <cellStyle name="Note" xfId="63" builtinId="10" customBuiltin="1"/>
    <cellStyle name="Output" xfId="64" builtinId="21" customBuiltin="1"/>
    <cellStyle name="Percent" xfId="65" builtinId="5"/>
    <cellStyle name="Percentuale 2" xfId="66"/>
    <cellStyle name="Title" xfId="67" builtinId="15" customBuiltin="1"/>
    <cellStyle name="Total" xfId="68" builtinId="25" customBuiltin="1"/>
    <cellStyle name="Warning Text" xfId="69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Administrator\My%20Documents\A_Klientet\Essegei%20Group\2008\Pasqyrat%20Financiare%202008\Bilanc%20i%20Formatuar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Administrator\Local%20Settings\Temporary%20Internet%20Files\Content.IE5\0O4UQK4B\Bilanc%20i%20%20Formatuar%202008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Documents/dosja%20share%20130214/KOMPJUTERI%20AKTUAL/BIZNESI%20%20MADH/B.MADH%20Aktiv/JUNIVERS%20KONSTRUKSION%20Shpk/JUNIVERS%202013/Bilanc%202013%20JUNIVERS%20shpk/Bilanc%20JUNIVERS%202012-Shoq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user\My%20Documents\ATI%202008-2009\CANTIERE%20CEMI%20ALBANIA%202008-2009\CEMI%202008\PROSPETTI%20%20DICHIARAZIONE%20MENSILE\CEMI%20DICEMBRE%20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User\Local%20Settings\Temporary%20Internet%20Files\Content.Outlook\X5LUO99X\CEMI%20kartelat%20e%20llogarive%2031.12.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Administrator\My%20Documents\A_Klientet\CT%20Telecom\Dif%20Kembimi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ocuments%20and%20Settings\Administrator\My%20Documents\A_Klientet\K.Gega\Raporti%20i%20Auditimit%202008%20Template\Bilanc%20i%20Formatuar%20SKK%20K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qendra\Diekat\Audit%202007\Pas%20Fin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_Sheet08 (2)"/>
      <sheetName val="B_Sheet08"/>
      <sheetName val="P&amp;L08"/>
      <sheetName val="Equity"/>
      <sheetName val="Cash"/>
      <sheetName val="Fluksi SKK"/>
      <sheetName val="FD T Fitimit"/>
      <sheetName val="TVSH"/>
      <sheetName val="AQT"/>
      <sheetName val="SJSHS gj.llog.31.12.08"/>
    </sheetNames>
    <sheetDataSet>
      <sheetData sheetId="0"/>
      <sheetData sheetId="1">
        <row r="43">
          <cell r="G43">
            <v>1414948.9791999997</v>
          </cell>
          <cell r="H43">
            <v>1188574.8</v>
          </cell>
        </row>
      </sheetData>
      <sheetData sheetId="2">
        <row r="13">
          <cell r="E13" t="str">
            <v>Personel Expenses</v>
          </cell>
        </row>
        <row r="18">
          <cell r="K18" t="str">
            <v xml:space="preserve">      Sales of fixed assets</v>
          </cell>
        </row>
        <row r="31">
          <cell r="E31" t="str">
            <v>Interes expense calculated to be paid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ial"/>
      <sheetName val="B_Sheet08"/>
      <sheetName val="P&amp;L08"/>
      <sheetName val="Cash"/>
      <sheetName val="kap"/>
      <sheetName val="cash Fl  (2)"/>
      <sheetName val="LLOG TVSH"/>
      <sheetName val="Analitike"/>
      <sheetName val="FD T Fitimit (2)"/>
      <sheetName val="Furnit"/>
      <sheetName val="Rrjedhese"/>
      <sheetName val="Taksat_Shpenz"/>
      <sheetName val="Taksat_Bilanc"/>
      <sheetName val="FD T Fitimit"/>
      <sheetName val="TVSH"/>
      <sheetName val="AQT"/>
      <sheetName val="Ortake"/>
      <sheetName val="Fluksi SKK"/>
      <sheetName val="Foglio8"/>
      <sheetName val="sheet"/>
    </sheetNames>
    <sheetDataSet>
      <sheetData sheetId="0" refreshError="1"/>
      <sheetData sheetId="1">
        <row r="66">
          <cell r="G66">
            <v>602747</v>
          </cell>
        </row>
        <row r="72">
          <cell r="F72">
            <v>23406462</v>
          </cell>
          <cell r="G72">
            <v>20668430</v>
          </cell>
        </row>
        <row r="73">
          <cell r="F73">
            <v>806486.8</v>
          </cell>
          <cell r="L73">
            <v>10388505</v>
          </cell>
          <cell r="M73">
            <v>205926</v>
          </cell>
        </row>
        <row r="74">
          <cell r="L74">
            <v>986974</v>
          </cell>
        </row>
        <row r="75">
          <cell r="L75">
            <v>153866</v>
          </cell>
          <cell r="M75">
            <v>3413783</v>
          </cell>
        </row>
        <row r="76">
          <cell r="L76">
            <v>4696700</v>
          </cell>
          <cell r="M76">
            <v>671000</v>
          </cell>
        </row>
        <row r="79">
          <cell r="L79">
            <v>15297226</v>
          </cell>
          <cell r="M79">
            <v>17064365</v>
          </cell>
        </row>
        <row r="100">
          <cell r="F100">
            <v>53120</v>
          </cell>
        </row>
        <row r="107">
          <cell r="L107">
            <v>-275065</v>
          </cell>
        </row>
        <row r="108">
          <cell r="M108">
            <v>-83897</v>
          </cell>
        </row>
      </sheetData>
      <sheetData sheetId="2">
        <row r="97">
          <cell r="E97">
            <v>-4830</v>
          </cell>
        </row>
        <row r="108">
          <cell r="E108">
            <v>2477646</v>
          </cell>
        </row>
        <row r="109">
          <cell r="E109">
            <v>261513.2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apaku "/>
      <sheetName val="B_Sheet12"/>
      <sheetName val="P&amp;L12"/>
      <sheetName val="Equity"/>
      <sheetName val="Fluksi "/>
      <sheetName val="Cash"/>
      <sheetName val="FD T Fitimit"/>
      <sheetName val="TVSH"/>
      <sheetName val="cash Fl  (2)"/>
      <sheetName val="Shenime P&amp;L"/>
      <sheetName val="AQT"/>
      <sheetName val="LLOG TVSH"/>
      <sheetName val="AAM"/>
      <sheetName val="FD T Fitimit (2)"/>
      <sheetName val="B BSh"/>
      <sheetName val="B P&amp;L08"/>
      <sheetName val="B_Fluksi"/>
      <sheetName val="B_Equity "/>
      <sheetName val="Shenime B_Sheet"/>
    </sheetNames>
    <sheetDataSet>
      <sheetData sheetId="0" refreshError="1"/>
      <sheetData sheetId="1" refreshError="1"/>
      <sheetData sheetId="2">
        <row r="9">
          <cell r="D9" t="str">
            <v xml:space="preserve">Mallra, lendet e para dhe sherbimet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VSH BLERJE"/>
      <sheetName val="TVSH SHITJE "/>
      <sheetName val="LLOG TVSH"/>
    </sheetNames>
    <sheetDataSet>
      <sheetData sheetId="0">
        <row r="34">
          <cell r="I34">
            <v>0</v>
          </cell>
          <cell r="J34">
            <v>0</v>
          </cell>
        </row>
      </sheetData>
      <sheetData sheetId="1">
        <row r="35">
          <cell r="H35">
            <v>0</v>
          </cell>
          <cell r="I35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covered_Sheet1"/>
    </sheetNames>
    <sheetDataSet>
      <sheetData sheetId="0">
        <row r="506">
          <cell r="I506">
            <v>15297225.920600001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if Kemb Detyr Kredi Furnit etj"/>
      <sheetName val="Dif Kemb Kerkesa debit klient "/>
      <sheetName val="Dif Kemb kl 5"/>
    </sheetNames>
    <sheetDataSet>
      <sheetData sheetId="0">
        <row r="33">
          <cell r="S33">
            <v>133412833.80000035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_Link B_Sheet08 "/>
      <sheetName val="B_Link_P&amp;L08"/>
      <sheetName val="B_link Fluksi SKK "/>
      <sheetName val="B_Link Equity "/>
      <sheetName val="B_Sheet08"/>
      <sheetName val="Tab_Shenimeve (2)"/>
      <sheetName val="B-sheet 08Amelda"/>
      <sheetName val="P&amp;L08"/>
      <sheetName val="P&amp;L Ameld"/>
      <sheetName val="Equity"/>
      <sheetName val="Fluksi SKK"/>
      <sheetName val="AQT (2)"/>
      <sheetName val="Cash"/>
      <sheetName val="FD T Fitimit"/>
      <sheetName val="TVSH"/>
      <sheetName val="AQ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_Sheet_07"/>
      <sheetName val="P&amp;L_07"/>
      <sheetName val="C_Flow"/>
      <sheetName val="AQT"/>
      <sheetName val="Link P&amp;L"/>
      <sheetName val="Link_B_Sheet"/>
      <sheetName val="Ortake"/>
      <sheetName val="Equity"/>
      <sheetName val="Aksioneret"/>
    </sheetNames>
    <sheetDataSet>
      <sheetData sheetId="0">
        <row r="5">
          <cell r="L5">
            <v>1335326841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2">
          <cell r="E22">
            <v>1091657678</v>
          </cell>
          <cell r="G22">
            <v>36766287</v>
          </cell>
          <cell r="K22">
            <v>205702876</v>
          </cell>
          <cell r="M22">
            <v>1200000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showGridLines="0" topLeftCell="A13" workbookViewId="0">
      <selection activeCell="C29" sqref="C29"/>
    </sheetView>
  </sheetViews>
  <sheetFormatPr defaultColWidth="9" defaultRowHeight="14.4"/>
  <cols>
    <col min="1" max="1" width="2" style="869" customWidth="1"/>
    <col min="2" max="3" width="9" style="866"/>
    <col min="4" max="4" width="10.88671875" style="866" customWidth="1"/>
    <col min="5" max="5" width="13.44140625" style="866" customWidth="1"/>
    <col min="6" max="9" width="9" style="866"/>
    <col min="10" max="10" width="6.5546875" style="866" customWidth="1"/>
    <col min="11" max="11" width="5.33203125" style="866" customWidth="1"/>
    <col min="12" max="12" width="3" style="866" customWidth="1"/>
    <col min="13" max="16384" width="9" style="866"/>
  </cols>
  <sheetData>
    <row r="1" spans="2:14" ht="21.6" customHeight="1">
      <c r="B1" s="869"/>
      <c r="C1" s="869"/>
      <c r="D1" s="869"/>
      <c r="E1" s="869"/>
      <c r="F1" s="869"/>
      <c r="G1" s="869"/>
      <c r="H1" s="869"/>
      <c r="I1" s="869"/>
      <c r="J1" s="869"/>
      <c r="K1" s="869"/>
    </row>
    <row r="2" spans="2:14" ht="19.350000000000001" customHeight="1"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</row>
    <row r="3" spans="2:14" ht="15.6">
      <c r="B3" s="867" t="s">
        <v>469</v>
      </c>
      <c r="C3" s="867"/>
      <c r="D3" s="867"/>
      <c r="E3" s="868" t="s">
        <v>1225</v>
      </c>
      <c r="F3" s="868"/>
      <c r="G3" s="868"/>
      <c r="H3" s="869"/>
      <c r="I3" s="869"/>
      <c r="J3" s="869"/>
      <c r="K3" s="869"/>
      <c r="L3" s="869"/>
    </row>
    <row r="4" spans="2:14" ht="15.6">
      <c r="B4" s="867" t="s">
        <v>470</v>
      </c>
      <c r="C4" s="867"/>
      <c r="D4" s="867"/>
      <c r="E4" s="891" t="s">
        <v>466</v>
      </c>
      <c r="F4" s="868"/>
      <c r="G4" s="868"/>
      <c r="H4" s="869"/>
      <c r="I4" s="869"/>
      <c r="J4" s="869"/>
      <c r="K4" s="869"/>
      <c r="L4" s="869"/>
    </row>
    <row r="5" spans="2:14" ht="15.6">
      <c r="B5" s="867" t="s">
        <v>471</v>
      </c>
      <c r="C5" s="867"/>
      <c r="D5" s="867"/>
      <c r="E5" s="868" t="s">
        <v>467</v>
      </c>
      <c r="F5" s="868"/>
      <c r="G5" s="868"/>
      <c r="H5" s="869"/>
      <c r="I5" s="869"/>
      <c r="J5" s="869"/>
      <c r="K5" s="869"/>
      <c r="L5" s="869"/>
    </row>
    <row r="6" spans="2:14" ht="15.6">
      <c r="B6" s="867"/>
      <c r="C6" s="867"/>
      <c r="D6" s="867"/>
      <c r="E6" s="867"/>
      <c r="F6" s="867"/>
      <c r="G6" s="867"/>
      <c r="H6" s="869"/>
      <c r="I6" s="869"/>
      <c r="J6" s="869"/>
      <c r="K6" s="869"/>
      <c r="L6" s="869"/>
    </row>
    <row r="7" spans="2:14" ht="15.6">
      <c r="B7" s="867" t="s">
        <v>472</v>
      </c>
      <c r="C7" s="867"/>
      <c r="D7" s="867"/>
      <c r="E7" s="870" t="s">
        <v>468</v>
      </c>
      <c r="F7" s="868"/>
      <c r="G7" s="868"/>
      <c r="H7" s="869"/>
      <c r="I7" s="869"/>
      <c r="J7" s="869"/>
      <c r="K7" s="869"/>
      <c r="L7" s="869"/>
      <c r="N7" s="871"/>
    </row>
    <row r="8" spans="2:14" ht="15.6">
      <c r="B8" s="867" t="s">
        <v>473</v>
      </c>
      <c r="C8" s="867"/>
      <c r="D8" s="867"/>
      <c r="E8" s="868"/>
      <c r="F8" s="868"/>
      <c r="G8" s="868"/>
      <c r="H8" s="869"/>
      <c r="I8" s="869"/>
      <c r="J8" s="869"/>
      <c r="K8" s="869"/>
      <c r="L8" s="869"/>
    </row>
    <row r="9" spans="2:14" ht="15.6">
      <c r="B9" s="867"/>
      <c r="C9" s="867"/>
      <c r="D9" s="867"/>
      <c r="E9" s="867"/>
      <c r="F9" s="867"/>
      <c r="G9" s="867"/>
      <c r="H9" s="869"/>
      <c r="I9" s="869"/>
      <c r="J9" s="869"/>
      <c r="K9" s="869"/>
      <c r="L9" s="869"/>
    </row>
    <row r="10" spans="2:14" ht="15.6">
      <c r="B10" s="867" t="s">
        <v>474</v>
      </c>
      <c r="C10" s="867"/>
      <c r="D10" s="867"/>
      <c r="E10" s="868" t="s">
        <v>489</v>
      </c>
      <c r="F10" s="868"/>
      <c r="G10" s="868"/>
      <c r="H10" s="872"/>
      <c r="I10" s="869"/>
      <c r="J10" s="869"/>
      <c r="K10" s="869"/>
      <c r="L10" s="869"/>
    </row>
    <row r="11" spans="2:14">
      <c r="B11" s="869"/>
      <c r="C11" s="869"/>
      <c r="D11" s="869"/>
      <c r="E11" s="869"/>
      <c r="F11" s="869"/>
      <c r="G11" s="869"/>
      <c r="H11" s="869"/>
      <c r="I11" s="869"/>
      <c r="J11" s="869"/>
      <c r="K11" s="869"/>
      <c r="L11" s="869"/>
    </row>
    <row r="12" spans="2:14">
      <c r="B12" s="869"/>
      <c r="C12" s="869"/>
      <c r="D12" s="869"/>
      <c r="E12" s="869"/>
      <c r="F12" s="869"/>
      <c r="G12" s="869"/>
      <c r="H12" s="869"/>
      <c r="I12" s="869"/>
      <c r="J12" s="869"/>
      <c r="K12" s="869"/>
      <c r="L12" s="869"/>
    </row>
    <row r="13" spans="2:14">
      <c r="B13" s="869"/>
      <c r="C13" s="869"/>
      <c r="D13" s="869"/>
      <c r="E13" s="869"/>
      <c r="F13" s="869"/>
      <c r="G13" s="869"/>
      <c r="H13" s="869"/>
      <c r="I13" s="869"/>
      <c r="J13" s="869"/>
      <c r="K13" s="869"/>
      <c r="L13" s="869"/>
    </row>
    <row r="14" spans="2:14"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</row>
    <row r="15" spans="2:14">
      <c r="B15" s="869"/>
      <c r="C15" s="869"/>
      <c r="D15" s="869"/>
      <c r="E15" s="869"/>
      <c r="F15" s="869"/>
      <c r="G15" s="869"/>
      <c r="H15" s="869"/>
      <c r="I15" s="869"/>
      <c r="J15" s="869"/>
      <c r="K15" s="869"/>
      <c r="L15" s="869"/>
    </row>
    <row r="16" spans="2:14">
      <c r="B16" s="869"/>
      <c r="C16" s="869"/>
      <c r="D16" s="869"/>
      <c r="E16" s="869"/>
      <c r="F16" s="869"/>
      <c r="G16" s="869"/>
      <c r="H16" s="869"/>
      <c r="I16" s="869"/>
      <c r="J16" s="869"/>
      <c r="K16" s="869"/>
      <c r="L16" s="869"/>
    </row>
    <row r="17" spans="2:12">
      <c r="B17" s="869"/>
      <c r="C17" s="869"/>
      <c r="D17" s="869"/>
      <c r="E17" s="869"/>
      <c r="F17" s="869"/>
      <c r="G17" s="869"/>
      <c r="H17" s="869"/>
      <c r="I17" s="869"/>
      <c r="J17" s="869"/>
      <c r="K17" s="869"/>
      <c r="L17" s="869"/>
    </row>
    <row r="18" spans="2:12" ht="28.8">
      <c r="B18" s="1332" t="s">
        <v>475</v>
      </c>
      <c r="C18" s="1332"/>
      <c r="D18" s="1332"/>
      <c r="E18" s="1332"/>
      <c r="F18" s="1332"/>
      <c r="G18" s="1332"/>
      <c r="H18" s="1332"/>
      <c r="I18" s="1332"/>
      <c r="J18" s="1332"/>
      <c r="K18" s="1332"/>
      <c r="L18" s="869"/>
    </row>
    <row r="19" spans="2:12" ht="30.9" customHeight="1">
      <c r="B19" s="1333" t="s">
        <v>476</v>
      </c>
      <c r="C19" s="1333"/>
      <c r="D19" s="1333"/>
      <c r="E19" s="1333"/>
      <c r="F19" s="1333"/>
      <c r="G19" s="1333"/>
      <c r="H19" s="1333"/>
      <c r="I19" s="1333"/>
      <c r="J19" s="1333"/>
      <c r="K19" s="1333"/>
      <c r="L19" s="869"/>
    </row>
    <row r="20" spans="2:12">
      <c r="B20" s="869"/>
      <c r="C20" s="869"/>
      <c r="D20" s="869"/>
      <c r="E20" s="869"/>
      <c r="F20" s="869"/>
      <c r="G20" s="869"/>
      <c r="H20" s="869"/>
      <c r="I20" s="869"/>
      <c r="J20" s="869"/>
      <c r="K20" s="869"/>
      <c r="L20" s="869"/>
    </row>
    <row r="21" spans="2:12">
      <c r="B21" s="869"/>
      <c r="C21" s="869"/>
      <c r="D21" s="869"/>
      <c r="E21" s="869"/>
      <c r="F21" s="869"/>
      <c r="G21" s="869"/>
      <c r="H21" s="869"/>
      <c r="I21" s="869"/>
      <c r="J21" s="869"/>
      <c r="K21" s="869"/>
      <c r="L21" s="869"/>
    </row>
    <row r="22" spans="2:12">
      <c r="B22" s="869"/>
      <c r="C22" s="869"/>
      <c r="D22" s="869"/>
      <c r="E22" s="869"/>
      <c r="F22" s="869"/>
      <c r="G22" s="869"/>
      <c r="H22" s="869"/>
      <c r="I22" s="869"/>
      <c r="J22" s="869"/>
      <c r="K22" s="869"/>
      <c r="L22" s="869"/>
    </row>
    <row r="23" spans="2:12" ht="25.8">
      <c r="B23" s="1334" t="s">
        <v>1147</v>
      </c>
      <c r="C23" s="1334"/>
      <c r="D23" s="1334"/>
      <c r="E23" s="1334"/>
      <c r="F23" s="1334"/>
      <c r="G23" s="1334"/>
      <c r="H23" s="1334"/>
      <c r="I23" s="1334"/>
      <c r="J23" s="1334"/>
      <c r="K23" s="1334"/>
      <c r="L23" s="869"/>
    </row>
    <row r="24" spans="2:12">
      <c r="B24" s="869"/>
      <c r="C24" s="869"/>
      <c r="D24" s="869"/>
      <c r="E24" s="869"/>
      <c r="F24" s="869"/>
      <c r="G24" s="869"/>
      <c r="H24" s="869"/>
      <c r="I24" s="869"/>
      <c r="J24" s="869"/>
      <c r="K24" s="869"/>
      <c r="L24" s="869"/>
    </row>
    <row r="25" spans="2:12">
      <c r="B25" s="869"/>
      <c r="C25" s="869"/>
      <c r="D25" s="869"/>
      <c r="E25" s="869"/>
      <c r="F25" s="869"/>
      <c r="G25" s="869"/>
      <c r="H25" s="869"/>
      <c r="I25" s="869"/>
      <c r="J25" s="869"/>
      <c r="K25" s="869"/>
      <c r="L25" s="869"/>
    </row>
    <row r="26" spans="2:12">
      <c r="B26" s="869"/>
      <c r="C26" s="869"/>
      <c r="D26" s="869"/>
      <c r="E26" s="869"/>
      <c r="F26" s="869"/>
      <c r="G26" s="869"/>
      <c r="H26" s="869"/>
      <c r="I26" s="869"/>
      <c r="J26" s="869"/>
      <c r="K26" s="869"/>
      <c r="L26" s="869"/>
    </row>
    <row r="27" spans="2:12" ht="15.6">
      <c r="B27" s="867" t="s">
        <v>477</v>
      </c>
      <c r="C27" s="867"/>
      <c r="D27" s="867"/>
      <c r="E27" s="867"/>
      <c r="F27" s="867"/>
      <c r="G27" s="868" t="s">
        <v>483</v>
      </c>
      <c r="H27" s="868"/>
      <c r="I27" s="872"/>
      <c r="J27" s="869"/>
      <c r="K27" s="869"/>
      <c r="L27" s="869"/>
    </row>
    <row r="28" spans="2:12" ht="15.6">
      <c r="B28" s="874" t="s">
        <v>478</v>
      </c>
      <c r="C28" s="874"/>
      <c r="D28" s="867"/>
      <c r="E28" s="867"/>
      <c r="F28" s="867"/>
      <c r="G28" s="868"/>
      <c r="H28" s="868"/>
      <c r="I28" s="872"/>
      <c r="J28" s="869"/>
      <c r="K28" s="869"/>
      <c r="L28" s="869"/>
    </row>
    <row r="29" spans="2:12" ht="15.6">
      <c r="B29" s="876" t="s">
        <v>479</v>
      </c>
      <c r="C29" s="874"/>
      <c r="D29" s="867"/>
      <c r="E29" s="867"/>
      <c r="F29" s="867"/>
      <c r="G29" s="868" t="s">
        <v>484</v>
      </c>
      <c r="H29" s="868"/>
      <c r="I29" s="872"/>
      <c r="J29" s="869"/>
      <c r="K29" s="869"/>
      <c r="L29" s="869"/>
    </row>
    <row r="30" spans="2:12" ht="15.6">
      <c r="B30" s="876" t="s">
        <v>480</v>
      </c>
      <c r="C30" s="874"/>
      <c r="D30" s="867"/>
      <c r="E30" s="867"/>
      <c r="F30" s="867"/>
      <c r="G30" s="868" t="s">
        <v>484</v>
      </c>
      <c r="H30" s="868"/>
      <c r="I30" s="872"/>
      <c r="J30" s="869"/>
      <c r="K30" s="869"/>
      <c r="L30" s="869"/>
    </row>
    <row r="31" spans="2:12" ht="15.6">
      <c r="B31" s="867"/>
      <c r="C31" s="867"/>
      <c r="D31" s="867"/>
      <c r="E31" s="867"/>
      <c r="F31" s="867"/>
      <c r="G31" s="867"/>
      <c r="H31" s="867"/>
      <c r="I31" s="869"/>
      <c r="J31" s="869"/>
      <c r="K31" s="869"/>
      <c r="L31" s="869"/>
    </row>
    <row r="32" spans="2:12" ht="15.6">
      <c r="B32" s="867"/>
      <c r="C32" s="867"/>
      <c r="D32" s="867"/>
      <c r="E32" s="867"/>
      <c r="F32" s="867"/>
      <c r="G32" s="867"/>
      <c r="H32" s="867"/>
      <c r="I32" s="869"/>
      <c r="J32" s="869"/>
      <c r="K32" s="869"/>
      <c r="L32" s="869"/>
    </row>
    <row r="33" spans="2:12" ht="15.6">
      <c r="B33" s="867" t="s">
        <v>481</v>
      </c>
      <c r="C33" s="867"/>
      <c r="D33" s="867"/>
      <c r="E33" s="867"/>
      <c r="F33" s="867"/>
      <c r="G33" s="867" t="s">
        <v>1148</v>
      </c>
      <c r="H33" s="867"/>
      <c r="I33" s="869"/>
      <c r="J33" s="869"/>
      <c r="K33" s="869"/>
      <c r="L33" s="869"/>
    </row>
    <row r="34" spans="2:12" ht="15.6">
      <c r="B34" s="867"/>
      <c r="C34" s="867"/>
      <c r="D34" s="867"/>
      <c r="E34" s="867"/>
      <c r="F34" s="867"/>
      <c r="G34" s="867" t="s">
        <v>1149</v>
      </c>
      <c r="H34" s="867"/>
      <c r="I34" s="869"/>
      <c r="J34" s="869"/>
      <c r="K34" s="869"/>
      <c r="L34" s="869"/>
    </row>
    <row r="35" spans="2:12" ht="15.6">
      <c r="B35" s="867"/>
      <c r="C35" s="867"/>
      <c r="D35" s="867"/>
      <c r="E35" s="867"/>
      <c r="F35" s="867"/>
      <c r="G35" s="867"/>
      <c r="H35" s="867"/>
      <c r="I35" s="869"/>
      <c r="J35" s="869"/>
      <c r="K35" s="869"/>
      <c r="L35" s="869"/>
    </row>
    <row r="36" spans="2:12" ht="15.6">
      <c r="B36" s="867"/>
      <c r="C36" s="867"/>
      <c r="D36" s="867"/>
      <c r="E36" s="867"/>
      <c r="F36" s="867"/>
      <c r="G36" s="867"/>
      <c r="H36" s="867"/>
      <c r="I36" s="869"/>
      <c r="J36" s="869"/>
      <c r="K36" s="869"/>
      <c r="L36" s="869"/>
    </row>
    <row r="37" spans="2:12" ht="15.6">
      <c r="B37" s="867" t="s">
        <v>1158</v>
      </c>
      <c r="C37" s="867"/>
      <c r="D37" s="867"/>
      <c r="E37" s="867"/>
      <c r="F37" s="867"/>
      <c r="G37" s="867"/>
      <c r="H37" s="867"/>
      <c r="I37" s="869"/>
      <c r="J37" s="869"/>
      <c r="K37" s="869"/>
      <c r="L37" s="869"/>
    </row>
    <row r="38" spans="2:12" ht="15.6">
      <c r="B38" s="867"/>
      <c r="C38" s="867"/>
      <c r="D38" s="867"/>
      <c r="E38" s="867"/>
      <c r="F38" s="867"/>
      <c r="G38" s="867"/>
      <c r="H38" s="867"/>
      <c r="I38" s="869"/>
      <c r="J38" s="869"/>
      <c r="K38" s="869"/>
      <c r="L38" s="869"/>
    </row>
    <row r="39" spans="2:12" ht="15.6">
      <c r="B39" s="867"/>
      <c r="C39" s="867"/>
      <c r="D39" s="867"/>
      <c r="E39" s="867"/>
      <c r="F39" s="867"/>
      <c r="G39" s="867"/>
      <c r="H39" s="867"/>
      <c r="I39" s="869"/>
      <c r="J39" s="869"/>
      <c r="K39" s="869"/>
      <c r="L39" s="869"/>
    </row>
    <row r="40" spans="2:12" ht="15.6">
      <c r="B40" s="867"/>
      <c r="C40" s="867"/>
      <c r="D40" s="867"/>
      <c r="E40" s="867"/>
      <c r="F40" s="867"/>
      <c r="G40" s="867"/>
      <c r="H40" s="867" t="s">
        <v>1224</v>
      </c>
      <c r="I40" s="869"/>
      <c r="J40" s="869"/>
      <c r="K40" s="869"/>
      <c r="L40" s="869"/>
    </row>
    <row r="41" spans="2:12" ht="15.6">
      <c r="B41" s="867"/>
      <c r="C41" s="867"/>
      <c r="D41" s="867"/>
      <c r="E41" s="867"/>
      <c r="F41" s="867"/>
      <c r="G41" s="867"/>
      <c r="H41" s="873"/>
      <c r="I41" s="869"/>
      <c r="J41" s="869"/>
      <c r="K41" s="869"/>
      <c r="L41" s="869"/>
    </row>
    <row r="42" spans="2:12" ht="15.6">
      <c r="B42" s="867"/>
      <c r="C42" s="867"/>
      <c r="D42" s="867"/>
      <c r="E42" s="867"/>
      <c r="F42" s="867"/>
      <c r="G42" s="867"/>
      <c r="H42" s="873" t="s">
        <v>482</v>
      </c>
      <c r="I42" s="869"/>
      <c r="J42" s="869"/>
      <c r="K42" s="869"/>
      <c r="L42" s="869"/>
    </row>
    <row r="43" spans="2:12">
      <c r="B43" s="869"/>
      <c r="C43" s="869"/>
      <c r="D43" s="869"/>
      <c r="E43" s="869"/>
      <c r="F43" s="869"/>
      <c r="G43" s="869"/>
      <c r="H43" s="869"/>
      <c r="I43" s="869"/>
      <c r="J43" s="869"/>
      <c r="K43" s="869"/>
      <c r="L43" s="869"/>
    </row>
    <row r="44" spans="2:12">
      <c r="B44" s="869"/>
      <c r="C44" s="869"/>
      <c r="D44" s="869"/>
      <c r="E44" s="869"/>
      <c r="F44" s="869"/>
      <c r="G44" s="869"/>
      <c r="H44" s="869"/>
      <c r="I44" s="869"/>
      <c r="J44" s="869"/>
      <c r="K44" s="869"/>
      <c r="L44" s="869"/>
    </row>
  </sheetData>
  <mergeCells count="3">
    <mergeCell ref="B18:K18"/>
    <mergeCell ref="B19:K19"/>
    <mergeCell ref="B23:K23"/>
  </mergeCells>
  <phoneticPr fontId="86" type="noConversion"/>
  <pageMargins left="0.5" right="0.5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B3:H120"/>
  <sheetViews>
    <sheetView showGridLines="0" view="pageBreakPreview" topLeftCell="A30" zoomScale="85" zoomScaleSheetLayoutView="85" workbookViewId="0">
      <selection activeCell="D57" sqref="D57:D58"/>
    </sheetView>
  </sheetViews>
  <sheetFormatPr defaultColWidth="9.109375" defaultRowHeight="13.8"/>
  <cols>
    <col min="1" max="1" width="2.88671875" style="191" customWidth="1"/>
    <col min="2" max="2" width="4" style="191" customWidth="1"/>
    <col min="3" max="3" width="4.33203125" style="800" customWidth="1"/>
    <col min="4" max="4" width="40.6640625" style="191" customWidth="1"/>
    <col min="5" max="5" width="2.109375" style="191" customWidth="1"/>
    <col min="6" max="6" width="18.6640625" style="191" customWidth="1"/>
    <col min="7" max="7" width="3.6640625" style="191" customWidth="1"/>
    <col min="8" max="8" width="18.6640625" style="191" customWidth="1"/>
    <col min="9" max="9" width="2.6640625" style="191" customWidth="1"/>
    <col min="10" max="10" width="3.44140625" style="191" customWidth="1"/>
    <col min="11" max="11" width="3.109375" style="191" customWidth="1"/>
    <col min="12" max="16384" width="9.109375" style="191"/>
  </cols>
  <sheetData>
    <row r="3" spans="2:8">
      <c r="B3" s="798">
        <v>15</v>
      </c>
      <c r="D3" s="1404" t="s">
        <v>429</v>
      </c>
      <c r="E3" s="802"/>
      <c r="F3" s="633">
        <v>2008</v>
      </c>
      <c r="G3" s="1406"/>
      <c r="H3" s="633">
        <v>2007</v>
      </c>
    </row>
    <row r="4" spans="2:8">
      <c r="D4" s="1404"/>
      <c r="E4" s="802"/>
      <c r="F4" s="634" t="s">
        <v>320</v>
      </c>
      <c r="G4" s="1406"/>
      <c r="H4" s="634" t="s">
        <v>320</v>
      </c>
    </row>
    <row r="5" spans="2:8">
      <c r="D5" s="635"/>
      <c r="E5" s="635"/>
      <c r="F5" s="635"/>
      <c r="G5" s="635"/>
      <c r="H5" s="635"/>
    </row>
    <row r="6" spans="2:8">
      <c r="D6" s="636" t="s">
        <v>324</v>
      </c>
      <c r="E6" s="636"/>
      <c r="F6" s="647"/>
      <c r="G6" s="638"/>
      <c r="H6" s="647"/>
    </row>
    <row r="7" spans="2:8">
      <c r="D7" s="636" t="s">
        <v>325</v>
      </c>
      <c r="E7" s="636"/>
      <c r="F7" s="647"/>
      <c r="G7" s="638"/>
      <c r="H7" s="647"/>
    </row>
    <row r="8" spans="2:8">
      <c r="D8" s="636" t="s">
        <v>326</v>
      </c>
      <c r="E8" s="636"/>
      <c r="F8" s="803"/>
      <c r="G8" s="638"/>
      <c r="H8" s="803"/>
    </row>
    <row r="9" spans="2:8">
      <c r="D9" s="636" t="s">
        <v>427</v>
      </c>
      <c r="E9" s="636"/>
      <c r="F9" s="803"/>
      <c r="G9" s="638"/>
      <c r="H9" s="803"/>
    </row>
    <row r="10" spans="2:8">
      <c r="D10" s="636" t="s">
        <v>427</v>
      </c>
      <c r="E10" s="636"/>
      <c r="F10" s="639"/>
      <c r="G10" s="638"/>
      <c r="H10" s="639"/>
    </row>
    <row r="11" spans="2:8" ht="14.4" thickBot="1">
      <c r="D11" s="641"/>
      <c r="E11" s="641"/>
      <c r="F11" s="637">
        <f>SUM(F6:F8)</f>
        <v>0</v>
      </c>
      <c r="G11" s="643"/>
      <c r="H11" s="637">
        <f>SUM(H6:H8)</f>
        <v>0</v>
      </c>
    </row>
    <row r="12" spans="2:8" ht="14.4" thickTop="1"/>
    <row r="15" spans="2:8">
      <c r="B15" s="798">
        <v>16</v>
      </c>
      <c r="D15" s="1404" t="s">
        <v>430</v>
      </c>
      <c r="E15" s="802"/>
      <c r="F15" s="633">
        <v>2008</v>
      </c>
      <c r="G15" s="1406"/>
      <c r="H15" s="633">
        <v>2007</v>
      </c>
    </row>
    <row r="16" spans="2:8">
      <c r="D16" s="1404"/>
      <c r="E16" s="802"/>
      <c r="F16" s="634" t="s">
        <v>320</v>
      </c>
      <c r="G16" s="1406"/>
      <c r="H16" s="634" t="s">
        <v>320</v>
      </c>
    </row>
    <row r="17" spans="2:8">
      <c r="D17" s="635"/>
      <c r="E17" s="635"/>
      <c r="F17" s="635"/>
      <c r="G17" s="635"/>
      <c r="H17" s="635"/>
    </row>
    <row r="18" spans="2:8">
      <c r="D18" s="636" t="s">
        <v>324</v>
      </c>
      <c r="E18" s="636"/>
      <c r="F18" s="647"/>
      <c r="G18" s="638"/>
      <c r="H18" s="647"/>
    </row>
    <row r="19" spans="2:8">
      <c r="D19" s="636" t="s">
        <v>325</v>
      </c>
      <c r="E19" s="636"/>
      <c r="F19" s="647"/>
      <c r="G19" s="638"/>
      <c r="H19" s="647"/>
    </row>
    <row r="20" spans="2:8">
      <c r="D20" s="636" t="s">
        <v>326</v>
      </c>
      <c r="E20" s="636"/>
      <c r="F20" s="803"/>
      <c r="G20" s="638"/>
      <c r="H20" s="803"/>
    </row>
    <row r="21" spans="2:8">
      <c r="D21" s="636" t="s">
        <v>427</v>
      </c>
      <c r="E21" s="636"/>
      <c r="F21" s="803"/>
      <c r="G21" s="638"/>
      <c r="H21" s="803"/>
    </row>
    <row r="22" spans="2:8">
      <c r="D22" s="636" t="s">
        <v>427</v>
      </c>
      <c r="E22" s="636"/>
      <c r="F22" s="639"/>
      <c r="G22" s="638"/>
      <c r="H22" s="639"/>
    </row>
    <row r="23" spans="2:8" ht="14.4" thickBot="1">
      <c r="D23" s="641"/>
      <c r="E23" s="641"/>
      <c r="F23" s="637">
        <f>SUM(F18:F20)</f>
        <v>0</v>
      </c>
      <c r="G23" s="643"/>
      <c r="H23" s="637">
        <f>SUM(H18:H20)</f>
        <v>0</v>
      </c>
    </row>
    <row r="24" spans="2:8" ht="14.4" thickTop="1"/>
    <row r="26" spans="2:8">
      <c r="D26" s="1404" t="s">
        <v>434</v>
      </c>
      <c r="E26" s="802"/>
      <c r="F26" s="644">
        <v>2008</v>
      </c>
      <c r="G26" s="645"/>
      <c r="H26" s="644">
        <v>2007</v>
      </c>
    </row>
    <row r="27" spans="2:8">
      <c r="B27" s="798">
        <v>17</v>
      </c>
      <c r="D27" s="1404"/>
      <c r="E27" s="802"/>
      <c r="F27" s="646" t="s">
        <v>321</v>
      </c>
      <c r="G27" s="645"/>
      <c r="H27" s="646" t="s">
        <v>321</v>
      </c>
    </row>
    <row r="28" spans="2:8">
      <c r="D28" s="636"/>
      <c r="E28" s="636"/>
      <c r="F28" s="640"/>
      <c r="G28" s="638"/>
      <c r="H28" s="640"/>
    </row>
    <row r="29" spans="2:8">
      <c r="D29" s="636" t="s">
        <v>322</v>
      </c>
      <c r="E29" s="636"/>
      <c r="F29" s="647"/>
      <c r="G29" s="638"/>
      <c r="H29" s="647"/>
    </row>
    <row r="30" spans="2:8">
      <c r="D30" s="636" t="s">
        <v>782</v>
      </c>
      <c r="E30" s="636"/>
      <c r="F30" s="647"/>
      <c r="G30" s="638"/>
      <c r="H30" s="640"/>
    </row>
    <row r="31" spans="2:8">
      <c r="D31" s="636" t="s">
        <v>436</v>
      </c>
      <c r="E31" s="636"/>
      <c r="F31" s="647"/>
      <c r="G31" s="638"/>
      <c r="H31" s="647"/>
    </row>
    <row r="32" spans="2:8">
      <c r="D32" s="804" t="s">
        <v>435</v>
      </c>
      <c r="E32" s="804"/>
      <c r="F32" s="647"/>
      <c r="G32" s="638"/>
      <c r="H32" s="647"/>
    </row>
    <row r="33" spans="2:8">
      <c r="D33" s="804" t="s">
        <v>435</v>
      </c>
      <c r="E33" s="804"/>
      <c r="F33" s="647"/>
      <c r="G33" s="638"/>
      <c r="H33" s="647"/>
    </row>
    <row r="34" spans="2:8">
      <c r="D34" s="804" t="s">
        <v>435</v>
      </c>
      <c r="E34" s="804"/>
      <c r="F34" s="647"/>
      <c r="G34" s="638"/>
      <c r="H34" s="647"/>
    </row>
    <row r="35" spans="2:8">
      <c r="D35" s="804" t="s">
        <v>435</v>
      </c>
      <c r="E35" s="804"/>
      <c r="F35" s="647"/>
      <c r="G35" s="638"/>
      <c r="H35" s="647"/>
    </row>
    <row r="36" spans="2:8">
      <c r="D36" s="804" t="s">
        <v>435</v>
      </c>
      <c r="E36" s="804"/>
      <c r="F36" s="647"/>
      <c r="G36" s="638"/>
      <c r="H36" s="647"/>
    </row>
    <row r="37" spans="2:8">
      <c r="D37" s="804" t="s">
        <v>435</v>
      </c>
      <c r="E37" s="804"/>
      <c r="F37" s="647"/>
      <c r="G37" s="638"/>
      <c r="H37" s="647"/>
    </row>
    <row r="38" spans="2:8">
      <c r="D38" s="804" t="s">
        <v>435</v>
      </c>
      <c r="E38" s="804"/>
      <c r="F38" s="647"/>
      <c r="G38" s="638"/>
      <c r="H38" s="647"/>
    </row>
    <row r="39" spans="2:8">
      <c r="D39" s="804" t="s">
        <v>435</v>
      </c>
      <c r="E39" s="804"/>
      <c r="F39" s="647"/>
      <c r="G39" s="638"/>
      <c r="H39" s="647"/>
    </row>
    <row r="40" spans="2:8">
      <c r="D40" s="804" t="s">
        <v>435</v>
      </c>
      <c r="E40" s="804"/>
      <c r="F40" s="647"/>
      <c r="G40" s="638"/>
      <c r="H40" s="647"/>
    </row>
    <row r="41" spans="2:8">
      <c r="D41" s="804" t="s">
        <v>435</v>
      </c>
      <c r="E41" s="804"/>
      <c r="F41" s="639"/>
      <c r="G41" s="638"/>
      <c r="H41" s="639"/>
    </row>
    <row r="42" spans="2:8" ht="14.4" thickBot="1">
      <c r="D42" s="648" t="s">
        <v>323</v>
      </c>
      <c r="E42" s="648"/>
      <c r="F42" s="642">
        <f>SUM(F28:F41)</f>
        <v>0</v>
      </c>
      <c r="G42" s="643"/>
      <c r="H42" s="642">
        <f>SUM(H28:H41)</f>
        <v>0</v>
      </c>
    </row>
    <row r="43" spans="2:8" ht="14.4" thickTop="1"/>
    <row r="46" spans="2:8">
      <c r="B46" s="798">
        <v>18</v>
      </c>
      <c r="D46" s="1404" t="s">
        <v>437</v>
      </c>
      <c r="E46" s="802"/>
      <c r="F46" s="644">
        <v>2008</v>
      </c>
      <c r="G46" s="645"/>
      <c r="H46" s="644">
        <v>2007</v>
      </c>
    </row>
    <row r="47" spans="2:8">
      <c r="D47" s="1404"/>
      <c r="E47" s="802"/>
      <c r="F47" s="646" t="s">
        <v>321</v>
      </c>
      <c r="G47" s="645"/>
      <c r="H47" s="646" t="s">
        <v>321</v>
      </c>
    </row>
    <row r="48" spans="2:8">
      <c r="D48" s="636"/>
      <c r="E48" s="636"/>
      <c r="F48" s="640"/>
      <c r="G48" s="638"/>
      <c r="H48" s="640"/>
    </row>
    <row r="49" spans="2:8">
      <c r="D49" s="636" t="s">
        <v>431</v>
      </c>
      <c r="E49" s="636"/>
      <c r="F49" s="647"/>
      <c r="G49" s="638"/>
      <c r="H49" s="647"/>
    </row>
    <row r="50" spans="2:8">
      <c r="D50" s="636" t="s">
        <v>424</v>
      </c>
      <c r="E50" s="636"/>
      <c r="F50" s="647"/>
      <c r="G50" s="638"/>
      <c r="H50" s="640"/>
    </row>
    <row r="51" spans="2:8">
      <c r="D51" s="636" t="s">
        <v>432</v>
      </c>
      <c r="E51" s="636"/>
      <c r="F51" s="647"/>
      <c r="G51" s="638"/>
      <c r="H51" s="647"/>
    </row>
    <row r="52" spans="2:8">
      <c r="D52" s="636" t="s">
        <v>427</v>
      </c>
      <c r="E52" s="636"/>
      <c r="F52" s="647"/>
      <c r="G52" s="638"/>
      <c r="H52" s="647"/>
    </row>
    <row r="53" spans="2:8">
      <c r="D53" s="636" t="s">
        <v>427</v>
      </c>
      <c r="E53" s="636"/>
      <c r="F53" s="647"/>
      <c r="G53" s="638"/>
      <c r="H53" s="647"/>
    </row>
    <row r="54" spans="2:8" ht="14.4" thickBot="1">
      <c r="D54" s="648" t="s">
        <v>323</v>
      </c>
      <c r="E54" s="648"/>
      <c r="F54" s="801">
        <f>SUM(F48:F53)</f>
        <v>0</v>
      </c>
      <c r="G54" s="643"/>
      <c r="H54" s="801">
        <f>SUM(H48:H53)</f>
        <v>0</v>
      </c>
    </row>
    <row r="55" spans="2:8" ht="14.4" thickTop="1"/>
    <row r="57" spans="2:8">
      <c r="B57" s="798">
        <v>18</v>
      </c>
      <c r="D57" s="1404" t="s">
        <v>438</v>
      </c>
      <c r="E57" s="802"/>
      <c r="F57" s="644">
        <v>2008</v>
      </c>
      <c r="G57" s="645"/>
      <c r="H57" s="644">
        <v>2007</v>
      </c>
    </row>
    <row r="58" spans="2:8">
      <c r="D58" s="1404"/>
      <c r="E58" s="802"/>
      <c r="F58" s="646" t="s">
        <v>321</v>
      </c>
      <c r="G58" s="645"/>
      <c r="H58" s="646" t="s">
        <v>321</v>
      </c>
    </row>
    <row r="59" spans="2:8">
      <c r="D59" s="636"/>
      <c r="E59" s="636"/>
      <c r="F59" s="640"/>
      <c r="G59" s="638"/>
      <c r="H59" s="640"/>
    </row>
    <row r="60" spans="2:8">
      <c r="D60" s="636" t="s">
        <v>439</v>
      </c>
      <c r="E60" s="636"/>
      <c r="F60" s="647"/>
      <c r="G60" s="638"/>
      <c r="H60" s="647"/>
    </row>
    <row r="61" spans="2:8">
      <c r="D61" s="636" t="s">
        <v>440</v>
      </c>
      <c r="E61" s="636"/>
      <c r="F61" s="647"/>
      <c r="G61" s="638"/>
      <c r="H61" s="640"/>
    </row>
    <row r="62" spans="2:8">
      <c r="D62" s="636" t="s">
        <v>441</v>
      </c>
      <c r="E62" s="636"/>
      <c r="F62" s="647"/>
      <c r="G62" s="638"/>
      <c r="H62" s="647"/>
    </row>
    <row r="63" spans="2:8">
      <c r="D63" s="636" t="s">
        <v>442</v>
      </c>
      <c r="E63" s="636"/>
      <c r="F63" s="647"/>
      <c r="G63" s="638"/>
      <c r="H63" s="647"/>
    </row>
    <row r="64" spans="2:8">
      <c r="D64" s="636"/>
      <c r="E64" s="636"/>
      <c r="F64" s="647"/>
      <c r="G64" s="638"/>
      <c r="H64" s="647"/>
    </row>
    <row r="65" spans="2:8" ht="14.4" thickBot="1">
      <c r="D65" s="648" t="s">
        <v>323</v>
      </c>
      <c r="E65" s="648"/>
      <c r="F65" s="801">
        <f>SUM(F59:F64)</f>
        <v>0</v>
      </c>
      <c r="G65" s="643"/>
      <c r="H65" s="801">
        <f>SUM(H59:H64)</f>
        <v>0</v>
      </c>
    </row>
    <row r="66" spans="2:8" ht="14.4" thickTop="1"/>
    <row r="68" spans="2:8">
      <c r="D68" s="1405"/>
      <c r="E68" s="799"/>
      <c r="F68" s="633">
        <v>2008</v>
      </c>
      <c r="G68" s="1406"/>
      <c r="H68" s="633">
        <v>2007</v>
      </c>
    </row>
    <row r="69" spans="2:8">
      <c r="B69" s="798">
        <v>19</v>
      </c>
      <c r="D69" s="1405"/>
      <c r="E69" s="799"/>
      <c r="F69" s="634" t="s">
        <v>320</v>
      </c>
      <c r="G69" s="1406"/>
      <c r="H69" s="634" t="s">
        <v>320</v>
      </c>
    </row>
    <row r="70" spans="2:8">
      <c r="D70" s="635"/>
      <c r="E70" s="635"/>
      <c r="F70" s="635"/>
      <c r="G70" s="635"/>
      <c r="H70" s="635"/>
    </row>
    <row r="71" spans="2:8">
      <c r="D71" s="649" t="s">
        <v>327</v>
      </c>
      <c r="E71" s="649"/>
      <c r="F71" s="635"/>
      <c r="G71" s="635"/>
      <c r="H71" s="635"/>
    </row>
    <row r="72" spans="2:8">
      <c r="D72" s="636" t="s">
        <v>328</v>
      </c>
      <c r="E72" s="636"/>
      <c r="F72" s="640"/>
      <c r="G72" s="638"/>
      <c r="H72" s="640"/>
    </row>
    <row r="73" spans="2:8">
      <c r="D73" s="636" t="s">
        <v>329</v>
      </c>
      <c r="E73" s="636"/>
      <c r="F73" s="650"/>
      <c r="G73" s="635"/>
      <c r="H73" s="650"/>
    </row>
    <row r="74" spans="2:8">
      <c r="D74" s="651"/>
      <c r="E74" s="651"/>
      <c r="F74" s="652"/>
      <c r="G74" s="635"/>
      <c r="H74" s="652"/>
    </row>
    <row r="75" spans="2:8">
      <c r="D75" s="645" t="s">
        <v>330</v>
      </c>
      <c r="E75" s="645"/>
      <c r="F75" s="652"/>
      <c r="G75" s="635"/>
      <c r="H75" s="652"/>
    </row>
    <row r="76" spans="2:8">
      <c r="D76" s="636" t="s">
        <v>331</v>
      </c>
      <c r="E76" s="636"/>
      <c r="F76" s="640"/>
      <c r="G76" s="638"/>
      <c r="H76" s="640"/>
    </row>
    <row r="77" spans="2:8">
      <c r="D77" s="636" t="s">
        <v>332</v>
      </c>
      <c r="E77" s="636"/>
      <c r="F77" s="640"/>
      <c r="G77" s="638"/>
      <c r="H77" s="640"/>
    </row>
    <row r="78" spans="2:8">
      <c r="D78" s="636"/>
      <c r="E78" s="636"/>
      <c r="F78" s="806"/>
      <c r="G78" s="635"/>
      <c r="H78" s="806"/>
    </row>
    <row r="79" spans="2:8" ht="14.4" thickBot="1">
      <c r="D79" s="641"/>
      <c r="E79" s="641"/>
      <c r="F79" s="805">
        <f>SUM(F76:F78,F72:F73)</f>
        <v>0</v>
      </c>
      <c r="G79" s="643"/>
      <c r="H79" s="805">
        <f>SUM(H76:H78,H72:H73)</f>
        <v>0</v>
      </c>
    </row>
    <row r="80" spans="2:8" ht="14.4" thickTop="1"/>
    <row r="84" spans="2:8">
      <c r="B84" s="798">
        <v>20</v>
      </c>
      <c r="D84" s="1404" t="s">
        <v>433</v>
      </c>
      <c r="E84" s="652"/>
      <c r="F84" s="644">
        <v>2008</v>
      </c>
      <c r="G84" s="645"/>
      <c r="H84" s="644">
        <v>2007</v>
      </c>
    </row>
    <row r="85" spans="2:8">
      <c r="D85" s="1404"/>
      <c r="E85" s="652"/>
      <c r="F85" s="646" t="s">
        <v>321</v>
      </c>
      <c r="G85" s="645"/>
      <c r="H85" s="646" t="s">
        <v>321</v>
      </c>
    </row>
    <row r="86" spans="2:8">
      <c r="D86" s="636"/>
      <c r="E86" s="636"/>
      <c r="F86" s="640"/>
      <c r="G86" s="638"/>
      <c r="H86" s="640"/>
    </row>
    <row r="87" spans="2:8">
      <c r="D87" s="636" t="s">
        <v>444</v>
      </c>
      <c r="E87" s="636"/>
      <c r="F87" s="647"/>
      <c r="G87" s="638"/>
      <c r="H87" s="647"/>
    </row>
    <row r="88" spans="2:8">
      <c r="D88" s="636" t="s">
        <v>445</v>
      </c>
      <c r="E88" s="636"/>
      <c r="F88" s="647"/>
      <c r="G88" s="638"/>
      <c r="H88" s="640"/>
    </row>
    <row r="89" spans="2:8">
      <c r="D89" s="636" t="s">
        <v>446</v>
      </c>
      <c r="E89" s="636"/>
      <c r="F89" s="639"/>
      <c r="G89" s="638"/>
      <c r="H89" s="639"/>
    </row>
    <row r="90" spans="2:8" ht="14.4" thickBot="1">
      <c r="D90" s="648" t="s">
        <v>323</v>
      </c>
      <c r="E90" s="648"/>
      <c r="F90" s="642">
        <f>SUM(F86:F89)</f>
        <v>0</v>
      </c>
      <c r="G90" s="643"/>
      <c r="H90" s="642">
        <f>SUM(H86:H89)</f>
        <v>0</v>
      </c>
    </row>
    <row r="91" spans="2:8" ht="14.4" thickTop="1"/>
    <row r="92" spans="2:8">
      <c r="D92" s="636"/>
    </row>
    <row r="93" spans="2:8">
      <c r="D93" s="636"/>
    </row>
    <row r="95" spans="2:8">
      <c r="B95" s="798">
        <v>21</v>
      </c>
      <c r="D95" s="1404" t="s">
        <v>443</v>
      </c>
      <c r="E95" s="652"/>
      <c r="F95" s="644">
        <v>2008</v>
      </c>
      <c r="G95" s="645"/>
      <c r="H95" s="644">
        <v>2007</v>
      </c>
    </row>
    <row r="96" spans="2:8">
      <c r="D96" s="1404"/>
      <c r="E96" s="652"/>
      <c r="F96" s="646" t="s">
        <v>321</v>
      </c>
      <c r="G96" s="645"/>
      <c r="H96" s="646" t="s">
        <v>321</v>
      </c>
    </row>
    <row r="97" spans="4:8">
      <c r="D97" s="636"/>
      <c r="E97" s="636"/>
      <c r="F97" s="640"/>
      <c r="G97" s="638"/>
      <c r="H97" s="640"/>
    </row>
    <row r="98" spans="4:8">
      <c r="D98" s="636" t="s">
        <v>447</v>
      </c>
      <c r="E98" s="636"/>
      <c r="F98" s="647"/>
      <c r="G98" s="638"/>
      <c r="H98" s="647"/>
    </row>
    <row r="99" spans="4:8">
      <c r="D99" s="636" t="s">
        <v>448</v>
      </c>
      <c r="E99" s="636"/>
      <c r="F99" s="647"/>
      <c r="G99" s="638"/>
      <c r="H99" s="647"/>
    </row>
    <row r="100" spans="4:8">
      <c r="D100" s="804" t="s">
        <v>439</v>
      </c>
      <c r="E100" s="636"/>
      <c r="F100" s="647"/>
      <c r="G100" s="638"/>
      <c r="H100" s="647"/>
    </row>
    <row r="101" spans="4:8">
      <c r="D101" s="804" t="s">
        <v>440</v>
      </c>
      <c r="E101" s="636"/>
      <c r="F101" s="647"/>
      <c r="G101" s="638"/>
      <c r="H101" s="647"/>
    </row>
    <row r="102" spans="4:8">
      <c r="D102" s="804" t="s">
        <v>441</v>
      </c>
      <c r="E102" s="636"/>
      <c r="F102" s="647"/>
      <c r="G102" s="638"/>
      <c r="H102" s="647"/>
    </row>
    <row r="103" spans="4:8">
      <c r="D103" s="804" t="s">
        <v>450</v>
      </c>
      <c r="E103" s="636"/>
      <c r="F103" s="647"/>
      <c r="G103" s="638"/>
      <c r="H103" s="647"/>
    </row>
    <row r="104" spans="4:8">
      <c r="D104" s="804" t="s">
        <v>451</v>
      </c>
      <c r="E104" s="636"/>
      <c r="F104" s="647"/>
      <c r="G104" s="638"/>
      <c r="H104" s="647"/>
    </row>
    <row r="105" spans="4:8">
      <c r="D105" s="804" t="s">
        <v>452</v>
      </c>
      <c r="E105" s="636"/>
      <c r="F105" s="647"/>
      <c r="G105" s="638"/>
      <c r="H105" s="647"/>
    </row>
    <row r="106" spans="4:8">
      <c r="D106" s="804" t="s">
        <v>452</v>
      </c>
      <c r="E106" s="636"/>
      <c r="F106" s="647"/>
      <c r="G106" s="638"/>
      <c r="H106" s="647"/>
    </row>
    <row r="107" spans="4:8">
      <c r="D107" s="636" t="s">
        <v>449</v>
      </c>
      <c r="E107" s="636"/>
      <c r="F107" s="647"/>
      <c r="G107" s="638"/>
      <c r="H107" s="640"/>
    </row>
    <row r="108" spans="4:8">
      <c r="D108" s="804" t="s">
        <v>453</v>
      </c>
      <c r="E108" s="636"/>
      <c r="F108" s="647"/>
      <c r="G108" s="638"/>
      <c r="H108" s="640"/>
    </row>
    <row r="109" spans="4:8">
      <c r="D109" s="804" t="s">
        <v>454</v>
      </c>
      <c r="E109" s="636"/>
      <c r="F109" s="647"/>
      <c r="G109" s="638"/>
      <c r="H109" s="640"/>
    </row>
    <row r="110" spans="4:8">
      <c r="D110" s="804"/>
      <c r="E110" s="636"/>
      <c r="F110" s="647"/>
      <c r="G110" s="638"/>
      <c r="H110" s="640"/>
    </row>
    <row r="111" spans="4:8">
      <c r="D111" s="804"/>
      <c r="E111" s="636"/>
      <c r="F111" s="647"/>
      <c r="G111" s="638"/>
      <c r="H111" s="640"/>
    </row>
    <row r="112" spans="4:8">
      <c r="D112" s="804"/>
      <c r="E112" s="636"/>
      <c r="F112" s="639"/>
      <c r="G112" s="638"/>
      <c r="H112" s="639"/>
    </row>
    <row r="113" spans="4:8">
      <c r="D113" s="648" t="s">
        <v>455</v>
      </c>
      <c r="E113" s="648"/>
      <c r="F113" s="807">
        <f>SUM(F97:F112)</f>
        <v>0</v>
      </c>
      <c r="G113" s="643"/>
      <c r="H113" s="807">
        <f>SUM(H97:H112)</f>
        <v>0</v>
      </c>
    </row>
    <row r="115" spans="4:8">
      <c r="D115" s="191" t="s">
        <v>443</v>
      </c>
      <c r="F115" s="810"/>
      <c r="H115" s="810"/>
    </row>
    <row r="117" spans="4:8">
      <c r="D117" s="809" t="s">
        <v>456</v>
      </c>
      <c r="F117" s="162">
        <v>0.1</v>
      </c>
      <c r="H117" s="162">
        <v>0.2</v>
      </c>
    </row>
    <row r="119" spans="4:8" ht="14.4" thickBot="1">
      <c r="D119" s="191" t="s">
        <v>457</v>
      </c>
      <c r="F119" s="808"/>
      <c r="H119" s="808"/>
    </row>
    <row r="120" spans="4:8" ht="14.4" thickTop="1"/>
  </sheetData>
  <mergeCells count="11">
    <mergeCell ref="D95:D96"/>
    <mergeCell ref="D68:D69"/>
    <mergeCell ref="D3:D4"/>
    <mergeCell ref="D84:D85"/>
    <mergeCell ref="G3:G4"/>
    <mergeCell ref="D15:D16"/>
    <mergeCell ref="G15:G16"/>
    <mergeCell ref="G68:G69"/>
    <mergeCell ref="D57:D58"/>
    <mergeCell ref="D46:D47"/>
    <mergeCell ref="D26:D27"/>
  </mergeCells>
  <phoneticPr fontId="86" type="noConversion"/>
  <pageMargins left="0.7" right="0.7" top="0.49" bottom="0.41" header="0.3" footer="0.3"/>
  <pageSetup scale="82" orientation="portrait" r:id="rId1"/>
  <rowBreaks count="1" manualBreakCount="1">
    <brk id="66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B1:T27"/>
  <sheetViews>
    <sheetView showGridLines="0" tabSelected="1" defaultGridColor="0" colorId="12" zoomScale="130" zoomScaleNormal="130" workbookViewId="0">
      <selection activeCell="S12" sqref="S12"/>
    </sheetView>
  </sheetViews>
  <sheetFormatPr defaultColWidth="9.109375" defaultRowHeight="13.8"/>
  <cols>
    <col min="1" max="1" width="1.88671875" style="655" customWidth="1"/>
    <col min="2" max="2" width="13.33203125" style="653" hidden="1" customWidth="1"/>
    <col min="3" max="3" width="10.88671875" style="653" hidden="1" customWidth="1"/>
    <col min="4" max="4" width="2.33203125" style="654" customWidth="1"/>
    <col min="5" max="5" width="24.44140625" style="653" bestFit="1" customWidth="1"/>
    <col min="6" max="6" width="14" style="653" bestFit="1" customWidth="1"/>
    <col min="7" max="7" width="4.33203125" style="655" bestFit="1" customWidth="1"/>
    <col min="8" max="8" width="12.6640625" style="655" customWidth="1"/>
    <col min="9" max="9" width="8.5546875" style="655" hidden="1" customWidth="1"/>
    <col min="10" max="10" width="12.88671875" style="655" customWidth="1"/>
    <col min="11" max="11" width="13.109375" style="655" customWidth="1"/>
    <col min="12" max="12" width="12.44140625" style="655" customWidth="1"/>
    <col min="13" max="13" width="10.6640625" style="655" customWidth="1"/>
    <col min="14" max="14" width="1.33203125" style="656" customWidth="1"/>
    <col min="15" max="15" width="13" style="655" customWidth="1"/>
    <col min="16" max="16" width="3.6640625" style="655" customWidth="1"/>
    <col min="17" max="17" width="0.109375" style="884" customWidth="1"/>
    <col min="18" max="18" width="9.109375" style="655"/>
    <col min="19" max="19" width="10.33203125" style="655" bestFit="1" customWidth="1"/>
    <col min="20" max="16384" width="9.109375" style="655"/>
  </cols>
  <sheetData>
    <row r="1" spans="2:18" ht="15.6">
      <c r="F1" s="873" t="s">
        <v>1225</v>
      </c>
    </row>
    <row r="3" spans="2:18">
      <c r="O3" s="946" t="s">
        <v>864</v>
      </c>
    </row>
    <row r="4" spans="2:18" s="766" customFormat="1" ht="12.75" customHeight="1">
      <c r="B4" s="1407"/>
      <c r="C4" s="1407"/>
      <c r="D4" s="965"/>
      <c r="E4" s="1407" t="s">
        <v>974</v>
      </c>
      <c r="F4" s="1407"/>
      <c r="G4" s="764"/>
      <c r="H4" s="1408" t="s">
        <v>514</v>
      </c>
      <c r="I4" s="1410" t="s">
        <v>976</v>
      </c>
      <c r="J4" s="1408" t="s">
        <v>515</v>
      </c>
      <c r="K4" s="1408" t="s">
        <v>516</v>
      </c>
      <c r="L4" s="1408" t="s">
        <v>977</v>
      </c>
      <c r="M4" s="1408" t="s">
        <v>1039</v>
      </c>
      <c r="N4" s="765"/>
      <c r="O4" s="1411" t="s">
        <v>978</v>
      </c>
      <c r="P4" s="966"/>
      <c r="Q4" s="1413" t="s">
        <v>979</v>
      </c>
    </row>
    <row r="5" spans="2:18" s="766" customFormat="1">
      <c r="B5" s="964"/>
      <c r="C5" s="964"/>
      <c r="D5" s="965"/>
      <c r="E5" s="1414"/>
      <c r="F5" s="1414"/>
      <c r="G5" s="764"/>
      <c r="H5" s="1409"/>
      <c r="I5" s="1409"/>
      <c r="J5" s="1415"/>
      <c r="K5" s="1409"/>
      <c r="L5" s="1415"/>
      <c r="M5" s="1415"/>
      <c r="N5" s="765"/>
      <c r="O5" s="1412"/>
      <c r="P5" s="966"/>
      <c r="Q5" s="1413"/>
    </row>
    <row r="6" spans="2:18">
      <c r="B6" s="967" t="s">
        <v>980</v>
      </c>
      <c r="C6" s="967" t="s">
        <v>981</v>
      </c>
      <c r="D6" s="968"/>
      <c r="E6" s="835" t="s">
        <v>1141</v>
      </c>
      <c r="F6" s="835" t="s">
        <v>463</v>
      </c>
      <c r="G6" s="983" t="s">
        <v>982</v>
      </c>
      <c r="H6" s="969">
        <v>0</v>
      </c>
      <c r="I6" s="970"/>
      <c r="J6" s="970">
        <v>0</v>
      </c>
      <c r="K6" s="969">
        <v>0</v>
      </c>
      <c r="L6" s="969">
        <v>1834311</v>
      </c>
      <c r="M6" s="969">
        <v>0</v>
      </c>
      <c r="N6" s="971">
        <v>0</v>
      </c>
      <c r="O6" s="972">
        <f>SUM(H6:N6)</f>
        <v>1834311</v>
      </c>
      <c r="P6" s="973"/>
      <c r="Q6" s="885"/>
      <c r="R6" s="973"/>
    </row>
    <row r="7" spans="2:18">
      <c r="B7" s="967" t="s">
        <v>980</v>
      </c>
      <c r="C7" s="974" t="s">
        <v>983</v>
      </c>
      <c r="D7" s="975"/>
      <c r="E7" s="836" t="s">
        <v>1141</v>
      </c>
      <c r="F7" s="836" t="s">
        <v>984</v>
      </c>
      <c r="G7" s="983" t="s">
        <v>982</v>
      </c>
      <c r="H7" s="969">
        <v>0</v>
      </c>
      <c r="I7" s="970">
        <v>0</v>
      </c>
      <c r="J7" s="970">
        <v>0</v>
      </c>
      <c r="K7" s="969">
        <v>0</v>
      </c>
      <c r="L7" s="969">
        <f>-219944+734597+615842</f>
        <v>1130495</v>
      </c>
      <c r="M7" s="969">
        <v>0</v>
      </c>
      <c r="N7" s="971"/>
      <c r="O7" s="972">
        <f>SUM(H7:M7)</f>
        <v>1130495</v>
      </c>
      <c r="P7" s="973"/>
      <c r="Q7" s="885"/>
      <c r="R7" s="973"/>
    </row>
    <row r="8" spans="2:18">
      <c r="B8" s="967" t="s">
        <v>980</v>
      </c>
      <c r="C8" s="974" t="s">
        <v>985</v>
      </c>
      <c r="D8" s="975"/>
      <c r="E8" s="835" t="s">
        <v>1141</v>
      </c>
      <c r="F8" s="836" t="s">
        <v>986</v>
      </c>
      <c r="G8" s="983" t="s">
        <v>982</v>
      </c>
      <c r="H8" s="969"/>
      <c r="I8" s="969"/>
      <c r="J8" s="970"/>
      <c r="K8" s="969"/>
      <c r="L8" s="969"/>
      <c r="M8" s="969"/>
      <c r="N8" s="971"/>
      <c r="O8" s="972">
        <f>SUM(H8:M8)</f>
        <v>0</v>
      </c>
      <c r="P8" s="973"/>
      <c r="Q8" s="885"/>
      <c r="R8" s="973"/>
    </row>
    <row r="9" spans="2:18">
      <c r="B9" s="967"/>
      <c r="C9" s="974"/>
      <c r="D9" s="975"/>
      <c r="E9" s="836" t="s">
        <v>1141</v>
      </c>
      <c r="F9" s="836" t="s">
        <v>462</v>
      </c>
      <c r="G9" s="983"/>
      <c r="H9" s="976">
        <f>H6-H7</f>
        <v>0</v>
      </c>
      <c r="I9" s="976">
        <f>SUM(I6:I8)</f>
        <v>0</v>
      </c>
      <c r="J9" s="976">
        <f>J6-J7</f>
        <v>0</v>
      </c>
      <c r="K9" s="976">
        <f>K6-K7</f>
        <v>0</v>
      </c>
      <c r="L9" s="976">
        <f>L6-L7</f>
        <v>703816</v>
      </c>
      <c r="M9" s="976">
        <f>M6-M7</f>
        <v>0</v>
      </c>
      <c r="N9" s="971"/>
      <c r="O9" s="976">
        <f>O6-O7</f>
        <v>703816</v>
      </c>
      <c r="P9" s="973"/>
      <c r="Q9" s="885"/>
      <c r="R9" s="973"/>
    </row>
    <row r="10" spans="2:18" ht="8.25" customHeight="1">
      <c r="B10" s="967"/>
      <c r="C10" s="974"/>
      <c r="D10" s="975"/>
      <c r="E10" s="836"/>
      <c r="F10" s="836"/>
      <c r="G10" s="983"/>
      <c r="H10" s="813"/>
      <c r="I10" s="813"/>
      <c r="J10" s="814"/>
      <c r="K10" s="813"/>
      <c r="L10" s="813"/>
      <c r="M10" s="813"/>
      <c r="N10" s="767"/>
      <c r="O10" s="815"/>
      <c r="P10" s="768"/>
      <c r="Q10" s="885"/>
      <c r="R10" s="768"/>
    </row>
    <row r="11" spans="2:18">
      <c r="B11" s="967" t="s">
        <v>987</v>
      </c>
      <c r="C11" s="967" t="s">
        <v>981</v>
      </c>
      <c r="D11" s="968"/>
      <c r="E11" s="835" t="s">
        <v>1152</v>
      </c>
      <c r="F11" s="835" t="s">
        <v>988</v>
      </c>
      <c r="G11" s="983" t="s">
        <v>982</v>
      </c>
      <c r="H11" s="813">
        <v>0</v>
      </c>
      <c r="I11" s="813"/>
      <c r="J11" s="814">
        <v>0</v>
      </c>
      <c r="K11" s="813">
        <v>0</v>
      </c>
      <c r="L11" s="813">
        <v>0</v>
      </c>
      <c r="M11" s="813">
        <v>0</v>
      </c>
      <c r="N11" s="767"/>
      <c r="O11" s="815">
        <f>SUM(H11:M11)</f>
        <v>0</v>
      </c>
      <c r="P11" s="768"/>
      <c r="Q11" s="886"/>
      <c r="R11" s="768"/>
    </row>
    <row r="12" spans="2:18">
      <c r="B12" s="967" t="s">
        <v>989</v>
      </c>
      <c r="C12" s="967" t="s">
        <v>981</v>
      </c>
      <c r="D12" s="968"/>
      <c r="E12" s="835" t="s">
        <v>1153</v>
      </c>
      <c r="F12" s="835" t="s">
        <v>988</v>
      </c>
      <c r="G12" s="983" t="s">
        <v>990</v>
      </c>
      <c r="H12" s="813">
        <v>0</v>
      </c>
      <c r="I12" s="813"/>
      <c r="J12" s="814">
        <v>0</v>
      </c>
      <c r="K12" s="813">
        <v>0</v>
      </c>
      <c r="L12" s="813">
        <v>0</v>
      </c>
      <c r="M12" s="813">
        <v>0</v>
      </c>
      <c r="N12" s="767"/>
      <c r="O12" s="815">
        <f t="shared" ref="O12:O24" si="0">SUM(H12:M12)</f>
        <v>0</v>
      </c>
      <c r="P12" s="768"/>
      <c r="Q12" s="885"/>
      <c r="R12" s="768"/>
    </row>
    <row r="13" spans="2:18">
      <c r="B13" s="967" t="s">
        <v>991</v>
      </c>
      <c r="C13" s="967" t="s">
        <v>992</v>
      </c>
      <c r="D13" s="968"/>
      <c r="E13" s="835" t="s">
        <v>993</v>
      </c>
      <c r="F13" s="835"/>
      <c r="G13" s="983" t="s">
        <v>994</v>
      </c>
      <c r="H13" s="813">
        <v>0</v>
      </c>
      <c r="I13" s="813"/>
      <c r="J13" s="814">
        <v>0</v>
      </c>
      <c r="K13" s="813">
        <v>0</v>
      </c>
      <c r="L13" s="813">
        <v>0</v>
      </c>
      <c r="M13" s="813">
        <v>0</v>
      </c>
      <c r="N13" s="767"/>
      <c r="O13" s="815">
        <f t="shared" si="0"/>
        <v>0</v>
      </c>
      <c r="P13" s="768"/>
      <c r="Q13" s="885"/>
      <c r="R13" s="768"/>
    </row>
    <row r="14" spans="2:18" ht="6" customHeight="1">
      <c r="B14" s="967"/>
      <c r="C14" s="967"/>
      <c r="D14" s="968"/>
      <c r="E14" s="835"/>
      <c r="F14" s="835"/>
      <c r="G14" s="983"/>
      <c r="H14" s="813"/>
      <c r="I14" s="813"/>
      <c r="J14" s="814"/>
      <c r="K14" s="813"/>
      <c r="L14" s="813"/>
      <c r="M14" s="813"/>
      <c r="N14" s="767"/>
      <c r="O14" s="815"/>
      <c r="P14" s="768"/>
      <c r="Q14" s="885"/>
      <c r="R14" s="768"/>
    </row>
    <row r="15" spans="2:18">
      <c r="B15" s="967" t="s">
        <v>925</v>
      </c>
      <c r="C15" s="967"/>
      <c r="D15" s="968"/>
      <c r="E15" s="835" t="s">
        <v>996</v>
      </c>
      <c r="F15" s="835"/>
      <c r="G15" s="983" t="s">
        <v>982</v>
      </c>
      <c r="H15" s="813">
        <v>0</v>
      </c>
      <c r="I15" s="813"/>
      <c r="J15" s="813">
        <v>0</v>
      </c>
      <c r="K15" s="813">
        <v>0</v>
      </c>
      <c r="L15" s="813">
        <v>140763</v>
      </c>
      <c r="M15" s="813">
        <v>0</v>
      </c>
      <c r="N15" s="767"/>
      <c r="O15" s="815">
        <f>SUM(H15:M15)</f>
        <v>140763</v>
      </c>
      <c r="P15" s="768"/>
      <c r="Q15" s="439"/>
      <c r="R15" s="768"/>
    </row>
    <row r="16" spans="2:18">
      <c r="B16" s="967" t="s">
        <v>985</v>
      </c>
      <c r="C16" s="967"/>
      <c r="D16" s="968"/>
      <c r="E16" s="835" t="s">
        <v>995</v>
      </c>
      <c r="F16" s="835"/>
      <c r="G16" s="983" t="s">
        <v>982</v>
      </c>
      <c r="H16" s="813">
        <v>0</v>
      </c>
      <c r="I16" s="813"/>
      <c r="J16" s="814">
        <v>0</v>
      </c>
      <c r="K16" s="813">
        <v>0</v>
      </c>
      <c r="L16" s="813">
        <v>0</v>
      </c>
      <c r="M16" s="813">
        <v>0</v>
      </c>
      <c r="N16" s="767"/>
      <c r="O16" s="815">
        <f t="shared" si="0"/>
        <v>0</v>
      </c>
      <c r="P16" s="768"/>
      <c r="Q16" s="885"/>
      <c r="R16" s="768"/>
    </row>
    <row r="17" spans="2:20" ht="8.25" customHeight="1">
      <c r="B17" s="967"/>
      <c r="C17" s="967"/>
      <c r="D17" s="968"/>
      <c r="E17" s="835"/>
      <c r="F17" s="835"/>
      <c r="G17" s="983"/>
      <c r="H17" s="813"/>
      <c r="I17" s="813"/>
      <c r="J17" s="814"/>
      <c r="K17" s="813"/>
      <c r="L17" s="813"/>
      <c r="M17" s="813"/>
      <c r="N17" s="767"/>
      <c r="O17" s="815"/>
      <c r="P17" s="768"/>
      <c r="Q17" s="885"/>
      <c r="R17" s="768"/>
      <c r="T17" s="657"/>
    </row>
    <row r="18" spans="2:20">
      <c r="B18" s="967" t="s">
        <v>997</v>
      </c>
      <c r="C18" s="974" t="s">
        <v>983</v>
      </c>
      <c r="D18" s="968"/>
      <c r="E18" s="835" t="s">
        <v>998</v>
      </c>
      <c r="F18" s="835"/>
      <c r="G18" s="983" t="s">
        <v>990</v>
      </c>
      <c r="H18" s="813">
        <v>0</v>
      </c>
      <c r="I18" s="813"/>
      <c r="J18" s="814">
        <v>0</v>
      </c>
      <c r="K18" s="813">
        <v>0</v>
      </c>
      <c r="L18" s="813">
        <v>0</v>
      </c>
      <c r="M18" s="813">
        <v>0</v>
      </c>
      <c r="N18" s="767"/>
      <c r="O18" s="815">
        <f t="shared" si="0"/>
        <v>0</v>
      </c>
      <c r="P18" s="768"/>
      <c r="Q18" s="885"/>
      <c r="R18" s="768"/>
    </row>
    <row r="19" spans="2:20">
      <c r="B19" s="967" t="s">
        <v>997</v>
      </c>
      <c r="C19" s="974" t="s">
        <v>985</v>
      </c>
      <c r="D19" s="968"/>
      <c r="E19" s="835" t="s">
        <v>999</v>
      </c>
      <c r="F19" s="835"/>
      <c r="G19" s="983" t="s">
        <v>990</v>
      </c>
      <c r="H19" s="813">
        <v>0</v>
      </c>
      <c r="I19" s="813"/>
      <c r="J19" s="814">
        <v>0</v>
      </c>
      <c r="K19" s="813">
        <v>0</v>
      </c>
      <c r="L19" s="813">
        <v>0</v>
      </c>
      <c r="M19" s="813">
        <v>0</v>
      </c>
      <c r="N19" s="767"/>
      <c r="O19" s="815">
        <f t="shared" si="0"/>
        <v>0</v>
      </c>
      <c r="P19" s="768"/>
      <c r="Q19" s="885"/>
      <c r="R19" s="768"/>
    </row>
    <row r="20" spans="2:20">
      <c r="B20" s="967" t="s">
        <v>991</v>
      </c>
      <c r="C20" s="967" t="s">
        <v>1000</v>
      </c>
      <c r="D20" s="968"/>
      <c r="E20" s="835" t="s">
        <v>1001</v>
      </c>
      <c r="F20" s="835"/>
      <c r="G20" s="983" t="s">
        <v>994</v>
      </c>
      <c r="H20" s="813">
        <v>0</v>
      </c>
      <c r="I20" s="813"/>
      <c r="J20" s="814">
        <v>0</v>
      </c>
      <c r="K20" s="813">
        <v>0</v>
      </c>
      <c r="L20" s="813">
        <v>0</v>
      </c>
      <c r="M20" s="813">
        <v>0</v>
      </c>
      <c r="N20" s="767"/>
      <c r="O20" s="815">
        <f t="shared" si="0"/>
        <v>0</v>
      </c>
      <c r="P20" s="768"/>
      <c r="Q20" s="885"/>
      <c r="R20" s="768"/>
    </row>
    <row r="21" spans="2:20" s="656" customFormat="1" ht="6" customHeight="1">
      <c r="B21" s="968"/>
      <c r="C21" s="968"/>
      <c r="D21" s="968"/>
      <c r="E21" s="837"/>
      <c r="F21" s="837"/>
      <c r="G21" s="983"/>
      <c r="H21" s="813"/>
      <c r="I21" s="813"/>
      <c r="J21" s="814"/>
      <c r="K21" s="813"/>
      <c r="L21" s="813"/>
      <c r="M21" s="813"/>
      <c r="N21" s="767"/>
      <c r="O21" s="815"/>
      <c r="P21" s="768"/>
      <c r="Q21" s="885"/>
      <c r="R21" s="768"/>
    </row>
    <row r="22" spans="2:20">
      <c r="B22" s="977" t="s">
        <v>1002</v>
      </c>
      <c r="C22" s="977" t="s">
        <v>1003</v>
      </c>
      <c r="D22" s="968"/>
      <c r="E22" s="835" t="s">
        <v>1154</v>
      </c>
      <c r="F22" s="835" t="s">
        <v>463</v>
      </c>
      <c r="G22" s="984"/>
      <c r="H22" s="978">
        <f t="shared" ref="H22:M22" si="1">H6+H11+H12+H13</f>
        <v>0</v>
      </c>
      <c r="I22" s="978">
        <f t="shared" si="1"/>
        <v>0</v>
      </c>
      <c r="J22" s="978">
        <f t="shared" si="1"/>
        <v>0</v>
      </c>
      <c r="K22" s="978">
        <f t="shared" si="1"/>
        <v>0</v>
      </c>
      <c r="L22" s="978">
        <f t="shared" si="1"/>
        <v>1834311</v>
      </c>
      <c r="M22" s="978">
        <f t="shared" si="1"/>
        <v>0</v>
      </c>
      <c r="N22" s="971"/>
      <c r="O22" s="815">
        <f>SUM(H22:M22)</f>
        <v>1834311</v>
      </c>
      <c r="P22" s="973"/>
      <c r="Q22" s="885"/>
      <c r="R22" s="973"/>
    </row>
    <row r="23" spans="2:20">
      <c r="B23" s="977" t="s">
        <v>1002</v>
      </c>
      <c r="C23" s="977" t="s">
        <v>1004</v>
      </c>
      <c r="D23" s="968"/>
      <c r="E23" s="836" t="s">
        <v>1155</v>
      </c>
      <c r="F23" s="836" t="s">
        <v>984</v>
      </c>
      <c r="G23" s="984"/>
      <c r="H23" s="978">
        <f t="shared" ref="H23:M23" si="2">H7+H15+H18+H20</f>
        <v>0</v>
      </c>
      <c r="I23" s="978">
        <f t="shared" si="2"/>
        <v>0</v>
      </c>
      <c r="J23" s="978">
        <f t="shared" si="2"/>
        <v>0</v>
      </c>
      <c r="K23" s="978">
        <f t="shared" si="2"/>
        <v>0</v>
      </c>
      <c r="L23" s="978">
        <f t="shared" si="2"/>
        <v>1271258</v>
      </c>
      <c r="M23" s="978">
        <f t="shared" si="2"/>
        <v>0</v>
      </c>
      <c r="N23" s="971"/>
      <c r="O23" s="815">
        <f t="shared" si="0"/>
        <v>1271258</v>
      </c>
      <c r="P23" s="973"/>
      <c r="Q23" s="885"/>
      <c r="R23" s="973"/>
    </row>
    <row r="24" spans="2:20">
      <c r="B24" s="979" t="s">
        <v>1002</v>
      </c>
      <c r="C24" s="977" t="s">
        <v>1005</v>
      </c>
      <c r="D24" s="968"/>
      <c r="E24" s="835" t="s">
        <v>1154</v>
      </c>
      <c r="F24" s="836" t="s">
        <v>986</v>
      </c>
      <c r="G24" s="769"/>
      <c r="H24" s="978"/>
      <c r="I24" s="978"/>
      <c r="J24" s="978"/>
      <c r="K24" s="978"/>
      <c r="L24" s="978"/>
      <c r="M24" s="978">
        <f>M22-M23</f>
        <v>0</v>
      </c>
      <c r="N24" s="971"/>
      <c r="O24" s="815">
        <f t="shared" si="0"/>
        <v>0</v>
      </c>
      <c r="P24" s="973"/>
      <c r="Q24" s="885"/>
      <c r="R24" s="973"/>
      <c r="S24" s="657"/>
    </row>
    <row r="25" spans="2:20" ht="14.4" thickBot="1">
      <c r="E25" s="836" t="s">
        <v>1156</v>
      </c>
      <c r="F25" s="836" t="s">
        <v>462</v>
      </c>
      <c r="H25" s="980">
        <f t="shared" ref="H25:M25" si="3">+H22-H23</f>
        <v>0</v>
      </c>
      <c r="I25" s="980">
        <f t="shared" si="3"/>
        <v>0</v>
      </c>
      <c r="J25" s="980">
        <f t="shared" si="3"/>
        <v>0</v>
      </c>
      <c r="K25" s="980">
        <f t="shared" si="3"/>
        <v>0</v>
      </c>
      <c r="L25" s="980">
        <f t="shared" si="3"/>
        <v>563053</v>
      </c>
      <c r="M25" s="980">
        <f t="shared" si="3"/>
        <v>0</v>
      </c>
      <c r="N25" s="971"/>
      <c r="O25" s="980">
        <f>+O22-O23</f>
        <v>563053</v>
      </c>
      <c r="Q25" s="450"/>
    </row>
    <row r="26" spans="2:20" ht="14.4" thickTop="1">
      <c r="O26" s="657"/>
      <c r="P26" s="657"/>
    </row>
    <row r="27" spans="2:20">
      <c r="O27" s="657"/>
      <c r="P27" s="657"/>
    </row>
  </sheetData>
  <mergeCells count="10">
    <mergeCell ref="B4:C4"/>
    <mergeCell ref="H4:H5"/>
    <mergeCell ref="I4:I5"/>
    <mergeCell ref="O4:O5"/>
    <mergeCell ref="Q4:Q5"/>
    <mergeCell ref="E4:F5"/>
    <mergeCell ref="J4:J5"/>
    <mergeCell ref="K4:K5"/>
    <mergeCell ref="L4:L5"/>
    <mergeCell ref="M4:M5"/>
  </mergeCells>
  <phoneticPr fontId="0" type="noConversion"/>
  <pageMargins left="0.25" right="0.35" top="0.45" bottom="0.43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B1:K143"/>
  <sheetViews>
    <sheetView showGridLines="0" view="pageBreakPreview" topLeftCell="A67" zoomScaleSheetLayoutView="100" workbookViewId="0">
      <selection activeCell="I83" sqref="I83"/>
    </sheetView>
  </sheetViews>
  <sheetFormatPr defaultColWidth="9.109375" defaultRowHeight="13.8"/>
  <cols>
    <col min="1" max="1" width="2.88671875" style="191" customWidth="1"/>
    <col min="2" max="2" width="4" style="800" customWidth="1"/>
    <col min="3" max="3" width="4.33203125" style="800" customWidth="1"/>
    <col min="4" max="4" width="36.6640625" style="191" customWidth="1"/>
    <col min="5" max="5" width="4.5546875" style="191" customWidth="1"/>
    <col min="6" max="6" width="18.6640625" style="191" customWidth="1"/>
    <col min="7" max="7" width="3.6640625" style="192" customWidth="1"/>
    <col min="8" max="8" width="18.6640625" style="191" customWidth="1"/>
    <col min="9" max="9" width="2.6640625" style="191" customWidth="1"/>
    <col min="10" max="10" width="0.6640625" style="191" customWidth="1"/>
    <col min="11" max="11" width="3.109375" style="191" hidden="1" customWidth="1"/>
    <col min="12" max="256" width="9.109375" style="191"/>
    <col min="257" max="257" width="2.88671875" style="191" customWidth="1"/>
    <col min="258" max="258" width="4" style="191" customWidth="1"/>
    <col min="259" max="259" width="4.33203125" style="191" customWidth="1"/>
    <col min="260" max="260" width="36.6640625" style="191" customWidth="1"/>
    <col min="261" max="261" width="4.5546875" style="191" customWidth="1"/>
    <col min="262" max="262" width="18.6640625" style="191" customWidth="1"/>
    <col min="263" max="263" width="3.6640625" style="191" customWidth="1"/>
    <col min="264" max="264" width="18.6640625" style="191" customWidth="1"/>
    <col min="265" max="265" width="2.6640625" style="191" customWidth="1"/>
    <col min="266" max="266" width="0.6640625" style="191" customWidth="1"/>
    <col min="267" max="267" width="0" style="191" hidden="1" customWidth="1"/>
    <col min="268" max="512" width="9.109375" style="191"/>
    <col min="513" max="513" width="2.88671875" style="191" customWidth="1"/>
    <col min="514" max="514" width="4" style="191" customWidth="1"/>
    <col min="515" max="515" width="4.33203125" style="191" customWidth="1"/>
    <col min="516" max="516" width="36.6640625" style="191" customWidth="1"/>
    <col min="517" max="517" width="4.5546875" style="191" customWidth="1"/>
    <col min="518" max="518" width="18.6640625" style="191" customWidth="1"/>
    <col min="519" max="519" width="3.6640625" style="191" customWidth="1"/>
    <col min="520" max="520" width="18.6640625" style="191" customWidth="1"/>
    <col min="521" max="521" width="2.6640625" style="191" customWidth="1"/>
    <col min="522" max="522" width="0.6640625" style="191" customWidth="1"/>
    <col min="523" max="523" width="0" style="191" hidden="1" customWidth="1"/>
    <col min="524" max="768" width="9.109375" style="191"/>
    <col min="769" max="769" width="2.88671875" style="191" customWidth="1"/>
    <col min="770" max="770" width="4" style="191" customWidth="1"/>
    <col min="771" max="771" width="4.33203125" style="191" customWidth="1"/>
    <col min="772" max="772" width="36.6640625" style="191" customWidth="1"/>
    <col min="773" max="773" width="4.5546875" style="191" customWidth="1"/>
    <col min="774" max="774" width="18.6640625" style="191" customWidth="1"/>
    <col min="775" max="775" width="3.6640625" style="191" customWidth="1"/>
    <col min="776" max="776" width="18.6640625" style="191" customWidth="1"/>
    <col min="777" max="777" width="2.6640625" style="191" customWidth="1"/>
    <col min="778" max="778" width="0.6640625" style="191" customWidth="1"/>
    <col min="779" max="779" width="0" style="191" hidden="1" customWidth="1"/>
    <col min="780" max="1024" width="9.109375" style="191"/>
    <col min="1025" max="1025" width="2.88671875" style="191" customWidth="1"/>
    <col min="1026" max="1026" width="4" style="191" customWidth="1"/>
    <col min="1027" max="1027" width="4.33203125" style="191" customWidth="1"/>
    <col min="1028" max="1028" width="36.6640625" style="191" customWidth="1"/>
    <col min="1029" max="1029" width="4.5546875" style="191" customWidth="1"/>
    <col min="1030" max="1030" width="18.6640625" style="191" customWidth="1"/>
    <col min="1031" max="1031" width="3.6640625" style="191" customWidth="1"/>
    <col min="1032" max="1032" width="18.6640625" style="191" customWidth="1"/>
    <col min="1033" max="1033" width="2.6640625" style="191" customWidth="1"/>
    <col min="1034" max="1034" width="0.6640625" style="191" customWidth="1"/>
    <col min="1035" max="1035" width="0" style="191" hidden="1" customWidth="1"/>
    <col min="1036" max="1280" width="9.109375" style="191"/>
    <col min="1281" max="1281" width="2.88671875" style="191" customWidth="1"/>
    <col min="1282" max="1282" width="4" style="191" customWidth="1"/>
    <col min="1283" max="1283" width="4.33203125" style="191" customWidth="1"/>
    <col min="1284" max="1284" width="36.6640625" style="191" customWidth="1"/>
    <col min="1285" max="1285" width="4.5546875" style="191" customWidth="1"/>
    <col min="1286" max="1286" width="18.6640625" style="191" customWidth="1"/>
    <col min="1287" max="1287" width="3.6640625" style="191" customWidth="1"/>
    <col min="1288" max="1288" width="18.6640625" style="191" customWidth="1"/>
    <col min="1289" max="1289" width="2.6640625" style="191" customWidth="1"/>
    <col min="1290" max="1290" width="0.6640625" style="191" customWidth="1"/>
    <col min="1291" max="1291" width="0" style="191" hidden="1" customWidth="1"/>
    <col min="1292" max="1536" width="9.109375" style="191"/>
    <col min="1537" max="1537" width="2.88671875" style="191" customWidth="1"/>
    <col min="1538" max="1538" width="4" style="191" customWidth="1"/>
    <col min="1539" max="1539" width="4.33203125" style="191" customWidth="1"/>
    <col min="1540" max="1540" width="36.6640625" style="191" customWidth="1"/>
    <col min="1541" max="1541" width="4.5546875" style="191" customWidth="1"/>
    <col min="1542" max="1542" width="18.6640625" style="191" customWidth="1"/>
    <col min="1543" max="1543" width="3.6640625" style="191" customWidth="1"/>
    <col min="1544" max="1544" width="18.6640625" style="191" customWidth="1"/>
    <col min="1545" max="1545" width="2.6640625" style="191" customWidth="1"/>
    <col min="1546" max="1546" width="0.6640625" style="191" customWidth="1"/>
    <col min="1547" max="1547" width="0" style="191" hidden="1" customWidth="1"/>
    <col min="1548" max="1792" width="9.109375" style="191"/>
    <col min="1793" max="1793" width="2.88671875" style="191" customWidth="1"/>
    <col min="1794" max="1794" width="4" style="191" customWidth="1"/>
    <col min="1795" max="1795" width="4.33203125" style="191" customWidth="1"/>
    <col min="1796" max="1796" width="36.6640625" style="191" customWidth="1"/>
    <col min="1797" max="1797" width="4.5546875" style="191" customWidth="1"/>
    <col min="1798" max="1798" width="18.6640625" style="191" customWidth="1"/>
    <col min="1799" max="1799" width="3.6640625" style="191" customWidth="1"/>
    <col min="1800" max="1800" width="18.6640625" style="191" customWidth="1"/>
    <col min="1801" max="1801" width="2.6640625" style="191" customWidth="1"/>
    <col min="1802" max="1802" width="0.6640625" style="191" customWidth="1"/>
    <col min="1803" max="1803" width="0" style="191" hidden="1" customWidth="1"/>
    <col min="1804" max="2048" width="9.109375" style="191"/>
    <col min="2049" max="2049" width="2.88671875" style="191" customWidth="1"/>
    <col min="2050" max="2050" width="4" style="191" customWidth="1"/>
    <col min="2051" max="2051" width="4.33203125" style="191" customWidth="1"/>
    <col min="2052" max="2052" width="36.6640625" style="191" customWidth="1"/>
    <col min="2053" max="2053" width="4.5546875" style="191" customWidth="1"/>
    <col min="2054" max="2054" width="18.6640625" style="191" customWidth="1"/>
    <col min="2055" max="2055" width="3.6640625" style="191" customWidth="1"/>
    <col min="2056" max="2056" width="18.6640625" style="191" customWidth="1"/>
    <col min="2057" max="2057" width="2.6640625" style="191" customWidth="1"/>
    <col min="2058" max="2058" width="0.6640625" style="191" customWidth="1"/>
    <col min="2059" max="2059" width="0" style="191" hidden="1" customWidth="1"/>
    <col min="2060" max="2304" width="9.109375" style="191"/>
    <col min="2305" max="2305" width="2.88671875" style="191" customWidth="1"/>
    <col min="2306" max="2306" width="4" style="191" customWidth="1"/>
    <col min="2307" max="2307" width="4.33203125" style="191" customWidth="1"/>
    <col min="2308" max="2308" width="36.6640625" style="191" customWidth="1"/>
    <col min="2309" max="2309" width="4.5546875" style="191" customWidth="1"/>
    <col min="2310" max="2310" width="18.6640625" style="191" customWidth="1"/>
    <col min="2311" max="2311" width="3.6640625" style="191" customWidth="1"/>
    <col min="2312" max="2312" width="18.6640625" style="191" customWidth="1"/>
    <col min="2313" max="2313" width="2.6640625" style="191" customWidth="1"/>
    <col min="2314" max="2314" width="0.6640625" style="191" customWidth="1"/>
    <col min="2315" max="2315" width="0" style="191" hidden="1" customWidth="1"/>
    <col min="2316" max="2560" width="9.109375" style="191"/>
    <col min="2561" max="2561" width="2.88671875" style="191" customWidth="1"/>
    <col min="2562" max="2562" width="4" style="191" customWidth="1"/>
    <col min="2563" max="2563" width="4.33203125" style="191" customWidth="1"/>
    <col min="2564" max="2564" width="36.6640625" style="191" customWidth="1"/>
    <col min="2565" max="2565" width="4.5546875" style="191" customWidth="1"/>
    <col min="2566" max="2566" width="18.6640625" style="191" customWidth="1"/>
    <col min="2567" max="2567" width="3.6640625" style="191" customWidth="1"/>
    <col min="2568" max="2568" width="18.6640625" style="191" customWidth="1"/>
    <col min="2569" max="2569" width="2.6640625" style="191" customWidth="1"/>
    <col min="2570" max="2570" width="0.6640625" style="191" customWidth="1"/>
    <col min="2571" max="2571" width="0" style="191" hidden="1" customWidth="1"/>
    <col min="2572" max="2816" width="9.109375" style="191"/>
    <col min="2817" max="2817" width="2.88671875" style="191" customWidth="1"/>
    <col min="2818" max="2818" width="4" style="191" customWidth="1"/>
    <col min="2819" max="2819" width="4.33203125" style="191" customWidth="1"/>
    <col min="2820" max="2820" width="36.6640625" style="191" customWidth="1"/>
    <col min="2821" max="2821" width="4.5546875" style="191" customWidth="1"/>
    <col min="2822" max="2822" width="18.6640625" style="191" customWidth="1"/>
    <col min="2823" max="2823" width="3.6640625" style="191" customWidth="1"/>
    <col min="2824" max="2824" width="18.6640625" style="191" customWidth="1"/>
    <col min="2825" max="2825" width="2.6640625" style="191" customWidth="1"/>
    <col min="2826" max="2826" width="0.6640625" style="191" customWidth="1"/>
    <col min="2827" max="2827" width="0" style="191" hidden="1" customWidth="1"/>
    <col min="2828" max="3072" width="9.109375" style="191"/>
    <col min="3073" max="3073" width="2.88671875" style="191" customWidth="1"/>
    <col min="3074" max="3074" width="4" style="191" customWidth="1"/>
    <col min="3075" max="3075" width="4.33203125" style="191" customWidth="1"/>
    <col min="3076" max="3076" width="36.6640625" style="191" customWidth="1"/>
    <col min="3077" max="3077" width="4.5546875" style="191" customWidth="1"/>
    <col min="3078" max="3078" width="18.6640625" style="191" customWidth="1"/>
    <col min="3079" max="3079" width="3.6640625" style="191" customWidth="1"/>
    <col min="3080" max="3080" width="18.6640625" style="191" customWidth="1"/>
    <col min="3081" max="3081" width="2.6640625" style="191" customWidth="1"/>
    <col min="3082" max="3082" width="0.6640625" style="191" customWidth="1"/>
    <col min="3083" max="3083" width="0" style="191" hidden="1" customWidth="1"/>
    <col min="3084" max="3328" width="9.109375" style="191"/>
    <col min="3329" max="3329" width="2.88671875" style="191" customWidth="1"/>
    <col min="3330" max="3330" width="4" style="191" customWidth="1"/>
    <col min="3331" max="3331" width="4.33203125" style="191" customWidth="1"/>
    <col min="3332" max="3332" width="36.6640625" style="191" customWidth="1"/>
    <col min="3333" max="3333" width="4.5546875" style="191" customWidth="1"/>
    <col min="3334" max="3334" width="18.6640625" style="191" customWidth="1"/>
    <col min="3335" max="3335" width="3.6640625" style="191" customWidth="1"/>
    <col min="3336" max="3336" width="18.6640625" style="191" customWidth="1"/>
    <col min="3337" max="3337" width="2.6640625" style="191" customWidth="1"/>
    <col min="3338" max="3338" width="0.6640625" style="191" customWidth="1"/>
    <col min="3339" max="3339" width="0" style="191" hidden="1" customWidth="1"/>
    <col min="3340" max="3584" width="9.109375" style="191"/>
    <col min="3585" max="3585" width="2.88671875" style="191" customWidth="1"/>
    <col min="3586" max="3586" width="4" style="191" customWidth="1"/>
    <col min="3587" max="3587" width="4.33203125" style="191" customWidth="1"/>
    <col min="3588" max="3588" width="36.6640625" style="191" customWidth="1"/>
    <col min="3589" max="3589" width="4.5546875" style="191" customWidth="1"/>
    <col min="3590" max="3590" width="18.6640625" style="191" customWidth="1"/>
    <col min="3591" max="3591" width="3.6640625" style="191" customWidth="1"/>
    <col min="3592" max="3592" width="18.6640625" style="191" customWidth="1"/>
    <col min="3593" max="3593" width="2.6640625" style="191" customWidth="1"/>
    <col min="3594" max="3594" width="0.6640625" style="191" customWidth="1"/>
    <col min="3595" max="3595" width="0" style="191" hidden="1" customWidth="1"/>
    <col min="3596" max="3840" width="9.109375" style="191"/>
    <col min="3841" max="3841" width="2.88671875" style="191" customWidth="1"/>
    <col min="3842" max="3842" width="4" style="191" customWidth="1"/>
    <col min="3843" max="3843" width="4.33203125" style="191" customWidth="1"/>
    <col min="3844" max="3844" width="36.6640625" style="191" customWidth="1"/>
    <col min="3845" max="3845" width="4.5546875" style="191" customWidth="1"/>
    <col min="3846" max="3846" width="18.6640625" style="191" customWidth="1"/>
    <col min="3847" max="3847" width="3.6640625" style="191" customWidth="1"/>
    <col min="3848" max="3848" width="18.6640625" style="191" customWidth="1"/>
    <col min="3849" max="3849" width="2.6640625" style="191" customWidth="1"/>
    <col min="3850" max="3850" width="0.6640625" style="191" customWidth="1"/>
    <col min="3851" max="3851" width="0" style="191" hidden="1" customWidth="1"/>
    <col min="3852" max="4096" width="9.109375" style="191"/>
    <col min="4097" max="4097" width="2.88671875" style="191" customWidth="1"/>
    <col min="4098" max="4098" width="4" style="191" customWidth="1"/>
    <col min="4099" max="4099" width="4.33203125" style="191" customWidth="1"/>
    <col min="4100" max="4100" width="36.6640625" style="191" customWidth="1"/>
    <col min="4101" max="4101" width="4.5546875" style="191" customWidth="1"/>
    <col min="4102" max="4102" width="18.6640625" style="191" customWidth="1"/>
    <col min="4103" max="4103" width="3.6640625" style="191" customWidth="1"/>
    <col min="4104" max="4104" width="18.6640625" style="191" customWidth="1"/>
    <col min="4105" max="4105" width="2.6640625" style="191" customWidth="1"/>
    <col min="4106" max="4106" width="0.6640625" style="191" customWidth="1"/>
    <col min="4107" max="4107" width="0" style="191" hidden="1" customWidth="1"/>
    <col min="4108" max="4352" width="9.109375" style="191"/>
    <col min="4353" max="4353" width="2.88671875" style="191" customWidth="1"/>
    <col min="4354" max="4354" width="4" style="191" customWidth="1"/>
    <col min="4355" max="4355" width="4.33203125" style="191" customWidth="1"/>
    <col min="4356" max="4356" width="36.6640625" style="191" customWidth="1"/>
    <col min="4357" max="4357" width="4.5546875" style="191" customWidth="1"/>
    <col min="4358" max="4358" width="18.6640625" style="191" customWidth="1"/>
    <col min="4359" max="4359" width="3.6640625" style="191" customWidth="1"/>
    <col min="4360" max="4360" width="18.6640625" style="191" customWidth="1"/>
    <col min="4361" max="4361" width="2.6640625" style="191" customWidth="1"/>
    <col min="4362" max="4362" width="0.6640625" style="191" customWidth="1"/>
    <col min="4363" max="4363" width="0" style="191" hidden="1" customWidth="1"/>
    <col min="4364" max="4608" width="9.109375" style="191"/>
    <col min="4609" max="4609" width="2.88671875" style="191" customWidth="1"/>
    <col min="4610" max="4610" width="4" style="191" customWidth="1"/>
    <col min="4611" max="4611" width="4.33203125" style="191" customWidth="1"/>
    <col min="4612" max="4612" width="36.6640625" style="191" customWidth="1"/>
    <col min="4613" max="4613" width="4.5546875" style="191" customWidth="1"/>
    <col min="4614" max="4614" width="18.6640625" style="191" customWidth="1"/>
    <col min="4615" max="4615" width="3.6640625" style="191" customWidth="1"/>
    <col min="4616" max="4616" width="18.6640625" style="191" customWidth="1"/>
    <col min="4617" max="4617" width="2.6640625" style="191" customWidth="1"/>
    <col min="4618" max="4618" width="0.6640625" style="191" customWidth="1"/>
    <col min="4619" max="4619" width="0" style="191" hidden="1" customWidth="1"/>
    <col min="4620" max="4864" width="9.109375" style="191"/>
    <col min="4865" max="4865" width="2.88671875" style="191" customWidth="1"/>
    <col min="4866" max="4866" width="4" style="191" customWidth="1"/>
    <col min="4867" max="4867" width="4.33203125" style="191" customWidth="1"/>
    <col min="4868" max="4868" width="36.6640625" style="191" customWidth="1"/>
    <col min="4869" max="4869" width="4.5546875" style="191" customWidth="1"/>
    <col min="4870" max="4870" width="18.6640625" style="191" customWidth="1"/>
    <col min="4871" max="4871" width="3.6640625" style="191" customWidth="1"/>
    <col min="4872" max="4872" width="18.6640625" style="191" customWidth="1"/>
    <col min="4873" max="4873" width="2.6640625" style="191" customWidth="1"/>
    <col min="4874" max="4874" width="0.6640625" style="191" customWidth="1"/>
    <col min="4875" max="4875" width="0" style="191" hidden="1" customWidth="1"/>
    <col min="4876" max="5120" width="9.109375" style="191"/>
    <col min="5121" max="5121" width="2.88671875" style="191" customWidth="1"/>
    <col min="5122" max="5122" width="4" style="191" customWidth="1"/>
    <col min="5123" max="5123" width="4.33203125" style="191" customWidth="1"/>
    <col min="5124" max="5124" width="36.6640625" style="191" customWidth="1"/>
    <col min="5125" max="5125" width="4.5546875" style="191" customWidth="1"/>
    <col min="5126" max="5126" width="18.6640625" style="191" customWidth="1"/>
    <col min="5127" max="5127" width="3.6640625" style="191" customWidth="1"/>
    <col min="5128" max="5128" width="18.6640625" style="191" customWidth="1"/>
    <col min="5129" max="5129" width="2.6640625" style="191" customWidth="1"/>
    <col min="5130" max="5130" width="0.6640625" style="191" customWidth="1"/>
    <col min="5131" max="5131" width="0" style="191" hidden="1" customWidth="1"/>
    <col min="5132" max="5376" width="9.109375" style="191"/>
    <col min="5377" max="5377" width="2.88671875" style="191" customWidth="1"/>
    <col min="5378" max="5378" width="4" style="191" customWidth="1"/>
    <col min="5379" max="5379" width="4.33203125" style="191" customWidth="1"/>
    <col min="5380" max="5380" width="36.6640625" style="191" customWidth="1"/>
    <col min="5381" max="5381" width="4.5546875" style="191" customWidth="1"/>
    <col min="5382" max="5382" width="18.6640625" style="191" customWidth="1"/>
    <col min="5383" max="5383" width="3.6640625" style="191" customWidth="1"/>
    <col min="5384" max="5384" width="18.6640625" style="191" customWidth="1"/>
    <col min="5385" max="5385" width="2.6640625" style="191" customWidth="1"/>
    <col min="5386" max="5386" width="0.6640625" style="191" customWidth="1"/>
    <col min="5387" max="5387" width="0" style="191" hidden="1" customWidth="1"/>
    <col min="5388" max="5632" width="9.109375" style="191"/>
    <col min="5633" max="5633" width="2.88671875" style="191" customWidth="1"/>
    <col min="5634" max="5634" width="4" style="191" customWidth="1"/>
    <col min="5635" max="5635" width="4.33203125" style="191" customWidth="1"/>
    <col min="5636" max="5636" width="36.6640625" style="191" customWidth="1"/>
    <col min="5637" max="5637" width="4.5546875" style="191" customWidth="1"/>
    <col min="5638" max="5638" width="18.6640625" style="191" customWidth="1"/>
    <col min="5639" max="5639" width="3.6640625" style="191" customWidth="1"/>
    <col min="5640" max="5640" width="18.6640625" style="191" customWidth="1"/>
    <col min="5641" max="5641" width="2.6640625" style="191" customWidth="1"/>
    <col min="5642" max="5642" width="0.6640625" style="191" customWidth="1"/>
    <col min="5643" max="5643" width="0" style="191" hidden="1" customWidth="1"/>
    <col min="5644" max="5888" width="9.109375" style="191"/>
    <col min="5889" max="5889" width="2.88671875" style="191" customWidth="1"/>
    <col min="5890" max="5890" width="4" style="191" customWidth="1"/>
    <col min="5891" max="5891" width="4.33203125" style="191" customWidth="1"/>
    <col min="5892" max="5892" width="36.6640625" style="191" customWidth="1"/>
    <col min="5893" max="5893" width="4.5546875" style="191" customWidth="1"/>
    <col min="5894" max="5894" width="18.6640625" style="191" customWidth="1"/>
    <col min="5895" max="5895" width="3.6640625" style="191" customWidth="1"/>
    <col min="5896" max="5896" width="18.6640625" style="191" customWidth="1"/>
    <col min="5897" max="5897" width="2.6640625" style="191" customWidth="1"/>
    <col min="5898" max="5898" width="0.6640625" style="191" customWidth="1"/>
    <col min="5899" max="5899" width="0" style="191" hidden="1" customWidth="1"/>
    <col min="5900" max="6144" width="9.109375" style="191"/>
    <col min="6145" max="6145" width="2.88671875" style="191" customWidth="1"/>
    <col min="6146" max="6146" width="4" style="191" customWidth="1"/>
    <col min="6147" max="6147" width="4.33203125" style="191" customWidth="1"/>
    <col min="6148" max="6148" width="36.6640625" style="191" customWidth="1"/>
    <col min="6149" max="6149" width="4.5546875" style="191" customWidth="1"/>
    <col min="6150" max="6150" width="18.6640625" style="191" customWidth="1"/>
    <col min="6151" max="6151" width="3.6640625" style="191" customWidth="1"/>
    <col min="6152" max="6152" width="18.6640625" style="191" customWidth="1"/>
    <col min="6153" max="6153" width="2.6640625" style="191" customWidth="1"/>
    <col min="6154" max="6154" width="0.6640625" style="191" customWidth="1"/>
    <col min="6155" max="6155" width="0" style="191" hidden="1" customWidth="1"/>
    <col min="6156" max="6400" width="9.109375" style="191"/>
    <col min="6401" max="6401" width="2.88671875" style="191" customWidth="1"/>
    <col min="6402" max="6402" width="4" style="191" customWidth="1"/>
    <col min="6403" max="6403" width="4.33203125" style="191" customWidth="1"/>
    <col min="6404" max="6404" width="36.6640625" style="191" customWidth="1"/>
    <col min="6405" max="6405" width="4.5546875" style="191" customWidth="1"/>
    <col min="6406" max="6406" width="18.6640625" style="191" customWidth="1"/>
    <col min="6407" max="6407" width="3.6640625" style="191" customWidth="1"/>
    <col min="6408" max="6408" width="18.6640625" style="191" customWidth="1"/>
    <col min="6409" max="6409" width="2.6640625" style="191" customWidth="1"/>
    <col min="6410" max="6410" width="0.6640625" style="191" customWidth="1"/>
    <col min="6411" max="6411" width="0" style="191" hidden="1" customWidth="1"/>
    <col min="6412" max="6656" width="9.109375" style="191"/>
    <col min="6657" max="6657" width="2.88671875" style="191" customWidth="1"/>
    <col min="6658" max="6658" width="4" style="191" customWidth="1"/>
    <col min="6659" max="6659" width="4.33203125" style="191" customWidth="1"/>
    <col min="6660" max="6660" width="36.6640625" style="191" customWidth="1"/>
    <col min="6661" max="6661" width="4.5546875" style="191" customWidth="1"/>
    <col min="6662" max="6662" width="18.6640625" style="191" customWidth="1"/>
    <col min="6663" max="6663" width="3.6640625" style="191" customWidth="1"/>
    <col min="6664" max="6664" width="18.6640625" style="191" customWidth="1"/>
    <col min="6665" max="6665" width="2.6640625" style="191" customWidth="1"/>
    <col min="6666" max="6666" width="0.6640625" style="191" customWidth="1"/>
    <col min="6667" max="6667" width="0" style="191" hidden="1" customWidth="1"/>
    <col min="6668" max="6912" width="9.109375" style="191"/>
    <col min="6913" max="6913" width="2.88671875" style="191" customWidth="1"/>
    <col min="6914" max="6914" width="4" style="191" customWidth="1"/>
    <col min="6915" max="6915" width="4.33203125" style="191" customWidth="1"/>
    <col min="6916" max="6916" width="36.6640625" style="191" customWidth="1"/>
    <col min="6917" max="6917" width="4.5546875" style="191" customWidth="1"/>
    <col min="6918" max="6918" width="18.6640625" style="191" customWidth="1"/>
    <col min="6919" max="6919" width="3.6640625" style="191" customWidth="1"/>
    <col min="6920" max="6920" width="18.6640625" style="191" customWidth="1"/>
    <col min="6921" max="6921" width="2.6640625" style="191" customWidth="1"/>
    <col min="6922" max="6922" width="0.6640625" style="191" customWidth="1"/>
    <col min="6923" max="6923" width="0" style="191" hidden="1" customWidth="1"/>
    <col min="6924" max="7168" width="9.109375" style="191"/>
    <col min="7169" max="7169" width="2.88671875" style="191" customWidth="1"/>
    <col min="7170" max="7170" width="4" style="191" customWidth="1"/>
    <col min="7171" max="7171" width="4.33203125" style="191" customWidth="1"/>
    <col min="7172" max="7172" width="36.6640625" style="191" customWidth="1"/>
    <col min="7173" max="7173" width="4.5546875" style="191" customWidth="1"/>
    <col min="7174" max="7174" width="18.6640625" style="191" customWidth="1"/>
    <col min="7175" max="7175" width="3.6640625" style="191" customWidth="1"/>
    <col min="7176" max="7176" width="18.6640625" style="191" customWidth="1"/>
    <col min="7177" max="7177" width="2.6640625" style="191" customWidth="1"/>
    <col min="7178" max="7178" width="0.6640625" style="191" customWidth="1"/>
    <col min="7179" max="7179" width="0" style="191" hidden="1" customWidth="1"/>
    <col min="7180" max="7424" width="9.109375" style="191"/>
    <col min="7425" max="7425" width="2.88671875" style="191" customWidth="1"/>
    <col min="7426" max="7426" width="4" style="191" customWidth="1"/>
    <col min="7427" max="7427" width="4.33203125" style="191" customWidth="1"/>
    <col min="7428" max="7428" width="36.6640625" style="191" customWidth="1"/>
    <col min="7429" max="7429" width="4.5546875" style="191" customWidth="1"/>
    <col min="7430" max="7430" width="18.6640625" style="191" customWidth="1"/>
    <col min="7431" max="7431" width="3.6640625" style="191" customWidth="1"/>
    <col min="7432" max="7432" width="18.6640625" style="191" customWidth="1"/>
    <col min="7433" max="7433" width="2.6640625" style="191" customWidth="1"/>
    <col min="7434" max="7434" width="0.6640625" style="191" customWidth="1"/>
    <col min="7435" max="7435" width="0" style="191" hidden="1" customWidth="1"/>
    <col min="7436" max="7680" width="9.109375" style="191"/>
    <col min="7681" max="7681" width="2.88671875" style="191" customWidth="1"/>
    <col min="7682" max="7682" width="4" style="191" customWidth="1"/>
    <col min="7683" max="7683" width="4.33203125" style="191" customWidth="1"/>
    <col min="7684" max="7684" width="36.6640625" style="191" customWidth="1"/>
    <col min="7685" max="7685" width="4.5546875" style="191" customWidth="1"/>
    <col min="7686" max="7686" width="18.6640625" style="191" customWidth="1"/>
    <col min="7687" max="7687" width="3.6640625" style="191" customWidth="1"/>
    <col min="7688" max="7688" width="18.6640625" style="191" customWidth="1"/>
    <col min="7689" max="7689" width="2.6640625" style="191" customWidth="1"/>
    <col min="7690" max="7690" width="0.6640625" style="191" customWidth="1"/>
    <col min="7691" max="7691" width="0" style="191" hidden="1" customWidth="1"/>
    <col min="7692" max="7936" width="9.109375" style="191"/>
    <col min="7937" max="7937" width="2.88671875" style="191" customWidth="1"/>
    <col min="7938" max="7938" width="4" style="191" customWidth="1"/>
    <col min="7939" max="7939" width="4.33203125" style="191" customWidth="1"/>
    <col min="7940" max="7940" width="36.6640625" style="191" customWidth="1"/>
    <col min="7941" max="7941" width="4.5546875" style="191" customWidth="1"/>
    <col min="7942" max="7942" width="18.6640625" style="191" customWidth="1"/>
    <col min="7943" max="7943" width="3.6640625" style="191" customWidth="1"/>
    <col min="7944" max="7944" width="18.6640625" style="191" customWidth="1"/>
    <col min="7945" max="7945" width="2.6640625" style="191" customWidth="1"/>
    <col min="7946" max="7946" width="0.6640625" style="191" customWidth="1"/>
    <col min="7947" max="7947" width="0" style="191" hidden="1" customWidth="1"/>
    <col min="7948" max="8192" width="9.109375" style="191"/>
    <col min="8193" max="8193" width="2.88671875" style="191" customWidth="1"/>
    <col min="8194" max="8194" width="4" style="191" customWidth="1"/>
    <col min="8195" max="8195" width="4.33203125" style="191" customWidth="1"/>
    <col min="8196" max="8196" width="36.6640625" style="191" customWidth="1"/>
    <col min="8197" max="8197" width="4.5546875" style="191" customWidth="1"/>
    <col min="8198" max="8198" width="18.6640625" style="191" customWidth="1"/>
    <col min="8199" max="8199" width="3.6640625" style="191" customWidth="1"/>
    <col min="8200" max="8200" width="18.6640625" style="191" customWidth="1"/>
    <col min="8201" max="8201" width="2.6640625" style="191" customWidth="1"/>
    <col min="8202" max="8202" width="0.6640625" style="191" customWidth="1"/>
    <col min="8203" max="8203" width="0" style="191" hidden="1" customWidth="1"/>
    <col min="8204" max="8448" width="9.109375" style="191"/>
    <col min="8449" max="8449" width="2.88671875" style="191" customWidth="1"/>
    <col min="8450" max="8450" width="4" style="191" customWidth="1"/>
    <col min="8451" max="8451" width="4.33203125" style="191" customWidth="1"/>
    <col min="8452" max="8452" width="36.6640625" style="191" customWidth="1"/>
    <col min="8453" max="8453" width="4.5546875" style="191" customWidth="1"/>
    <col min="8454" max="8454" width="18.6640625" style="191" customWidth="1"/>
    <col min="8455" max="8455" width="3.6640625" style="191" customWidth="1"/>
    <col min="8456" max="8456" width="18.6640625" style="191" customWidth="1"/>
    <col min="8457" max="8457" width="2.6640625" style="191" customWidth="1"/>
    <col min="8458" max="8458" width="0.6640625" style="191" customWidth="1"/>
    <col min="8459" max="8459" width="0" style="191" hidden="1" customWidth="1"/>
    <col min="8460" max="8704" width="9.109375" style="191"/>
    <col min="8705" max="8705" width="2.88671875" style="191" customWidth="1"/>
    <col min="8706" max="8706" width="4" style="191" customWidth="1"/>
    <col min="8707" max="8707" width="4.33203125" style="191" customWidth="1"/>
    <col min="8708" max="8708" width="36.6640625" style="191" customWidth="1"/>
    <col min="8709" max="8709" width="4.5546875" style="191" customWidth="1"/>
    <col min="8710" max="8710" width="18.6640625" style="191" customWidth="1"/>
    <col min="8711" max="8711" width="3.6640625" style="191" customWidth="1"/>
    <col min="8712" max="8712" width="18.6640625" style="191" customWidth="1"/>
    <col min="8713" max="8713" width="2.6640625" style="191" customWidth="1"/>
    <col min="8714" max="8714" width="0.6640625" style="191" customWidth="1"/>
    <col min="8715" max="8715" width="0" style="191" hidden="1" customWidth="1"/>
    <col min="8716" max="8960" width="9.109375" style="191"/>
    <col min="8961" max="8961" width="2.88671875" style="191" customWidth="1"/>
    <col min="8962" max="8962" width="4" style="191" customWidth="1"/>
    <col min="8963" max="8963" width="4.33203125" style="191" customWidth="1"/>
    <col min="8964" max="8964" width="36.6640625" style="191" customWidth="1"/>
    <col min="8965" max="8965" width="4.5546875" style="191" customWidth="1"/>
    <col min="8966" max="8966" width="18.6640625" style="191" customWidth="1"/>
    <col min="8967" max="8967" width="3.6640625" style="191" customWidth="1"/>
    <col min="8968" max="8968" width="18.6640625" style="191" customWidth="1"/>
    <col min="8969" max="8969" width="2.6640625" style="191" customWidth="1"/>
    <col min="8970" max="8970" width="0.6640625" style="191" customWidth="1"/>
    <col min="8971" max="8971" width="0" style="191" hidden="1" customWidth="1"/>
    <col min="8972" max="9216" width="9.109375" style="191"/>
    <col min="9217" max="9217" width="2.88671875" style="191" customWidth="1"/>
    <col min="9218" max="9218" width="4" style="191" customWidth="1"/>
    <col min="9219" max="9219" width="4.33203125" style="191" customWidth="1"/>
    <col min="9220" max="9220" width="36.6640625" style="191" customWidth="1"/>
    <col min="9221" max="9221" width="4.5546875" style="191" customWidth="1"/>
    <col min="9222" max="9222" width="18.6640625" style="191" customWidth="1"/>
    <col min="9223" max="9223" width="3.6640625" style="191" customWidth="1"/>
    <col min="9224" max="9224" width="18.6640625" style="191" customWidth="1"/>
    <col min="9225" max="9225" width="2.6640625" style="191" customWidth="1"/>
    <col min="9226" max="9226" width="0.6640625" style="191" customWidth="1"/>
    <col min="9227" max="9227" width="0" style="191" hidden="1" customWidth="1"/>
    <col min="9228" max="9472" width="9.109375" style="191"/>
    <col min="9473" max="9473" width="2.88671875" style="191" customWidth="1"/>
    <col min="9474" max="9474" width="4" style="191" customWidth="1"/>
    <col min="9475" max="9475" width="4.33203125" style="191" customWidth="1"/>
    <col min="9476" max="9476" width="36.6640625" style="191" customWidth="1"/>
    <col min="9477" max="9477" width="4.5546875" style="191" customWidth="1"/>
    <col min="9478" max="9478" width="18.6640625" style="191" customWidth="1"/>
    <col min="9479" max="9479" width="3.6640625" style="191" customWidth="1"/>
    <col min="9480" max="9480" width="18.6640625" style="191" customWidth="1"/>
    <col min="9481" max="9481" width="2.6640625" style="191" customWidth="1"/>
    <col min="9482" max="9482" width="0.6640625" style="191" customWidth="1"/>
    <col min="9483" max="9483" width="0" style="191" hidden="1" customWidth="1"/>
    <col min="9484" max="9728" width="9.109375" style="191"/>
    <col min="9729" max="9729" width="2.88671875" style="191" customWidth="1"/>
    <col min="9730" max="9730" width="4" style="191" customWidth="1"/>
    <col min="9731" max="9731" width="4.33203125" style="191" customWidth="1"/>
    <col min="9732" max="9732" width="36.6640625" style="191" customWidth="1"/>
    <col min="9733" max="9733" width="4.5546875" style="191" customWidth="1"/>
    <col min="9734" max="9734" width="18.6640625" style="191" customWidth="1"/>
    <col min="9735" max="9735" width="3.6640625" style="191" customWidth="1"/>
    <col min="9736" max="9736" width="18.6640625" style="191" customWidth="1"/>
    <col min="9737" max="9737" width="2.6640625" style="191" customWidth="1"/>
    <col min="9738" max="9738" width="0.6640625" style="191" customWidth="1"/>
    <col min="9739" max="9739" width="0" style="191" hidden="1" customWidth="1"/>
    <col min="9740" max="9984" width="9.109375" style="191"/>
    <col min="9985" max="9985" width="2.88671875" style="191" customWidth="1"/>
    <col min="9986" max="9986" width="4" style="191" customWidth="1"/>
    <col min="9987" max="9987" width="4.33203125" style="191" customWidth="1"/>
    <col min="9988" max="9988" width="36.6640625" style="191" customWidth="1"/>
    <col min="9989" max="9989" width="4.5546875" style="191" customWidth="1"/>
    <col min="9990" max="9990" width="18.6640625" style="191" customWidth="1"/>
    <col min="9991" max="9991" width="3.6640625" style="191" customWidth="1"/>
    <col min="9992" max="9992" width="18.6640625" style="191" customWidth="1"/>
    <col min="9993" max="9993" width="2.6640625" style="191" customWidth="1"/>
    <col min="9994" max="9994" width="0.6640625" style="191" customWidth="1"/>
    <col min="9995" max="9995" width="0" style="191" hidden="1" customWidth="1"/>
    <col min="9996" max="10240" width="9.109375" style="191"/>
    <col min="10241" max="10241" width="2.88671875" style="191" customWidth="1"/>
    <col min="10242" max="10242" width="4" style="191" customWidth="1"/>
    <col min="10243" max="10243" width="4.33203125" style="191" customWidth="1"/>
    <col min="10244" max="10244" width="36.6640625" style="191" customWidth="1"/>
    <col min="10245" max="10245" width="4.5546875" style="191" customWidth="1"/>
    <col min="10246" max="10246" width="18.6640625" style="191" customWidth="1"/>
    <col min="10247" max="10247" width="3.6640625" style="191" customWidth="1"/>
    <col min="10248" max="10248" width="18.6640625" style="191" customWidth="1"/>
    <col min="10249" max="10249" width="2.6640625" style="191" customWidth="1"/>
    <col min="10250" max="10250" width="0.6640625" style="191" customWidth="1"/>
    <col min="10251" max="10251" width="0" style="191" hidden="1" customWidth="1"/>
    <col min="10252" max="10496" width="9.109375" style="191"/>
    <col min="10497" max="10497" width="2.88671875" style="191" customWidth="1"/>
    <col min="10498" max="10498" width="4" style="191" customWidth="1"/>
    <col min="10499" max="10499" width="4.33203125" style="191" customWidth="1"/>
    <col min="10500" max="10500" width="36.6640625" style="191" customWidth="1"/>
    <col min="10501" max="10501" width="4.5546875" style="191" customWidth="1"/>
    <col min="10502" max="10502" width="18.6640625" style="191" customWidth="1"/>
    <col min="10503" max="10503" width="3.6640625" style="191" customWidth="1"/>
    <col min="10504" max="10504" width="18.6640625" style="191" customWidth="1"/>
    <col min="10505" max="10505" width="2.6640625" style="191" customWidth="1"/>
    <col min="10506" max="10506" width="0.6640625" style="191" customWidth="1"/>
    <col min="10507" max="10507" width="0" style="191" hidden="1" customWidth="1"/>
    <col min="10508" max="10752" width="9.109375" style="191"/>
    <col min="10753" max="10753" width="2.88671875" style="191" customWidth="1"/>
    <col min="10754" max="10754" width="4" style="191" customWidth="1"/>
    <col min="10755" max="10755" width="4.33203125" style="191" customWidth="1"/>
    <col min="10756" max="10756" width="36.6640625" style="191" customWidth="1"/>
    <col min="10757" max="10757" width="4.5546875" style="191" customWidth="1"/>
    <col min="10758" max="10758" width="18.6640625" style="191" customWidth="1"/>
    <col min="10759" max="10759" width="3.6640625" style="191" customWidth="1"/>
    <col min="10760" max="10760" width="18.6640625" style="191" customWidth="1"/>
    <col min="10761" max="10761" width="2.6640625" style="191" customWidth="1"/>
    <col min="10762" max="10762" width="0.6640625" style="191" customWidth="1"/>
    <col min="10763" max="10763" width="0" style="191" hidden="1" customWidth="1"/>
    <col min="10764" max="11008" width="9.109375" style="191"/>
    <col min="11009" max="11009" width="2.88671875" style="191" customWidth="1"/>
    <col min="11010" max="11010" width="4" style="191" customWidth="1"/>
    <col min="11011" max="11011" width="4.33203125" style="191" customWidth="1"/>
    <col min="11012" max="11012" width="36.6640625" style="191" customWidth="1"/>
    <col min="11013" max="11013" width="4.5546875" style="191" customWidth="1"/>
    <col min="11014" max="11014" width="18.6640625" style="191" customWidth="1"/>
    <col min="11015" max="11015" width="3.6640625" style="191" customWidth="1"/>
    <col min="11016" max="11016" width="18.6640625" style="191" customWidth="1"/>
    <col min="11017" max="11017" width="2.6640625" style="191" customWidth="1"/>
    <col min="11018" max="11018" width="0.6640625" style="191" customWidth="1"/>
    <col min="11019" max="11019" width="0" style="191" hidden="1" customWidth="1"/>
    <col min="11020" max="11264" width="9.109375" style="191"/>
    <col min="11265" max="11265" width="2.88671875" style="191" customWidth="1"/>
    <col min="11266" max="11266" width="4" style="191" customWidth="1"/>
    <col min="11267" max="11267" width="4.33203125" style="191" customWidth="1"/>
    <col min="11268" max="11268" width="36.6640625" style="191" customWidth="1"/>
    <col min="11269" max="11269" width="4.5546875" style="191" customWidth="1"/>
    <col min="11270" max="11270" width="18.6640625" style="191" customWidth="1"/>
    <col min="11271" max="11271" width="3.6640625" style="191" customWidth="1"/>
    <col min="11272" max="11272" width="18.6640625" style="191" customWidth="1"/>
    <col min="11273" max="11273" width="2.6640625" style="191" customWidth="1"/>
    <col min="11274" max="11274" width="0.6640625" style="191" customWidth="1"/>
    <col min="11275" max="11275" width="0" style="191" hidden="1" customWidth="1"/>
    <col min="11276" max="11520" width="9.109375" style="191"/>
    <col min="11521" max="11521" width="2.88671875" style="191" customWidth="1"/>
    <col min="11522" max="11522" width="4" style="191" customWidth="1"/>
    <col min="11523" max="11523" width="4.33203125" style="191" customWidth="1"/>
    <col min="11524" max="11524" width="36.6640625" style="191" customWidth="1"/>
    <col min="11525" max="11525" width="4.5546875" style="191" customWidth="1"/>
    <col min="11526" max="11526" width="18.6640625" style="191" customWidth="1"/>
    <col min="11527" max="11527" width="3.6640625" style="191" customWidth="1"/>
    <col min="11528" max="11528" width="18.6640625" style="191" customWidth="1"/>
    <col min="11529" max="11529" width="2.6640625" style="191" customWidth="1"/>
    <col min="11530" max="11530" width="0.6640625" style="191" customWidth="1"/>
    <col min="11531" max="11531" width="0" style="191" hidden="1" customWidth="1"/>
    <col min="11532" max="11776" width="9.109375" style="191"/>
    <col min="11777" max="11777" width="2.88671875" style="191" customWidth="1"/>
    <col min="11778" max="11778" width="4" style="191" customWidth="1"/>
    <col min="11779" max="11779" width="4.33203125" style="191" customWidth="1"/>
    <col min="11780" max="11780" width="36.6640625" style="191" customWidth="1"/>
    <col min="11781" max="11781" width="4.5546875" style="191" customWidth="1"/>
    <col min="11782" max="11782" width="18.6640625" style="191" customWidth="1"/>
    <col min="11783" max="11783" width="3.6640625" style="191" customWidth="1"/>
    <col min="11784" max="11784" width="18.6640625" style="191" customWidth="1"/>
    <col min="11785" max="11785" width="2.6640625" style="191" customWidth="1"/>
    <col min="11786" max="11786" width="0.6640625" style="191" customWidth="1"/>
    <col min="11787" max="11787" width="0" style="191" hidden="1" customWidth="1"/>
    <col min="11788" max="12032" width="9.109375" style="191"/>
    <col min="12033" max="12033" width="2.88671875" style="191" customWidth="1"/>
    <col min="12034" max="12034" width="4" style="191" customWidth="1"/>
    <col min="12035" max="12035" width="4.33203125" style="191" customWidth="1"/>
    <col min="12036" max="12036" width="36.6640625" style="191" customWidth="1"/>
    <col min="12037" max="12037" width="4.5546875" style="191" customWidth="1"/>
    <col min="12038" max="12038" width="18.6640625" style="191" customWidth="1"/>
    <col min="12039" max="12039" width="3.6640625" style="191" customWidth="1"/>
    <col min="12040" max="12040" width="18.6640625" style="191" customWidth="1"/>
    <col min="12041" max="12041" width="2.6640625" style="191" customWidth="1"/>
    <col min="12042" max="12042" width="0.6640625" style="191" customWidth="1"/>
    <col min="12043" max="12043" width="0" style="191" hidden="1" customWidth="1"/>
    <col min="12044" max="12288" width="9.109375" style="191"/>
    <col min="12289" max="12289" width="2.88671875" style="191" customWidth="1"/>
    <col min="12290" max="12290" width="4" style="191" customWidth="1"/>
    <col min="12291" max="12291" width="4.33203125" style="191" customWidth="1"/>
    <col min="12292" max="12292" width="36.6640625" style="191" customWidth="1"/>
    <col min="12293" max="12293" width="4.5546875" style="191" customWidth="1"/>
    <col min="12294" max="12294" width="18.6640625" style="191" customWidth="1"/>
    <col min="12295" max="12295" width="3.6640625" style="191" customWidth="1"/>
    <col min="12296" max="12296" width="18.6640625" style="191" customWidth="1"/>
    <col min="12297" max="12297" width="2.6640625" style="191" customWidth="1"/>
    <col min="12298" max="12298" width="0.6640625" style="191" customWidth="1"/>
    <col min="12299" max="12299" width="0" style="191" hidden="1" customWidth="1"/>
    <col min="12300" max="12544" width="9.109375" style="191"/>
    <col min="12545" max="12545" width="2.88671875" style="191" customWidth="1"/>
    <col min="12546" max="12546" width="4" style="191" customWidth="1"/>
    <col min="12547" max="12547" width="4.33203125" style="191" customWidth="1"/>
    <col min="12548" max="12548" width="36.6640625" style="191" customWidth="1"/>
    <col min="12549" max="12549" width="4.5546875" style="191" customWidth="1"/>
    <col min="12550" max="12550" width="18.6640625" style="191" customWidth="1"/>
    <col min="12551" max="12551" width="3.6640625" style="191" customWidth="1"/>
    <col min="12552" max="12552" width="18.6640625" style="191" customWidth="1"/>
    <col min="12553" max="12553" width="2.6640625" style="191" customWidth="1"/>
    <col min="12554" max="12554" width="0.6640625" style="191" customWidth="1"/>
    <col min="12555" max="12555" width="0" style="191" hidden="1" customWidth="1"/>
    <col min="12556" max="12800" width="9.109375" style="191"/>
    <col min="12801" max="12801" width="2.88671875" style="191" customWidth="1"/>
    <col min="12802" max="12802" width="4" style="191" customWidth="1"/>
    <col min="12803" max="12803" width="4.33203125" style="191" customWidth="1"/>
    <col min="12804" max="12804" width="36.6640625" style="191" customWidth="1"/>
    <col min="12805" max="12805" width="4.5546875" style="191" customWidth="1"/>
    <col min="12806" max="12806" width="18.6640625" style="191" customWidth="1"/>
    <col min="12807" max="12807" width="3.6640625" style="191" customWidth="1"/>
    <col min="12808" max="12808" width="18.6640625" style="191" customWidth="1"/>
    <col min="12809" max="12809" width="2.6640625" style="191" customWidth="1"/>
    <col min="12810" max="12810" width="0.6640625" style="191" customWidth="1"/>
    <col min="12811" max="12811" width="0" style="191" hidden="1" customWidth="1"/>
    <col min="12812" max="13056" width="9.109375" style="191"/>
    <col min="13057" max="13057" width="2.88671875" style="191" customWidth="1"/>
    <col min="13058" max="13058" width="4" style="191" customWidth="1"/>
    <col min="13059" max="13059" width="4.33203125" style="191" customWidth="1"/>
    <col min="13060" max="13060" width="36.6640625" style="191" customWidth="1"/>
    <col min="13061" max="13061" width="4.5546875" style="191" customWidth="1"/>
    <col min="13062" max="13062" width="18.6640625" style="191" customWidth="1"/>
    <col min="13063" max="13063" width="3.6640625" style="191" customWidth="1"/>
    <col min="13064" max="13064" width="18.6640625" style="191" customWidth="1"/>
    <col min="13065" max="13065" width="2.6640625" style="191" customWidth="1"/>
    <col min="13066" max="13066" width="0.6640625" style="191" customWidth="1"/>
    <col min="13067" max="13067" width="0" style="191" hidden="1" customWidth="1"/>
    <col min="13068" max="13312" width="9.109375" style="191"/>
    <col min="13313" max="13313" width="2.88671875" style="191" customWidth="1"/>
    <col min="13314" max="13314" width="4" style="191" customWidth="1"/>
    <col min="13315" max="13315" width="4.33203125" style="191" customWidth="1"/>
    <col min="13316" max="13316" width="36.6640625" style="191" customWidth="1"/>
    <col min="13317" max="13317" width="4.5546875" style="191" customWidth="1"/>
    <col min="13318" max="13318" width="18.6640625" style="191" customWidth="1"/>
    <col min="13319" max="13319" width="3.6640625" style="191" customWidth="1"/>
    <col min="13320" max="13320" width="18.6640625" style="191" customWidth="1"/>
    <col min="13321" max="13321" width="2.6640625" style="191" customWidth="1"/>
    <col min="13322" max="13322" width="0.6640625" style="191" customWidth="1"/>
    <col min="13323" max="13323" width="0" style="191" hidden="1" customWidth="1"/>
    <col min="13324" max="13568" width="9.109375" style="191"/>
    <col min="13569" max="13569" width="2.88671875" style="191" customWidth="1"/>
    <col min="13570" max="13570" width="4" style="191" customWidth="1"/>
    <col min="13571" max="13571" width="4.33203125" style="191" customWidth="1"/>
    <col min="13572" max="13572" width="36.6640625" style="191" customWidth="1"/>
    <col min="13573" max="13573" width="4.5546875" style="191" customWidth="1"/>
    <col min="13574" max="13574" width="18.6640625" style="191" customWidth="1"/>
    <col min="13575" max="13575" width="3.6640625" style="191" customWidth="1"/>
    <col min="13576" max="13576" width="18.6640625" style="191" customWidth="1"/>
    <col min="13577" max="13577" width="2.6640625" style="191" customWidth="1"/>
    <col min="13578" max="13578" width="0.6640625" style="191" customWidth="1"/>
    <col min="13579" max="13579" width="0" style="191" hidden="1" customWidth="1"/>
    <col min="13580" max="13824" width="9.109375" style="191"/>
    <col min="13825" max="13825" width="2.88671875" style="191" customWidth="1"/>
    <col min="13826" max="13826" width="4" style="191" customWidth="1"/>
    <col min="13827" max="13827" width="4.33203125" style="191" customWidth="1"/>
    <col min="13828" max="13828" width="36.6640625" style="191" customWidth="1"/>
    <col min="13829" max="13829" width="4.5546875" style="191" customWidth="1"/>
    <col min="13830" max="13830" width="18.6640625" style="191" customWidth="1"/>
    <col min="13831" max="13831" width="3.6640625" style="191" customWidth="1"/>
    <col min="13832" max="13832" width="18.6640625" style="191" customWidth="1"/>
    <col min="13833" max="13833" width="2.6640625" style="191" customWidth="1"/>
    <col min="13834" max="13834" width="0.6640625" style="191" customWidth="1"/>
    <col min="13835" max="13835" width="0" style="191" hidden="1" customWidth="1"/>
    <col min="13836" max="14080" width="9.109375" style="191"/>
    <col min="14081" max="14081" width="2.88671875" style="191" customWidth="1"/>
    <col min="14082" max="14082" width="4" style="191" customWidth="1"/>
    <col min="14083" max="14083" width="4.33203125" style="191" customWidth="1"/>
    <col min="14084" max="14084" width="36.6640625" style="191" customWidth="1"/>
    <col min="14085" max="14085" width="4.5546875" style="191" customWidth="1"/>
    <col min="14086" max="14086" width="18.6640625" style="191" customWidth="1"/>
    <col min="14087" max="14087" width="3.6640625" style="191" customWidth="1"/>
    <col min="14088" max="14088" width="18.6640625" style="191" customWidth="1"/>
    <col min="14089" max="14089" width="2.6640625" style="191" customWidth="1"/>
    <col min="14090" max="14090" width="0.6640625" style="191" customWidth="1"/>
    <col min="14091" max="14091" width="0" style="191" hidden="1" customWidth="1"/>
    <col min="14092" max="14336" width="9.109375" style="191"/>
    <col min="14337" max="14337" width="2.88671875" style="191" customWidth="1"/>
    <col min="14338" max="14338" width="4" style="191" customWidth="1"/>
    <col min="14339" max="14339" width="4.33203125" style="191" customWidth="1"/>
    <col min="14340" max="14340" width="36.6640625" style="191" customWidth="1"/>
    <col min="14341" max="14341" width="4.5546875" style="191" customWidth="1"/>
    <col min="14342" max="14342" width="18.6640625" style="191" customWidth="1"/>
    <col min="14343" max="14343" width="3.6640625" style="191" customWidth="1"/>
    <col min="14344" max="14344" width="18.6640625" style="191" customWidth="1"/>
    <col min="14345" max="14345" width="2.6640625" style="191" customWidth="1"/>
    <col min="14346" max="14346" width="0.6640625" style="191" customWidth="1"/>
    <col min="14347" max="14347" width="0" style="191" hidden="1" customWidth="1"/>
    <col min="14348" max="14592" width="9.109375" style="191"/>
    <col min="14593" max="14593" width="2.88671875" style="191" customWidth="1"/>
    <col min="14594" max="14594" width="4" style="191" customWidth="1"/>
    <col min="14595" max="14595" width="4.33203125" style="191" customWidth="1"/>
    <col min="14596" max="14596" width="36.6640625" style="191" customWidth="1"/>
    <col min="14597" max="14597" width="4.5546875" style="191" customWidth="1"/>
    <col min="14598" max="14598" width="18.6640625" style="191" customWidth="1"/>
    <col min="14599" max="14599" width="3.6640625" style="191" customWidth="1"/>
    <col min="14600" max="14600" width="18.6640625" style="191" customWidth="1"/>
    <col min="14601" max="14601" width="2.6640625" style="191" customWidth="1"/>
    <col min="14602" max="14602" width="0.6640625" style="191" customWidth="1"/>
    <col min="14603" max="14603" width="0" style="191" hidden="1" customWidth="1"/>
    <col min="14604" max="14848" width="9.109375" style="191"/>
    <col min="14849" max="14849" width="2.88671875" style="191" customWidth="1"/>
    <col min="14850" max="14850" width="4" style="191" customWidth="1"/>
    <col min="14851" max="14851" width="4.33203125" style="191" customWidth="1"/>
    <col min="14852" max="14852" width="36.6640625" style="191" customWidth="1"/>
    <col min="14853" max="14853" width="4.5546875" style="191" customWidth="1"/>
    <col min="14854" max="14854" width="18.6640625" style="191" customWidth="1"/>
    <col min="14855" max="14855" width="3.6640625" style="191" customWidth="1"/>
    <col min="14856" max="14856" width="18.6640625" style="191" customWidth="1"/>
    <col min="14857" max="14857" width="2.6640625" style="191" customWidth="1"/>
    <col min="14858" max="14858" width="0.6640625" style="191" customWidth="1"/>
    <col min="14859" max="14859" width="0" style="191" hidden="1" customWidth="1"/>
    <col min="14860" max="15104" width="9.109375" style="191"/>
    <col min="15105" max="15105" width="2.88671875" style="191" customWidth="1"/>
    <col min="15106" max="15106" width="4" style="191" customWidth="1"/>
    <col min="15107" max="15107" width="4.33203125" style="191" customWidth="1"/>
    <col min="15108" max="15108" width="36.6640625" style="191" customWidth="1"/>
    <col min="15109" max="15109" width="4.5546875" style="191" customWidth="1"/>
    <col min="15110" max="15110" width="18.6640625" style="191" customWidth="1"/>
    <col min="15111" max="15111" width="3.6640625" style="191" customWidth="1"/>
    <col min="15112" max="15112" width="18.6640625" style="191" customWidth="1"/>
    <col min="15113" max="15113" width="2.6640625" style="191" customWidth="1"/>
    <col min="15114" max="15114" width="0.6640625" style="191" customWidth="1"/>
    <col min="15115" max="15115" width="0" style="191" hidden="1" customWidth="1"/>
    <col min="15116" max="15360" width="9.109375" style="191"/>
    <col min="15361" max="15361" width="2.88671875" style="191" customWidth="1"/>
    <col min="15362" max="15362" width="4" style="191" customWidth="1"/>
    <col min="15363" max="15363" width="4.33203125" style="191" customWidth="1"/>
    <col min="15364" max="15364" width="36.6640625" style="191" customWidth="1"/>
    <col min="15365" max="15365" width="4.5546875" style="191" customWidth="1"/>
    <col min="15366" max="15366" width="18.6640625" style="191" customWidth="1"/>
    <col min="15367" max="15367" width="3.6640625" style="191" customWidth="1"/>
    <col min="15368" max="15368" width="18.6640625" style="191" customWidth="1"/>
    <col min="15369" max="15369" width="2.6640625" style="191" customWidth="1"/>
    <col min="15370" max="15370" width="0.6640625" style="191" customWidth="1"/>
    <col min="15371" max="15371" width="0" style="191" hidden="1" customWidth="1"/>
    <col min="15372" max="15616" width="9.109375" style="191"/>
    <col min="15617" max="15617" width="2.88671875" style="191" customWidth="1"/>
    <col min="15618" max="15618" width="4" style="191" customWidth="1"/>
    <col min="15619" max="15619" width="4.33203125" style="191" customWidth="1"/>
    <col min="15620" max="15620" width="36.6640625" style="191" customWidth="1"/>
    <col min="15621" max="15621" width="4.5546875" style="191" customWidth="1"/>
    <col min="15622" max="15622" width="18.6640625" style="191" customWidth="1"/>
    <col min="15623" max="15623" width="3.6640625" style="191" customWidth="1"/>
    <col min="15624" max="15624" width="18.6640625" style="191" customWidth="1"/>
    <col min="15625" max="15625" width="2.6640625" style="191" customWidth="1"/>
    <col min="15626" max="15626" width="0.6640625" style="191" customWidth="1"/>
    <col min="15627" max="15627" width="0" style="191" hidden="1" customWidth="1"/>
    <col min="15628" max="15872" width="9.109375" style="191"/>
    <col min="15873" max="15873" width="2.88671875" style="191" customWidth="1"/>
    <col min="15874" max="15874" width="4" style="191" customWidth="1"/>
    <col min="15875" max="15875" width="4.33203125" style="191" customWidth="1"/>
    <col min="15876" max="15876" width="36.6640625" style="191" customWidth="1"/>
    <col min="15877" max="15877" width="4.5546875" style="191" customWidth="1"/>
    <col min="15878" max="15878" width="18.6640625" style="191" customWidth="1"/>
    <col min="15879" max="15879" width="3.6640625" style="191" customWidth="1"/>
    <col min="15880" max="15880" width="18.6640625" style="191" customWidth="1"/>
    <col min="15881" max="15881" width="2.6640625" style="191" customWidth="1"/>
    <col min="15882" max="15882" width="0.6640625" style="191" customWidth="1"/>
    <col min="15883" max="15883" width="0" style="191" hidden="1" customWidth="1"/>
    <col min="15884" max="16128" width="9.109375" style="191"/>
    <col min="16129" max="16129" width="2.88671875" style="191" customWidth="1"/>
    <col min="16130" max="16130" width="4" style="191" customWidth="1"/>
    <col min="16131" max="16131" width="4.33203125" style="191" customWidth="1"/>
    <col min="16132" max="16132" width="36.6640625" style="191" customWidth="1"/>
    <col min="16133" max="16133" width="4.5546875" style="191" customWidth="1"/>
    <col min="16134" max="16134" width="18.6640625" style="191" customWidth="1"/>
    <col min="16135" max="16135" width="3.6640625" style="191" customWidth="1"/>
    <col min="16136" max="16136" width="18.6640625" style="191" customWidth="1"/>
    <col min="16137" max="16137" width="2.6640625" style="191" customWidth="1"/>
    <col min="16138" max="16138" width="0.6640625" style="191" customWidth="1"/>
    <col min="16139" max="16139" width="0" style="191" hidden="1" customWidth="1"/>
    <col min="16140" max="16384" width="9.109375" style="191"/>
  </cols>
  <sheetData>
    <row r="1" spans="2:8" ht="15.6">
      <c r="B1" s="873" t="s">
        <v>1225</v>
      </c>
      <c r="C1" s="985"/>
    </row>
    <row r="3" spans="2:8" ht="15.6">
      <c r="B3" s="1487" t="s">
        <v>1226</v>
      </c>
      <c r="C3" s="1487"/>
      <c r="D3" s="1487"/>
      <c r="E3" s="1487"/>
      <c r="F3" s="1487"/>
      <c r="G3" s="1487"/>
      <c r="H3" s="1487"/>
    </row>
    <row r="5" spans="2:8">
      <c r="B5" s="986"/>
      <c r="C5" s="986"/>
      <c r="D5" s="1416" t="s">
        <v>1159</v>
      </c>
      <c r="E5" s="987"/>
      <c r="F5" s="988">
        <v>2014</v>
      </c>
      <c r="G5" s="1417"/>
      <c r="H5" s="988">
        <v>2013</v>
      </c>
    </row>
    <row r="6" spans="2:8">
      <c r="D6" s="1416"/>
      <c r="E6" s="987"/>
      <c r="F6" s="989" t="s">
        <v>1006</v>
      </c>
      <c r="G6" s="1417"/>
      <c r="H6" s="989" t="s">
        <v>1006</v>
      </c>
    </row>
    <row r="7" spans="2:8">
      <c r="D7" s="990"/>
      <c r="E7" s="990"/>
      <c r="F7" s="990"/>
      <c r="G7" s="991"/>
      <c r="H7" s="990"/>
    </row>
    <row r="8" spans="2:8">
      <c r="D8" s="636" t="s">
        <v>1160</v>
      </c>
      <c r="E8" s="636"/>
      <c r="F8" s="992">
        <v>1687301</v>
      </c>
      <c r="G8" s="991"/>
      <c r="H8" s="992">
        <v>1693923</v>
      </c>
    </row>
    <row r="9" spans="2:8">
      <c r="D9" s="636" t="s">
        <v>1161</v>
      </c>
      <c r="E9" s="636"/>
      <c r="F9" s="993">
        <v>124257</v>
      </c>
      <c r="G9" s="991"/>
      <c r="H9" s="993">
        <v>346380</v>
      </c>
    </row>
    <row r="10" spans="2:8" ht="14.4" thickBot="1">
      <c r="D10" s="994"/>
      <c r="E10" s="994"/>
      <c r="F10" s="995">
        <f>SUM(F7:F9)</f>
        <v>1811558</v>
      </c>
      <c r="G10" s="996"/>
      <c r="H10" s="995">
        <f>SUM(H7:H9)</f>
        <v>2040303</v>
      </c>
    </row>
    <row r="11" spans="2:8" ht="14.4" thickTop="1"/>
    <row r="13" spans="2:8">
      <c r="B13" s="986"/>
      <c r="C13" s="986"/>
      <c r="D13" s="1416" t="s">
        <v>1083</v>
      </c>
      <c r="E13" s="987"/>
      <c r="F13" s="988">
        <v>2014</v>
      </c>
      <c r="G13" s="1417"/>
      <c r="H13" s="988">
        <v>2013</v>
      </c>
    </row>
    <row r="14" spans="2:8">
      <c r="D14" s="1416"/>
      <c r="E14" s="987"/>
      <c r="F14" s="989" t="s">
        <v>1162</v>
      </c>
      <c r="G14" s="1417"/>
      <c r="H14" s="989" t="s">
        <v>1162</v>
      </c>
    </row>
    <row r="15" spans="2:8">
      <c r="D15" s="990"/>
      <c r="E15" s="990"/>
      <c r="F15" s="990"/>
      <c r="G15" s="991"/>
      <c r="H15" s="990"/>
    </row>
    <row r="16" spans="2:8">
      <c r="D16" s="636" t="s">
        <v>1163</v>
      </c>
      <c r="E16" s="636"/>
      <c r="F16" s="997">
        <f>+B_Sheet14!I20</f>
        <v>5723945</v>
      </c>
      <c r="G16" s="998"/>
      <c r="H16" s="997">
        <f>+B_Sheet14!J20</f>
        <v>5296963</v>
      </c>
    </row>
    <row r="17" spans="2:8">
      <c r="D17" s="636"/>
      <c r="E17" s="636"/>
      <c r="F17" s="999"/>
      <c r="G17" s="1000"/>
      <c r="H17" s="999"/>
    </row>
    <row r="18" spans="2:8" ht="14.4" thickBot="1">
      <c r="D18" s="994"/>
      <c r="E18" s="994"/>
      <c r="F18" s="1001">
        <f>SUM(F16:F17)</f>
        <v>5723945</v>
      </c>
      <c r="G18" s="1003"/>
      <c r="H18" s="1001">
        <f>SUM(H16:H17)</f>
        <v>5296963</v>
      </c>
    </row>
    <row r="19" spans="2:8" ht="14.4" thickTop="1">
      <c r="D19" s="994"/>
      <c r="E19" s="994"/>
      <c r="F19" s="1004"/>
      <c r="G19" s="1005"/>
      <c r="H19" s="1004"/>
    </row>
    <row r="20" spans="2:8">
      <c r="D20" s="994"/>
      <c r="E20" s="994"/>
      <c r="F20" s="1004"/>
      <c r="G20" s="1005"/>
      <c r="H20" s="1004"/>
    </row>
    <row r="21" spans="2:8">
      <c r="B21" s="986"/>
      <c r="C21" s="986"/>
      <c r="D21" s="1416" t="s">
        <v>1164</v>
      </c>
      <c r="E21" s="987"/>
      <c r="F21" s="988">
        <v>2014</v>
      </c>
      <c r="G21" s="1417"/>
      <c r="H21" s="988">
        <v>2013</v>
      </c>
    </row>
    <row r="22" spans="2:8">
      <c r="D22" s="1416"/>
      <c r="E22" s="987"/>
      <c r="F22" s="989" t="s">
        <v>1162</v>
      </c>
      <c r="G22" s="1417"/>
      <c r="H22" s="989" t="s">
        <v>1162</v>
      </c>
    </row>
    <row r="23" spans="2:8">
      <c r="D23" s="990"/>
      <c r="E23" s="990"/>
      <c r="F23" s="990"/>
      <c r="G23" s="991"/>
      <c r="H23" s="990"/>
    </row>
    <row r="24" spans="2:8">
      <c r="B24" s="191"/>
      <c r="D24" s="636" t="s">
        <v>1165</v>
      </c>
      <c r="E24" s="636"/>
      <c r="F24" s="997">
        <v>232803</v>
      </c>
      <c r="G24" s="998"/>
      <c r="H24" s="997"/>
    </row>
    <row r="25" spans="2:8">
      <c r="B25" s="191"/>
      <c r="D25" s="636" t="s">
        <v>1166</v>
      </c>
      <c r="E25" s="636"/>
      <c r="F25" s="997">
        <v>796996</v>
      </c>
      <c r="G25" s="998"/>
      <c r="H25" s="997">
        <v>338092</v>
      </c>
    </row>
    <row r="26" spans="2:8">
      <c r="B26" s="191"/>
      <c r="D26" s="636" t="s">
        <v>1167</v>
      </c>
      <c r="E26" s="636"/>
      <c r="F26" s="997">
        <v>0</v>
      </c>
      <c r="G26" s="998"/>
      <c r="H26" s="997">
        <v>0</v>
      </c>
    </row>
    <row r="27" spans="2:8">
      <c r="B27" s="191"/>
      <c r="D27" s="636" t="s">
        <v>1168</v>
      </c>
      <c r="E27" s="636"/>
      <c r="F27" s="997">
        <v>0</v>
      </c>
      <c r="G27" s="998"/>
      <c r="H27" s="997">
        <v>0</v>
      </c>
    </row>
    <row r="28" spans="2:8">
      <c r="B28" s="191"/>
      <c r="D28" s="636" t="s">
        <v>1169</v>
      </c>
      <c r="E28" s="636"/>
      <c r="F28" s="1006">
        <v>18842</v>
      </c>
      <c r="G28" s="1000"/>
      <c r="H28" s="1006">
        <v>0</v>
      </c>
    </row>
    <row r="29" spans="2:8">
      <c r="B29" s="191"/>
      <c r="D29" s="636"/>
      <c r="E29" s="636"/>
      <c r="F29" s="999"/>
      <c r="G29" s="1000"/>
      <c r="H29" s="999"/>
    </row>
    <row r="30" spans="2:8" ht="14.4" thickBot="1">
      <c r="B30" s="191"/>
      <c r="D30" s="994"/>
      <c r="E30" s="994"/>
      <c r="F30" s="1001">
        <f>SUM(F24:F29)</f>
        <v>1048641</v>
      </c>
      <c r="G30" s="1002"/>
      <c r="H30" s="1001">
        <f>SUM(H24:H29)</f>
        <v>338092</v>
      </c>
    </row>
    <row r="31" spans="2:8" ht="14.4" thickTop="1">
      <c r="B31" s="191"/>
    </row>
    <row r="32" spans="2:8">
      <c r="B32" s="191"/>
      <c r="C32" s="191"/>
    </row>
    <row r="33" spans="2:8" ht="15.6">
      <c r="B33" s="191"/>
      <c r="C33" s="985"/>
    </row>
    <row r="34" spans="2:8" ht="15.6">
      <c r="B34" s="191"/>
      <c r="C34" s="985"/>
      <c r="D34" s="1416" t="s">
        <v>1171</v>
      </c>
      <c r="E34" s="987"/>
      <c r="F34" s="988">
        <v>2014</v>
      </c>
      <c r="G34" s="1417"/>
      <c r="H34" s="988">
        <v>2013</v>
      </c>
    </row>
    <row r="35" spans="2:8" ht="15.6">
      <c r="B35" s="191"/>
      <c r="C35" s="985"/>
      <c r="D35" s="1416"/>
      <c r="E35" s="987"/>
      <c r="F35" s="989" t="s">
        <v>1162</v>
      </c>
      <c r="G35" s="1417"/>
      <c r="H35" s="989" t="s">
        <v>1162</v>
      </c>
    </row>
    <row r="36" spans="2:8" ht="15.6">
      <c r="B36" s="191"/>
      <c r="C36" s="985"/>
      <c r="D36" s="990"/>
      <c r="E36" s="990"/>
      <c r="F36" s="990"/>
      <c r="G36" s="991"/>
      <c r="H36" s="990"/>
    </row>
    <row r="37" spans="2:8" ht="15.6">
      <c r="B37" s="191"/>
      <c r="C37" s="985"/>
      <c r="D37" s="636" t="s">
        <v>1172</v>
      </c>
      <c r="E37" s="636"/>
      <c r="F37" s="997">
        <f>+B_Sheet14!I52</f>
        <v>198686299</v>
      </c>
      <c r="G37" s="998"/>
      <c r="H37" s="997">
        <f>+B_Sheet14!J52</f>
        <v>197526847</v>
      </c>
    </row>
    <row r="38" spans="2:8" ht="15.6">
      <c r="B38" s="191"/>
      <c r="C38" s="985"/>
      <c r="D38" s="636" t="s">
        <v>1211</v>
      </c>
      <c r="E38" s="636"/>
      <c r="F38" s="999">
        <f>+B_Sheet14!I51</f>
        <v>77691848</v>
      </c>
      <c r="G38" s="1000"/>
      <c r="H38" s="999">
        <f>+B_Sheet14!J51</f>
        <v>77691848</v>
      </c>
    </row>
    <row r="39" spans="2:8" ht="16.2" thickBot="1">
      <c r="C39" s="985"/>
      <c r="D39" s="994"/>
      <c r="E39" s="994"/>
      <c r="F39" s="1001">
        <f>SUM(F37:F38)</f>
        <v>276378147</v>
      </c>
      <c r="G39" s="1002"/>
      <c r="H39" s="1001">
        <f>SUM(H37:H38)</f>
        <v>275218695</v>
      </c>
    </row>
    <row r="40" spans="2:8" ht="9" customHeight="1" thickTop="1">
      <c r="C40" s="985"/>
      <c r="D40" s="994"/>
      <c r="E40" s="994"/>
      <c r="F40" s="1004"/>
      <c r="G40" s="1005"/>
      <c r="H40" s="1004"/>
    </row>
    <row r="41" spans="2:8" ht="15.6">
      <c r="C41" s="985"/>
      <c r="D41" s="994"/>
      <c r="E41" s="994"/>
      <c r="F41" s="1004"/>
      <c r="G41" s="1005"/>
      <c r="H41" s="1004"/>
    </row>
    <row r="42" spans="2:8">
      <c r="B42" s="986"/>
      <c r="D42" s="1416" t="s">
        <v>1173</v>
      </c>
      <c r="E42" s="987"/>
      <c r="F42" s="988">
        <v>2014</v>
      </c>
      <c r="G42" s="1417"/>
      <c r="H42" s="988">
        <v>2013</v>
      </c>
    </row>
    <row r="43" spans="2:8">
      <c r="D43" s="1416"/>
      <c r="E43" s="987"/>
      <c r="F43" s="989" t="s">
        <v>1162</v>
      </c>
      <c r="G43" s="1417"/>
      <c r="H43" s="989" t="s">
        <v>1162</v>
      </c>
    </row>
    <row r="44" spans="2:8">
      <c r="D44" s="990"/>
      <c r="E44" s="990"/>
      <c r="F44" s="990"/>
      <c r="G44" s="991"/>
      <c r="H44" s="990"/>
    </row>
    <row r="45" spans="2:8">
      <c r="D45" s="636" t="s">
        <v>1174</v>
      </c>
      <c r="E45" s="636"/>
      <c r="F45" s="997">
        <f>+B_Sheet14!T15</f>
        <v>65565523</v>
      </c>
      <c r="G45" s="998"/>
      <c r="H45" s="997">
        <v>74688530</v>
      </c>
    </row>
    <row r="46" spans="2:8">
      <c r="D46" s="636" t="s">
        <v>1175</v>
      </c>
      <c r="E46" s="636"/>
      <c r="F46" s="1007"/>
      <c r="G46" s="998"/>
      <c r="H46" s="1007"/>
    </row>
    <row r="47" spans="2:8">
      <c r="D47" s="636" t="s">
        <v>1176</v>
      </c>
      <c r="E47" s="636"/>
      <c r="F47" s="1008"/>
      <c r="G47" s="998"/>
      <c r="H47" s="1008"/>
    </row>
    <row r="48" spans="2:8" ht="14.4" thickBot="1">
      <c r="D48" s="994"/>
      <c r="E48" s="994"/>
      <c r="F48" s="1009">
        <f>SUM(F44:F47)</f>
        <v>65565523</v>
      </c>
      <c r="G48" s="1010"/>
      <c r="H48" s="1009">
        <f>SUM(H44:H47)</f>
        <v>74688530</v>
      </c>
    </row>
    <row r="49" spans="2:8" ht="8.4" customHeight="1" thickTop="1"/>
    <row r="51" spans="2:8">
      <c r="B51" s="986"/>
      <c r="C51" s="986"/>
      <c r="D51" s="1416" t="s">
        <v>1177</v>
      </c>
      <c r="E51" s="987"/>
      <c r="F51" s="988">
        <v>2014</v>
      </c>
      <c r="G51" s="1417"/>
      <c r="H51" s="988">
        <v>2013</v>
      </c>
    </row>
    <row r="52" spans="2:8">
      <c r="D52" s="1416"/>
      <c r="E52" s="987"/>
      <c r="F52" s="989" t="s">
        <v>1162</v>
      </c>
      <c r="G52" s="1417"/>
      <c r="H52" s="989" t="s">
        <v>1162</v>
      </c>
    </row>
    <row r="53" spans="2:8" ht="10.199999999999999" customHeight="1">
      <c r="D53" s="990"/>
      <c r="E53" s="990"/>
      <c r="F53" s="1007"/>
      <c r="G53" s="998"/>
      <c r="H53" s="1007"/>
    </row>
    <row r="54" spans="2:8">
      <c r="D54" s="636" t="s">
        <v>424</v>
      </c>
      <c r="E54" s="636"/>
      <c r="F54" s="997">
        <v>0</v>
      </c>
      <c r="G54" s="998"/>
      <c r="H54" s="997">
        <v>4272902</v>
      </c>
    </row>
    <row r="55" spans="2:8">
      <c r="D55" s="636" t="s">
        <v>1212</v>
      </c>
      <c r="E55" s="636"/>
      <c r="F55" s="997">
        <v>0</v>
      </c>
      <c r="G55" s="998"/>
      <c r="H55" s="997">
        <v>324874</v>
      </c>
    </row>
    <row r="56" spans="2:8">
      <c r="D56" s="636" t="s">
        <v>1178</v>
      </c>
      <c r="E56" s="636"/>
      <c r="F56" s="997">
        <v>28458</v>
      </c>
      <c r="G56" s="998"/>
      <c r="H56" s="997">
        <v>28458</v>
      </c>
    </row>
    <row r="57" spans="2:8">
      <c r="D57" s="636" t="s">
        <v>1179</v>
      </c>
      <c r="E57" s="636"/>
      <c r="F57" s="997"/>
      <c r="G57" s="998"/>
      <c r="H57" s="997"/>
    </row>
    <row r="58" spans="2:8" ht="27.6">
      <c r="D58" s="636" t="s">
        <v>1180</v>
      </c>
      <c r="E58" s="636"/>
      <c r="F58" s="997">
        <v>6500</v>
      </c>
      <c r="G58" s="998"/>
      <c r="H58" s="997">
        <v>8000</v>
      </c>
    </row>
    <row r="59" spans="2:8" ht="1.2" customHeight="1">
      <c r="D59" s="636" t="s">
        <v>1181</v>
      </c>
      <c r="E59" s="636"/>
      <c r="F59" s="999"/>
      <c r="G59" s="1000"/>
      <c r="H59" s="999"/>
    </row>
    <row r="60" spans="2:8" ht="14.4" thickBot="1">
      <c r="D60" s="994"/>
      <c r="E60" s="994"/>
      <c r="F60" s="1001">
        <f>SUM(F54:F59)</f>
        <v>34958</v>
      </c>
      <c r="G60" s="1002"/>
      <c r="H60" s="1001">
        <f>SUM(H54:H59)</f>
        <v>4634234</v>
      </c>
    </row>
    <row r="61" spans="2:8" ht="14.4" thickTop="1"/>
    <row r="64" spans="2:8">
      <c r="B64" s="986"/>
      <c r="C64" s="986"/>
      <c r="D64" s="1416" t="s">
        <v>1182</v>
      </c>
      <c r="E64" s="987"/>
      <c r="F64" s="988">
        <v>2014</v>
      </c>
      <c r="G64" s="1417"/>
      <c r="H64" s="988">
        <v>2013</v>
      </c>
    </row>
    <row r="65" spans="2:8">
      <c r="D65" s="1416"/>
      <c r="E65" s="987"/>
      <c r="F65" s="989" t="s">
        <v>1162</v>
      </c>
      <c r="G65" s="1417"/>
      <c r="H65" s="989" t="s">
        <v>1162</v>
      </c>
    </row>
    <row r="66" spans="2:8">
      <c r="D66" s="1011"/>
      <c r="E66" s="990"/>
      <c r="F66" s="1012"/>
      <c r="G66" s="1013"/>
      <c r="H66" s="1012"/>
    </row>
    <row r="67" spans="2:8">
      <c r="D67" s="1011" t="s">
        <v>1183</v>
      </c>
      <c r="E67" s="636"/>
      <c r="F67" s="1014">
        <v>0</v>
      </c>
      <c r="G67" s="1015"/>
      <c r="H67" s="1014">
        <v>4539158</v>
      </c>
    </row>
    <row r="68" spans="2:8">
      <c r="D68" s="636" t="s">
        <v>1184</v>
      </c>
      <c r="E68" s="636"/>
      <c r="F68" s="1014"/>
      <c r="G68" s="1015"/>
      <c r="H68" s="1014"/>
    </row>
    <row r="69" spans="2:8">
      <c r="D69" s="636" t="s">
        <v>1170</v>
      </c>
      <c r="E69" s="636"/>
      <c r="F69" s="1014">
        <f>B_Sheet14!T20</f>
        <v>17122709</v>
      </c>
      <c r="G69" s="1015"/>
      <c r="H69" s="1014">
        <v>20698460</v>
      </c>
    </row>
    <row r="70" spans="2:8">
      <c r="D70" s="636"/>
      <c r="E70" s="636"/>
      <c r="F70" s="1014"/>
      <c r="G70" s="1015"/>
      <c r="H70" s="1014"/>
    </row>
    <row r="71" spans="2:8" ht="14.4" thickBot="1">
      <c r="D71" s="994"/>
      <c r="E71" s="994"/>
      <c r="F71" s="1016">
        <f>SUM(F66:F70)</f>
        <v>17122709</v>
      </c>
      <c r="G71" s="1002"/>
      <c r="H71" s="1016">
        <f>SUM(H66:H70)</f>
        <v>25237618</v>
      </c>
    </row>
    <row r="72" spans="2:8" ht="14.4" thickTop="1"/>
    <row r="74" spans="2:8">
      <c r="B74" s="986"/>
      <c r="C74" s="986"/>
      <c r="D74" s="1416" t="s">
        <v>1185</v>
      </c>
      <c r="E74" s="987"/>
      <c r="F74" s="988">
        <v>2014</v>
      </c>
      <c r="G74" s="1417"/>
      <c r="H74" s="988">
        <v>2013</v>
      </c>
    </row>
    <row r="75" spans="2:8">
      <c r="D75" s="1416"/>
      <c r="E75" s="987"/>
      <c r="F75" s="989" t="s">
        <v>1162</v>
      </c>
      <c r="G75" s="1417"/>
      <c r="H75" s="989" t="s">
        <v>1162</v>
      </c>
    </row>
    <row r="76" spans="2:8">
      <c r="D76" s="990"/>
      <c r="E76" s="990"/>
      <c r="F76" s="1007"/>
      <c r="G76" s="998"/>
      <c r="H76" s="1007"/>
    </row>
    <row r="77" spans="2:8" ht="15.6">
      <c r="D77" s="1017" t="s">
        <v>1186</v>
      </c>
      <c r="E77" s="636"/>
      <c r="F77" s="997">
        <v>92508717</v>
      </c>
      <c r="G77" s="998"/>
      <c r="H77" s="997">
        <v>64561267</v>
      </c>
    </row>
    <row r="78" spans="2:8">
      <c r="D78" s="636"/>
      <c r="E78" s="636"/>
      <c r="F78" s="997"/>
      <c r="G78" s="998"/>
      <c r="H78" s="997"/>
    </row>
    <row r="79" spans="2:8" ht="14.4" thickBot="1">
      <c r="D79" s="994"/>
      <c r="E79" s="994"/>
      <c r="F79" s="1016">
        <f>SUM(F77:F78)</f>
        <v>92508717</v>
      </c>
      <c r="G79" s="1002"/>
      <c r="H79" s="1016">
        <f>SUM(H77:H78)</f>
        <v>64561267</v>
      </c>
    </row>
    <row r="80" spans="2:8" ht="14.4" thickTop="1"/>
    <row r="82" spans="2:8" ht="15.6">
      <c r="C82" s="985"/>
    </row>
    <row r="83" spans="2:8">
      <c r="B83" s="986"/>
      <c r="C83" s="986"/>
      <c r="D83" s="1416" t="s">
        <v>429</v>
      </c>
      <c r="E83" s="987"/>
      <c r="F83" s="988">
        <v>2014</v>
      </c>
      <c r="G83" s="1417"/>
      <c r="H83" s="988">
        <v>2013</v>
      </c>
    </row>
    <row r="84" spans="2:8">
      <c r="D84" s="1416"/>
      <c r="E84" s="987"/>
      <c r="F84" s="989" t="s">
        <v>1162</v>
      </c>
      <c r="G84" s="1417"/>
      <c r="H84" s="989" t="s">
        <v>1162</v>
      </c>
    </row>
    <row r="85" spans="2:8">
      <c r="D85" s="1011"/>
      <c r="E85" s="990"/>
      <c r="F85" s="1012"/>
      <c r="G85" s="1013"/>
      <c r="H85" s="1012"/>
    </row>
    <row r="86" spans="2:8">
      <c r="D86" s="1011" t="s">
        <v>1223</v>
      </c>
      <c r="E86" s="636"/>
      <c r="F86" s="1014">
        <v>0</v>
      </c>
      <c r="G86" s="1015"/>
      <c r="H86" s="1014">
        <v>139585600</v>
      </c>
    </row>
    <row r="87" spans="2:8">
      <c r="D87" s="636" t="s">
        <v>1213</v>
      </c>
      <c r="E87" s="636"/>
      <c r="F87" s="1014">
        <v>966210</v>
      </c>
      <c r="G87" s="1015"/>
      <c r="H87" s="1014">
        <v>8389565</v>
      </c>
    </row>
    <row r="88" spans="2:8">
      <c r="D88" s="636"/>
      <c r="E88" s="636"/>
      <c r="F88" s="1014">
        <v>0</v>
      </c>
      <c r="G88" s="1015"/>
      <c r="H88" s="1014"/>
    </row>
    <row r="89" spans="2:8">
      <c r="D89" s="636"/>
      <c r="E89" s="636"/>
      <c r="F89" s="1014"/>
      <c r="G89" s="1015"/>
      <c r="H89" s="1014"/>
    </row>
    <row r="90" spans="2:8" ht="14.4" thickBot="1">
      <c r="D90" s="994"/>
      <c r="E90" s="994"/>
      <c r="F90" s="1016">
        <f>SUM(F85:F89)</f>
        <v>966210</v>
      </c>
      <c r="G90" s="1002"/>
      <c r="H90" s="1016">
        <f>SUM(H85:H89)</f>
        <v>147975165</v>
      </c>
    </row>
    <row r="91" spans="2:8" ht="14.4" thickTop="1"/>
    <row r="92" spans="2:8">
      <c r="B92" s="986"/>
      <c r="C92" s="986"/>
      <c r="D92" s="1416" t="str">
        <f>+'[3]P&amp;L12'!D9</f>
        <v xml:space="preserve">Mallra, lendet e para dhe sherbimet </v>
      </c>
      <c r="E92" s="987"/>
      <c r="F92" s="988">
        <v>2014</v>
      </c>
      <c r="G92" s="1417"/>
      <c r="H92" s="988">
        <v>2013</v>
      </c>
    </row>
    <row r="93" spans="2:8">
      <c r="D93" s="1416"/>
      <c r="E93" s="987"/>
      <c r="F93" s="989" t="s">
        <v>1162</v>
      </c>
      <c r="G93" s="1417"/>
      <c r="H93" s="989" t="s">
        <v>1162</v>
      </c>
    </row>
    <row r="94" spans="2:8">
      <c r="D94" s="1011"/>
      <c r="E94" s="990"/>
      <c r="F94" s="1012"/>
      <c r="G94" s="1013"/>
      <c r="H94" s="1012"/>
    </row>
    <row r="95" spans="2:8">
      <c r="D95" s="636" t="s">
        <v>1187</v>
      </c>
      <c r="E95" s="636"/>
      <c r="F95" s="1014">
        <v>408771</v>
      </c>
      <c r="G95" s="1015"/>
      <c r="H95" s="1014">
        <v>6056192</v>
      </c>
    </row>
    <row r="96" spans="2:8">
      <c r="D96" s="636" t="s">
        <v>1218</v>
      </c>
      <c r="E96" s="636"/>
      <c r="F96" s="1014"/>
      <c r="G96" s="1015"/>
      <c r="H96" s="1014">
        <v>93858036</v>
      </c>
    </row>
    <row r="97" spans="2:11">
      <c r="D97" s="636" t="s">
        <v>1188</v>
      </c>
      <c r="E97" s="636"/>
      <c r="F97" s="1014">
        <v>410713</v>
      </c>
      <c r="G97" s="1015"/>
      <c r="H97" s="1014">
        <v>1393120</v>
      </c>
    </row>
    <row r="98" spans="2:11">
      <c r="D98" s="636"/>
      <c r="E98" s="636"/>
      <c r="F98" s="1014"/>
      <c r="G98" s="1015"/>
      <c r="H98" s="1014"/>
    </row>
    <row r="99" spans="2:11" ht="14.4" thickBot="1">
      <c r="D99" s="994"/>
      <c r="E99" s="994"/>
      <c r="F99" s="1016">
        <f>SUM(F94:F98)</f>
        <v>819484</v>
      </c>
      <c r="G99" s="1002"/>
      <c r="H99" s="1016">
        <f>SUM(H94:H98)</f>
        <v>101307348</v>
      </c>
    </row>
    <row r="100" spans="2:11" ht="14.4" thickTop="1">
      <c r="D100" s="994"/>
      <c r="E100" s="994"/>
      <c r="F100" s="1004"/>
      <c r="G100" s="1005"/>
      <c r="H100" s="1004"/>
    </row>
    <row r="101" spans="2:11" s="1019" customFormat="1" ht="14.4">
      <c r="B101" s="1018"/>
      <c r="D101" s="1020" t="s">
        <v>1189</v>
      </c>
      <c r="E101" s="1020"/>
      <c r="F101" s="988">
        <v>2014</v>
      </c>
      <c r="G101" s="1417"/>
      <c r="H101" s="988">
        <v>2013</v>
      </c>
      <c r="I101" s="1021"/>
      <c r="J101" s="1021"/>
    </row>
    <row r="102" spans="2:11" s="1019" customFormat="1" ht="14.4">
      <c r="B102" s="1018"/>
      <c r="D102" s="1021"/>
      <c r="E102" s="1021"/>
      <c r="F102" s="989" t="s">
        <v>1162</v>
      </c>
      <c r="G102" s="1417"/>
      <c r="H102" s="989" t="s">
        <v>1162</v>
      </c>
      <c r="I102" s="1022"/>
      <c r="J102" s="1023"/>
    </row>
    <row r="103" spans="2:11" s="1019" customFormat="1" ht="14.4">
      <c r="B103" s="1018"/>
      <c r="D103" s="1021" t="s">
        <v>1190</v>
      </c>
      <c r="E103" s="1021"/>
      <c r="F103" s="1024">
        <v>0</v>
      </c>
      <c r="G103" s="1025"/>
      <c r="H103" s="1024">
        <v>0</v>
      </c>
      <c r="I103" s="1026"/>
      <c r="J103" s="1027"/>
    </row>
    <row r="104" spans="2:11" s="1019" customFormat="1" ht="14.4">
      <c r="B104" s="1018"/>
      <c r="D104" s="1021" t="s">
        <v>1191</v>
      </c>
      <c r="E104" s="1021"/>
      <c r="F104" s="1024">
        <v>150000</v>
      </c>
      <c r="G104" s="1025"/>
      <c r="H104" s="1024">
        <v>400000</v>
      </c>
      <c r="I104" s="1026"/>
      <c r="J104" s="1027"/>
    </row>
    <row r="105" spans="2:11" s="1019" customFormat="1" ht="14.4">
      <c r="B105" s="1018"/>
      <c r="D105" s="1021" t="s">
        <v>1192</v>
      </c>
      <c r="E105" s="1021"/>
      <c r="F105" s="1024">
        <v>22768</v>
      </c>
      <c r="G105" s="1025"/>
      <c r="H105" s="1024">
        <v>8780</v>
      </c>
      <c r="I105" s="1026"/>
      <c r="J105" s="1027"/>
    </row>
    <row r="106" spans="2:11" s="1019" customFormat="1" ht="14.4">
      <c r="B106" s="1018"/>
      <c r="D106" s="1021" t="s">
        <v>1193</v>
      </c>
      <c r="E106" s="1021"/>
      <c r="F106" s="1024">
        <v>87057</v>
      </c>
      <c r="G106" s="1025"/>
      <c r="H106" s="1024">
        <v>840791</v>
      </c>
      <c r="I106" s="1026"/>
      <c r="J106" s="1027"/>
    </row>
    <row r="107" spans="2:11" s="1019" customFormat="1" ht="14.4">
      <c r="B107" s="1018"/>
      <c r="D107" s="1028" t="s">
        <v>1194</v>
      </c>
      <c r="E107" s="1021"/>
      <c r="F107" s="1024">
        <v>406792</v>
      </c>
      <c r="G107" s="1025"/>
      <c r="H107" s="1024">
        <v>400961</v>
      </c>
      <c r="I107" s="1026"/>
      <c r="J107" s="1027"/>
    </row>
    <row r="108" spans="2:11" s="1019" customFormat="1" ht="14.4">
      <c r="B108" s="1018"/>
      <c r="D108" s="1028" t="s">
        <v>1195</v>
      </c>
      <c r="E108" s="1021"/>
      <c r="F108" s="1024">
        <v>10000</v>
      </c>
      <c r="G108" s="1025"/>
      <c r="H108" s="1024"/>
      <c r="I108" s="1026"/>
      <c r="J108" s="1027"/>
    </row>
    <row r="109" spans="2:11" s="1019" customFormat="1" ht="14.4">
      <c r="B109" s="1018"/>
      <c r="D109" s="1028" t="s">
        <v>1196</v>
      </c>
      <c r="E109" s="1021"/>
      <c r="F109" s="1024">
        <v>103120</v>
      </c>
      <c r="G109" s="1025"/>
      <c r="H109" s="1024">
        <v>39620</v>
      </c>
      <c r="I109" s="1026"/>
      <c r="J109" s="1027"/>
    </row>
    <row r="110" spans="2:11" s="1019" customFormat="1" ht="14.4">
      <c r="B110" s="1018"/>
      <c r="D110" s="1021" t="s">
        <v>1197</v>
      </c>
      <c r="E110" s="1021"/>
      <c r="F110" s="1024"/>
      <c r="G110" s="1025"/>
      <c r="H110" s="1024"/>
      <c r="I110" s="1026"/>
      <c r="J110" s="1027"/>
    </row>
    <row r="111" spans="2:11" s="1019" customFormat="1" ht="14.4">
      <c r="B111" s="1018"/>
      <c r="D111" s="1021" t="s">
        <v>1198</v>
      </c>
      <c r="E111" s="1021"/>
      <c r="F111" s="1024"/>
      <c r="G111" s="1025"/>
      <c r="H111" s="1024"/>
      <c r="I111" s="1026"/>
      <c r="J111" s="1027"/>
    </row>
    <row r="112" spans="2:11" s="1019" customFormat="1" ht="15" thickBot="1">
      <c r="B112" s="1018"/>
      <c r="D112" s="914" t="s">
        <v>1199</v>
      </c>
      <c r="E112" s="914"/>
      <c r="F112" s="1029">
        <f>SUM(F103:F111)</f>
        <v>779737</v>
      </c>
      <c r="G112" s="1030"/>
      <c r="H112" s="1029">
        <f>SUM(H103:H111)</f>
        <v>1690152</v>
      </c>
      <c r="I112" s="1030"/>
      <c r="J112" s="1030"/>
      <c r="K112" s="1031"/>
    </row>
    <row r="113" spans="2:11" ht="14.4" thickTop="1">
      <c r="C113" s="191"/>
      <c r="F113" s="800"/>
      <c r="H113" s="800"/>
    </row>
    <row r="114" spans="2:11" ht="15.6">
      <c r="C114" s="985"/>
      <c r="F114" s="800"/>
      <c r="H114" s="800"/>
    </row>
    <row r="115" spans="2:11" s="1019" customFormat="1" ht="14.4">
      <c r="B115" s="1018"/>
      <c r="D115" s="1020" t="s">
        <v>1214</v>
      </c>
      <c r="E115" s="1020"/>
      <c r="F115" s="988">
        <v>2014</v>
      </c>
      <c r="G115" s="1417"/>
      <c r="H115" s="988">
        <v>2013</v>
      </c>
      <c r="I115" s="1021"/>
      <c r="J115" s="1021"/>
    </row>
    <row r="116" spans="2:11" s="1019" customFormat="1" ht="14.4">
      <c r="B116" s="1018"/>
      <c r="D116" s="1021"/>
      <c r="E116" s="1021"/>
      <c r="F116" s="989" t="s">
        <v>1162</v>
      </c>
      <c r="G116" s="1417"/>
      <c r="H116" s="989" t="s">
        <v>1162</v>
      </c>
      <c r="I116" s="1022"/>
      <c r="J116" s="1023"/>
    </row>
    <row r="117" spans="2:11" s="1019" customFormat="1" ht="14.4">
      <c r="B117" s="1018"/>
      <c r="D117" s="1021" t="s">
        <v>1215</v>
      </c>
      <c r="E117" s="1021"/>
      <c r="F117" s="1024">
        <v>108904</v>
      </c>
      <c r="G117" s="1025"/>
      <c r="H117" s="1024">
        <v>214</v>
      </c>
      <c r="I117" s="1026"/>
      <c r="J117" s="1027"/>
    </row>
    <row r="118" spans="2:11" s="1019" customFormat="1" ht="14.4">
      <c r="B118" s="1018"/>
      <c r="D118" s="1021" t="s">
        <v>330</v>
      </c>
      <c r="E118" s="1021"/>
      <c r="F118" s="1024">
        <v>-1</v>
      </c>
      <c r="G118" s="1025"/>
      <c r="H118" s="1024"/>
      <c r="I118" s="1026"/>
      <c r="J118" s="1027"/>
    </row>
    <row r="119" spans="2:11" s="1019" customFormat="1" ht="14.4">
      <c r="B119" s="1018"/>
      <c r="D119" s="1021"/>
      <c r="E119" s="1021"/>
      <c r="F119" s="1024"/>
      <c r="G119" s="1025"/>
      <c r="H119" s="1024"/>
      <c r="I119" s="1026"/>
      <c r="J119" s="1027"/>
    </row>
    <row r="120" spans="2:11" s="1019" customFormat="1" ht="14.4">
      <c r="B120" s="1018"/>
      <c r="D120" s="1028" t="s">
        <v>1216</v>
      </c>
      <c r="E120" s="1021"/>
      <c r="F120" s="1024">
        <v>203275</v>
      </c>
      <c r="G120" s="1025"/>
      <c r="H120" s="1024">
        <v>5663</v>
      </c>
      <c r="I120" s="1026"/>
      <c r="J120" s="1027"/>
    </row>
    <row r="121" spans="2:11" s="1019" customFormat="1" ht="14.4">
      <c r="B121" s="1018"/>
      <c r="D121" s="1028" t="s">
        <v>1217</v>
      </c>
      <c r="E121" s="1021"/>
      <c r="F121" s="1024">
        <v>-14</v>
      </c>
      <c r="G121" s="1025"/>
      <c r="H121" s="1024">
        <v>-4358</v>
      </c>
      <c r="I121" s="1026"/>
      <c r="J121" s="1027"/>
    </row>
    <row r="122" spans="2:11" s="1019" customFormat="1" ht="14.4">
      <c r="B122" s="1018"/>
      <c r="D122" s="1028"/>
      <c r="E122" s="1021"/>
      <c r="F122" s="1024"/>
      <c r="G122" s="1025"/>
      <c r="H122" s="1024"/>
      <c r="I122" s="1026"/>
      <c r="J122" s="1027"/>
    </row>
    <row r="123" spans="2:11" s="1019" customFormat="1" ht="15" thickBot="1">
      <c r="B123" s="1018"/>
      <c r="D123" s="914" t="s">
        <v>1199</v>
      </c>
      <c r="E123" s="914"/>
      <c r="F123" s="1029">
        <f>SUM(F117:F122)</f>
        <v>312164</v>
      </c>
      <c r="G123" s="1030"/>
      <c r="H123" s="1029">
        <f>SUM(H117:H122)</f>
        <v>1519</v>
      </c>
      <c r="I123" s="1030"/>
      <c r="J123" s="1030"/>
      <c r="K123" s="1031"/>
    </row>
    <row r="124" spans="2:11" ht="14.4" thickTop="1">
      <c r="C124" s="191"/>
      <c r="F124" s="800"/>
      <c r="H124" s="800"/>
    </row>
    <row r="125" spans="2:11">
      <c r="C125" s="191"/>
      <c r="E125" s="800"/>
    </row>
    <row r="126" spans="2:11" ht="14.4">
      <c r="C126" s="191"/>
      <c r="D126" s="1020"/>
      <c r="E126" s="1020"/>
      <c r="F126" s="988">
        <v>2014</v>
      </c>
      <c r="G126" s="1417"/>
      <c r="H126" s="988">
        <v>2013</v>
      </c>
    </row>
    <row r="127" spans="2:11" ht="18.75" customHeight="1">
      <c r="C127" s="191"/>
      <c r="D127" s="1020"/>
      <c r="E127" s="1020"/>
      <c r="F127" s="989" t="s">
        <v>1162</v>
      </c>
      <c r="G127" s="1417"/>
      <c r="H127" s="989" t="s">
        <v>1162</v>
      </c>
    </row>
    <row r="128" spans="2:11" ht="14.4">
      <c r="C128" s="191"/>
      <c r="D128" s="1020" t="s">
        <v>1200</v>
      </c>
      <c r="E128" s="1020"/>
      <c r="F128" s="1032">
        <f>+'P&amp;L14'!F28</f>
        <v>-1890019.32</v>
      </c>
      <c r="G128" s="1033"/>
      <c r="H128" s="1032">
        <f>+'P&amp;L14'!G28</f>
        <v>43350135</v>
      </c>
    </row>
    <row r="129" spans="2:8" ht="14.4">
      <c r="C129" s="191"/>
      <c r="D129" s="1020" t="s">
        <v>1201</v>
      </c>
      <c r="E129" s="1020"/>
      <c r="F129" s="1034"/>
      <c r="G129" s="1033"/>
      <c r="H129" s="1034"/>
    </row>
    <row r="130" spans="2:8" ht="14.4">
      <c r="C130" s="191"/>
      <c r="D130" s="636" t="s">
        <v>1202</v>
      </c>
      <c r="E130" s="1021"/>
      <c r="F130" s="1035">
        <v>0</v>
      </c>
      <c r="G130" s="1022"/>
      <c r="H130" s="1035">
        <v>0</v>
      </c>
    </row>
    <row r="131" spans="2:8" ht="14.4">
      <c r="D131" s="1021" t="s">
        <v>1203</v>
      </c>
      <c r="E131" s="1021"/>
      <c r="F131" s="1035">
        <v>0</v>
      </c>
      <c r="G131" s="1022"/>
      <c r="H131" s="1035">
        <v>0</v>
      </c>
    </row>
    <row r="132" spans="2:8" ht="14.4">
      <c r="D132" s="1021" t="s">
        <v>1219</v>
      </c>
      <c r="E132" s="1021"/>
      <c r="F132" s="1035">
        <v>0</v>
      </c>
      <c r="G132" s="1022"/>
      <c r="H132" s="1035">
        <v>0</v>
      </c>
    </row>
    <row r="133" spans="2:8" ht="14.4">
      <c r="D133" s="1021" t="s">
        <v>1204</v>
      </c>
      <c r="E133" s="1021"/>
      <c r="F133" s="1035">
        <v>0</v>
      </c>
      <c r="G133" s="1022"/>
      <c r="H133" s="1035">
        <v>-1460600</v>
      </c>
    </row>
    <row r="134" spans="2:8" ht="14.4">
      <c r="B134" s="191"/>
      <c r="C134" s="191"/>
      <c r="D134" s="1021" t="s">
        <v>1220</v>
      </c>
      <c r="E134" s="1021"/>
      <c r="F134" s="1035">
        <v>0</v>
      </c>
      <c r="G134" s="1022"/>
      <c r="H134" s="1035">
        <v>0</v>
      </c>
    </row>
    <row r="135" spans="2:8" ht="14.4">
      <c r="B135" s="191"/>
      <c r="C135" s="191"/>
      <c r="D135" s="1021" t="s">
        <v>1221</v>
      </c>
      <c r="E135" s="1021"/>
      <c r="F135" s="1035">
        <v>0</v>
      </c>
      <c r="G135" s="1022"/>
      <c r="H135" s="1035">
        <v>0</v>
      </c>
    </row>
    <row r="136" spans="2:8" ht="14.4">
      <c r="B136" s="191"/>
      <c r="C136" s="191"/>
      <c r="D136" s="1021" t="s">
        <v>1205</v>
      </c>
      <c r="E136" s="1021"/>
      <c r="F136" s="1035">
        <f>+F106+F108</f>
        <v>97057</v>
      </c>
      <c r="G136" s="1022"/>
      <c r="H136" s="1035">
        <f>+H106-H120-H121</f>
        <v>839486</v>
      </c>
    </row>
    <row r="137" spans="2:8" ht="15" thickBot="1">
      <c r="B137" s="191"/>
      <c r="C137" s="191"/>
      <c r="D137" s="1036" t="s">
        <v>1206</v>
      </c>
      <c r="E137" s="1020"/>
      <c r="F137" s="1037">
        <f>SUM(F130:F136)</f>
        <v>97057</v>
      </c>
      <c r="G137" s="1038"/>
      <c r="H137" s="1037">
        <f>SUM(H130:H136)</f>
        <v>-621114</v>
      </c>
    </row>
    <row r="138" spans="2:8" ht="7.5" customHeight="1" thickTop="1">
      <c r="B138" s="191"/>
      <c r="C138" s="191"/>
      <c r="D138" s="1020"/>
      <c r="E138" s="1020"/>
      <c r="F138" s="1039"/>
      <c r="G138" s="1022"/>
      <c r="H138" s="1039"/>
    </row>
    <row r="139" spans="2:8" ht="14.4">
      <c r="B139" s="191"/>
      <c r="C139" s="191"/>
      <c r="D139" s="1020" t="s">
        <v>1207</v>
      </c>
      <c r="E139" s="1020"/>
      <c r="F139" s="1039">
        <f>+F137+F128</f>
        <v>-1792962.32</v>
      </c>
      <c r="G139" s="1038"/>
      <c r="H139" s="1039">
        <f>+H137+H128</f>
        <v>42729021</v>
      </c>
    </row>
    <row r="140" spans="2:8" ht="14.4">
      <c r="B140" s="191"/>
      <c r="C140" s="191"/>
      <c r="D140" s="1020" t="s">
        <v>1208</v>
      </c>
      <c r="E140" s="1020"/>
      <c r="F140" s="1040">
        <v>0.15</v>
      </c>
      <c r="G140" s="1041"/>
      <c r="H140" s="1040">
        <v>0.1</v>
      </c>
    </row>
    <row r="141" spans="2:8" ht="14.4">
      <c r="B141" s="191"/>
      <c r="C141" s="191"/>
      <c r="D141" s="1020" t="s">
        <v>1209</v>
      </c>
      <c r="E141" s="1020"/>
      <c r="F141" s="1039">
        <v>0</v>
      </c>
      <c r="G141" s="1039"/>
      <c r="H141" s="1039">
        <f>-H139*H140</f>
        <v>-4272902.1000000006</v>
      </c>
    </row>
    <row r="142" spans="2:8" ht="16.2" thickBot="1">
      <c r="B142" s="191"/>
      <c r="C142" s="191"/>
      <c r="D142" s="1020" t="s">
        <v>1210</v>
      </c>
      <c r="E142" s="1020"/>
      <c r="F142" s="1042">
        <f>+F128+F141</f>
        <v>-1890019.32</v>
      </c>
      <c r="G142" s="1043"/>
      <c r="H142" s="1042">
        <f>+H128+H141</f>
        <v>39077232.899999999</v>
      </c>
    </row>
    <row r="143" spans="2:8" ht="14.4" thickTop="1">
      <c r="B143" s="191"/>
      <c r="C143" s="191"/>
    </row>
  </sheetData>
  <mergeCells count="24">
    <mergeCell ref="G101:G102"/>
    <mergeCell ref="G126:G127"/>
    <mergeCell ref="G115:G116"/>
    <mergeCell ref="B3:H3"/>
    <mergeCell ref="D83:D84"/>
    <mergeCell ref="G83:G84"/>
    <mergeCell ref="D92:D93"/>
    <mergeCell ref="G92:G93"/>
    <mergeCell ref="D64:D65"/>
    <mergeCell ref="G64:G65"/>
    <mergeCell ref="D74:D75"/>
    <mergeCell ref="G74:G75"/>
    <mergeCell ref="D34:D35"/>
    <mergeCell ref="G34:G35"/>
    <mergeCell ref="D42:D43"/>
    <mergeCell ref="G42:G43"/>
    <mergeCell ref="D51:D52"/>
    <mergeCell ref="G51:G52"/>
    <mergeCell ref="D5:D6"/>
    <mergeCell ref="G5:G6"/>
    <mergeCell ref="D13:D14"/>
    <mergeCell ref="G13:G14"/>
    <mergeCell ref="D21:D22"/>
    <mergeCell ref="G21:G22"/>
  </mergeCells>
  <pageMargins left="0.24" right="0.24" top="0.37" bottom="0.38" header="0.3" footer="0.3"/>
  <pageSetup paperSize="9" scale="98" orientation="portrait" r:id="rId1"/>
  <rowBreaks count="2" manualBreakCount="2">
    <brk id="61" max="9" man="1"/>
    <brk id="11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P37"/>
  <sheetViews>
    <sheetView showGridLines="0" workbookViewId="0">
      <selection activeCell="K25" sqref="K25"/>
    </sheetView>
  </sheetViews>
  <sheetFormatPr defaultColWidth="9.109375" defaultRowHeight="13.8"/>
  <cols>
    <col min="1" max="1" width="3.5546875" style="744" customWidth="1"/>
    <col min="2" max="2" width="12.5546875" style="744" customWidth="1"/>
    <col min="3" max="3" width="14.6640625" style="744" customWidth="1"/>
    <col min="4" max="4" width="10" style="744" customWidth="1"/>
    <col min="5" max="6" width="13.5546875" style="744" customWidth="1"/>
    <col min="7" max="7" width="14.88671875" style="744" bestFit="1" customWidth="1"/>
    <col min="8" max="8" width="12.33203125" style="744" bestFit="1" customWidth="1"/>
    <col min="9" max="9" width="14.109375" style="744" bestFit="1" customWidth="1"/>
    <col min="10" max="10" width="15" style="744" bestFit="1" customWidth="1"/>
    <col min="11" max="11" width="11.88671875" style="745" bestFit="1" customWidth="1"/>
    <col min="12" max="12" width="15" style="745" bestFit="1" customWidth="1"/>
    <col min="13" max="13" width="10.33203125" style="744" bestFit="1" customWidth="1"/>
    <col min="14" max="14" width="11.33203125" style="744" bestFit="1" customWidth="1"/>
    <col min="15" max="15" width="4.109375" style="744" customWidth="1"/>
    <col min="16" max="16" width="5" style="745" customWidth="1"/>
    <col min="17" max="16384" width="9.109375" style="744"/>
  </cols>
  <sheetData>
    <row r="1" spans="1:16">
      <c r="A1" s="556" t="s">
        <v>333</v>
      </c>
    </row>
    <row r="2" spans="1:16">
      <c r="A2" s="556"/>
      <c r="G2" s="556" t="s">
        <v>334</v>
      </c>
      <c r="L2" s="557"/>
    </row>
    <row r="3" spans="1:16">
      <c r="A3" s="556"/>
      <c r="C3" s="746" t="s">
        <v>335</v>
      </c>
      <c r="P3" s="558"/>
    </row>
    <row r="4" spans="1:16" ht="14.4" thickBot="1">
      <c r="E4" s="556"/>
      <c r="H4" s="556"/>
    </row>
    <row r="5" spans="1:16" ht="14.4" thickTop="1">
      <c r="A5" s="1418" t="s">
        <v>943</v>
      </c>
      <c r="B5" s="1420" t="s">
        <v>336</v>
      </c>
      <c r="C5" s="1424" t="s">
        <v>337</v>
      </c>
      <c r="D5" s="1425"/>
      <c r="E5" s="1426"/>
      <c r="F5" s="1429" t="s">
        <v>338</v>
      </c>
      <c r="G5" s="1425"/>
      <c r="H5" s="1430"/>
      <c r="I5" s="1424" t="s">
        <v>339</v>
      </c>
      <c r="J5" s="1425"/>
      <c r="K5" s="1426"/>
      <c r="L5" s="1431" t="s">
        <v>340</v>
      </c>
      <c r="M5" s="1439" t="s">
        <v>341</v>
      </c>
      <c r="N5" s="1441" t="s">
        <v>342</v>
      </c>
      <c r="O5" s="1443"/>
    </row>
    <row r="6" spans="1:16" s="748" customFormat="1" ht="14.4" thickBot="1">
      <c r="A6" s="1419"/>
      <c r="B6" s="1421"/>
      <c r="C6" s="559" t="s">
        <v>343</v>
      </c>
      <c r="D6" s="560" t="s">
        <v>344</v>
      </c>
      <c r="E6" s="561" t="s">
        <v>345</v>
      </c>
      <c r="F6" s="559" t="s">
        <v>346</v>
      </c>
      <c r="G6" s="560" t="s">
        <v>347</v>
      </c>
      <c r="H6" s="562" t="s">
        <v>348</v>
      </c>
      <c r="I6" s="563" t="s">
        <v>957</v>
      </c>
      <c r="J6" s="560" t="s">
        <v>349</v>
      </c>
      <c r="K6" s="564" t="s">
        <v>342</v>
      </c>
      <c r="L6" s="1432"/>
      <c r="M6" s="1440"/>
      <c r="N6" s="1442"/>
      <c r="O6" s="1444"/>
      <c r="P6" s="747"/>
    </row>
    <row r="7" spans="1:16" ht="14.4" thickTop="1">
      <c r="A7" s="749">
        <v>1</v>
      </c>
      <c r="B7" s="750" t="s">
        <v>350</v>
      </c>
      <c r="C7" s="565"/>
      <c r="D7" s="566"/>
      <c r="E7" s="567"/>
      <c r="F7" s="568"/>
      <c r="G7" s="566"/>
      <c r="H7" s="569"/>
      <c r="I7" s="570">
        <f t="shared" ref="I7:I18" si="0">(E7*0.2)</f>
        <v>0</v>
      </c>
      <c r="J7" s="571">
        <f>+H7*0.2</f>
        <v>0</v>
      </c>
      <c r="K7" s="572"/>
      <c r="L7" s="573"/>
      <c r="M7" s="566"/>
      <c r="N7" s="568"/>
      <c r="O7" s="567"/>
    </row>
    <row r="8" spans="1:16">
      <c r="A8" s="751"/>
      <c r="B8" s="752"/>
      <c r="C8" s="574"/>
      <c r="D8" s="575"/>
      <c r="E8" s="576"/>
      <c r="F8" s="577"/>
      <c r="G8" s="575"/>
      <c r="H8" s="578"/>
      <c r="I8" s="579"/>
      <c r="J8" s="580"/>
      <c r="K8" s="581"/>
      <c r="L8" s="582"/>
      <c r="M8" s="575"/>
      <c r="N8" s="577"/>
      <c r="O8" s="576"/>
    </row>
    <row r="9" spans="1:16">
      <c r="A9" s="751">
        <v>2</v>
      </c>
      <c r="B9" s="752" t="s">
        <v>351</v>
      </c>
      <c r="C9" s="574"/>
      <c r="D9" s="575"/>
      <c r="E9" s="583"/>
      <c r="F9" s="577"/>
      <c r="G9" s="575"/>
      <c r="H9" s="753"/>
      <c r="I9" s="584">
        <f t="shared" si="0"/>
        <v>0</v>
      </c>
      <c r="J9" s="585">
        <f t="shared" ref="J9:J21" si="1">(G9+H9)*0.2</f>
        <v>0</v>
      </c>
      <c r="K9" s="586">
        <f t="shared" ref="K9:K21" si="2">I9-J9</f>
        <v>0</v>
      </c>
      <c r="L9" s="582">
        <f>L7+K9-M7</f>
        <v>0</v>
      </c>
      <c r="M9" s="575">
        <v>0</v>
      </c>
      <c r="N9" s="587">
        <f t="shared" ref="N9:N21" si="3">M9-L9</f>
        <v>0</v>
      </c>
      <c r="O9" s="576"/>
    </row>
    <row r="10" spans="1:16">
      <c r="A10" s="754">
        <v>3</v>
      </c>
      <c r="B10" s="755" t="s">
        <v>352</v>
      </c>
      <c r="C10" s="588"/>
      <c r="D10" s="589"/>
      <c r="E10" s="583"/>
      <c r="F10" s="587"/>
      <c r="G10" s="589"/>
      <c r="H10" s="590"/>
      <c r="I10" s="584">
        <f t="shared" si="0"/>
        <v>0</v>
      </c>
      <c r="J10" s="585">
        <f t="shared" si="1"/>
        <v>0</v>
      </c>
      <c r="K10" s="586">
        <f t="shared" si="2"/>
        <v>0</v>
      </c>
      <c r="L10" s="582">
        <f t="shared" ref="L10:L21" si="4">L9+K10-M9</f>
        <v>0</v>
      </c>
      <c r="M10" s="589">
        <v>0</v>
      </c>
      <c r="N10" s="587">
        <f t="shared" si="3"/>
        <v>0</v>
      </c>
      <c r="O10" s="583"/>
    </row>
    <row r="11" spans="1:16">
      <c r="A11" s="751">
        <v>4</v>
      </c>
      <c r="B11" s="755" t="s">
        <v>353</v>
      </c>
      <c r="C11" s="588"/>
      <c r="D11" s="589"/>
      <c r="E11" s="583"/>
      <c r="F11" s="587"/>
      <c r="G11" s="589"/>
      <c r="H11" s="590"/>
      <c r="I11" s="584">
        <f t="shared" si="0"/>
        <v>0</v>
      </c>
      <c r="J11" s="585">
        <f t="shared" si="1"/>
        <v>0</v>
      </c>
      <c r="K11" s="586">
        <f t="shared" si="2"/>
        <v>0</v>
      </c>
      <c r="L11" s="582">
        <f t="shared" si="4"/>
        <v>0</v>
      </c>
      <c r="M11" s="589"/>
      <c r="N11" s="587">
        <f t="shared" si="3"/>
        <v>0</v>
      </c>
      <c r="O11" s="583"/>
    </row>
    <row r="12" spans="1:16">
      <c r="A12" s="754">
        <v>5</v>
      </c>
      <c r="B12" s="755" t="s">
        <v>354</v>
      </c>
      <c r="C12" s="588">
        <v>0</v>
      </c>
      <c r="D12" s="589">
        <f>'[4]TVSH SHITJE '!I35</f>
        <v>0</v>
      </c>
      <c r="E12" s="591"/>
      <c r="F12" s="587"/>
      <c r="G12" s="589">
        <f>'[4]TVSH BLERJE'!I34</f>
        <v>0</v>
      </c>
      <c r="H12" s="590"/>
      <c r="I12" s="584">
        <f t="shared" si="0"/>
        <v>0</v>
      </c>
      <c r="J12" s="585">
        <f t="shared" si="1"/>
        <v>0</v>
      </c>
      <c r="K12" s="586">
        <f t="shared" si="2"/>
        <v>0</v>
      </c>
      <c r="L12" s="582">
        <f t="shared" si="4"/>
        <v>0</v>
      </c>
      <c r="M12" s="589"/>
      <c r="N12" s="587">
        <f t="shared" si="3"/>
        <v>0</v>
      </c>
      <c r="O12" s="583"/>
      <c r="P12" s="756"/>
    </row>
    <row r="13" spans="1:16">
      <c r="A13" s="751">
        <v>6</v>
      </c>
      <c r="B13" s="755" t="s">
        <v>355</v>
      </c>
      <c r="C13" s="588">
        <f>'[4]TVSH SHITJE '!H35</f>
        <v>0</v>
      </c>
      <c r="D13" s="589">
        <f>'[4]TVSH SHITJE '!I35</f>
        <v>0</v>
      </c>
      <c r="E13" s="583"/>
      <c r="F13" s="587"/>
      <c r="G13" s="589">
        <f>'[4]TVSH BLERJE'!I34</f>
        <v>0</v>
      </c>
      <c r="H13" s="590"/>
      <c r="I13" s="584">
        <f t="shared" si="0"/>
        <v>0</v>
      </c>
      <c r="J13" s="585">
        <f t="shared" si="1"/>
        <v>0</v>
      </c>
      <c r="K13" s="586">
        <f t="shared" si="2"/>
        <v>0</v>
      </c>
      <c r="L13" s="582">
        <f t="shared" si="4"/>
        <v>0</v>
      </c>
      <c r="M13" s="589"/>
      <c r="N13" s="587">
        <f t="shared" si="3"/>
        <v>0</v>
      </c>
      <c r="O13" s="583"/>
    </row>
    <row r="14" spans="1:16">
      <c r="A14" s="754">
        <v>7</v>
      </c>
      <c r="B14" s="755" t="s">
        <v>356</v>
      </c>
      <c r="C14" s="588">
        <f>'[4]TVSH SHITJE '!H35</f>
        <v>0</v>
      </c>
      <c r="D14" s="589">
        <f>'[4]TVSH SHITJE '!H35</f>
        <v>0</v>
      </c>
      <c r="E14" s="592"/>
      <c r="F14" s="587"/>
      <c r="G14" s="589">
        <f>'[4]TVSH BLERJE'!I34</f>
        <v>0</v>
      </c>
      <c r="H14" s="590"/>
      <c r="I14" s="584">
        <f t="shared" si="0"/>
        <v>0</v>
      </c>
      <c r="J14" s="585">
        <f t="shared" si="1"/>
        <v>0</v>
      </c>
      <c r="K14" s="586">
        <f t="shared" si="2"/>
        <v>0</v>
      </c>
      <c r="L14" s="582">
        <f t="shared" si="4"/>
        <v>0</v>
      </c>
      <c r="M14" s="589">
        <v>145744</v>
      </c>
      <c r="N14" s="587">
        <f t="shared" si="3"/>
        <v>145744</v>
      </c>
      <c r="O14" s="583"/>
    </row>
    <row r="15" spans="1:16">
      <c r="A15" s="751">
        <v>8</v>
      </c>
      <c r="B15" s="755" t="s">
        <v>357</v>
      </c>
      <c r="C15" s="588">
        <f>'[4]TVSH SHITJE '!H35</f>
        <v>0</v>
      </c>
      <c r="D15" s="589">
        <f>'[4]TVSH SHITJE '!I35</f>
        <v>0</v>
      </c>
      <c r="E15" s="583"/>
      <c r="F15" s="587"/>
      <c r="G15" s="589">
        <f>'[4]TVSH BLERJE'!I34</f>
        <v>0</v>
      </c>
      <c r="H15" s="590"/>
      <c r="I15" s="584">
        <f t="shared" si="0"/>
        <v>0</v>
      </c>
      <c r="J15" s="585">
        <f t="shared" si="1"/>
        <v>0</v>
      </c>
      <c r="K15" s="586">
        <f t="shared" si="2"/>
        <v>0</v>
      </c>
      <c r="L15" s="582">
        <f t="shared" si="4"/>
        <v>-145744</v>
      </c>
      <c r="M15" s="589"/>
      <c r="N15" s="587">
        <f t="shared" si="3"/>
        <v>145744</v>
      </c>
      <c r="O15" s="583"/>
    </row>
    <row r="16" spans="1:16">
      <c r="A16" s="754">
        <v>9</v>
      </c>
      <c r="B16" s="755" t="s">
        <v>358</v>
      </c>
      <c r="C16" s="588">
        <f>'[4]TVSH SHITJE '!H35</f>
        <v>0</v>
      </c>
      <c r="D16" s="589">
        <f>'[4]TVSH SHITJE '!I35</f>
        <v>0</v>
      </c>
      <c r="E16" s="583"/>
      <c r="F16" s="587"/>
      <c r="G16" s="587">
        <f>'[4]TVSH BLERJE'!I34</f>
        <v>0</v>
      </c>
      <c r="H16" s="583"/>
      <c r="I16" s="584">
        <f t="shared" si="0"/>
        <v>0</v>
      </c>
      <c r="J16" s="585">
        <f t="shared" si="1"/>
        <v>0</v>
      </c>
      <c r="K16" s="586">
        <f t="shared" si="2"/>
        <v>0</v>
      </c>
      <c r="L16" s="582">
        <f t="shared" si="4"/>
        <v>-145744</v>
      </c>
      <c r="M16" s="589"/>
      <c r="N16" s="587">
        <f t="shared" si="3"/>
        <v>145744</v>
      </c>
      <c r="O16" s="583"/>
    </row>
    <row r="17" spans="1:15">
      <c r="A17" s="751">
        <v>10</v>
      </c>
      <c r="B17" s="755" t="s">
        <v>359</v>
      </c>
      <c r="C17" s="588">
        <f>'[4]TVSH SHITJE '!H35</f>
        <v>0</v>
      </c>
      <c r="D17" s="589">
        <f>'[4]TVSH SHITJE '!I35</f>
        <v>0</v>
      </c>
      <c r="E17" s="583"/>
      <c r="F17" s="587"/>
      <c r="G17" s="589">
        <f>'[4]TVSH BLERJE'!I34</f>
        <v>0</v>
      </c>
      <c r="H17" s="590"/>
      <c r="I17" s="584">
        <f t="shared" si="0"/>
        <v>0</v>
      </c>
      <c r="J17" s="585">
        <f t="shared" si="1"/>
        <v>0</v>
      </c>
      <c r="K17" s="586">
        <f t="shared" si="2"/>
        <v>0</v>
      </c>
      <c r="L17" s="582">
        <f t="shared" si="4"/>
        <v>-145744</v>
      </c>
      <c r="M17" s="589">
        <v>241219</v>
      </c>
      <c r="N17" s="587">
        <f t="shared" si="3"/>
        <v>386963</v>
      </c>
      <c r="O17" s="583"/>
    </row>
    <row r="18" spans="1:15">
      <c r="A18" s="754">
        <v>11</v>
      </c>
      <c r="B18" s="755" t="s">
        <v>360</v>
      </c>
      <c r="C18" s="588">
        <f>'[4]TVSH SHITJE '!H35</f>
        <v>0</v>
      </c>
      <c r="D18" s="589">
        <f>'[4]TVSH SHITJE '!I35</f>
        <v>0</v>
      </c>
      <c r="E18" s="583"/>
      <c r="F18" s="587"/>
      <c r="G18" s="589">
        <f>'[4]TVSH BLERJE'!I34</f>
        <v>0</v>
      </c>
      <c r="H18" s="593"/>
      <c r="I18" s="584">
        <f t="shared" si="0"/>
        <v>0</v>
      </c>
      <c r="J18" s="585">
        <f t="shared" si="1"/>
        <v>0</v>
      </c>
      <c r="K18" s="586">
        <f t="shared" si="2"/>
        <v>0</v>
      </c>
      <c r="L18" s="582">
        <f t="shared" si="4"/>
        <v>-386963</v>
      </c>
      <c r="M18" s="589">
        <v>247844</v>
      </c>
      <c r="N18" s="587">
        <f t="shared" si="3"/>
        <v>634807</v>
      </c>
      <c r="O18" s="583"/>
    </row>
    <row r="19" spans="1:15">
      <c r="A19" s="751">
        <v>12</v>
      </c>
      <c r="B19" s="755" t="s">
        <v>361</v>
      </c>
      <c r="C19" s="588">
        <f>'[4]TVSH SHITJE '!H35</f>
        <v>0</v>
      </c>
      <c r="D19" s="589">
        <f>'[4]TVSH SHITJE '!I35</f>
        <v>0</v>
      </c>
      <c r="E19" s="583"/>
      <c r="F19" s="587"/>
      <c r="G19" s="589">
        <f>'[4]TVSH BLERJE'!I34</f>
        <v>0</v>
      </c>
      <c r="H19" s="590"/>
      <c r="I19" s="584">
        <v>1197553</v>
      </c>
      <c r="J19" s="585">
        <f t="shared" si="1"/>
        <v>0</v>
      </c>
      <c r="K19" s="586">
        <f t="shared" si="2"/>
        <v>1197553</v>
      </c>
      <c r="L19" s="582">
        <f t="shared" si="4"/>
        <v>562746</v>
      </c>
      <c r="M19" s="594">
        <v>263463</v>
      </c>
      <c r="N19" s="587">
        <f t="shared" si="3"/>
        <v>-299283</v>
      </c>
      <c r="O19" s="583"/>
    </row>
    <row r="20" spans="1:15">
      <c r="A20" s="751">
        <v>13</v>
      </c>
      <c r="B20" s="757" t="s">
        <v>362</v>
      </c>
      <c r="C20" s="595">
        <f>'[4]TVSH SHITJE '!H35</f>
        <v>0</v>
      </c>
      <c r="D20" s="596">
        <f>'[4]TVSH SHITJE '!I35</f>
        <v>0</v>
      </c>
      <c r="E20" s="583"/>
      <c r="F20" s="597"/>
      <c r="G20" s="596">
        <f>'[4]TVSH BLERJE'!J34</f>
        <v>0</v>
      </c>
      <c r="H20" s="598"/>
      <c r="I20" s="584">
        <f>(E20*0.2)</f>
        <v>0</v>
      </c>
      <c r="J20" s="585">
        <f t="shared" si="1"/>
        <v>0</v>
      </c>
      <c r="K20" s="586">
        <f t="shared" si="2"/>
        <v>0</v>
      </c>
      <c r="L20" s="582">
        <f t="shared" si="4"/>
        <v>299283</v>
      </c>
      <c r="M20" s="596">
        <v>30003</v>
      </c>
      <c r="N20" s="587">
        <f t="shared" si="3"/>
        <v>-269280</v>
      </c>
      <c r="O20" s="599"/>
    </row>
    <row r="21" spans="1:15" ht="14.4" thickBot="1">
      <c r="A21" s="758">
        <v>14</v>
      </c>
      <c r="B21" s="757" t="s">
        <v>363</v>
      </c>
      <c r="C21" s="595"/>
      <c r="D21" s="596"/>
      <c r="E21" s="599"/>
      <c r="F21" s="597"/>
      <c r="G21" s="596"/>
      <c r="H21" s="598"/>
      <c r="I21" s="600">
        <f>(E21*0.2)</f>
        <v>0</v>
      </c>
      <c r="J21" s="601">
        <f t="shared" si="1"/>
        <v>0</v>
      </c>
      <c r="K21" s="602">
        <f t="shared" si="2"/>
        <v>0</v>
      </c>
      <c r="L21" s="603">
        <f t="shared" si="4"/>
        <v>269280</v>
      </c>
      <c r="M21" s="604"/>
      <c r="N21" s="605">
        <f t="shared" si="3"/>
        <v>-269280</v>
      </c>
      <c r="O21" s="606"/>
    </row>
    <row r="22" spans="1:15" ht="15" thickTop="1" thickBot="1">
      <c r="A22" s="759"/>
      <c r="B22" s="760" t="s">
        <v>364</v>
      </c>
      <c r="C22" s="607"/>
      <c r="D22" s="608"/>
      <c r="E22" s="609">
        <f>SUM(E8:E21)</f>
        <v>0</v>
      </c>
      <c r="F22" s="610">
        <f t="shared" ref="F22:N22" si="5">SUM(F8:F21)</f>
        <v>0</v>
      </c>
      <c r="G22" s="608">
        <f t="shared" si="5"/>
        <v>0</v>
      </c>
      <c r="H22" s="611">
        <f t="shared" si="5"/>
        <v>0</v>
      </c>
      <c r="I22" s="607">
        <f>SUM(I8:I21)</f>
        <v>1197553</v>
      </c>
      <c r="J22" s="608">
        <f>SUM(J8:J21)</f>
        <v>0</v>
      </c>
      <c r="K22" s="609">
        <f>SUM(K8:K21)</f>
        <v>1197553</v>
      </c>
      <c r="L22" s="607">
        <f>SUM(L8:L21)</f>
        <v>307114</v>
      </c>
      <c r="M22" s="608">
        <f>SUM(M8:M21)</f>
        <v>928273</v>
      </c>
      <c r="N22" s="609">
        <f t="shared" si="5"/>
        <v>621159</v>
      </c>
      <c r="O22" s="612"/>
    </row>
    <row r="23" spans="1:15" ht="14.4" thickTop="1">
      <c r="A23" s="1418"/>
      <c r="B23" s="1420" t="s">
        <v>365</v>
      </c>
      <c r="C23" s="613">
        <f>SUM(C7:C21)</f>
        <v>0</v>
      </c>
      <c r="D23" s="614">
        <f>SUM(D7:D21)</f>
        <v>0</v>
      </c>
      <c r="E23" s="615">
        <f>E22+E7</f>
        <v>0</v>
      </c>
      <c r="F23" s="616">
        <f>F22+F7</f>
        <v>0</v>
      </c>
      <c r="G23" s="617">
        <f>G22+G7</f>
        <v>0</v>
      </c>
      <c r="H23" s="618">
        <f>H22+H7</f>
        <v>0</v>
      </c>
      <c r="I23" s="1422">
        <f>SUM(I7:I21)</f>
        <v>1197553</v>
      </c>
      <c r="J23" s="1427">
        <f>SUM(J7:J21)</f>
        <v>0</v>
      </c>
      <c r="K23" s="1435"/>
      <c r="L23" s="1433"/>
      <c r="M23" s="1445">
        <f>SUM(M9:M21)</f>
        <v>928273</v>
      </c>
      <c r="N23" s="1437"/>
      <c r="O23" s="1437"/>
    </row>
    <row r="24" spans="1:15" ht="14.4" thickBot="1">
      <c r="A24" s="1419"/>
      <c r="B24" s="1421"/>
      <c r="C24" s="619"/>
      <c r="D24" s="620"/>
      <c r="E24" s="621"/>
      <c r="F24" s="622"/>
      <c r="G24" s="623"/>
      <c r="H24" s="624"/>
      <c r="I24" s="1423"/>
      <c r="J24" s="1428"/>
      <c r="K24" s="1436"/>
      <c r="L24" s="1434"/>
      <c r="M24" s="1446"/>
      <c r="N24" s="1438"/>
      <c r="O24" s="1438"/>
    </row>
    <row r="25" spans="1:15" ht="14.4" thickTop="1">
      <c r="B25" s="761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</row>
    <row r="26" spans="1:15">
      <c r="B26" s="761"/>
      <c r="C26" s="625" t="s">
        <v>366</v>
      </c>
      <c r="D26" s="625"/>
      <c r="E26" s="626">
        <f>E23</f>
        <v>0</v>
      </c>
      <c r="F26" s="625"/>
      <c r="G26" s="626"/>
      <c r="H26" s="625"/>
      <c r="I26" s="625"/>
      <c r="J26" s="625"/>
      <c r="K26" s="625"/>
      <c r="L26" s="625"/>
      <c r="M26" s="627" t="e">
        <f>+M23/E23</f>
        <v>#DIV/0!</v>
      </c>
      <c r="N26" s="625"/>
      <c r="O26" s="625"/>
    </row>
    <row r="27" spans="1:15">
      <c r="C27" s="625" t="s">
        <v>367</v>
      </c>
      <c r="D27" s="625"/>
      <c r="E27" s="626">
        <f>-[5]Recovered_Sheet1!$I$506</f>
        <v>-15297225.920600001</v>
      </c>
      <c r="F27" s="625"/>
      <c r="G27" s="626"/>
      <c r="H27" s="628"/>
      <c r="I27" s="625"/>
      <c r="J27" s="625"/>
      <c r="K27" s="625"/>
      <c r="L27" s="625"/>
      <c r="M27" s="629"/>
      <c r="N27" s="625"/>
      <c r="O27" s="625"/>
    </row>
    <row r="28" spans="1:15">
      <c r="C28" s="625" t="s">
        <v>368</v>
      </c>
      <c r="D28" s="625"/>
      <c r="E28" s="630">
        <f>E26+E27</f>
        <v>-15297225.920600001</v>
      </c>
      <c r="F28" s="625"/>
      <c r="G28" s="626"/>
      <c r="H28" s="626"/>
      <c r="I28" s="625"/>
      <c r="J28" s="625"/>
      <c r="K28" s="625"/>
      <c r="L28" s="625"/>
      <c r="M28" s="625"/>
      <c r="N28" s="625"/>
      <c r="O28" s="625"/>
    </row>
    <row r="29" spans="1:15"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</row>
    <row r="30" spans="1:15">
      <c r="C30" s="625"/>
      <c r="D30" s="625"/>
      <c r="E30" s="628"/>
      <c r="F30" s="625"/>
      <c r="G30" s="626"/>
      <c r="H30" s="625"/>
      <c r="I30" s="625"/>
      <c r="J30" s="625"/>
      <c r="K30" s="631"/>
      <c r="L30" s="625"/>
      <c r="M30" s="625"/>
      <c r="N30" s="625"/>
      <c r="O30" s="625"/>
    </row>
    <row r="31" spans="1:15">
      <c r="C31" s="625"/>
      <c r="D31" s="625"/>
      <c r="E31" s="625"/>
      <c r="F31" s="625"/>
      <c r="G31" s="625"/>
      <c r="H31" s="625"/>
      <c r="I31" s="625"/>
      <c r="J31" s="632"/>
      <c r="K31" s="632"/>
      <c r="L31" s="632">
        <f>+L21+L30</f>
        <v>269280</v>
      </c>
      <c r="M31" s="632"/>
      <c r="N31" s="632"/>
      <c r="O31" s="625"/>
    </row>
    <row r="32" spans="1:15">
      <c r="C32" s="625"/>
      <c r="D32" s="625"/>
      <c r="E32" s="625"/>
      <c r="F32" s="625"/>
      <c r="G32" s="625"/>
      <c r="H32" s="625"/>
      <c r="I32" s="625"/>
      <c r="J32" s="632"/>
      <c r="K32" s="632"/>
      <c r="L32" s="632"/>
      <c r="M32" s="632"/>
      <c r="N32" s="632"/>
      <c r="O32" s="625"/>
    </row>
    <row r="33" spans="3:15" s="745" customFormat="1">
      <c r="C33" s="625"/>
      <c r="D33" s="625"/>
      <c r="E33" s="625"/>
      <c r="F33" s="625"/>
      <c r="G33" s="625"/>
      <c r="H33" s="625"/>
      <c r="I33" s="625"/>
      <c r="J33" s="632"/>
      <c r="K33" s="632"/>
      <c r="L33" s="632"/>
      <c r="M33" s="632"/>
      <c r="N33" s="632"/>
      <c r="O33" s="625"/>
    </row>
    <row r="34" spans="3:15" s="745" customFormat="1">
      <c r="C34" s="625"/>
      <c r="D34" s="625"/>
      <c r="E34" s="625"/>
      <c r="F34" s="625"/>
      <c r="G34" s="626"/>
      <c r="H34" s="626"/>
      <c r="I34" s="626"/>
      <c r="J34" s="632"/>
      <c r="K34" s="632"/>
      <c r="L34" s="632"/>
      <c r="M34" s="632"/>
      <c r="N34" s="632"/>
      <c r="O34" s="625"/>
    </row>
    <row r="35" spans="3:15" s="745" customFormat="1">
      <c r="C35" s="744"/>
      <c r="D35" s="744"/>
      <c r="E35" s="744"/>
      <c r="F35" s="744"/>
      <c r="G35" s="744"/>
      <c r="H35" s="744"/>
      <c r="I35" s="744"/>
      <c r="J35" s="762"/>
      <c r="K35" s="763"/>
      <c r="L35" s="763"/>
      <c r="M35" s="762"/>
      <c r="N35" s="762"/>
      <c r="O35" s="744"/>
    </row>
    <row r="36" spans="3:15" s="745" customFormat="1">
      <c r="C36" s="744"/>
      <c r="D36" s="744"/>
      <c r="E36" s="744"/>
      <c r="F36" s="744"/>
      <c r="G36" s="744"/>
      <c r="H36" s="744"/>
      <c r="I36" s="744"/>
      <c r="J36" s="762"/>
      <c r="K36" s="763"/>
      <c r="L36" s="763"/>
      <c r="M36" s="762"/>
      <c r="N36" s="762"/>
      <c r="O36" s="744"/>
    </row>
    <row r="37" spans="3:15" s="745" customFormat="1">
      <c r="C37" s="744"/>
      <c r="D37" s="744"/>
      <c r="E37" s="744"/>
      <c r="F37" s="744"/>
      <c r="G37" s="744"/>
      <c r="H37" s="744"/>
      <c r="I37" s="744"/>
      <c r="J37" s="762"/>
      <c r="K37" s="763"/>
      <c r="L37" s="763"/>
      <c r="M37" s="762"/>
      <c r="N37" s="762"/>
      <c r="O37" s="744"/>
    </row>
  </sheetData>
  <mergeCells count="18">
    <mergeCell ref="L5:L6"/>
    <mergeCell ref="L23:L24"/>
    <mergeCell ref="K23:K24"/>
    <mergeCell ref="O23:O24"/>
    <mergeCell ref="M5:M6"/>
    <mergeCell ref="N5:N6"/>
    <mergeCell ref="O5:O6"/>
    <mergeCell ref="M23:M24"/>
    <mergeCell ref="N23:N24"/>
    <mergeCell ref="A5:A6"/>
    <mergeCell ref="A23:A24"/>
    <mergeCell ref="B23:B24"/>
    <mergeCell ref="I23:I24"/>
    <mergeCell ref="B5:B6"/>
    <mergeCell ref="I5:K5"/>
    <mergeCell ref="J23:J24"/>
    <mergeCell ref="C5:E5"/>
    <mergeCell ref="F5:H5"/>
  </mergeCells>
  <phoneticPr fontId="86" type="noConversion"/>
  <printOptions horizontalCentered="1"/>
  <pageMargins left="0" right="0" top="0.5" bottom="0.5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B1:O54"/>
  <sheetViews>
    <sheetView showGridLines="0" workbookViewId="0">
      <selection activeCell="C10" sqref="C10"/>
    </sheetView>
  </sheetViews>
  <sheetFormatPr defaultRowHeight="13.2"/>
  <cols>
    <col min="2" max="2" width="37.88671875" customWidth="1"/>
    <col min="3" max="3" width="15.44140625" customWidth="1"/>
    <col min="4" max="4" width="19.109375" customWidth="1"/>
    <col min="5" max="5" width="17.44140625" customWidth="1"/>
    <col min="6" max="6" width="13.5546875" customWidth="1"/>
    <col min="7" max="7" width="13" hidden="1" customWidth="1"/>
    <col min="8" max="8" width="16.88671875" style="909" customWidth="1"/>
  </cols>
  <sheetData>
    <row r="1" spans="2:15" ht="13.8">
      <c r="B1" s="892" t="s">
        <v>491</v>
      </c>
    </row>
    <row r="3" spans="2:15" ht="17.399999999999999">
      <c r="B3" s="893" t="s">
        <v>492</v>
      </c>
    </row>
    <row r="4" spans="2:15">
      <c r="B4" s="894"/>
      <c r="C4" s="894"/>
      <c r="D4" s="894"/>
      <c r="E4" s="894"/>
      <c r="F4" s="894"/>
      <c r="G4" s="894"/>
      <c r="H4" s="910"/>
      <c r="I4" s="894"/>
      <c r="J4" s="894"/>
      <c r="K4" s="894"/>
      <c r="L4" s="894"/>
      <c r="M4" s="894"/>
      <c r="N4" s="894"/>
    </row>
    <row r="5" spans="2:15" ht="45.75" customHeight="1">
      <c r="B5" s="902"/>
      <c r="C5" s="903" t="s">
        <v>511</v>
      </c>
      <c r="D5" s="903" t="s">
        <v>510</v>
      </c>
      <c r="E5" s="903" t="s">
        <v>512</v>
      </c>
      <c r="F5" s="903" t="s">
        <v>513</v>
      </c>
      <c r="G5" s="903" t="s">
        <v>497</v>
      </c>
      <c r="H5" s="904" t="s">
        <v>936</v>
      </c>
      <c r="I5" s="895"/>
      <c r="J5" s="895"/>
      <c r="K5" s="895"/>
      <c r="L5" s="895"/>
      <c r="M5" s="895"/>
      <c r="N5" s="896"/>
      <c r="O5" s="897"/>
    </row>
    <row r="6" spans="2:15" ht="27.75" customHeight="1">
      <c r="B6" s="898" t="s">
        <v>507</v>
      </c>
      <c r="C6" s="906">
        <f>125361218.2+392628583</f>
        <v>517989801.19999999</v>
      </c>
      <c r="D6" s="906">
        <f>15017746.67+93912725</f>
        <v>108930471.67</v>
      </c>
      <c r="E6" s="906">
        <v>14429802.539999999</v>
      </c>
      <c r="F6" s="906">
        <v>4738558.53</v>
      </c>
      <c r="G6" s="906"/>
      <c r="H6" s="908">
        <f>SUM(C6:G6)</f>
        <v>646088633.93999994</v>
      </c>
      <c r="I6" s="896"/>
      <c r="J6" s="896"/>
      <c r="K6" s="896"/>
      <c r="L6" s="896"/>
      <c r="M6" s="896"/>
      <c r="N6" s="896"/>
      <c r="O6" s="897"/>
    </row>
    <row r="7" spans="2:15" ht="19.5" customHeight="1">
      <c r="B7" s="898" t="s">
        <v>498</v>
      </c>
      <c r="C7" s="907">
        <v>-58894287.5</v>
      </c>
      <c r="D7" s="907">
        <f>-2629151.21-32779591.05</f>
        <v>-35408742.259999998</v>
      </c>
      <c r="E7" s="907">
        <f>-3499278.07-5095597.64</f>
        <v>-8594875.709999999</v>
      </c>
      <c r="F7" s="907">
        <v>-2034982.11</v>
      </c>
      <c r="G7" s="907"/>
      <c r="H7" s="911">
        <f>SUM(C7:G7)</f>
        <v>-104932887.57999998</v>
      </c>
      <c r="I7" s="896"/>
      <c r="J7" s="896"/>
      <c r="K7" s="896"/>
      <c r="L7" s="896"/>
      <c r="M7" s="896"/>
      <c r="N7" s="896"/>
      <c r="O7" s="897"/>
    </row>
    <row r="8" spans="2:15" ht="15.6">
      <c r="B8" s="900" t="s">
        <v>508</v>
      </c>
      <c r="C8" s="908">
        <f t="shared" ref="C8:H8" si="0">SUM(C6:C7)</f>
        <v>459095513.69999999</v>
      </c>
      <c r="D8" s="908">
        <f>SUM(D6:D7)</f>
        <v>73521729.409999996</v>
      </c>
      <c r="E8" s="908">
        <f t="shared" si="0"/>
        <v>5834926.8300000001</v>
      </c>
      <c r="F8" s="908">
        <f t="shared" si="0"/>
        <v>2703576.42</v>
      </c>
      <c r="G8" s="908">
        <f t="shared" si="0"/>
        <v>0</v>
      </c>
      <c r="H8" s="908">
        <f t="shared" si="0"/>
        <v>541155746.3599999</v>
      </c>
      <c r="I8" s="896"/>
      <c r="J8" s="896"/>
      <c r="K8" s="896"/>
      <c r="L8" s="896"/>
      <c r="M8" s="896"/>
      <c r="N8" s="896"/>
      <c r="O8" s="897"/>
    </row>
    <row r="9" spans="2:15" ht="15.6">
      <c r="B9" s="898" t="s">
        <v>499</v>
      </c>
      <c r="C9" s="906">
        <f>C6</f>
        <v>517989801.19999999</v>
      </c>
      <c r="D9" s="906">
        <f>D6+D19+D20</f>
        <v>116021927.67</v>
      </c>
      <c r="E9" s="906">
        <f>E6+E19</f>
        <v>16070839.439999999</v>
      </c>
      <c r="F9" s="906">
        <f>F6+F19</f>
        <v>6034821.9800000004</v>
      </c>
      <c r="G9" s="906"/>
      <c r="H9" s="908">
        <f>SUM(C9:G9)</f>
        <v>656117390.29000008</v>
      </c>
      <c r="I9" s="896"/>
      <c r="J9" s="896"/>
      <c r="K9" s="896"/>
      <c r="L9" s="896"/>
      <c r="M9" s="896"/>
      <c r="N9" s="896"/>
      <c r="O9" s="897"/>
    </row>
    <row r="10" spans="2:15" ht="19.5" customHeight="1">
      <c r="B10" s="898" t="s">
        <v>498</v>
      </c>
      <c r="C10" s="907">
        <f>C7+C21</f>
        <v>-78525716.650000006</v>
      </c>
      <c r="D10" s="907">
        <f>D7+D21+D22</f>
        <v>-48759815.259999998</v>
      </c>
      <c r="E10" s="907">
        <f>E7+E21</f>
        <v>-10291631.239999998</v>
      </c>
      <c r="F10" s="907">
        <f>F7+F21</f>
        <v>-2706691.39</v>
      </c>
      <c r="G10" s="907"/>
      <c r="H10" s="911">
        <f>SUM(C10:G10)</f>
        <v>-140283854.53999999</v>
      </c>
      <c r="I10" s="896"/>
      <c r="J10" s="896"/>
      <c r="K10" s="896"/>
      <c r="L10" s="896"/>
      <c r="M10" s="896"/>
      <c r="N10" s="896"/>
      <c r="O10" s="897"/>
    </row>
    <row r="11" spans="2:15" ht="15.6">
      <c r="B11" s="900" t="s">
        <v>505</v>
      </c>
      <c r="C11" s="908">
        <f t="shared" ref="C11:H11" si="1">SUM(C9:C10)</f>
        <v>439464084.54999995</v>
      </c>
      <c r="D11" s="908">
        <f t="shared" si="1"/>
        <v>67262112.409999996</v>
      </c>
      <c r="E11" s="908">
        <f t="shared" si="1"/>
        <v>5779208.2000000011</v>
      </c>
      <c r="F11" s="908">
        <f t="shared" si="1"/>
        <v>3328130.5900000003</v>
      </c>
      <c r="G11" s="908">
        <f t="shared" si="1"/>
        <v>0</v>
      </c>
      <c r="H11" s="908">
        <f t="shared" si="1"/>
        <v>515833535.75000012</v>
      </c>
      <c r="I11" s="896"/>
      <c r="J11" s="896"/>
      <c r="K11" s="896"/>
      <c r="L11" s="896"/>
      <c r="M11" s="896"/>
      <c r="N11" s="896"/>
      <c r="O11" s="897"/>
    </row>
    <row r="12" spans="2:15" ht="15.6">
      <c r="B12" s="898" t="s">
        <v>499</v>
      </c>
      <c r="C12" s="906">
        <f>C9</f>
        <v>517989801.19999999</v>
      </c>
      <c r="D12" s="906">
        <f>D9+D25+D26</f>
        <v>142605588.17000002</v>
      </c>
      <c r="E12" s="906">
        <f>E9+E25</f>
        <v>17445370.439999998</v>
      </c>
      <c r="F12" s="906">
        <f>F9+F25</f>
        <v>7953629.9800000004</v>
      </c>
      <c r="G12" s="906"/>
      <c r="H12" s="908">
        <f>SUM(C12:G12)</f>
        <v>685994389.78999996</v>
      </c>
      <c r="I12" s="896"/>
      <c r="J12" s="896"/>
      <c r="K12" s="896"/>
      <c r="L12" s="896"/>
      <c r="M12" s="896"/>
      <c r="N12" s="896"/>
      <c r="O12" s="897"/>
    </row>
    <row r="13" spans="2:15" ht="19.5" customHeight="1">
      <c r="B13" s="898" t="s">
        <v>498</v>
      </c>
      <c r="C13" s="907">
        <f>C10+C27</f>
        <v>-98157145.800000012</v>
      </c>
      <c r="D13" s="907">
        <f>D10+D27+D28</f>
        <v>-60519810.780000001</v>
      </c>
      <c r="E13" s="907">
        <f>E10+E27</f>
        <v>-11812202.759999998</v>
      </c>
      <c r="F13" s="907">
        <f>F10+F27</f>
        <v>-3352998.92</v>
      </c>
      <c r="G13" s="907"/>
      <c r="H13" s="911">
        <f>SUM(C13:G13)</f>
        <v>-173842158.25999999</v>
      </c>
      <c r="I13" s="896"/>
      <c r="J13" s="896"/>
      <c r="K13" s="896"/>
      <c r="L13" s="896"/>
      <c r="M13" s="896"/>
      <c r="N13" s="896"/>
      <c r="O13" s="897"/>
    </row>
    <row r="14" spans="2:15" ht="15.6">
      <c r="B14" s="900" t="s">
        <v>509</v>
      </c>
      <c r="C14" s="908">
        <f t="shared" ref="C14:H14" si="2">SUM(C12:C13)</f>
        <v>419832655.39999998</v>
      </c>
      <c r="D14" s="908">
        <f t="shared" si="2"/>
        <v>82085777.390000015</v>
      </c>
      <c r="E14" s="908">
        <f t="shared" si="2"/>
        <v>5633167.6799999997</v>
      </c>
      <c r="F14" s="908">
        <f t="shared" si="2"/>
        <v>4600631.0600000005</v>
      </c>
      <c r="G14" s="908">
        <f t="shared" si="2"/>
        <v>0</v>
      </c>
      <c r="H14" s="908">
        <f t="shared" si="2"/>
        <v>512152231.52999997</v>
      </c>
      <c r="I14" s="896"/>
      <c r="J14" s="896"/>
      <c r="K14" s="896"/>
      <c r="L14" s="896"/>
      <c r="M14" s="896"/>
      <c r="N14" s="896"/>
      <c r="O14" s="897"/>
    </row>
    <row r="15" spans="2:15" ht="15.6">
      <c r="B15" s="898"/>
      <c r="C15" s="898"/>
      <c r="D15" s="898"/>
      <c r="E15" s="898"/>
      <c r="F15" s="898"/>
      <c r="G15" s="898"/>
      <c r="H15" s="900"/>
      <c r="I15" s="896"/>
      <c r="J15" s="896"/>
      <c r="K15" s="896"/>
      <c r="L15" s="896"/>
      <c r="M15" s="896"/>
      <c r="N15" s="896"/>
      <c r="O15" s="897"/>
    </row>
    <row r="16" spans="2:15" ht="15.6">
      <c r="B16" s="898"/>
      <c r="C16" s="898"/>
      <c r="D16" s="898"/>
      <c r="E16" s="898"/>
      <c r="F16" s="898"/>
      <c r="G16" s="898"/>
      <c r="H16" s="900"/>
      <c r="I16" s="896"/>
      <c r="J16" s="896"/>
      <c r="K16" s="896"/>
      <c r="L16" s="896"/>
      <c r="M16" s="896"/>
      <c r="N16" s="896"/>
      <c r="O16" s="897"/>
    </row>
    <row r="17" spans="2:15" ht="46.8">
      <c r="B17" s="902"/>
      <c r="C17" s="903" t="s">
        <v>493</v>
      </c>
      <c r="D17" s="903" t="s">
        <v>494</v>
      </c>
      <c r="E17" s="903" t="s">
        <v>495</v>
      </c>
      <c r="F17" s="903" t="s">
        <v>496</v>
      </c>
      <c r="G17" s="903" t="s">
        <v>497</v>
      </c>
      <c r="H17" s="904" t="s">
        <v>936</v>
      </c>
      <c r="I17" s="896"/>
      <c r="J17" s="896"/>
      <c r="K17" s="896"/>
      <c r="L17" s="896"/>
      <c r="M17" s="896"/>
      <c r="N17" s="896"/>
      <c r="O17" s="897"/>
    </row>
    <row r="18" spans="2:15" ht="15.6">
      <c r="B18" s="900" t="s">
        <v>506</v>
      </c>
      <c r="C18" s="901">
        <f>C8</f>
        <v>459095513.69999999</v>
      </c>
      <c r="D18" s="901">
        <f>D8</f>
        <v>73521729.409999996</v>
      </c>
      <c r="E18" s="901">
        <f>E8</f>
        <v>5834926.8300000001</v>
      </c>
      <c r="F18" s="901">
        <f>F8</f>
        <v>2703576.42</v>
      </c>
      <c r="G18" s="900"/>
      <c r="H18" s="901">
        <f>H8</f>
        <v>541155746.3599999</v>
      </c>
      <c r="I18" s="896"/>
      <c r="J18" s="896"/>
      <c r="K18" s="896"/>
      <c r="L18" s="896"/>
      <c r="M18" s="896"/>
      <c r="N18" s="896"/>
      <c r="O18" s="897"/>
    </row>
    <row r="19" spans="2:15" ht="15.6">
      <c r="B19" s="898" t="s">
        <v>500</v>
      </c>
      <c r="C19" s="899"/>
      <c r="D19" s="899">
        <f>36500+10043156</f>
        <v>10079656</v>
      </c>
      <c r="E19" s="899">
        <v>1641036.9</v>
      </c>
      <c r="F19" s="899">
        <v>1296263.45</v>
      </c>
      <c r="G19" s="899"/>
      <c r="H19" s="901">
        <f>SUM(C19:G19)</f>
        <v>13016956.35</v>
      </c>
      <c r="I19" s="896"/>
      <c r="J19" s="896"/>
      <c r="K19" s="896"/>
      <c r="L19" s="896"/>
      <c r="M19" s="896"/>
      <c r="N19" s="896"/>
      <c r="O19" s="897"/>
    </row>
    <row r="20" spans="2:15" ht="15.6">
      <c r="B20" s="898" t="s">
        <v>501</v>
      </c>
      <c r="C20" s="899"/>
      <c r="D20" s="899">
        <v>-2988200</v>
      </c>
      <c r="E20" s="899"/>
      <c r="F20" s="899"/>
      <c r="G20" s="899"/>
      <c r="H20" s="901">
        <f>SUM(C20:G20)</f>
        <v>-2988200</v>
      </c>
      <c r="I20" s="896"/>
      <c r="J20" s="896"/>
      <c r="K20" s="896"/>
      <c r="L20" s="896"/>
      <c r="M20" s="896"/>
      <c r="N20" s="896"/>
      <c r="O20" s="897"/>
    </row>
    <row r="21" spans="2:15" ht="15.6">
      <c r="B21" s="898" t="s">
        <v>502</v>
      </c>
      <c r="C21" s="899">
        <v>-19631429.149999999</v>
      </c>
      <c r="D21" s="899">
        <f>-1142664.62-13498563.77</f>
        <v>-14641228.390000001</v>
      </c>
      <c r="E21" s="899">
        <f>-394781.79-1301973.74</f>
        <v>-1696755.53</v>
      </c>
      <c r="F21" s="899">
        <v>-671709.28</v>
      </c>
      <c r="G21" s="899"/>
      <c r="H21" s="901">
        <f>SUM(C21:G21)</f>
        <v>-36641122.350000001</v>
      </c>
      <c r="I21" s="896"/>
      <c r="J21" s="896"/>
      <c r="K21" s="896"/>
      <c r="L21" s="896"/>
      <c r="M21" s="896"/>
      <c r="N21" s="896"/>
      <c r="O21" s="897"/>
    </row>
    <row r="22" spans="2:15" ht="15.6">
      <c r="B22" s="898" t="s">
        <v>503</v>
      </c>
      <c r="C22" s="899"/>
      <c r="D22" s="899">
        <f>1276580.18+13575.21</f>
        <v>1290155.3899999999</v>
      </c>
      <c r="E22" s="899"/>
      <c r="F22" s="899"/>
      <c r="G22" s="899"/>
      <c r="H22" s="901">
        <f>SUM(C22:G22)</f>
        <v>1290155.3899999999</v>
      </c>
      <c r="I22" s="896"/>
      <c r="J22" s="896"/>
      <c r="K22" s="896"/>
      <c r="L22" s="896"/>
      <c r="M22" s="896"/>
      <c r="N22" s="896"/>
      <c r="O22" s="897"/>
    </row>
    <row r="23" spans="2:15" ht="15.6">
      <c r="B23" s="898" t="s">
        <v>977</v>
      </c>
      <c r="C23" s="905"/>
      <c r="D23" s="905"/>
      <c r="E23" s="905"/>
      <c r="F23" s="905"/>
      <c r="G23" s="905"/>
      <c r="H23" s="912"/>
      <c r="I23" s="896"/>
      <c r="J23" s="896"/>
      <c r="K23" s="896"/>
      <c r="L23" s="896"/>
      <c r="M23" s="896"/>
      <c r="N23" s="896"/>
      <c r="O23" s="897"/>
    </row>
    <row r="24" spans="2:15" ht="15.6">
      <c r="B24" s="900" t="s">
        <v>505</v>
      </c>
      <c r="C24" s="901">
        <f t="shared" ref="C24:H24" si="3">SUM(C18:C23)</f>
        <v>439464084.55000001</v>
      </c>
      <c r="D24" s="901">
        <f t="shared" si="3"/>
        <v>67262112.409999996</v>
      </c>
      <c r="E24" s="901">
        <f t="shared" si="3"/>
        <v>5779208.2000000002</v>
      </c>
      <c r="F24" s="901">
        <f t="shared" si="3"/>
        <v>3328130.59</v>
      </c>
      <c r="G24" s="901">
        <f t="shared" si="3"/>
        <v>0</v>
      </c>
      <c r="H24" s="901">
        <f t="shared" si="3"/>
        <v>515833535.74999988</v>
      </c>
      <c r="I24" s="896"/>
      <c r="J24" s="896"/>
      <c r="K24" s="896"/>
      <c r="L24" s="896"/>
      <c r="M24" s="896"/>
      <c r="N24" s="896"/>
      <c r="O24" s="897"/>
    </row>
    <row r="25" spans="2:15" ht="15.6">
      <c r="B25" s="898" t="s">
        <v>500</v>
      </c>
      <c r="C25" s="899"/>
      <c r="D25" s="899">
        <f>1148970+30638205</f>
        <v>31787175</v>
      </c>
      <c r="E25" s="899">
        <f>1374531</f>
        <v>1374531</v>
      </c>
      <c r="F25" s="899">
        <v>1918808</v>
      </c>
      <c r="G25" s="899"/>
      <c r="H25" s="901">
        <f>SUM(C25:G25)</f>
        <v>35080514</v>
      </c>
      <c r="I25" s="896"/>
      <c r="J25" s="896"/>
      <c r="K25" s="896"/>
      <c r="L25" s="896"/>
      <c r="M25" s="896"/>
      <c r="N25" s="896"/>
      <c r="O25" s="897"/>
    </row>
    <row r="26" spans="2:15" ht="15.6">
      <c r="B26" s="898" t="s">
        <v>501</v>
      </c>
      <c r="C26" s="899"/>
      <c r="D26" s="899">
        <v>-5203514.5</v>
      </c>
      <c r="E26" s="899"/>
      <c r="F26" s="899"/>
      <c r="G26" s="899"/>
      <c r="H26" s="901">
        <f>SUM(D26:G26)</f>
        <v>-5203514.5</v>
      </c>
      <c r="I26" s="896"/>
      <c r="J26" s="896"/>
      <c r="K26" s="896"/>
      <c r="L26" s="896"/>
      <c r="M26" s="896"/>
      <c r="N26" s="896"/>
      <c r="O26" s="897"/>
    </row>
    <row r="27" spans="2:15" ht="15.6">
      <c r="B27" s="898" t="s">
        <v>502</v>
      </c>
      <c r="C27" s="899">
        <v>-19631429.149999999</v>
      </c>
      <c r="D27" s="899">
        <f>-1032941.96-13935144.61</f>
        <v>-14968086.57</v>
      </c>
      <c r="E27" s="899">
        <f>-318938.63-1201632.89</f>
        <v>-1520571.52</v>
      </c>
      <c r="F27" s="899">
        <v>-646307.53</v>
      </c>
      <c r="G27" s="899"/>
      <c r="H27" s="901">
        <f>SUM(C27:G27)</f>
        <v>-36766394.770000003</v>
      </c>
      <c r="I27" s="896"/>
      <c r="J27" s="896"/>
      <c r="K27" s="896"/>
      <c r="L27" s="896"/>
      <c r="M27" s="896"/>
      <c r="N27" s="896"/>
      <c r="O27" s="897"/>
    </row>
    <row r="28" spans="2:15" ht="15.6">
      <c r="B28" s="898" t="s">
        <v>503</v>
      </c>
      <c r="C28" s="899"/>
      <c r="D28" s="899">
        <f>2949375.33+258715.72</f>
        <v>3208091.0500000003</v>
      </c>
      <c r="E28" s="899"/>
      <c r="F28" s="899"/>
      <c r="G28" s="899"/>
      <c r="H28" s="901">
        <f>SUM(D28:G28)</f>
        <v>3208091.0500000003</v>
      </c>
      <c r="I28" s="896"/>
      <c r="J28" s="896"/>
      <c r="K28" s="896"/>
      <c r="L28" s="896"/>
      <c r="M28" s="896"/>
      <c r="N28" s="896"/>
      <c r="O28" s="897"/>
    </row>
    <row r="29" spans="2:15" ht="15.6">
      <c r="B29" s="898" t="s">
        <v>977</v>
      </c>
      <c r="C29" s="899"/>
      <c r="D29" s="899"/>
      <c r="E29" s="899"/>
      <c r="F29" s="899"/>
      <c r="G29" s="899"/>
      <c r="H29" s="901"/>
      <c r="I29" s="896"/>
      <c r="J29" s="896"/>
      <c r="K29" s="896"/>
      <c r="L29" s="896"/>
      <c r="M29" s="896"/>
      <c r="N29" s="896"/>
      <c r="O29" s="897"/>
    </row>
    <row r="30" spans="2:15" ht="15.6">
      <c r="B30" s="900" t="s">
        <v>504</v>
      </c>
      <c r="C30" s="901">
        <f t="shared" ref="C30:H30" si="4">SUM(C24:C29)</f>
        <v>419832655.40000004</v>
      </c>
      <c r="D30" s="901">
        <f t="shared" si="4"/>
        <v>82085777.390000001</v>
      </c>
      <c r="E30" s="901">
        <f t="shared" si="4"/>
        <v>5633167.6799999997</v>
      </c>
      <c r="F30" s="901">
        <f t="shared" si="4"/>
        <v>4600631.0599999996</v>
      </c>
      <c r="G30" s="901">
        <f t="shared" si="4"/>
        <v>0</v>
      </c>
      <c r="H30" s="901">
        <f t="shared" si="4"/>
        <v>512152231.52999991</v>
      </c>
      <c r="I30" s="896"/>
      <c r="J30" s="896"/>
      <c r="K30" s="896"/>
      <c r="L30" s="896"/>
      <c r="M30" s="896"/>
      <c r="N30" s="896"/>
      <c r="O30" s="897"/>
    </row>
    <row r="31" spans="2:15" ht="15.6">
      <c r="B31" s="898"/>
      <c r="C31" s="898"/>
      <c r="D31" s="898"/>
      <c r="E31" s="898"/>
      <c r="F31" s="898"/>
      <c r="G31" s="898"/>
      <c r="H31" s="901"/>
      <c r="I31" s="896"/>
      <c r="J31" s="896"/>
      <c r="K31" s="896"/>
      <c r="L31" s="896"/>
      <c r="M31" s="896"/>
      <c r="N31" s="896"/>
      <c r="O31" s="897"/>
    </row>
    <row r="32" spans="2:15" ht="15.6">
      <c r="B32" s="898"/>
      <c r="C32" s="898"/>
      <c r="D32" s="898"/>
      <c r="E32" s="898"/>
      <c r="F32" s="898"/>
      <c r="G32" s="898"/>
      <c r="H32" s="901"/>
      <c r="I32" s="896"/>
      <c r="J32" s="896"/>
      <c r="K32" s="896"/>
      <c r="L32" s="896"/>
      <c r="M32" s="896"/>
      <c r="N32" s="896"/>
      <c r="O32" s="897"/>
    </row>
    <row r="33" spans="2:15" ht="15.6">
      <c r="B33" s="898"/>
      <c r="C33" s="898"/>
      <c r="D33" s="898"/>
      <c r="E33" s="898"/>
      <c r="F33" s="898"/>
      <c r="G33" s="898"/>
      <c r="H33" s="900"/>
      <c r="I33" s="896"/>
      <c r="J33" s="896"/>
      <c r="K33" s="896"/>
      <c r="L33" s="896"/>
      <c r="M33" s="896"/>
      <c r="N33" s="896"/>
      <c r="O33" s="897"/>
    </row>
    <row r="34" spans="2:15" ht="15.6">
      <c r="B34" s="898"/>
      <c r="C34" s="898"/>
      <c r="D34" s="898"/>
      <c r="E34" s="898"/>
      <c r="F34" s="898"/>
      <c r="G34" s="898"/>
      <c r="H34" s="900"/>
      <c r="I34" s="896"/>
      <c r="J34" s="896"/>
      <c r="K34" s="896"/>
      <c r="L34" s="896"/>
      <c r="M34" s="896"/>
      <c r="N34" s="896"/>
      <c r="O34" s="897"/>
    </row>
    <row r="35" spans="2:15" ht="15.6">
      <c r="B35" s="898"/>
      <c r="C35" s="898"/>
      <c r="D35" s="898"/>
      <c r="E35" s="898"/>
      <c r="F35" s="898"/>
      <c r="G35" s="898"/>
      <c r="H35" s="900"/>
      <c r="I35" s="896"/>
      <c r="J35" s="896"/>
      <c r="K35" s="896"/>
      <c r="L35" s="896"/>
      <c r="M35" s="896"/>
      <c r="N35" s="896"/>
      <c r="O35" s="897"/>
    </row>
    <row r="36" spans="2:15">
      <c r="B36" s="890"/>
      <c r="C36" s="890"/>
      <c r="D36" s="890"/>
      <c r="E36" s="890"/>
      <c r="F36" s="890"/>
      <c r="G36" s="890"/>
      <c r="H36" s="913"/>
    </row>
    <row r="37" spans="2:15">
      <c r="B37" s="890"/>
      <c r="C37" s="890"/>
      <c r="D37" s="890"/>
      <c r="E37" s="890"/>
      <c r="F37" s="890"/>
      <c r="G37" s="890"/>
      <c r="H37" s="913"/>
    </row>
    <row r="38" spans="2:15">
      <c r="B38" s="890"/>
      <c r="C38" s="890"/>
      <c r="D38" s="890"/>
      <c r="E38" s="890"/>
      <c r="F38" s="890"/>
      <c r="G38" s="890"/>
      <c r="H38" s="913"/>
    </row>
    <row r="39" spans="2:15">
      <c r="B39" s="890"/>
      <c r="C39" s="890"/>
      <c r="D39" s="890"/>
      <c r="E39" s="890"/>
      <c r="F39" s="890"/>
      <c r="G39" s="890"/>
      <c r="H39" s="913"/>
    </row>
    <row r="40" spans="2:15">
      <c r="B40" s="890"/>
      <c r="C40" s="890"/>
      <c r="D40" s="890"/>
      <c r="E40" s="890"/>
      <c r="F40" s="890"/>
      <c r="G40" s="890"/>
      <c r="H40" s="913"/>
    </row>
    <row r="41" spans="2:15">
      <c r="B41" s="890"/>
      <c r="C41" s="890"/>
      <c r="D41" s="890"/>
      <c r="E41" s="890"/>
      <c r="F41" s="890"/>
      <c r="G41" s="890"/>
      <c r="H41" s="913"/>
    </row>
    <row r="42" spans="2:15">
      <c r="B42" s="890"/>
      <c r="C42" s="890"/>
      <c r="D42" s="890"/>
      <c r="E42" s="890"/>
      <c r="F42" s="890"/>
      <c r="G42" s="890"/>
      <c r="H42" s="913"/>
    </row>
    <row r="43" spans="2:15">
      <c r="B43" s="890"/>
      <c r="C43" s="890"/>
      <c r="D43" s="890"/>
      <c r="E43" s="890"/>
      <c r="F43" s="890"/>
      <c r="G43" s="890"/>
      <c r="H43" s="913"/>
    </row>
    <row r="44" spans="2:15">
      <c r="B44" s="890"/>
      <c r="C44" s="890"/>
      <c r="D44" s="890"/>
      <c r="E44" s="890"/>
      <c r="F44" s="890"/>
      <c r="G44" s="890"/>
      <c r="H44" s="913"/>
    </row>
    <row r="45" spans="2:15">
      <c r="B45" s="890"/>
      <c r="C45" s="890"/>
      <c r="D45" s="890"/>
      <c r="E45" s="890"/>
      <c r="F45" s="890"/>
      <c r="G45" s="890"/>
      <c r="H45" s="913"/>
    </row>
    <row r="46" spans="2:15">
      <c r="B46" s="890"/>
      <c r="C46" s="890"/>
      <c r="D46" s="890"/>
      <c r="E46" s="890"/>
      <c r="F46" s="890"/>
      <c r="G46" s="890"/>
      <c r="H46" s="913"/>
    </row>
    <row r="47" spans="2:15">
      <c r="B47" s="890"/>
      <c r="C47" s="890"/>
      <c r="D47" s="890"/>
      <c r="E47" s="890"/>
      <c r="F47" s="890"/>
      <c r="G47" s="890"/>
      <c r="H47" s="913"/>
    </row>
    <row r="48" spans="2:15">
      <c r="B48" s="890"/>
      <c r="C48" s="890"/>
      <c r="D48" s="890"/>
      <c r="E48" s="890"/>
      <c r="F48" s="890"/>
      <c r="G48" s="890"/>
      <c r="H48" s="913"/>
    </row>
    <row r="49" spans="2:8">
      <c r="B49" s="890"/>
      <c r="C49" s="890"/>
      <c r="D49" s="890"/>
      <c r="E49" s="890"/>
      <c r="F49" s="890"/>
      <c r="G49" s="890"/>
      <c r="H49" s="913"/>
    </row>
    <row r="50" spans="2:8">
      <c r="B50" s="890"/>
      <c r="C50" s="890"/>
      <c r="D50" s="890"/>
      <c r="E50" s="890"/>
      <c r="F50" s="890"/>
      <c r="G50" s="890"/>
      <c r="H50" s="913"/>
    </row>
    <row r="51" spans="2:8">
      <c r="B51" s="890"/>
      <c r="C51" s="890"/>
      <c r="D51" s="890"/>
      <c r="E51" s="890"/>
      <c r="F51" s="890"/>
      <c r="G51" s="890"/>
      <c r="H51" s="913"/>
    </row>
    <row r="52" spans="2:8">
      <c r="B52" s="890"/>
      <c r="C52" s="890"/>
      <c r="D52" s="890"/>
      <c r="E52" s="890"/>
      <c r="F52" s="890"/>
      <c r="G52" s="890"/>
      <c r="H52" s="913"/>
    </row>
    <row r="53" spans="2:8">
      <c r="B53" s="890"/>
      <c r="C53" s="890"/>
      <c r="D53" s="890"/>
      <c r="E53" s="890"/>
      <c r="F53" s="890"/>
      <c r="G53" s="890"/>
      <c r="H53" s="913"/>
    </row>
    <row r="54" spans="2:8">
      <c r="B54" s="890"/>
      <c r="C54" s="890"/>
      <c r="D54" s="890"/>
      <c r="E54" s="890"/>
      <c r="F54" s="890"/>
      <c r="G54" s="890"/>
      <c r="H54" s="913"/>
    </row>
  </sheetData>
  <phoneticPr fontId="86" type="noConversion"/>
  <pageMargins left="0.32" right="0.23" top="0.36" bottom="0.28999999999999998" header="0.32" footer="0.26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IV37"/>
  <sheetViews>
    <sheetView showGridLines="0" defaultGridColor="0" view="pageBreakPreview" colorId="18" zoomScaleNormal="85" zoomScaleSheetLayoutView="100" workbookViewId="0">
      <selection activeCell="J19" sqref="J19"/>
    </sheetView>
  </sheetViews>
  <sheetFormatPr defaultColWidth="9" defaultRowHeight="13.8"/>
  <cols>
    <col min="1" max="1" width="6" style="244" customWidth="1"/>
    <col min="2" max="2" width="4.44140625" style="244" customWidth="1"/>
    <col min="3" max="3" width="41.88671875" style="244" customWidth="1"/>
    <col min="4" max="4" width="19" style="244" customWidth="1"/>
    <col min="5" max="5" width="16.33203125" style="244" customWidth="1"/>
    <col min="6" max="7" width="5.5546875" style="525" customWidth="1"/>
    <col min="8" max="8" width="4.6640625" style="244" customWidth="1"/>
    <col min="9" max="16384" width="9" style="244"/>
  </cols>
  <sheetData>
    <row r="1" spans="1:256">
      <c r="A1" s="512"/>
      <c r="B1" s="513"/>
      <c r="C1" s="513"/>
      <c r="D1" s="513"/>
      <c r="E1" s="513"/>
      <c r="F1" s="818"/>
      <c r="G1" s="818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  <c r="AG1" s="513"/>
      <c r="AH1" s="513"/>
      <c r="AI1" s="513"/>
      <c r="AJ1" s="513"/>
      <c r="AK1" s="513"/>
      <c r="AL1" s="513"/>
      <c r="AM1" s="513"/>
      <c r="AN1" s="513"/>
      <c r="AO1" s="513"/>
      <c r="AP1" s="513"/>
      <c r="AQ1" s="513"/>
      <c r="AR1" s="513"/>
      <c r="AS1" s="513"/>
      <c r="AT1" s="513"/>
      <c r="AU1" s="513"/>
      <c r="AV1" s="513"/>
      <c r="AW1" s="513"/>
      <c r="AX1" s="513"/>
      <c r="AY1" s="513"/>
      <c r="AZ1" s="513"/>
      <c r="BA1" s="513"/>
      <c r="BB1" s="513"/>
      <c r="BC1" s="513"/>
      <c r="BD1" s="513"/>
      <c r="BE1" s="513"/>
      <c r="BF1" s="513"/>
      <c r="BG1" s="513"/>
      <c r="BH1" s="513"/>
      <c r="BI1" s="513"/>
      <c r="BJ1" s="513"/>
      <c r="BK1" s="513"/>
      <c r="BL1" s="513"/>
      <c r="BM1" s="513"/>
      <c r="BN1" s="513"/>
      <c r="BO1" s="513"/>
      <c r="BP1" s="513"/>
      <c r="BQ1" s="513"/>
      <c r="BR1" s="513"/>
      <c r="BS1" s="513"/>
      <c r="BT1" s="513"/>
      <c r="BU1" s="513"/>
      <c r="BV1" s="513"/>
      <c r="BW1" s="513"/>
      <c r="BX1" s="513"/>
      <c r="BY1" s="513"/>
      <c r="BZ1" s="513"/>
      <c r="CA1" s="513"/>
      <c r="CB1" s="513"/>
      <c r="CC1" s="513"/>
      <c r="CD1" s="513"/>
      <c r="CE1" s="513"/>
      <c r="CF1" s="513"/>
      <c r="CG1" s="513"/>
      <c r="CH1" s="513"/>
      <c r="CI1" s="513"/>
      <c r="CJ1" s="513"/>
      <c r="CK1" s="513"/>
      <c r="CL1" s="513"/>
      <c r="CM1" s="513"/>
      <c r="CN1" s="513"/>
      <c r="CO1" s="513"/>
      <c r="CP1" s="513"/>
      <c r="CQ1" s="513"/>
      <c r="CR1" s="513"/>
      <c r="CS1" s="513"/>
      <c r="CT1" s="513"/>
      <c r="CU1" s="513"/>
      <c r="CV1" s="513"/>
      <c r="CW1" s="513"/>
      <c r="CX1" s="513"/>
      <c r="CY1" s="513"/>
      <c r="CZ1" s="513"/>
      <c r="DA1" s="513"/>
      <c r="DB1" s="513"/>
      <c r="DC1" s="513"/>
      <c r="DD1" s="513"/>
      <c r="DE1" s="513"/>
      <c r="DF1" s="513"/>
      <c r="DG1" s="513"/>
      <c r="DH1" s="513"/>
      <c r="DI1" s="513"/>
      <c r="DJ1" s="513"/>
      <c r="DK1" s="513"/>
      <c r="DL1" s="513"/>
      <c r="DM1" s="513"/>
      <c r="DN1" s="513"/>
      <c r="DO1" s="513"/>
      <c r="DP1" s="513"/>
      <c r="DQ1" s="513"/>
      <c r="DR1" s="513"/>
      <c r="DS1" s="513"/>
      <c r="DT1" s="513"/>
      <c r="DU1" s="513"/>
      <c r="DV1" s="513"/>
      <c r="DW1" s="513"/>
      <c r="DX1" s="513"/>
      <c r="DY1" s="513"/>
      <c r="DZ1" s="513"/>
      <c r="EA1" s="513"/>
      <c r="EB1" s="513"/>
      <c r="EC1" s="513"/>
      <c r="ED1" s="513"/>
      <c r="EE1" s="513"/>
      <c r="EF1" s="513"/>
      <c r="EG1" s="513"/>
      <c r="EH1" s="513"/>
      <c r="EI1" s="513"/>
      <c r="EJ1" s="513"/>
      <c r="EK1" s="513"/>
      <c r="EL1" s="513"/>
      <c r="EM1" s="513"/>
      <c r="EN1" s="513"/>
      <c r="EO1" s="513"/>
      <c r="EP1" s="513"/>
      <c r="EQ1" s="513"/>
      <c r="ER1" s="513"/>
      <c r="ES1" s="513"/>
      <c r="ET1" s="513"/>
      <c r="EU1" s="513"/>
      <c r="EV1" s="513"/>
      <c r="EW1" s="513"/>
      <c r="EX1" s="513"/>
      <c r="EY1" s="513"/>
      <c r="EZ1" s="513"/>
      <c r="FA1" s="513"/>
      <c r="FB1" s="513"/>
      <c r="FC1" s="513"/>
      <c r="FD1" s="513"/>
      <c r="FE1" s="513"/>
      <c r="FF1" s="513"/>
      <c r="FG1" s="513"/>
      <c r="FH1" s="513"/>
      <c r="FI1" s="513"/>
      <c r="FJ1" s="513"/>
      <c r="FK1" s="513"/>
      <c r="FL1" s="513"/>
      <c r="FM1" s="513"/>
      <c r="FN1" s="513"/>
      <c r="FO1" s="513"/>
      <c r="FP1" s="513"/>
      <c r="FQ1" s="513"/>
      <c r="FR1" s="513"/>
      <c r="FS1" s="513"/>
      <c r="FT1" s="513"/>
      <c r="FU1" s="513"/>
      <c r="FV1" s="513"/>
      <c r="FW1" s="513"/>
      <c r="FX1" s="513"/>
      <c r="FY1" s="513"/>
      <c r="FZ1" s="513"/>
      <c r="GA1" s="513"/>
      <c r="GB1" s="513"/>
      <c r="GC1" s="513"/>
      <c r="GD1" s="513"/>
      <c r="GE1" s="513"/>
      <c r="GF1" s="513"/>
      <c r="GG1" s="513"/>
      <c r="GH1" s="513"/>
      <c r="GI1" s="513"/>
      <c r="GJ1" s="513"/>
      <c r="GK1" s="513"/>
      <c r="GL1" s="513"/>
      <c r="GM1" s="513"/>
      <c r="GN1" s="513"/>
      <c r="GO1" s="513"/>
      <c r="GP1" s="513"/>
      <c r="GQ1" s="513"/>
      <c r="GR1" s="513"/>
      <c r="GS1" s="513"/>
      <c r="GT1" s="513"/>
      <c r="GU1" s="513"/>
      <c r="GV1" s="513"/>
      <c r="GW1" s="513"/>
      <c r="GX1" s="513"/>
      <c r="GY1" s="513"/>
      <c r="GZ1" s="513"/>
      <c r="HA1" s="513"/>
      <c r="HB1" s="513"/>
      <c r="HC1" s="513"/>
      <c r="HD1" s="513"/>
      <c r="HE1" s="513"/>
      <c r="HF1" s="513"/>
      <c r="HG1" s="513"/>
      <c r="HH1" s="513"/>
      <c r="HI1" s="513"/>
      <c r="HJ1" s="513"/>
      <c r="HK1" s="513"/>
      <c r="HL1" s="513"/>
      <c r="HM1" s="513"/>
      <c r="HN1" s="513"/>
      <c r="HO1" s="513"/>
      <c r="HP1" s="513"/>
      <c r="HQ1" s="513"/>
      <c r="HR1" s="513"/>
      <c r="HS1" s="513"/>
      <c r="HT1" s="513"/>
      <c r="HU1" s="513"/>
      <c r="HV1" s="513"/>
      <c r="HW1" s="513"/>
      <c r="HX1" s="513"/>
      <c r="HY1" s="513"/>
      <c r="HZ1" s="513"/>
      <c r="IA1" s="513"/>
      <c r="IB1" s="513"/>
      <c r="IC1" s="513"/>
      <c r="ID1" s="513"/>
      <c r="IE1" s="513"/>
      <c r="IF1" s="513"/>
      <c r="IG1" s="513"/>
      <c r="IH1" s="513"/>
      <c r="II1" s="513"/>
      <c r="IJ1" s="513"/>
      <c r="IK1" s="513"/>
      <c r="IL1" s="513"/>
      <c r="IM1" s="513"/>
      <c r="IN1" s="513"/>
      <c r="IO1" s="513"/>
      <c r="IP1" s="513"/>
      <c r="IQ1" s="513"/>
      <c r="IR1" s="513"/>
      <c r="IS1" s="513"/>
      <c r="IT1" s="513"/>
      <c r="IU1" s="513"/>
      <c r="IV1" s="513"/>
    </row>
    <row r="2" spans="1:256">
      <c r="A2" s="514"/>
      <c r="B2" s="514"/>
      <c r="C2" s="514"/>
      <c r="D2" s="514"/>
      <c r="E2" s="514"/>
      <c r="F2" s="819"/>
      <c r="G2" s="819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  <c r="FO2" s="514"/>
      <c r="FP2" s="514"/>
      <c r="FQ2" s="514"/>
      <c r="FR2" s="514"/>
      <c r="FS2" s="514"/>
      <c r="FT2" s="514"/>
      <c r="FU2" s="514"/>
      <c r="FV2" s="514"/>
      <c r="FW2" s="514"/>
      <c r="FX2" s="514"/>
      <c r="FY2" s="514"/>
      <c r="FZ2" s="514"/>
      <c r="GA2" s="514"/>
      <c r="GB2" s="514"/>
      <c r="GC2" s="514"/>
      <c r="GD2" s="514"/>
      <c r="GE2" s="514"/>
      <c r="GF2" s="514"/>
      <c r="GG2" s="514"/>
      <c r="GH2" s="514"/>
      <c r="GI2" s="514"/>
      <c r="GJ2" s="514"/>
      <c r="GK2" s="514"/>
      <c r="GL2" s="514"/>
      <c r="GM2" s="514"/>
      <c r="GN2" s="514"/>
      <c r="GO2" s="514"/>
      <c r="GP2" s="514"/>
      <c r="GQ2" s="514"/>
      <c r="GR2" s="514"/>
      <c r="GS2" s="514"/>
      <c r="GT2" s="514"/>
      <c r="GU2" s="514"/>
      <c r="GV2" s="514"/>
      <c r="GW2" s="514"/>
      <c r="GX2" s="514"/>
      <c r="GY2" s="514"/>
      <c r="GZ2" s="514"/>
      <c r="HA2" s="514"/>
      <c r="HB2" s="514"/>
      <c r="HC2" s="514"/>
      <c r="HD2" s="514"/>
      <c r="HE2" s="514"/>
      <c r="HF2" s="514"/>
      <c r="HG2" s="514"/>
      <c r="HH2" s="514"/>
      <c r="HI2" s="514"/>
      <c r="HJ2" s="514"/>
      <c r="HK2" s="514"/>
      <c r="HL2" s="514"/>
      <c r="HM2" s="514"/>
      <c r="HN2" s="514"/>
      <c r="HO2" s="514"/>
      <c r="HP2" s="514"/>
      <c r="HQ2" s="514"/>
      <c r="HR2" s="514"/>
      <c r="HS2" s="514"/>
      <c r="HT2" s="514"/>
      <c r="HU2" s="514"/>
      <c r="HV2" s="514"/>
      <c r="HW2" s="514"/>
      <c r="HX2" s="514"/>
      <c r="HY2" s="514"/>
      <c r="HZ2" s="514"/>
      <c r="IA2" s="514"/>
      <c r="IB2" s="514"/>
      <c r="IC2" s="514"/>
      <c r="ID2" s="514"/>
      <c r="IE2" s="514"/>
      <c r="IF2" s="514"/>
      <c r="IG2" s="514"/>
      <c r="IH2" s="514"/>
      <c r="II2" s="514"/>
      <c r="IJ2" s="514"/>
      <c r="IK2" s="514"/>
      <c r="IL2" s="514"/>
      <c r="IM2" s="514"/>
      <c r="IN2" s="514"/>
      <c r="IO2" s="514"/>
      <c r="IP2" s="514"/>
      <c r="IQ2" s="514"/>
      <c r="IR2" s="514"/>
      <c r="IS2" s="514"/>
      <c r="IT2" s="514"/>
      <c r="IU2" s="514"/>
      <c r="IV2" s="514"/>
    </row>
    <row r="3" spans="1:256" s="245" customFormat="1">
      <c r="A3" s="816" t="s">
        <v>369</v>
      </c>
      <c r="B3" s="816"/>
      <c r="C3" s="816"/>
      <c r="D3" s="816"/>
      <c r="E3" s="816"/>
      <c r="F3" s="820"/>
      <c r="G3" s="820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816"/>
      <c r="S3" s="816"/>
      <c r="T3" s="816"/>
      <c r="U3" s="816"/>
      <c r="V3" s="816"/>
      <c r="W3" s="816"/>
      <c r="X3" s="816"/>
      <c r="Y3" s="816"/>
      <c r="Z3" s="816"/>
      <c r="AA3" s="816"/>
      <c r="AB3" s="816"/>
      <c r="AC3" s="816"/>
      <c r="AD3" s="816"/>
      <c r="AE3" s="816"/>
      <c r="AF3" s="816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816"/>
      <c r="AS3" s="816"/>
      <c r="AT3" s="816"/>
      <c r="AU3" s="816"/>
      <c r="AV3" s="816"/>
      <c r="AW3" s="816"/>
      <c r="AX3" s="816"/>
      <c r="AY3" s="816"/>
      <c r="AZ3" s="816"/>
      <c r="BA3" s="816"/>
      <c r="BB3" s="816"/>
      <c r="BC3" s="816"/>
      <c r="BD3" s="816"/>
      <c r="BE3" s="816"/>
      <c r="BF3" s="816"/>
      <c r="BG3" s="816"/>
      <c r="BH3" s="816"/>
      <c r="BI3" s="816"/>
      <c r="BJ3" s="816"/>
      <c r="BK3" s="816"/>
      <c r="BL3" s="816"/>
      <c r="BM3" s="816"/>
      <c r="BN3" s="816"/>
      <c r="BO3" s="816"/>
      <c r="BP3" s="816"/>
      <c r="BQ3" s="816"/>
      <c r="BR3" s="816"/>
      <c r="BS3" s="816"/>
      <c r="BT3" s="816"/>
      <c r="BU3" s="816"/>
      <c r="BV3" s="816"/>
      <c r="BW3" s="816"/>
      <c r="BX3" s="816"/>
      <c r="BY3" s="816"/>
      <c r="BZ3" s="816"/>
      <c r="CA3" s="816"/>
      <c r="CB3" s="816"/>
      <c r="CC3" s="816"/>
      <c r="CD3" s="816"/>
      <c r="CE3" s="816"/>
      <c r="CF3" s="816"/>
      <c r="CG3" s="816"/>
      <c r="CH3" s="816"/>
      <c r="CI3" s="816"/>
      <c r="CJ3" s="816"/>
      <c r="CK3" s="816"/>
      <c r="CL3" s="816"/>
      <c r="CM3" s="816"/>
      <c r="CN3" s="816"/>
      <c r="CO3" s="816"/>
      <c r="CP3" s="816"/>
      <c r="CQ3" s="816"/>
      <c r="CR3" s="816"/>
      <c r="CS3" s="816"/>
      <c r="CT3" s="816"/>
      <c r="CU3" s="816"/>
      <c r="CV3" s="816"/>
      <c r="CW3" s="816"/>
      <c r="CX3" s="816"/>
      <c r="CY3" s="816"/>
      <c r="CZ3" s="816"/>
      <c r="DA3" s="816"/>
      <c r="DB3" s="816"/>
      <c r="DC3" s="816"/>
      <c r="DD3" s="816"/>
      <c r="DE3" s="816"/>
      <c r="DF3" s="816"/>
      <c r="DG3" s="816"/>
      <c r="DH3" s="816"/>
      <c r="DI3" s="816"/>
      <c r="DJ3" s="816"/>
      <c r="DK3" s="816"/>
      <c r="DL3" s="816"/>
      <c r="DM3" s="816"/>
      <c r="DN3" s="816"/>
      <c r="DO3" s="816"/>
      <c r="DP3" s="816"/>
      <c r="DQ3" s="816"/>
      <c r="DR3" s="816"/>
      <c r="DS3" s="816"/>
      <c r="DT3" s="816"/>
      <c r="DU3" s="816"/>
      <c r="DV3" s="816"/>
      <c r="DW3" s="816"/>
      <c r="DX3" s="816"/>
      <c r="DY3" s="816"/>
      <c r="DZ3" s="816"/>
      <c r="EA3" s="816"/>
      <c r="EB3" s="816"/>
      <c r="EC3" s="816"/>
      <c r="ED3" s="816"/>
      <c r="EE3" s="816"/>
      <c r="EF3" s="816"/>
      <c r="EG3" s="816"/>
      <c r="EH3" s="816"/>
      <c r="EI3" s="816"/>
      <c r="EJ3" s="816"/>
      <c r="EK3" s="816"/>
      <c r="EL3" s="816"/>
      <c r="EM3" s="816"/>
      <c r="EN3" s="816"/>
      <c r="EO3" s="816"/>
      <c r="EP3" s="816"/>
      <c r="EQ3" s="816"/>
      <c r="ER3" s="816"/>
      <c r="ES3" s="816"/>
      <c r="ET3" s="816"/>
      <c r="EU3" s="816"/>
      <c r="EV3" s="816"/>
      <c r="EW3" s="816"/>
      <c r="EX3" s="816"/>
      <c r="EY3" s="816"/>
      <c r="EZ3" s="816"/>
      <c r="FA3" s="816"/>
      <c r="FB3" s="816"/>
      <c r="FC3" s="816"/>
      <c r="FD3" s="816"/>
      <c r="FE3" s="816"/>
      <c r="FF3" s="816"/>
      <c r="FG3" s="816"/>
      <c r="FH3" s="816"/>
      <c r="FI3" s="816"/>
      <c r="FJ3" s="816"/>
      <c r="FK3" s="816"/>
      <c r="FL3" s="816"/>
      <c r="FM3" s="816"/>
      <c r="FN3" s="816"/>
      <c r="FO3" s="816"/>
      <c r="FP3" s="816"/>
      <c r="FQ3" s="816"/>
      <c r="FR3" s="816"/>
      <c r="FS3" s="816"/>
      <c r="FT3" s="816"/>
      <c r="FU3" s="816"/>
      <c r="FV3" s="816"/>
      <c r="FW3" s="816"/>
      <c r="FX3" s="816"/>
      <c r="FY3" s="816"/>
      <c r="FZ3" s="816"/>
      <c r="GA3" s="816"/>
      <c r="GB3" s="816"/>
      <c r="GC3" s="816"/>
      <c r="GD3" s="816"/>
      <c r="GE3" s="816"/>
      <c r="GF3" s="816"/>
      <c r="GG3" s="816"/>
      <c r="GH3" s="816"/>
      <c r="GI3" s="816"/>
      <c r="GJ3" s="816"/>
      <c r="GK3" s="816"/>
      <c r="GL3" s="816"/>
      <c r="GM3" s="816"/>
      <c r="GN3" s="816"/>
      <c r="GO3" s="816"/>
      <c r="GP3" s="816"/>
      <c r="GQ3" s="816"/>
      <c r="GR3" s="816"/>
      <c r="GS3" s="816"/>
      <c r="GT3" s="816"/>
      <c r="GU3" s="816"/>
      <c r="GV3" s="816"/>
      <c r="GW3" s="816"/>
      <c r="GX3" s="816"/>
      <c r="GY3" s="816"/>
      <c r="GZ3" s="816"/>
      <c r="HA3" s="816"/>
      <c r="HB3" s="816"/>
      <c r="HC3" s="816"/>
      <c r="HD3" s="816"/>
      <c r="HE3" s="816"/>
      <c r="HF3" s="816"/>
      <c r="HG3" s="816"/>
      <c r="HH3" s="816"/>
      <c r="HI3" s="816"/>
      <c r="HJ3" s="816"/>
      <c r="HK3" s="816"/>
      <c r="HL3" s="816"/>
      <c r="HM3" s="816"/>
      <c r="HN3" s="816"/>
      <c r="HO3" s="816"/>
      <c r="HP3" s="816"/>
      <c r="HQ3" s="816"/>
      <c r="HR3" s="816"/>
      <c r="HS3" s="816"/>
      <c r="HT3" s="816"/>
      <c r="HU3" s="816"/>
      <c r="HV3" s="816"/>
      <c r="HW3" s="816"/>
      <c r="HX3" s="816"/>
      <c r="HY3" s="816"/>
      <c r="HZ3" s="816"/>
      <c r="IA3" s="816"/>
      <c r="IB3" s="816"/>
      <c r="IC3" s="816"/>
      <c r="ID3" s="816"/>
      <c r="IE3" s="816"/>
      <c r="IF3" s="816"/>
      <c r="IG3" s="816"/>
      <c r="IH3" s="816"/>
      <c r="II3" s="816"/>
      <c r="IJ3" s="816"/>
      <c r="IK3" s="816"/>
      <c r="IL3" s="816"/>
      <c r="IM3" s="816"/>
      <c r="IN3" s="816"/>
      <c r="IO3" s="816"/>
      <c r="IP3" s="816"/>
      <c r="IQ3" s="816"/>
      <c r="IR3" s="816"/>
      <c r="IS3" s="816"/>
      <c r="IT3" s="816"/>
      <c r="IU3" s="816"/>
      <c r="IV3" s="816"/>
    </row>
    <row r="4" spans="1:256" s="245" customFormat="1">
      <c r="F4" s="248"/>
      <c r="G4" s="248"/>
    </row>
    <row r="6" spans="1:256">
      <c r="C6" s="1447" t="s">
        <v>1007</v>
      </c>
      <c r="D6" s="1447"/>
      <c r="E6" s="1447"/>
      <c r="F6" s="821"/>
      <c r="G6" s="821"/>
    </row>
    <row r="7" spans="1:256">
      <c r="C7" s="515"/>
      <c r="D7" s="515"/>
      <c r="E7" s="515"/>
      <c r="F7" s="822"/>
      <c r="G7" s="822"/>
    </row>
    <row r="8" spans="1:256" ht="14.4" thickBot="1">
      <c r="C8" s="516" t="s">
        <v>1008</v>
      </c>
      <c r="D8" s="517" t="s">
        <v>1011</v>
      </c>
      <c r="E8" s="517" t="s">
        <v>1012</v>
      </c>
      <c r="F8" s="823"/>
      <c r="G8" s="823"/>
    </row>
    <row r="9" spans="1:256">
      <c r="C9" s="518" t="s">
        <v>1013</v>
      </c>
      <c r="D9" s="519" t="e">
        <f>+'P&amp;L14'!#REF!</f>
        <v>#REF!</v>
      </c>
      <c r="E9" s="520" t="e">
        <f>+D9</f>
        <v>#REF!</v>
      </c>
      <c r="F9" s="824"/>
      <c r="G9" s="824"/>
    </row>
    <row r="10" spans="1:256">
      <c r="C10" s="518" t="s">
        <v>1014</v>
      </c>
      <c r="D10" s="521" t="e">
        <f>+'P&amp;L14'!#REF!</f>
        <v>#REF!</v>
      </c>
      <c r="E10" s="522" t="e">
        <f>+'P&amp;L14'!#REF!</f>
        <v>#REF!</v>
      </c>
      <c r="F10" s="824"/>
      <c r="G10" s="824"/>
    </row>
    <row r="11" spans="1:256" ht="14.4" thickBot="1">
      <c r="C11" s="518" t="s">
        <v>1015</v>
      </c>
      <c r="D11" s="523"/>
      <c r="E11" s="524" t="e">
        <f>+'P&amp;L14'!#REF!</f>
        <v>#REF!</v>
      </c>
      <c r="F11" s="824"/>
      <c r="G11" s="824"/>
    </row>
    <row r="12" spans="1:256" s="525" customFormat="1">
      <c r="C12" s="526"/>
      <c r="D12" s="527"/>
      <c r="E12" s="527"/>
      <c r="F12" s="817"/>
      <c r="G12" s="817"/>
    </row>
    <row r="13" spans="1:256" ht="14.4" thickBot="1">
      <c r="C13" s="528" t="s">
        <v>915</v>
      </c>
      <c r="D13" s="529"/>
      <c r="E13" s="529"/>
      <c r="F13" s="825"/>
      <c r="G13" s="825"/>
    </row>
    <row r="14" spans="1:256" ht="14.4" hidden="1" thickBot="1">
      <c r="C14" s="530"/>
      <c r="D14" s="531"/>
      <c r="E14" s="531"/>
      <c r="F14" s="825"/>
      <c r="G14" s="825"/>
    </row>
    <row r="15" spans="1:256">
      <c r="C15" s="518" t="s">
        <v>1016</v>
      </c>
      <c r="D15" s="519" t="e">
        <f>IF(D10&gt;D9,D10-D9,0)</f>
        <v>#REF!</v>
      </c>
      <c r="E15" s="520" t="e">
        <f>IF(E10&gt;E9,(E10-E9)-E11,0)</f>
        <v>#REF!</v>
      </c>
      <c r="F15" s="824"/>
      <c r="G15" s="824"/>
      <c r="I15" s="532"/>
    </row>
    <row r="16" spans="1:256" ht="14.4" thickBot="1">
      <c r="C16" s="518" t="s">
        <v>1017</v>
      </c>
      <c r="D16" s="533" t="e">
        <f>IF(D9&gt;D10,D9-D10,0)</f>
        <v>#REF!</v>
      </c>
      <c r="E16" s="534"/>
      <c r="F16" s="824"/>
      <c r="G16" s="824"/>
    </row>
    <row r="17" spans="3:7">
      <c r="C17" s="516" t="s">
        <v>1018</v>
      </c>
      <c r="D17" s="535"/>
      <c r="E17" s="536"/>
      <c r="F17" s="824"/>
      <c r="G17" s="824"/>
    </row>
    <row r="18" spans="3:7" ht="15" customHeight="1" thickBot="1">
      <c r="C18" s="516" t="s">
        <v>1019</v>
      </c>
      <c r="D18" s="537"/>
      <c r="E18" s="538"/>
      <c r="F18" s="824"/>
      <c r="G18" s="824"/>
    </row>
    <row r="19" spans="3:7" ht="14.4" thickBot="1">
      <c r="C19" s="1447" t="s">
        <v>1020</v>
      </c>
      <c r="D19" s="1447"/>
      <c r="E19" s="1448"/>
      <c r="F19" s="826"/>
      <c r="G19" s="826"/>
    </row>
    <row r="20" spans="3:7">
      <c r="C20" s="516" t="s">
        <v>370</v>
      </c>
      <c r="D20" s="539"/>
      <c r="E20" s="540">
        <f>E18*10%</f>
        <v>0</v>
      </c>
      <c r="F20" s="827"/>
      <c r="G20" s="827"/>
    </row>
    <row r="21" spans="3:7" ht="15.75" customHeight="1">
      <c r="C21" s="516" t="s">
        <v>1021</v>
      </c>
      <c r="D21" s="539"/>
      <c r="E21" s="541"/>
      <c r="F21" s="828"/>
      <c r="G21" s="828"/>
    </row>
    <row r="22" spans="3:7" ht="14.4" thickBot="1">
      <c r="C22" s="516" t="s">
        <v>1022</v>
      </c>
      <c r="D22" s="542"/>
      <c r="E22" s="543">
        <f>E20+E21</f>
        <v>0</v>
      </c>
      <c r="F22" s="827"/>
      <c r="G22" s="827"/>
    </row>
    <row r="23" spans="3:7" ht="14.4" thickBot="1">
      <c r="C23" s="518" t="s">
        <v>1023</v>
      </c>
      <c r="D23" s="544"/>
      <c r="E23" s="545"/>
      <c r="F23" s="829"/>
      <c r="G23" s="829"/>
    </row>
    <row r="24" spans="3:7">
      <c r="C24" s="518" t="s">
        <v>425</v>
      </c>
      <c r="D24" s="546"/>
      <c r="E24" s="547"/>
      <c r="F24" s="829"/>
      <c r="G24" s="829"/>
    </row>
    <row r="25" spans="3:7" ht="14.4" thickBot="1">
      <c r="C25" s="518" t="s">
        <v>1024</v>
      </c>
      <c r="D25" s="548">
        <f>+D24-E22</f>
        <v>0</v>
      </c>
      <c r="E25" s="549"/>
      <c r="F25" s="829"/>
      <c r="G25" s="829"/>
    </row>
    <row r="26" spans="3:7">
      <c r="C26" s="516" t="s">
        <v>1025</v>
      </c>
      <c r="D26" s="550"/>
      <c r="E26" s="544">
        <v>0</v>
      </c>
      <c r="F26" s="830"/>
      <c r="G26" s="830"/>
    </row>
    <row r="27" spans="3:7">
      <c r="C27" s="516" t="s">
        <v>1026</v>
      </c>
      <c r="D27" s="539"/>
      <c r="E27" s="551">
        <v>0</v>
      </c>
      <c r="F27" s="830"/>
      <c r="G27" s="830"/>
    </row>
    <row r="28" spans="3:7" ht="14.4" thickBot="1">
      <c r="C28" s="516" t="s">
        <v>1027</v>
      </c>
      <c r="D28" s="539"/>
      <c r="E28" s="552">
        <v>0</v>
      </c>
      <c r="F28" s="830"/>
      <c r="G28" s="830"/>
    </row>
    <row r="35" spans="2:3">
      <c r="B35" s="553"/>
      <c r="C35" s="244" t="s">
        <v>1028</v>
      </c>
    </row>
    <row r="36" spans="2:3">
      <c r="B36" s="554"/>
      <c r="C36" s="244" t="s">
        <v>1029</v>
      </c>
    </row>
    <row r="37" spans="2:3">
      <c r="B37" s="555"/>
      <c r="C37" s="244" t="s">
        <v>1030</v>
      </c>
    </row>
  </sheetData>
  <mergeCells count="2">
    <mergeCell ref="C6:E6"/>
    <mergeCell ref="C19:E19"/>
  </mergeCells>
  <phoneticPr fontId="86" type="noConversion"/>
  <pageMargins left="0.54" right="0.53" top="0.75" bottom="0.77" header="0.5" footer="0.5"/>
  <pageSetup scale="83" orientation="portrait" r:id="rId1"/>
  <headerFooter alignWithMargins="0">
    <oddFooter>&amp;F</oddFooter>
  </headerFooter>
  <colBreaks count="1" manualBreakCount="1">
    <brk id="8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B1:AE113"/>
  <sheetViews>
    <sheetView showGridLines="0" defaultGridColor="0" topLeftCell="A60" colorId="18" zoomScale="70" zoomScaleNormal="70" zoomScaleSheetLayoutView="70" workbookViewId="0">
      <selection activeCell="D100" sqref="D100"/>
    </sheetView>
  </sheetViews>
  <sheetFormatPr defaultColWidth="9.109375" defaultRowHeight="13.8" outlineLevelRow="1"/>
  <cols>
    <col min="1" max="1" width="2.109375" style="244" customWidth="1"/>
    <col min="2" max="2" width="6.5546875" style="248" customWidth="1"/>
    <col min="3" max="3" width="6.5546875" style="248" hidden="1" customWidth="1"/>
    <col min="4" max="4" width="50.33203125" style="248" customWidth="1"/>
    <col min="5" max="5" width="47.5546875" style="248" hidden="1" customWidth="1"/>
    <col min="6" max="6" width="47.5546875" style="727" hidden="1" customWidth="1"/>
    <col min="7" max="7" width="2.33203125" style="727" customWidth="1"/>
    <col min="8" max="8" width="9.6640625" style="414" customWidth="1"/>
    <col min="9" max="9" width="1.44140625" style="248" customWidth="1"/>
    <col min="10" max="10" width="18.109375" style="248" customWidth="1"/>
    <col min="11" max="11" width="2.6640625" style="248" customWidth="1"/>
    <col min="12" max="12" width="19.109375" style="248" customWidth="1"/>
    <col min="13" max="13" width="3" style="248" customWidth="1"/>
    <col min="14" max="14" width="6.44140625" style="245" bestFit="1" customWidth="1"/>
    <col min="15" max="15" width="6.44140625" style="245" hidden="1" customWidth="1"/>
    <col min="16" max="16" width="40.5546875" style="245" customWidth="1"/>
    <col min="17" max="17" width="45.5546875" style="245" hidden="1" customWidth="1"/>
    <col min="18" max="18" width="46.44140625" style="728" hidden="1" customWidth="1"/>
    <col min="19" max="19" width="2.33203125" style="727" customWidth="1"/>
    <col min="20" max="20" width="9.109375" style="245" bestFit="1"/>
    <col min="21" max="21" width="2.33203125" style="248" customWidth="1"/>
    <col min="22" max="22" width="18.109375" style="248" customWidth="1"/>
    <col min="23" max="23" width="4" style="248" customWidth="1"/>
    <col min="24" max="24" width="17.33203125" style="248" customWidth="1"/>
    <col min="25" max="25" width="12.88671875" style="244" hidden="1" customWidth="1"/>
    <col min="26" max="26" width="2.33203125" style="193" customWidth="1"/>
    <col min="27" max="27" width="11.44140625" style="245" bestFit="1" customWidth="1"/>
    <col min="28" max="28" width="12.5546875" style="245" bestFit="1" customWidth="1"/>
    <col min="29" max="29" width="13.6640625" style="245" bestFit="1" customWidth="1"/>
    <col min="30" max="30" width="14.109375" style="245" bestFit="1" customWidth="1"/>
    <col min="31" max="31" width="9.109375" style="245"/>
    <col min="32" max="16384" width="9.109375" style="244"/>
  </cols>
  <sheetData>
    <row r="1" spans="2:31">
      <c r="B1" s="414"/>
      <c r="C1" s="414"/>
    </row>
    <row r="3" spans="2:31" s="420" customFormat="1" ht="17.25" hidden="1" customHeight="1" outlineLevel="1">
      <c r="B3" s="1451" t="s">
        <v>517</v>
      </c>
      <c r="C3" s="415"/>
      <c r="D3" s="1451" t="s">
        <v>518</v>
      </c>
      <c r="E3" s="1451" t="s">
        <v>519</v>
      </c>
      <c r="F3" s="415"/>
      <c r="G3" s="415"/>
      <c r="H3" s="415"/>
      <c r="I3" s="415"/>
      <c r="J3" s="1457" t="s">
        <v>520</v>
      </c>
      <c r="K3" s="1457"/>
      <c r="L3" s="1457"/>
      <c r="M3" s="416"/>
      <c r="N3" s="1455" t="s">
        <v>522</v>
      </c>
      <c r="O3" s="417"/>
      <c r="P3" s="1455" t="s">
        <v>523</v>
      </c>
      <c r="Q3" s="1455" t="s">
        <v>524</v>
      </c>
      <c r="R3" s="417"/>
      <c r="S3" s="415"/>
      <c r="T3" s="417"/>
      <c r="U3" s="415"/>
      <c r="V3" s="1457" t="s">
        <v>520</v>
      </c>
      <c r="W3" s="1457"/>
      <c r="X3" s="1457"/>
      <c r="Y3" s="1452" t="s">
        <v>521</v>
      </c>
      <c r="Z3" s="418"/>
      <c r="AA3" s="419"/>
      <c r="AB3" s="419"/>
      <c r="AC3" s="419"/>
      <c r="AD3" s="419"/>
      <c r="AE3" s="419"/>
    </row>
    <row r="4" spans="2:31" s="420" customFormat="1" ht="18.75" hidden="1" customHeight="1" outlineLevel="1" thickBot="1">
      <c r="B4" s="1451"/>
      <c r="C4" s="415"/>
      <c r="D4" s="1451"/>
      <c r="E4" s="1451"/>
      <c r="F4" s="415"/>
      <c r="G4" s="415"/>
      <c r="H4" s="415" t="s">
        <v>88</v>
      </c>
      <c r="I4" s="415"/>
      <c r="J4" s="421" t="s">
        <v>1070</v>
      </c>
      <c r="K4" s="421"/>
      <c r="L4" s="421" t="s">
        <v>1051</v>
      </c>
      <c r="M4" s="421"/>
      <c r="N4" s="1455"/>
      <c r="O4" s="417"/>
      <c r="P4" s="1455"/>
      <c r="Q4" s="1455"/>
      <c r="R4" s="417"/>
      <c r="S4" s="415"/>
      <c r="T4" s="417" t="s">
        <v>88</v>
      </c>
      <c r="U4" s="415"/>
      <c r="V4" s="422" t="s">
        <v>1070</v>
      </c>
      <c r="W4" s="421"/>
      <c r="X4" s="422" t="s">
        <v>1051</v>
      </c>
      <c r="Y4" s="1452"/>
      <c r="Z4" s="418"/>
      <c r="AA4" s="419"/>
      <c r="AB4" s="419"/>
      <c r="AC4" s="419"/>
      <c r="AD4" s="419"/>
      <c r="AE4" s="419"/>
    </row>
    <row r="5" spans="2:31" s="420" customFormat="1" hidden="1" outlineLevel="1">
      <c r="B5" s="423"/>
      <c r="C5" s="423"/>
      <c r="D5" s="424" t="s">
        <v>1038</v>
      </c>
      <c r="E5" s="425" t="s">
        <v>525</v>
      </c>
      <c r="F5" s="425"/>
      <c r="G5" s="425"/>
      <c r="H5" s="425"/>
      <c r="I5" s="425"/>
      <c r="J5" s="426">
        <f>SUM(J6+J14+J21)</f>
        <v>14769600000</v>
      </c>
      <c r="K5" s="426"/>
      <c r="L5" s="426">
        <f>SUM(L6+L14+L21)</f>
        <v>14769600000</v>
      </c>
      <c r="M5" s="426"/>
      <c r="N5" s="427" t="s">
        <v>526</v>
      </c>
      <c r="O5" s="427"/>
      <c r="P5" s="427" t="s">
        <v>527</v>
      </c>
      <c r="Q5" s="428" t="s">
        <v>528</v>
      </c>
      <c r="R5" s="428"/>
      <c r="S5" s="425"/>
      <c r="T5" s="428"/>
      <c r="U5" s="425"/>
      <c r="V5" s="429" t="e">
        <f>SUM(V6+V17+V22+V23)</f>
        <v>#REF!</v>
      </c>
      <c r="W5" s="430"/>
      <c r="X5" s="431">
        <f>SUM(X6+X17+X22+X23)</f>
        <v>3493513045.1682043</v>
      </c>
      <c r="Y5" s="432" t="e">
        <f>SUM(Y6+Y17+Y22+Y23)</f>
        <v>#REF!</v>
      </c>
      <c r="Z5" s="418"/>
      <c r="AA5" s="419"/>
      <c r="AB5" s="419"/>
      <c r="AC5" s="419"/>
      <c r="AD5" s="419"/>
      <c r="AE5" s="419"/>
    </row>
    <row r="6" spans="2:31" s="420" customFormat="1" hidden="1" outlineLevel="1">
      <c r="B6" s="424" t="s">
        <v>529</v>
      </c>
      <c r="C6" s="424"/>
      <c r="D6" s="433" t="s">
        <v>530</v>
      </c>
      <c r="E6" s="433" t="s">
        <v>531</v>
      </c>
      <c r="F6" s="433"/>
      <c r="G6" s="433"/>
      <c r="H6" s="433"/>
      <c r="I6" s="433"/>
      <c r="J6" s="434">
        <f>SUM(J7:J13)</f>
        <v>0</v>
      </c>
      <c r="K6" s="434"/>
      <c r="L6" s="434">
        <f>SUM(L7:L13)</f>
        <v>0</v>
      </c>
      <c r="M6" s="434"/>
      <c r="N6" s="435" t="s">
        <v>532</v>
      </c>
      <c r="O6" s="435"/>
      <c r="P6" s="436" t="s">
        <v>533</v>
      </c>
      <c r="Q6" s="436" t="s">
        <v>534</v>
      </c>
      <c r="R6" s="436"/>
      <c r="S6" s="433"/>
      <c r="T6" s="436"/>
      <c r="U6" s="433"/>
      <c r="V6" s="434" t="e">
        <f>+V8+V9+V11+V15+V16</f>
        <v>#REF!</v>
      </c>
      <c r="W6" s="434"/>
      <c r="X6" s="434">
        <f>SUM(X8:X16)</f>
        <v>3493513045.1682043</v>
      </c>
      <c r="Y6" s="437" t="e">
        <f>SUM(Y8:Y16)</f>
        <v>#REF!</v>
      </c>
      <c r="Z6" s="418"/>
      <c r="AA6" s="419"/>
      <c r="AB6" s="419"/>
      <c r="AC6" s="419"/>
      <c r="AD6" s="419"/>
      <c r="AE6" s="419"/>
    </row>
    <row r="7" spans="2:31" s="420" customFormat="1" hidden="1" outlineLevel="1">
      <c r="B7" s="423" t="s">
        <v>535</v>
      </c>
      <c r="C7" s="423"/>
      <c r="D7" s="423" t="s">
        <v>536</v>
      </c>
      <c r="E7" s="433"/>
      <c r="F7" s="433"/>
      <c r="G7" s="433"/>
      <c r="H7" s="433"/>
      <c r="I7" s="433"/>
      <c r="J7" s="438"/>
      <c r="K7" s="438"/>
      <c r="L7" s="438"/>
      <c r="M7" s="438"/>
      <c r="N7" s="419"/>
      <c r="O7" s="419"/>
      <c r="P7" s="419" t="s">
        <v>537</v>
      </c>
      <c r="Q7" s="419" t="s">
        <v>538</v>
      </c>
      <c r="R7" s="419"/>
      <c r="S7" s="423"/>
      <c r="T7" s="419"/>
      <c r="U7" s="423"/>
      <c r="V7" s="439"/>
      <c r="W7" s="439"/>
      <c r="X7" s="438"/>
      <c r="Y7" s="440">
        <f t="shared" ref="Y7:Y14" si="0">V7-X7</f>
        <v>0</v>
      </c>
      <c r="Z7" s="418"/>
      <c r="AA7" s="419"/>
      <c r="AB7" s="419"/>
      <c r="AC7" s="419"/>
      <c r="AD7" s="419"/>
      <c r="AE7" s="419"/>
    </row>
    <row r="8" spans="2:31" s="420" customFormat="1" hidden="1" outlineLevel="1">
      <c r="B8" s="423" t="s">
        <v>539</v>
      </c>
      <c r="C8" s="423"/>
      <c r="D8" s="423" t="s">
        <v>540</v>
      </c>
      <c r="E8" s="423" t="s">
        <v>541</v>
      </c>
      <c r="F8" s="423"/>
      <c r="G8" s="423"/>
      <c r="H8" s="424"/>
      <c r="I8" s="423"/>
      <c r="J8" s="438"/>
      <c r="K8" s="438"/>
      <c r="L8" s="438"/>
      <c r="M8" s="438"/>
      <c r="N8" s="419" t="s">
        <v>542</v>
      </c>
      <c r="O8" s="419"/>
      <c r="P8" s="419" t="s">
        <v>543</v>
      </c>
      <c r="Q8" s="419" t="s">
        <v>544</v>
      </c>
      <c r="R8" s="419"/>
      <c r="S8" s="423"/>
      <c r="T8" s="419"/>
      <c r="U8" s="423"/>
      <c r="V8" s="441">
        <f>3720000000+381000000</f>
        <v>4101000000</v>
      </c>
      <c r="W8" s="439"/>
      <c r="X8" s="442">
        <v>3720000000</v>
      </c>
      <c r="Y8" s="440">
        <f t="shared" si="0"/>
        <v>381000000</v>
      </c>
      <c r="Z8" s="418"/>
      <c r="AA8" s="419"/>
      <c r="AB8" s="419"/>
      <c r="AC8" s="419"/>
      <c r="AD8" s="419"/>
      <c r="AE8" s="419"/>
    </row>
    <row r="9" spans="2:31" s="420" customFormat="1" hidden="1" outlineLevel="1">
      <c r="B9" s="423" t="s">
        <v>545</v>
      </c>
      <c r="C9" s="423"/>
      <c r="D9" s="423" t="s">
        <v>546</v>
      </c>
      <c r="E9" s="423" t="s">
        <v>547</v>
      </c>
      <c r="F9" s="423"/>
      <c r="G9" s="423"/>
      <c r="H9" s="424"/>
      <c r="I9" s="423"/>
      <c r="J9" s="438"/>
      <c r="K9" s="438"/>
      <c r="L9" s="438"/>
      <c r="M9" s="438"/>
      <c r="N9" s="419" t="s">
        <v>548</v>
      </c>
      <c r="O9" s="419"/>
      <c r="P9" s="419" t="s">
        <v>549</v>
      </c>
      <c r="Q9" s="419" t="s">
        <v>550</v>
      </c>
      <c r="R9" s="419"/>
      <c r="S9" s="423"/>
      <c r="T9" s="419"/>
      <c r="U9" s="423"/>
      <c r="V9" s="439"/>
      <c r="W9" s="439"/>
      <c r="X9" s="438"/>
      <c r="Y9" s="440">
        <f t="shared" si="0"/>
        <v>0</v>
      </c>
      <c r="Z9" s="418"/>
      <c r="AA9" s="419"/>
      <c r="AB9" s="419"/>
      <c r="AC9" s="419"/>
      <c r="AD9" s="419"/>
      <c r="AE9" s="419"/>
    </row>
    <row r="10" spans="2:31" s="420" customFormat="1" hidden="1" outlineLevel="1">
      <c r="B10" s="423" t="s">
        <v>551</v>
      </c>
      <c r="C10" s="423"/>
      <c r="D10" s="423" t="s">
        <v>552</v>
      </c>
      <c r="E10" s="423" t="s">
        <v>553</v>
      </c>
      <c r="F10" s="423"/>
      <c r="G10" s="423"/>
      <c r="H10" s="424"/>
      <c r="I10" s="423"/>
      <c r="J10" s="438"/>
      <c r="K10" s="438"/>
      <c r="L10" s="438"/>
      <c r="M10" s="438"/>
      <c r="N10" s="419" t="s">
        <v>554</v>
      </c>
      <c r="O10" s="419"/>
      <c r="P10" s="419" t="s">
        <v>555</v>
      </c>
      <c r="Q10" s="419" t="s">
        <v>556</v>
      </c>
      <c r="R10" s="419"/>
      <c r="S10" s="423"/>
      <c r="T10" s="419"/>
      <c r="U10" s="423"/>
      <c r="V10" s="439"/>
      <c r="W10" s="439"/>
      <c r="X10" s="438"/>
      <c r="Y10" s="440">
        <f t="shared" si="0"/>
        <v>0</v>
      </c>
      <c r="Z10" s="418"/>
      <c r="AA10" s="419"/>
      <c r="AB10" s="419"/>
      <c r="AC10" s="419"/>
      <c r="AD10" s="419"/>
      <c r="AE10" s="419"/>
    </row>
    <row r="11" spans="2:31" s="420" customFormat="1" hidden="1" outlineLevel="1">
      <c r="B11" s="423" t="s">
        <v>557</v>
      </c>
      <c r="C11" s="423"/>
      <c r="D11" s="423" t="s">
        <v>558</v>
      </c>
      <c r="E11" s="423" t="s">
        <v>559</v>
      </c>
      <c r="F11" s="423"/>
      <c r="G11" s="423"/>
      <c r="H11" s="424"/>
      <c r="I11" s="423"/>
      <c r="J11" s="438"/>
      <c r="K11" s="438"/>
      <c r="L11" s="438"/>
      <c r="M11" s="438"/>
      <c r="N11" s="419" t="s">
        <v>560</v>
      </c>
      <c r="O11" s="419"/>
      <c r="P11" s="419" t="s">
        <v>561</v>
      </c>
      <c r="Q11" s="419" t="s">
        <v>562</v>
      </c>
      <c r="R11" s="419"/>
      <c r="S11" s="423"/>
      <c r="T11" s="419"/>
      <c r="U11" s="423"/>
      <c r="V11" s="439">
        <f>SUM(V12:V14)</f>
        <v>0</v>
      </c>
      <c r="W11" s="439"/>
      <c r="X11" s="438">
        <f>SUM(X12:X14)</f>
        <v>0</v>
      </c>
      <c r="Y11" s="440">
        <f t="shared" si="0"/>
        <v>0</v>
      </c>
      <c r="Z11" s="418"/>
      <c r="AA11" s="443"/>
      <c r="AB11" s="419"/>
      <c r="AC11" s="419"/>
      <c r="AD11" s="419"/>
      <c r="AE11" s="419"/>
    </row>
    <row r="12" spans="2:31" s="420" customFormat="1" hidden="1" outlineLevel="1">
      <c r="B12" s="423" t="s">
        <v>563</v>
      </c>
      <c r="C12" s="423"/>
      <c r="D12" s="423" t="s">
        <v>564</v>
      </c>
      <c r="E12" s="423" t="s">
        <v>565</v>
      </c>
      <c r="F12" s="423"/>
      <c r="G12" s="423"/>
      <c r="H12" s="424"/>
      <c r="I12" s="423"/>
      <c r="J12" s="438"/>
      <c r="K12" s="438"/>
      <c r="L12" s="438"/>
      <c r="M12" s="438"/>
      <c r="N12" s="419"/>
      <c r="O12" s="419"/>
      <c r="P12" s="419" t="s">
        <v>566</v>
      </c>
      <c r="Q12" s="419" t="s">
        <v>567</v>
      </c>
      <c r="R12" s="419"/>
      <c r="S12" s="423"/>
      <c r="T12" s="419"/>
      <c r="U12" s="423"/>
      <c r="V12" s="439"/>
      <c r="W12" s="439"/>
      <c r="X12" s="438"/>
      <c r="Y12" s="440">
        <f t="shared" si="0"/>
        <v>0</v>
      </c>
      <c r="Z12" s="418"/>
      <c r="AA12" s="419"/>
      <c r="AB12" s="419"/>
      <c r="AC12" s="419"/>
      <c r="AD12" s="419"/>
      <c r="AE12" s="419"/>
    </row>
    <row r="13" spans="2:31" s="420" customFormat="1" hidden="1" outlineLevel="1">
      <c r="B13" s="423"/>
      <c r="C13" s="423"/>
      <c r="D13" s="423"/>
      <c r="E13" s="423"/>
      <c r="F13" s="423"/>
      <c r="G13" s="423"/>
      <c r="H13" s="424"/>
      <c r="I13" s="423"/>
      <c r="J13" s="438"/>
      <c r="K13" s="438"/>
      <c r="L13" s="438"/>
      <c r="M13" s="438"/>
      <c r="N13" s="419"/>
      <c r="O13" s="419"/>
      <c r="P13" s="419" t="s">
        <v>568</v>
      </c>
      <c r="Q13" s="419" t="s">
        <v>569</v>
      </c>
      <c r="R13" s="419"/>
      <c r="S13" s="423"/>
      <c r="T13" s="419"/>
      <c r="U13" s="423"/>
      <c r="V13" s="439"/>
      <c r="W13" s="439"/>
      <c r="X13" s="438"/>
      <c r="Y13" s="440">
        <f t="shared" si="0"/>
        <v>0</v>
      </c>
      <c r="Z13" s="418"/>
      <c r="AA13" s="419"/>
      <c r="AB13" s="419"/>
      <c r="AC13" s="419"/>
      <c r="AD13" s="419"/>
      <c r="AE13" s="419"/>
    </row>
    <row r="14" spans="2:31" s="420" customFormat="1" hidden="1" outlineLevel="1">
      <c r="B14" s="424" t="s">
        <v>570</v>
      </c>
      <c r="C14" s="424"/>
      <c r="D14" s="433" t="s">
        <v>571</v>
      </c>
      <c r="E14" s="433" t="s">
        <v>572</v>
      </c>
      <c r="F14" s="433"/>
      <c r="G14" s="433"/>
      <c r="H14" s="433"/>
      <c r="I14" s="433"/>
      <c r="J14" s="434">
        <f>SUM(J15:J20)</f>
        <v>0</v>
      </c>
      <c r="K14" s="434"/>
      <c r="L14" s="434">
        <f>SUM(L15:L20)</f>
        <v>0</v>
      </c>
      <c r="M14" s="434"/>
      <c r="N14" s="419"/>
      <c r="O14" s="419"/>
      <c r="P14" s="419" t="s">
        <v>573</v>
      </c>
      <c r="Q14" s="419" t="s">
        <v>574</v>
      </c>
      <c r="R14" s="419"/>
      <c r="S14" s="423"/>
      <c r="T14" s="419"/>
      <c r="U14" s="423"/>
      <c r="V14" s="439"/>
      <c r="W14" s="439"/>
      <c r="X14" s="438"/>
      <c r="Y14" s="440">
        <f t="shared" si="0"/>
        <v>0</v>
      </c>
      <c r="Z14" s="418"/>
      <c r="AA14" s="419"/>
      <c r="AB14" s="419"/>
      <c r="AC14" s="419"/>
      <c r="AD14" s="419"/>
      <c r="AE14" s="419"/>
    </row>
    <row r="15" spans="2:31" s="420" customFormat="1" hidden="1" outlineLevel="1">
      <c r="B15" s="423" t="s">
        <v>575</v>
      </c>
      <c r="C15" s="423"/>
      <c r="D15" s="423" t="s">
        <v>576</v>
      </c>
      <c r="E15" s="423" t="s">
        <v>577</v>
      </c>
      <c r="F15" s="423"/>
      <c r="G15" s="423"/>
      <c r="H15" s="424"/>
      <c r="I15" s="423"/>
      <c r="J15" s="438"/>
      <c r="K15" s="438"/>
      <c r="L15" s="438"/>
      <c r="M15" s="438"/>
      <c r="N15" s="419" t="s">
        <v>578</v>
      </c>
      <c r="O15" s="419"/>
      <c r="P15" s="419" t="s">
        <v>579</v>
      </c>
      <c r="Q15" s="419" t="s">
        <v>580</v>
      </c>
      <c r="R15" s="419"/>
      <c r="S15" s="423"/>
      <c r="T15" s="419"/>
      <c r="U15" s="423"/>
      <c r="V15" s="438">
        <f>+X16</f>
        <v>-226486954.8317959</v>
      </c>
      <c r="W15" s="438"/>
      <c r="X15" s="438"/>
      <c r="Y15" s="440">
        <f>+V15-X15</f>
        <v>-226486954.8317959</v>
      </c>
      <c r="Z15" s="418"/>
      <c r="AA15" s="444"/>
      <c r="AB15" s="445"/>
      <c r="AC15" s="419"/>
      <c r="AD15" s="419"/>
      <c r="AE15" s="419"/>
    </row>
    <row r="16" spans="2:31" s="420" customFormat="1" hidden="1" outlineLevel="1">
      <c r="B16" s="423" t="s">
        <v>581</v>
      </c>
      <c r="C16" s="423"/>
      <c r="D16" s="423" t="s">
        <v>582</v>
      </c>
      <c r="E16" s="423" t="s">
        <v>583</v>
      </c>
      <c r="F16" s="423"/>
      <c r="G16" s="423"/>
      <c r="H16" s="424"/>
      <c r="I16" s="423"/>
      <c r="J16" s="438"/>
      <c r="K16" s="438"/>
      <c r="L16" s="438"/>
      <c r="M16" s="438"/>
      <c r="N16" s="419" t="s">
        <v>584</v>
      </c>
      <c r="O16" s="419"/>
      <c r="P16" s="419" t="s">
        <v>1040</v>
      </c>
      <c r="Q16" s="419" t="s">
        <v>585</v>
      </c>
      <c r="R16" s="419"/>
      <c r="S16" s="423"/>
      <c r="T16" s="419"/>
      <c r="U16" s="423"/>
      <c r="V16" s="430" t="e">
        <f>'P&amp;L14'!#REF!</f>
        <v>#REF!</v>
      </c>
      <c r="W16" s="430"/>
      <c r="X16" s="430">
        <v>-226486954.8317959</v>
      </c>
      <c r="Y16" s="446" t="e">
        <f>V16-X16</f>
        <v>#REF!</v>
      </c>
      <c r="Z16" s="418"/>
      <c r="AA16" s="447"/>
      <c r="AB16" s="419"/>
      <c r="AC16" s="419"/>
      <c r="AD16" s="419"/>
      <c r="AE16" s="419"/>
    </row>
    <row r="17" spans="2:31" s="420" customFormat="1" hidden="1" outlineLevel="1">
      <c r="B17" s="423" t="s">
        <v>586</v>
      </c>
      <c r="C17" s="423"/>
      <c r="D17" s="423" t="s">
        <v>546</v>
      </c>
      <c r="E17" s="423" t="s">
        <v>553</v>
      </c>
      <c r="F17" s="423"/>
      <c r="G17" s="423"/>
      <c r="H17" s="424"/>
      <c r="I17" s="423"/>
      <c r="J17" s="438"/>
      <c r="K17" s="438"/>
      <c r="L17" s="438"/>
      <c r="M17" s="438"/>
      <c r="N17" s="435" t="s">
        <v>587</v>
      </c>
      <c r="O17" s="435"/>
      <c r="P17" s="436" t="s">
        <v>1041</v>
      </c>
      <c r="Q17" s="436" t="s">
        <v>588</v>
      </c>
      <c r="R17" s="436"/>
      <c r="S17" s="433"/>
      <c r="T17" s="436"/>
      <c r="U17" s="433"/>
      <c r="V17" s="448">
        <f>SUM(V18:V21)</f>
        <v>0</v>
      </c>
      <c r="W17" s="448"/>
      <c r="X17" s="434">
        <f>SUM(X18:X21)</f>
        <v>0</v>
      </c>
      <c r="Y17" s="449">
        <f>SUM(Y18:Y21)</f>
        <v>0</v>
      </c>
      <c r="Z17" s="418"/>
      <c r="AA17" s="419"/>
      <c r="AB17" s="419"/>
      <c r="AC17" s="419"/>
      <c r="AD17" s="419"/>
      <c r="AE17" s="419"/>
    </row>
    <row r="18" spans="2:31" s="420" customFormat="1" hidden="1" outlineLevel="1">
      <c r="B18" s="423" t="s">
        <v>589</v>
      </c>
      <c r="C18" s="423"/>
      <c r="D18" s="423" t="s">
        <v>1036</v>
      </c>
      <c r="E18" s="423" t="s">
        <v>590</v>
      </c>
      <c r="F18" s="423"/>
      <c r="G18" s="423"/>
      <c r="H18" s="424"/>
      <c r="I18" s="423"/>
      <c r="J18" s="438"/>
      <c r="K18" s="438"/>
      <c r="L18" s="438"/>
      <c r="M18" s="438"/>
      <c r="N18" s="419" t="s">
        <v>591</v>
      </c>
      <c r="O18" s="419"/>
      <c r="P18" s="419" t="s">
        <v>592</v>
      </c>
      <c r="Q18" s="419" t="s">
        <v>593</v>
      </c>
      <c r="R18" s="419"/>
      <c r="S18" s="423"/>
      <c r="T18" s="419"/>
      <c r="U18" s="423"/>
      <c r="V18" s="439"/>
      <c r="W18" s="439"/>
      <c r="X18" s="438"/>
      <c r="Y18" s="440">
        <f>V18-X18</f>
        <v>0</v>
      </c>
      <c r="Z18" s="418"/>
      <c r="AA18" s="419"/>
      <c r="AB18" s="419"/>
      <c r="AC18" s="419"/>
      <c r="AD18" s="419"/>
      <c r="AE18" s="419"/>
    </row>
    <row r="19" spans="2:31" s="420" customFormat="1" hidden="1" outlineLevel="1">
      <c r="B19" s="423" t="s">
        <v>594</v>
      </c>
      <c r="C19" s="423"/>
      <c r="D19" s="423" t="s">
        <v>558</v>
      </c>
      <c r="E19" s="423" t="s">
        <v>565</v>
      </c>
      <c r="F19" s="423"/>
      <c r="G19" s="423"/>
      <c r="H19" s="424"/>
      <c r="I19" s="423"/>
      <c r="J19" s="438"/>
      <c r="K19" s="438"/>
      <c r="L19" s="438"/>
      <c r="M19" s="438"/>
      <c r="N19" s="419" t="s">
        <v>595</v>
      </c>
      <c r="O19" s="419"/>
      <c r="P19" s="419" t="s">
        <v>596</v>
      </c>
      <c r="Q19" s="419" t="s">
        <v>597</v>
      </c>
      <c r="R19" s="419"/>
      <c r="S19" s="423"/>
      <c r="T19" s="419"/>
      <c r="U19" s="423"/>
      <c r="V19" s="439"/>
      <c r="W19" s="439"/>
      <c r="X19" s="438"/>
      <c r="Y19" s="440">
        <f>V19-X19</f>
        <v>0</v>
      </c>
      <c r="Z19" s="418"/>
      <c r="AA19" s="419"/>
      <c r="AB19" s="419"/>
      <c r="AC19" s="450"/>
      <c r="AD19" s="450"/>
      <c r="AE19" s="419"/>
    </row>
    <row r="20" spans="2:31" s="420" customFormat="1" hidden="1" outlineLevel="1">
      <c r="B20" s="423" t="s">
        <v>598</v>
      </c>
      <c r="C20" s="423"/>
      <c r="D20" s="423" t="s">
        <v>599</v>
      </c>
      <c r="E20" s="423" t="s">
        <v>600</v>
      </c>
      <c r="F20" s="423"/>
      <c r="G20" s="423"/>
      <c r="H20" s="424"/>
      <c r="I20" s="423"/>
      <c r="J20" s="438"/>
      <c r="K20" s="438"/>
      <c r="L20" s="438"/>
      <c r="M20" s="438"/>
      <c r="N20" s="419" t="s">
        <v>601</v>
      </c>
      <c r="O20" s="419"/>
      <c r="P20" s="419" t="s">
        <v>602</v>
      </c>
      <c r="Q20" s="419" t="s">
        <v>603</v>
      </c>
      <c r="R20" s="419"/>
      <c r="S20" s="423"/>
      <c r="T20" s="419"/>
      <c r="U20" s="423"/>
      <c r="V20" s="439"/>
      <c r="W20" s="439"/>
      <c r="X20" s="438"/>
      <c r="Y20" s="440">
        <f>V20-X20</f>
        <v>0</v>
      </c>
      <c r="Z20" s="418"/>
      <c r="AA20" s="419"/>
      <c r="AB20" s="419"/>
      <c r="AC20" s="450"/>
      <c r="AD20" s="450"/>
      <c r="AE20" s="419"/>
    </row>
    <row r="21" spans="2:31" s="420" customFormat="1" hidden="1" outlineLevel="1">
      <c r="B21" s="424" t="s">
        <v>604</v>
      </c>
      <c r="C21" s="424"/>
      <c r="D21" s="433" t="s">
        <v>1032</v>
      </c>
      <c r="E21" s="433" t="s">
        <v>605</v>
      </c>
      <c r="F21" s="433"/>
      <c r="G21" s="433"/>
      <c r="H21" s="433"/>
      <c r="I21" s="433"/>
      <c r="J21" s="434">
        <f>SUM(J22:J25)</f>
        <v>14769600000</v>
      </c>
      <c r="K21" s="434"/>
      <c r="L21" s="434">
        <f>SUM(L22:L25)</f>
        <v>14769600000</v>
      </c>
      <c r="M21" s="434"/>
      <c r="N21" s="419" t="s">
        <v>606</v>
      </c>
      <c r="O21" s="419"/>
      <c r="P21" s="419" t="s">
        <v>607</v>
      </c>
      <c r="Q21" s="419" t="s">
        <v>608</v>
      </c>
      <c r="R21" s="419"/>
      <c r="S21" s="423"/>
      <c r="T21" s="419"/>
      <c r="U21" s="423"/>
      <c r="V21" s="439"/>
      <c r="W21" s="439"/>
      <c r="X21" s="438"/>
      <c r="Y21" s="440">
        <f>V21-X21</f>
        <v>0</v>
      </c>
      <c r="Z21" s="418"/>
      <c r="AA21" s="419"/>
      <c r="AB21" s="419"/>
      <c r="AC21" s="450"/>
      <c r="AD21" s="450"/>
      <c r="AE21" s="419"/>
    </row>
    <row r="22" spans="2:31" s="420" customFormat="1" hidden="1" outlineLevel="1">
      <c r="B22" s="423" t="s">
        <v>609</v>
      </c>
      <c r="C22" s="423"/>
      <c r="D22" s="423" t="s">
        <v>610</v>
      </c>
      <c r="E22" s="423" t="s">
        <v>611</v>
      </c>
      <c r="F22" s="423"/>
      <c r="G22" s="423"/>
      <c r="H22" s="424"/>
      <c r="I22" s="423"/>
      <c r="J22" s="438">
        <v>14769600000</v>
      </c>
      <c r="K22" s="438"/>
      <c r="L22" s="438">
        <v>14769600000</v>
      </c>
      <c r="M22" s="438"/>
      <c r="N22" s="435" t="s">
        <v>612</v>
      </c>
      <c r="O22" s="435"/>
      <c r="P22" s="436" t="s">
        <v>1034</v>
      </c>
      <c r="Q22" s="436" t="s">
        <v>613</v>
      </c>
      <c r="R22" s="436"/>
      <c r="S22" s="433"/>
      <c r="T22" s="436"/>
      <c r="U22" s="433"/>
      <c r="V22" s="448"/>
      <c r="W22" s="448"/>
      <c r="X22" s="434"/>
      <c r="Y22" s="451">
        <f>V22-X22</f>
        <v>0</v>
      </c>
      <c r="Z22" s="418"/>
      <c r="AA22" s="419"/>
      <c r="AB22" s="419"/>
      <c r="AC22" s="450"/>
      <c r="AD22" s="450"/>
      <c r="AE22" s="419"/>
    </row>
    <row r="23" spans="2:31" s="420" customFormat="1" hidden="1" outlineLevel="1">
      <c r="B23" s="423" t="s">
        <v>614</v>
      </c>
      <c r="C23" s="423"/>
      <c r="D23" s="423" t="s">
        <v>615</v>
      </c>
      <c r="E23" s="423" t="s">
        <v>616</v>
      </c>
      <c r="F23" s="423"/>
      <c r="G23" s="423"/>
      <c r="H23" s="424"/>
      <c r="I23" s="423"/>
      <c r="J23" s="438"/>
      <c r="K23" s="438"/>
      <c r="L23" s="438"/>
      <c r="M23" s="438"/>
      <c r="N23" s="435" t="s">
        <v>617</v>
      </c>
      <c r="O23" s="435"/>
      <c r="P23" s="436" t="s">
        <v>1033</v>
      </c>
      <c r="Q23" s="436" t="s">
        <v>618</v>
      </c>
      <c r="R23" s="436"/>
      <c r="S23" s="433"/>
      <c r="T23" s="436"/>
      <c r="U23" s="433"/>
      <c r="V23" s="448">
        <f>SUM(V24:V25)</f>
        <v>0</v>
      </c>
      <c r="W23" s="448"/>
      <c r="X23" s="434">
        <f>SUM(X24:X25)</f>
        <v>0</v>
      </c>
      <c r="Y23" s="449">
        <f>SUM(Y24:Y25)</f>
        <v>0</v>
      </c>
      <c r="Z23" s="418"/>
      <c r="AA23" s="419"/>
      <c r="AB23" s="419"/>
      <c r="AC23" s="450"/>
      <c r="AD23" s="450"/>
      <c r="AE23" s="419"/>
    </row>
    <row r="24" spans="2:31" s="420" customFormat="1" hidden="1" outlineLevel="1">
      <c r="B24" s="423" t="s">
        <v>619</v>
      </c>
      <c r="C24" s="423"/>
      <c r="D24" s="423" t="s">
        <v>620</v>
      </c>
      <c r="E24" s="423" t="s">
        <v>621</v>
      </c>
      <c r="F24" s="423"/>
      <c r="G24" s="423"/>
      <c r="H24" s="424"/>
      <c r="I24" s="423"/>
      <c r="J24" s="438"/>
      <c r="K24" s="438"/>
      <c r="L24" s="438"/>
      <c r="M24" s="438"/>
      <c r="N24" s="419" t="s">
        <v>622</v>
      </c>
      <c r="O24" s="419"/>
      <c r="P24" s="419" t="s">
        <v>623</v>
      </c>
      <c r="Q24" s="419" t="s">
        <v>624</v>
      </c>
      <c r="R24" s="419"/>
      <c r="S24" s="423"/>
      <c r="T24" s="419"/>
      <c r="U24" s="423"/>
      <c r="V24" s="439"/>
      <c r="W24" s="439"/>
      <c r="X24" s="438"/>
      <c r="Y24" s="440">
        <f>V24-X24</f>
        <v>0</v>
      </c>
      <c r="Z24" s="418"/>
      <c r="AA24" s="419"/>
      <c r="AB24" s="419"/>
      <c r="AC24" s="450"/>
      <c r="AD24" s="450"/>
      <c r="AE24" s="419"/>
    </row>
    <row r="25" spans="2:31" s="420" customFormat="1" hidden="1" outlineLevel="1">
      <c r="B25" s="423" t="s">
        <v>625</v>
      </c>
      <c r="C25" s="423"/>
      <c r="D25" s="423" t="s">
        <v>626</v>
      </c>
      <c r="E25" s="423" t="s">
        <v>600</v>
      </c>
      <c r="F25" s="423"/>
      <c r="G25" s="423"/>
      <c r="H25" s="424"/>
      <c r="I25" s="423"/>
      <c r="J25" s="438"/>
      <c r="K25" s="438"/>
      <c r="L25" s="438"/>
      <c r="M25" s="438"/>
      <c r="N25" s="419" t="s">
        <v>627</v>
      </c>
      <c r="O25" s="419"/>
      <c r="P25" s="419" t="s">
        <v>628</v>
      </c>
      <c r="Q25" s="419" t="s">
        <v>629</v>
      </c>
      <c r="R25" s="419"/>
      <c r="S25" s="423"/>
      <c r="T25" s="419"/>
      <c r="U25" s="423"/>
      <c r="V25" s="439"/>
      <c r="W25" s="439"/>
      <c r="X25" s="438"/>
      <c r="Y25" s="440">
        <f>V25-X25</f>
        <v>0</v>
      </c>
      <c r="Z25" s="418"/>
      <c r="AA25" s="419"/>
      <c r="AB25" s="419"/>
      <c r="AC25" s="450"/>
      <c r="AD25" s="450"/>
      <c r="AE25" s="419"/>
    </row>
    <row r="26" spans="2:31" s="420" customFormat="1" hidden="1" outlineLevel="1">
      <c r="B26" s="424" t="s">
        <v>630</v>
      </c>
      <c r="C26" s="424"/>
      <c r="D26" s="424" t="s">
        <v>631</v>
      </c>
      <c r="E26" s="424" t="s">
        <v>632</v>
      </c>
      <c r="F26" s="424"/>
      <c r="G26" s="424"/>
      <c r="H26" s="424"/>
      <c r="I26" s="424"/>
      <c r="J26" s="426">
        <f>SUM(J27+J33+J40+J43)</f>
        <v>2106609</v>
      </c>
      <c r="K26" s="426"/>
      <c r="L26" s="426">
        <f>SUM(L27+L33+L40+L43)</f>
        <v>14491905.0562</v>
      </c>
      <c r="M26" s="426"/>
      <c r="N26" s="427" t="s">
        <v>633</v>
      </c>
      <c r="O26" s="427"/>
      <c r="P26" s="427" t="s">
        <v>634</v>
      </c>
      <c r="Q26" s="427" t="s">
        <v>635</v>
      </c>
      <c r="R26" s="427"/>
      <c r="S26" s="424"/>
      <c r="T26" s="427"/>
      <c r="U26" s="424"/>
      <c r="V26" s="429">
        <f>SUM(V27+V35+V45)</f>
        <v>11510220356</v>
      </c>
      <c r="W26" s="430"/>
      <c r="X26" s="431">
        <f>SUM(X27+X35+X45)</f>
        <v>11157170765.4</v>
      </c>
      <c r="Y26" s="452">
        <f>SUM(Y27+Y35+Y45)</f>
        <v>353049590.60000038</v>
      </c>
      <c r="Z26" s="418"/>
      <c r="AA26" s="419"/>
      <c r="AB26" s="419"/>
      <c r="AC26" s="450"/>
      <c r="AD26" s="453"/>
      <c r="AE26" s="419"/>
    </row>
    <row r="27" spans="2:31" s="420" customFormat="1" hidden="1" outlineLevel="1">
      <c r="B27" s="424" t="s">
        <v>636</v>
      </c>
      <c r="C27" s="424"/>
      <c r="D27" s="433" t="s">
        <v>637</v>
      </c>
      <c r="E27" s="433" t="s">
        <v>638</v>
      </c>
      <c r="F27" s="433"/>
      <c r="G27" s="433"/>
      <c r="H27" s="433"/>
      <c r="I27" s="433"/>
      <c r="J27" s="434">
        <f>SUM(J28:J32)</f>
        <v>0</v>
      </c>
      <c r="K27" s="434"/>
      <c r="L27" s="434">
        <f>SUM(L28:L32)</f>
        <v>0</v>
      </c>
      <c r="M27" s="434"/>
      <c r="N27" s="435" t="s">
        <v>639</v>
      </c>
      <c r="O27" s="435"/>
      <c r="P27" s="436" t="s">
        <v>640</v>
      </c>
      <c r="Q27" s="436" t="s">
        <v>641</v>
      </c>
      <c r="R27" s="436"/>
      <c r="S27" s="433"/>
      <c r="T27" s="436"/>
      <c r="U27" s="433"/>
      <c r="V27" s="448">
        <f>SUM(V28:V34)</f>
        <v>10984500000</v>
      </c>
      <c r="W27" s="448"/>
      <c r="X27" s="434">
        <f>SUM(X28:X34)</f>
        <v>10960200000.4</v>
      </c>
      <c r="Y27" s="449">
        <f>SUM(Y28:Y34)</f>
        <v>24299999.600000381</v>
      </c>
      <c r="Z27" s="418"/>
      <c r="AA27" s="419"/>
      <c r="AB27" s="419"/>
      <c r="AC27" s="450"/>
      <c r="AD27" s="419"/>
      <c r="AE27" s="419"/>
    </row>
    <row r="28" spans="2:31" s="420" customFormat="1" hidden="1" outlineLevel="1">
      <c r="B28" s="423" t="s">
        <v>642</v>
      </c>
      <c r="C28" s="423"/>
      <c r="D28" s="423" t="s">
        <v>643</v>
      </c>
      <c r="E28" s="423" t="s">
        <v>644</v>
      </c>
      <c r="F28" s="423"/>
      <c r="G28" s="423"/>
      <c r="H28" s="424"/>
      <c r="I28" s="423"/>
      <c r="J28" s="438"/>
      <c r="K28" s="438"/>
      <c r="L28" s="438"/>
      <c r="M28" s="438"/>
      <c r="N28" s="419" t="s">
        <v>645</v>
      </c>
      <c r="O28" s="419"/>
      <c r="P28" s="419" t="s">
        <v>646</v>
      </c>
      <c r="Q28" s="419" t="s">
        <v>647</v>
      </c>
      <c r="R28" s="419"/>
      <c r="S28" s="423"/>
      <c r="T28" s="419"/>
      <c r="U28" s="423"/>
      <c r="V28" s="439">
        <f>8238375000+2746125000</f>
        <v>10984500000</v>
      </c>
      <c r="W28" s="439"/>
      <c r="X28" s="438">
        <v>10960200000.4</v>
      </c>
      <c r="Y28" s="440">
        <f t="shared" ref="Y28:Y34" si="1">V28-X28</f>
        <v>24299999.600000381</v>
      </c>
      <c r="Z28" s="418"/>
      <c r="AA28" s="419"/>
      <c r="AB28" s="419">
        <f>+V28/V8</f>
        <v>2.6784930504754936</v>
      </c>
      <c r="AC28" s="419"/>
      <c r="AD28" s="419"/>
      <c r="AE28" s="419"/>
    </row>
    <row r="29" spans="2:31" s="420" customFormat="1" hidden="1" outlineLevel="1">
      <c r="B29" s="423" t="s">
        <v>648</v>
      </c>
      <c r="C29" s="423"/>
      <c r="D29" s="423" t="s">
        <v>649</v>
      </c>
      <c r="E29" s="423" t="s">
        <v>650</v>
      </c>
      <c r="F29" s="423"/>
      <c r="G29" s="423"/>
      <c r="H29" s="424"/>
      <c r="I29" s="423"/>
      <c r="J29" s="438"/>
      <c r="K29" s="438"/>
      <c r="L29" s="438"/>
      <c r="M29" s="438"/>
      <c r="N29" s="419" t="s">
        <v>651</v>
      </c>
      <c r="O29" s="419"/>
      <c r="P29" s="419" t="s">
        <v>652</v>
      </c>
      <c r="Q29" s="419" t="s">
        <v>653</v>
      </c>
      <c r="R29" s="419"/>
      <c r="S29" s="423"/>
      <c r="T29" s="419"/>
      <c r="U29" s="423"/>
      <c r="V29" s="439"/>
      <c r="W29" s="439"/>
      <c r="X29" s="438"/>
      <c r="Y29" s="440">
        <f t="shared" si="1"/>
        <v>0</v>
      </c>
      <c r="Z29" s="418"/>
      <c r="AA29" s="419"/>
      <c r="AB29" s="419"/>
      <c r="AC29" s="419"/>
      <c r="AD29" s="419"/>
      <c r="AE29" s="419"/>
    </row>
    <row r="30" spans="2:31" s="420" customFormat="1" hidden="1" outlineLevel="1">
      <c r="B30" s="423" t="s">
        <v>654</v>
      </c>
      <c r="C30" s="423"/>
      <c r="D30" s="423" t="s">
        <v>655</v>
      </c>
      <c r="E30" s="423" t="s">
        <v>656</v>
      </c>
      <c r="F30" s="423"/>
      <c r="G30" s="423"/>
      <c r="H30" s="424"/>
      <c r="I30" s="423"/>
      <c r="J30" s="438"/>
      <c r="K30" s="438"/>
      <c r="L30" s="438"/>
      <c r="M30" s="438"/>
      <c r="N30" s="419" t="s">
        <v>657</v>
      </c>
      <c r="O30" s="419"/>
      <c r="P30" s="419" t="s">
        <v>658</v>
      </c>
      <c r="Q30" s="419" t="s">
        <v>659</v>
      </c>
      <c r="R30" s="419"/>
      <c r="S30" s="423"/>
      <c r="T30" s="419"/>
      <c r="U30" s="423"/>
      <c r="V30" s="439"/>
      <c r="W30" s="439"/>
      <c r="X30" s="438"/>
      <c r="Y30" s="440">
        <f t="shared" si="1"/>
        <v>0</v>
      </c>
      <c r="Z30" s="418"/>
      <c r="AA30" s="419"/>
      <c r="AB30" s="419"/>
      <c r="AC30" s="419"/>
      <c r="AD30" s="419"/>
      <c r="AE30" s="419"/>
    </row>
    <row r="31" spans="2:31" s="420" customFormat="1" hidden="1" outlineLevel="1">
      <c r="B31" s="423" t="s">
        <v>660</v>
      </c>
      <c r="C31" s="423"/>
      <c r="D31" s="423" t="s">
        <v>661</v>
      </c>
      <c r="E31" s="423" t="s">
        <v>662</v>
      </c>
      <c r="F31" s="423"/>
      <c r="G31" s="423"/>
      <c r="H31" s="424"/>
      <c r="I31" s="423"/>
      <c r="J31" s="438"/>
      <c r="K31" s="438"/>
      <c r="L31" s="438"/>
      <c r="M31" s="438"/>
      <c r="N31" s="419" t="s">
        <v>663</v>
      </c>
      <c r="O31" s="419"/>
      <c r="P31" s="419" t="s">
        <v>664</v>
      </c>
      <c r="Q31" s="419" t="s">
        <v>665</v>
      </c>
      <c r="R31" s="419"/>
      <c r="S31" s="423"/>
      <c r="T31" s="419"/>
      <c r="U31" s="423"/>
      <c r="V31" s="439"/>
      <c r="W31" s="439"/>
      <c r="X31" s="438"/>
      <c r="Y31" s="440">
        <f t="shared" si="1"/>
        <v>0</v>
      </c>
      <c r="Z31" s="418"/>
      <c r="AA31" s="419"/>
      <c r="AB31" s="419"/>
      <c r="AC31" s="419"/>
      <c r="AD31" s="419"/>
      <c r="AE31" s="419"/>
    </row>
    <row r="32" spans="2:31" s="420" customFormat="1" hidden="1" outlineLevel="1">
      <c r="B32" s="423" t="s">
        <v>666</v>
      </c>
      <c r="C32" s="423"/>
      <c r="D32" s="423" t="s">
        <v>667</v>
      </c>
      <c r="E32" s="423" t="s">
        <v>600</v>
      </c>
      <c r="F32" s="423"/>
      <c r="G32" s="423"/>
      <c r="H32" s="424"/>
      <c r="I32" s="423"/>
      <c r="J32" s="438"/>
      <c r="K32" s="438"/>
      <c r="L32" s="438"/>
      <c r="M32" s="438"/>
      <c r="N32" s="419" t="s">
        <v>668</v>
      </c>
      <c r="O32" s="419"/>
      <c r="P32" s="419" t="s">
        <v>669</v>
      </c>
      <c r="Q32" s="419" t="s">
        <v>670</v>
      </c>
      <c r="R32" s="419"/>
      <c r="S32" s="423"/>
      <c r="T32" s="419"/>
      <c r="U32" s="423"/>
      <c r="V32" s="439"/>
      <c r="W32" s="439"/>
      <c r="X32" s="438"/>
      <c r="Y32" s="440">
        <f t="shared" si="1"/>
        <v>0</v>
      </c>
      <c r="Z32" s="418"/>
      <c r="AA32" s="419"/>
      <c r="AB32" s="419"/>
      <c r="AC32" s="419"/>
      <c r="AD32" s="419"/>
      <c r="AE32" s="419"/>
    </row>
    <row r="33" spans="2:31" s="420" customFormat="1" hidden="1" outlineLevel="1">
      <c r="B33" s="424" t="s">
        <v>671</v>
      </c>
      <c r="C33" s="424"/>
      <c r="D33" s="433" t="s">
        <v>672</v>
      </c>
      <c r="E33" s="433" t="s">
        <v>673</v>
      </c>
      <c r="F33" s="433"/>
      <c r="G33" s="433"/>
      <c r="H33" s="433"/>
      <c r="I33" s="433"/>
      <c r="J33" s="434">
        <f>SUM(J35:J39)</f>
        <v>1972967</v>
      </c>
      <c r="K33" s="434"/>
      <c r="L33" s="434">
        <f>SUM(L35:L39)</f>
        <v>312659</v>
      </c>
      <c r="M33" s="434"/>
      <c r="N33" s="419" t="s">
        <v>674</v>
      </c>
      <c r="O33" s="419"/>
      <c r="P33" s="419" t="s">
        <v>675</v>
      </c>
      <c r="Q33" s="419" t="s">
        <v>676</v>
      </c>
      <c r="R33" s="419"/>
      <c r="S33" s="423"/>
      <c r="T33" s="419"/>
      <c r="U33" s="423"/>
      <c r="V33" s="439"/>
      <c r="W33" s="439"/>
      <c r="X33" s="438"/>
      <c r="Y33" s="440">
        <f t="shared" si="1"/>
        <v>0</v>
      </c>
      <c r="Z33" s="418"/>
      <c r="AA33" s="419"/>
      <c r="AB33" s="419"/>
      <c r="AC33" s="419"/>
      <c r="AD33" s="419"/>
      <c r="AE33" s="419"/>
    </row>
    <row r="34" spans="2:31" s="420" customFormat="1" hidden="1" outlineLevel="1">
      <c r="B34" s="423"/>
      <c r="C34" s="423"/>
      <c r="D34" s="423" t="s">
        <v>677</v>
      </c>
      <c r="E34" s="423" t="s">
        <v>678</v>
      </c>
      <c r="F34" s="423"/>
      <c r="G34" s="423"/>
      <c r="H34" s="424"/>
      <c r="I34" s="423"/>
      <c r="J34" s="438"/>
      <c r="K34" s="438"/>
      <c r="L34" s="438"/>
      <c r="M34" s="438"/>
      <c r="N34" s="419" t="s">
        <v>679</v>
      </c>
      <c r="O34" s="419"/>
      <c r="P34" s="419" t="s">
        <v>680</v>
      </c>
      <c r="Q34" s="419" t="s">
        <v>681</v>
      </c>
      <c r="R34" s="419"/>
      <c r="S34" s="423"/>
      <c r="T34" s="419"/>
      <c r="U34" s="423"/>
      <c r="V34" s="439"/>
      <c r="W34" s="439"/>
      <c r="X34" s="438"/>
      <c r="Y34" s="440">
        <f t="shared" si="1"/>
        <v>0</v>
      </c>
      <c r="Z34" s="418"/>
      <c r="AA34" s="419"/>
      <c r="AB34" s="419"/>
      <c r="AC34" s="419"/>
      <c r="AD34" s="419"/>
      <c r="AE34" s="419"/>
    </row>
    <row r="35" spans="2:31" s="420" customFormat="1" hidden="1" outlineLevel="1">
      <c r="B35" s="423" t="s">
        <v>682</v>
      </c>
      <c r="C35" s="423"/>
      <c r="D35" s="423" t="s">
        <v>683</v>
      </c>
      <c r="E35" s="423" t="s">
        <v>684</v>
      </c>
      <c r="F35" s="423"/>
      <c r="G35" s="423"/>
      <c r="H35" s="424"/>
      <c r="I35" s="423"/>
      <c r="J35" s="438"/>
      <c r="K35" s="438"/>
      <c r="L35" s="438"/>
      <c r="M35" s="438"/>
      <c r="N35" s="435" t="s">
        <v>685</v>
      </c>
      <c r="O35" s="435"/>
      <c r="P35" s="436" t="s">
        <v>1043</v>
      </c>
      <c r="Q35" s="436" t="s">
        <v>686</v>
      </c>
      <c r="R35" s="436"/>
      <c r="S35" s="433"/>
      <c r="T35" s="436"/>
      <c r="U35" s="433"/>
      <c r="V35" s="448">
        <f>SUM(V36:V44)</f>
        <v>36976688</v>
      </c>
      <c r="W35" s="448"/>
      <c r="X35" s="434">
        <f>SUM(X36:X44)</f>
        <v>196970765</v>
      </c>
      <c r="Y35" s="449">
        <f>SUM(Y36:Y44)</f>
        <v>-159994077</v>
      </c>
      <c r="Z35" s="418"/>
      <c r="AA35" s="419"/>
      <c r="AB35" s="419"/>
      <c r="AC35" s="419"/>
      <c r="AD35" s="419"/>
      <c r="AE35" s="419"/>
    </row>
    <row r="36" spans="2:31" s="420" customFormat="1" hidden="1" outlineLevel="1">
      <c r="B36" s="423" t="s">
        <v>687</v>
      </c>
      <c r="C36" s="423"/>
      <c r="D36" s="423" t="s">
        <v>688</v>
      </c>
      <c r="E36" s="423" t="s">
        <v>689</v>
      </c>
      <c r="F36" s="423"/>
      <c r="G36" s="423"/>
      <c r="H36" s="424"/>
      <c r="I36" s="423"/>
      <c r="J36" s="438"/>
      <c r="K36" s="438"/>
      <c r="L36" s="438"/>
      <c r="M36" s="438"/>
      <c r="N36" s="419" t="s">
        <v>690</v>
      </c>
      <c r="O36" s="419"/>
      <c r="P36" s="419" t="s">
        <v>691</v>
      </c>
      <c r="Q36" s="419" t="s">
        <v>647</v>
      </c>
      <c r="R36" s="419"/>
      <c r="S36" s="423"/>
      <c r="T36" s="419"/>
      <c r="U36" s="423"/>
      <c r="V36" s="439">
        <f>10400125+15105884+8675009+2036709</f>
        <v>36217727</v>
      </c>
      <c r="W36" s="439"/>
      <c r="X36" s="439">
        <v>196231421</v>
      </c>
      <c r="Y36" s="440">
        <f t="shared" ref="Y36:Y53" si="2">V36-X36</f>
        <v>-160013694</v>
      </c>
      <c r="Z36" s="418"/>
      <c r="AA36" s="419"/>
      <c r="AB36" s="443" t="e">
        <f>V36+V16</f>
        <v>#REF!</v>
      </c>
      <c r="AC36" s="419"/>
      <c r="AD36" s="419"/>
      <c r="AE36" s="419"/>
    </row>
    <row r="37" spans="2:31" s="420" customFormat="1" hidden="1" outlineLevel="1">
      <c r="B37" s="423" t="s">
        <v>692</v>
      </c>
      <c r="C37" s="423"/>
      <c r="D37" s="423" t="s">
        <v>693</v>
      </c>
      <c r="E37" s="423" t="s">
        <v>694</v>
      </c>
      <c r="F37" s="423"/>
      <c r="G37" s="423"/>
      <c r="H37" s="424"/>
      <c r="I37" s="423"/>
      <c r="J37" s="438"/>
      <c r="K37" s="438"/>
      <c r="L37" s="438"/>
      <c r="M37" s="438"/>
      <c r="N37" s="419" t="s">
        <v>695</v>
      </c>
      <c r="O37" s="419"/>
      <c r="P37" s="419" t="s">
        <v>652</v>
      </c>
      <c r="Q37" s="419" t="s">
        <v>653</v>
      </c>
      <c r="R37" s="419"/>
      <c r="S37" s="423"/>
      <c r="T37" s="419"/>
      <c r="U37" s="423"/>
      <c r="V37" s="439"/>
      <c r="W37" s="439"/>
      <c r="X37" s="439"/>
      <c r="Y37" s="440">
        <f t="shared" si="2"/>
        <v>0</v>
      </c>
      <c r="Z37" s="418"/>
      <c r="AA37" s="419"/>
      <c r="AB37" s="419"/>
      <c r="AC37" s="419"/>
      <c r="AD37" s="419"/>
      <c r="AE37" s="419"/>
    </row>
    <row r="38" spans="2:31" s="420" customFormat="1" hidden="1" outlineLevel="1">
      <c r="B38" s="423" t="s">
        <v>696</v>
      </c>
      <c r="C38" s="423"/>
      <c r="D38" s="423" t="s">
        <v>697</v>
      </c>
      <c r="E38" s="423" t="s">
        <v>698</v>
      </c>
      <c r="F38" s="423"/>
      <c r="G38" s="423"/>
      <c r="H38" s="424"/>
      <c r="I38" s="423"/>
      <c r="J38" s="438">
        <f>1290294+420287+140000+122386</f>
        <v>1972967</v>
      </c>
      <c r="K38" s="438"/>
      <c r="L38" s="438">
        <f>88861+223798</f>
        <v>312659</v>
      </c>
      <c r="M38" s="438"/>
      <c r="N38" s="419" t="s">
        <v>699</v>
      </c>
      <c r="O38" s="419"/>
      <c r="P38" s="419" t="s">
        <v>658</v>
      </c>
      <c r="Q38" s="419" t="s">
        <v>659</v>
      </c>
      <c r="R38" s="419"/>
      <c r="S38" s="423"/>
      <c r="T38" s="419"/>
      <c r="U38" s="423"/>
      <c r="V38" s="439"/>
      <c r="W38" s="439"/>
      <c r="X38" s="439"/>
      <c r="Y38" s="440">
        <f t="shared" si="2"/>
        <v>0</v>
      </c>
      <c r="Z38" s="418"/>
      <c r="AA38" s="419"/>
      <c r="AB38" s="419"/>
      <c r="AC38" s="419"/>
      <c r="AD38" s="419"/>
      <c r="AE38" s="419"/>
    </row>
    <row r="39" spans="2:31" s="420" customFormat="1" hidden="1" outlineLevel="1">
      <c r="B39" s="423" t="s">
        <v>700</v>
      </c>
      <c r="C39" s="423"/>
      <c r="D39" s="423" t="s">
        <v>701</v>
      </c>
      <c r="E39" s="423" t="s">
        <v>600</v>
      </c>
      <c r="F39" s="423"/>
      <c r="G39" s="423"/>
      <c r="H39" s="424"/>
      <c r="I39" s="423"/>
      <c r="J39" s="438"/>
      <c r="K39" s="438"/>
      <c r="L39" s="438"/>
      <c r="M39" s="438"/>
      <c r="N39" s="419" t="s">
        <v>702</v>
      </c>
      <c r="O39" s="419"/>
      <c r="P39" s="419" t="s">
        <v>664</v>
      </c>
      <c r="Q39" s="419" t="s">
        <v>665</v>
      </c>
      <c r="R39" s="419"/>
      <c r="S39" s="423"/>
      <c r="T39" s="419"/>
      <c r="U39" s="423"/>
      <c r="V39" s="439">
        <f>253376</f>
        <v>253376</v>
      </c>
      <c r="W39" s="439"/>
      <c r="X39" s="439">
        <v>538605</v>
      </c>
      <c r="Y39" s="440">
        <f t="shared" si="2"/>
        <v>-285229</v>
      </c>
      <c r="Z39" s="418"/>
      <c r="AA39" s="454"/>
      <c r="AB39" s="455"/>
      <c r="AC39" s="454"/>
      <c r="AD39" s="419"/>
      <c r="AE39" s="419"/>
    </row>
    <row r="40" spans="2:31" s="420" customFormat="1" hidden="1" outlineLevel="1">
      <c r="B40" s="424" t="s">
        <v>703</v>
      </c>
      <c r="C40" s="424"/>
      <c r="D40" s="433" t="s">
        <v>704</v>
      </c>
      <c r="E40" s="433" t="s">
        <v>705</v>
      </c>
      <c r="F40" s="433"/>
      <c r="G40" s="433"/>
      <c r="H40" s="433"/>
      <c r="I40" s="433"/>
      <c r="J40" s="434">
        <f>SUM(J41:J42)</f>
        <v>0</v>
      </c>
      <c r="K40" s="434"/>
      <c r="L40" s="434">
        <f>SUM(L41:L42)</f>
        <v>0</v>
      </c>
      <c r="M40" s="434"/>
      <c r="N40" s="419" t="s">
        <v>706</v>
      </c>
      <c r="O40" s="419"/>
      <c r="P40" s="419" t="s">
        <v>707</v>
      </c>
      <c r="Q40" s="419" t="s">
        <v>708</v>
      </c>
      <c r="R40" s="419"/>
      <c r="S40" s="423"/>
      <c r="T40" s="419"/>
      <c r="U40" s="423"/>
      <c r="V40" s="439"/>
      <c r="W40" s="439"/>
      <c r="X40" s="439">
        <v>9891</v>
      </c>
      <c r="Y40" s="440">
        <f t="shared" si="2"/>
        <v>-9891</v>
      </c>
      <c r="Z40" s="418"/>
      <c r="AA40" s="454"/>
      <c r="AB40" s="456"/>
      <c r="AC40" s="454"/>
      <c r="AD40" s="419"/>
      <c r="AE40" s="419"/>
    </row>
    <row r="41" spans="2:31" s="420" customFormat="1" hidden="1" outlineLevel="1">
      <c r="B41" s="423" t="s">
        <v>709</v>
      </c>
      <c r="C41" s="423"/>
      <c r="D41" s="423" t="s">
        <v>710</v>
      </c>
      <c r="E41" s="423" t="s">
        <v>711</v>
      </c>
      <c r="F41" s="423"/>
      <c r="G41" s="423"/>
      <c r="H41" s="424"/>
      <c r="I41" s="423"/>
      <c r="J41" s="438"/>
      <c r="K41" s="438"/>
      <c r="L41" s="438"/>
      <c r="M41" s="438"/>
      <c r="N41" s="419" t="s">
        <v>712</v>
      </c>
      <c r="O41" s="419"/>
      <c r="P41" s="419" t="s">
        <v>713</v>
      </c>
      <c r="Q41" s="419" t="s">
        <v>714</v>
      </c>
      <c r="R41" s="419"/>
      <c r="S41" s="423"/>
      <c r="T41" s="419"/>
      <c r="U41" s="423"/>
      <c r="V41" s="439">
        <f>35368</f>
        <v>35368</v>
      </c>
      <c r="W41" s="439"/>
      <c r="X41" s="439">
        <v>35368</v>
      </c>
      <c r="Y41" s="440">
        <f t="shared" si="2"/>
        <v>0</v>
      </c>
      <c r="Z41" s="418"/>
      <c r="AA41" s="454"/>
      <c r="AB41" s="456"/>
      <c r="AC41" s="454"/>
      <c r="AD41" s="419"/>
      <c r="AE41" s="419"/>
    </row>
    <row r="42" spans="2:31" s="420" customFormat="1" hidden="1" outlineLevel="1">
      <c r="B42" s="423" t="s">
        <v>715</v>
      </c>
      <c r="C42" s="423"/>
      <c r="D42" s="423" t="s">
        <v>564</v>
      </c>
      <c r="E42" s="423" t="s">
        <v>600</v>
      </c>
      <c r="F42" s="423"/>
      <c r="G42" s="423"/>
      <c r="H42" s="424"/>
      <c r="I42" s="423"/>
      <c r="J42" s="438"/>
      <c r="K42" s="438"/>
      <c r="L42" s="438"/>
      <c r="M42" s="438"/>
      <c r="N42" s="419" t="s">
        <v>716</v>
      </c>
      <c r="O42" s="419"/>
      <c r="P42" s="419" t="s">
        <v>717</v>
      </c>
      <c r="Q42" s="419" t="s">
        <v>718</v>
      </c>
      <c r="R42" s="419"/>
      <c r="S42" s="423"/>
      <c r="T42" s="419"/>
      <c r="U42" s="423"/>
      <c r="V42" s="439">
        <v>12180</v>
      </c>
      <c r="W42" s="439"/>
      <c r="X42" s="439">
        <v>140919</v>
      </c>
      <c r="Y42" s="440">
        <f t="shared" si="2"/>
        <v>-128739</v>
      </c>
      <c r="Z42" s="418"/>
      <c r="AA42" s="454"/>
      <c r="AB42" s="456"/>
      <c r="AC42" s="454"/>
      <c r="AD42" s="419"/>
      <c r="AE42" s="419"/>
    </row>
    <row r="43" spans="2:31" s="420" customFormat="1" hidden="1" outlineLevel="1">
      <c r="B43" s="424" t="s">
        <v>719</v>
      </c>
      <c r="C43" s="424"/>
      <c r="D43" s="433" t="s">
        <v>720</v>
      </c>
      <c r="E43" s="433" t="s">
        <v>721</v>
      </c>
      <c r="F43" s="433"/>
      <c r="G43" s="433"/>
      <c r="H43" s="433"/>
      <c r="I43" s="433"/>
      <c r="J43" s="434">
        <f>SUM(J44:J46)</f>
        <v>133642</v>
      </c>
      <c r="K43" s="434"/>
      <c r="L43" s="434">
        <f>SUM(L44:L46)</f>
        <v>14179246.0562</v>
      </c>
      <c r="M43" s="434"/>
      <c r="N43" s="419" t="s">
        <v>722</v>
      </c>
      <c r="O43" s="419"/>
      <c r="P43" s="419" t="s">
        <v>723</v>
      </c>
      <c r="Q43" s="419" t="s">
        <v>676</v>
      </c>
      <c r="R43" s="419"/>
      <c r="S43" s="423"/>
      <c r="T43" s="419"/>
      <c r="U43" s="423"/>
      <c r="V43" s="439">
        <v>458037</v>
      </c>
      <c r="W43" s="439"/>
      <c r="X43" s="438">
        <v>14561</v>
      </c>
      <c r="Y43" s="440">
        <f t="shared" si="2"/>
        <v>443476</v>
      </c>
      <c r="Z43" s="418"/>
      <c r="AA43" s="454"/>
      <c r="AB43" s="454"/>
      <c r="AC43" s="454"/>
      <c r="AD43" s="419"/>
      <c r="AE43" s="419"/>
    </row>
    <row r="44" spans="2:31" s="420" customFormat="1" hidden="1" outlineLevel="1">
      <c r="B44" s="423" t="s">
        <v>724</v>
      </c>
      <c r="C44" s="423"/>
      <c r="D44" s="423" t="s">
        <v>725</v>
      </c>
      <c r="E44" s="423" t="s">
        <v>726</v>
      </c>
      <c r="F44" s="423"/>
      <c r="G44" s="423"/>
      <c r="H44" s="424"/>
      <c r="I44" s="423"/>
      <c r="J44" s="438">
        <v>133642</v>
      </c>
      <c r="K44" s="438"/>
      <c r="L44" s="438">
        <v>14179246.0562</v>
      </c>
      <c r="M44" s="438"/>
      <c r="N44" s="419" t="s">
        <v>727</v>
      </c>
      <c r="O44" s="419"/>
      <c r="P44" s="419" t="s">
        <v>728</v>
      </c>
      <c r="Q44" s="419" t="s">
        <v>681</v>
      </c>
      <c r="R44" s="419"/>
      <c r="S44" s="423"/>
      <c r="T44" s="419"/>
      <c r="U44" s="423"/>
      <c r="V44" s="439"/>
      <c r="W44" s="439"/>
      <c r="X44" s="438"/>
      <c r="Y44" s="440">
        <f t="shared" si="2"/>
        <v>0</v>
      </c>
      <c r="Z44" s="418"/>
      <c r="AA44" s="454"/>
      <c r="AB44" s="454"/>
      <c r="AC44" s="454"/>
      <c r="AD44" s="419"/>
      <c r="AE44" s="419"/>
    </row>
    <row r="45" spans="2:31" s="420" customFormat="1" hidden="1" outlineLevel="1">
      <c r="B45" s="423" t="s">
        <v>729</v>
      </c>
      <c r="C45" s="423"/>
      <c r="D45" s="423" t="s">
        <v>730</v>
      </c>
      <c r="E45" s="423" t="s">
        <v>731</v>
      </c>
      <c r="F45" s="423"/>
      <c r="G45" s="423"/>
      <c r="H45" s="424"/>
      <c r="I45" s="423"/>
      <c r="J45" s="438"/>
      <c r="K45" s="438"/>
      <c r="L45" s="438"/>
      <c r="M45" s="438"/>
      <c r="N45" s="435" t="s">
        <v>604</v>
      </c>
      <c r="O45" s="435"/>
      <c r="P45" s="436" t="s">
        <v>732</v>
      </c>
      <c r="Q45" s="436" t="s">
        <v>733</v>
      </c>
      <c r="R45" s="436"/>
      <c r="S45" s="433"/>
      <c r="T45" s="436"/>
      <c r="U45" s="433"/>
      <c r="V45" s="448">
        <v>488743668</v>
      </c>
      <c r="W45" s="448"/>
      <c r="X45" s="434"/>
      <c r="Y45" s="451">
        <f t="shared" si="2"/>
        <v>488743668</v>
      </c>
      <c r="Z45" s="418"/>
      <c r="AA45" s="454"/>
      <c r="AB45" s="454"/>
      <c r="AC45" s="454"/>
      <c r="AD45" s="419"/>
      <c r="AE45" s="419"/>
    </row>
    <row r="46" spans="2:31" s="420" customFormat="1" hidden="1" outlineLevel="1">
      <c r="B46" s="423" t="s">
        <v>734</v>
      </c>
      <c r="C46" s="423"/>
      <c r="D46" s="423" t="s">
        <v>1044</v>
      </c>
      <c r="E46" s="423" t="s">
        <v>735</v>
      </c>
      <c r="F46" s="423"/>
      <c r="G46" s="423"/>
      <c r="H46" s="424"/>
      <c r="I46" s="423"/>
      <c r="J46" s="438"/>
      <c r="K46" s="438"/>
      <c r="L46" s="438"/>
      <c r="M46" s="438"/>
      <c r="N46" s="419"/>
      <c r="O46" s="419"/>
      <c r="P46" s="419"/>
      <c r="Q46" s="419"/>
      <c r="R46" s="419"/>
      <c r="S46" s="423"/>
      <c r="T46" s="419"/>
      <c r="U46" s="423"/>
      <c r="V46" s="439"/>
      <c r="W46" s="439"/>
      <c r="X46" s="438"/>
      <c r="Y46" s="440">
        <f t="shared" si="2"/>
        <v>0</v>
      </c>
      <c r="Z46" s="418"/>
      <c r="AA46" s="454"/>
      <c r="AB46" s="454"/>
      <c r="AC46" s="454"/>
      <c r="AD46" s="419"/>
      <c r="AE46" s="419"/>
    </row>
    <row r="47" spans="2:31" s="420" customFormat="1" hidden="1" outlineLevel="1">
      <c r="B47" s="424" t="s">
        <v>736</v>
      </c>
      <c r="C47" s="424"/>
      <c r="D47" s="433" t="s">
        <v>737</v>
      </c>
      <c r="E47" s="433" t="s">
        <v>738</v>
      </c>
      <c r="F47" s="433"/>
      <c r="G47" s="433"/>
      <c r="H47" s="433"/>
      <c r="I47" s="433"/>
      <c r="J47" s="434"/>
      <c r="K47" s="434"/>
      <c r="L47" s="434"/>
      <c r="M47" s="434"/>
      <c r="N47" s="419"/>
      <c r="O47" s="419"/>
      <c r="P47" s="419"/>
      <c r="Q47" s="419"/>
      <c r="R47" s="419"/>
      <c r="S47" s="423"/>
      <c r="T47" s="419"/>
      <c r="U47" s="423"/>
      <c r="V47" s="439"/>
      <c r="W47" s="439"/>
      <c r="X47" s="438"/>
      <c r="Y47" s="440">
        <f t="shared" si="2"/>
        <v>0</v>
      </c>
      <c r="Z47" s="418"/>
      <c r="AA47" s="454"/>
      <c r="AB47" s="454"/>
      <c r="AC47" s="454"/>
      <c r="AD47" s="419"/>
      <c r="AE47" s="419"/>
    </row>
    <row r="48" spans="2:31" s="420" customFormat="1" hidden="1" outlineLevel="1">
      <c r="B48" s="423"/>
      <c r="C48" s="423"/>
      <c r="D48" s="423" t="s">
        <v>739</v>
      </c>
      <c r="E48" s="423" t="s">
        <v>678</v>
      </c>
      <c r="F48" s="423"/>
      <c r="G48" s="423"/>
      <c r="H48" s="424"/>
      <c r="I48" s="423"/>
      <c r="J48" s="438"/>
      <c r="K48" s="438"/>
      <c r="L48" s="438"/>
      <c r="M48" s="438"/>
      <c r="N48" s="419"/>
      <c r="O48" s="419"/>
      <c r="P48" s="419"/>
      <c r="Q48" s="419"/>
      <c r="R48" s="419"/>
      <c r="S48" s="423"/>
      <c r="T48" s="419"/>
      <c r="U48" s="423"/>
      <c r="V48" s="439"/>
      <c r="W48" s="439"/>
      <c r="X48" s="438"/>
      <c r="Y48" s="440">
        <f t="shared" si="2"/>
        <v>0</v>
      </c>
      <c r="Z48" s="418"/>
      <c r="AA48" s="454"/>
      <c r="AB48" s="454"/>
      <c r="AC48" s="454"/>
      <c r="AD48" s="419"/>
      <c r="AE48" s="419"/>
    </row>
    <row r="49" spans="2:31" s="420" customFormat="1" hidden="1" outlineLevel="1">
      <c r="B49" s="424" t="s">
        <v>740</v>
      </c>
      <c r="C49" s="424"/>
      <c r="D49" s="424" t="s">
        <v>1035</v>
      </c>
      <c r="E49" s="424" t="s">
        <v>741</v>
      </c>
      <c r="F49" s="424"/>
      <c r="G49" s="424"/>
      <c r="H49" s="424"/>
      <c r="I49" s="424"/>
      <c r="J49" s="426">
        <f>SUM(J50:J51)</f>
        <v>236923828</v>
      </c>
      <c r="K49" s="426"/>
      <c r="L49" s="426">
        <f>SUM(L50:L51)</f>
        <v>4739.2974172996337</v>
      </c>
      <c r="M49" s="426"/>
      <c r="N49" s="427" t="s">
        <v>630</v>
      </c>
      <c r="O49" s="427"/>
      <c r="P49" s="427" t="s">
        <v>1035</v>
      </c>
      <c r="Q49" s="427" t="s">
        <v>742</v>
      </c>
      <c r="R49" s="427"/>
      <c r="S49" s="424"/>
      <c r="T49" s="427"/>
      <c r="U49" s="424"/>
      <c r="V49" s="429">
        <f>+V50</f>
        <v>0</v>
      </c>
      <c r="W49" s="430"/>
      <c r="X49" s="431">
        <f>SUM(X50:X51)</f>
        <v>133412833.80000035</v>
      </c>
      <c r="Y49" s="457">
        <f t="shared" si="2"/>
        <v>-133412833.80000035</v>
      </c>
      <c r="Z49" s="418"/>
      <c r="AA49" s="454"/>
      <c r="AB49" s="454"/>
      <c r="AC49" s="454"/>
      <c r="AD49" s="419"/>
      <c r="AE49" s="419"/>
    </row>
    <row r="50" spans="2:31" s="420" customFormat="1" hidden="1" outlineLevel="1">
      <c r="B50" s="423" t="s">
        <v>743</v>
      </c>
      <c r="C50" s="423"/>
      <c r="D50" s="423" t="s">
        <v>744</v>
      </c>
      <c r="E50" s="423" t="s">
        <v>745</v>
      </c>
      <c r="F50" s="423"/>
      <c r="G50" s="423"/>
      <c r="H50" s="424"/>
      <c r="I50" s="423"/>
      <c r="J50" s="438">
        <f>177692871+59230957</f>
        <v>236923828</v>
      </c>
      <c r="K50" s="438"/>
      <c r="L50" s="438">
        <v>4739.2974172996337</v>
      </c>
      <c r="M50" s="438"/>
      <c r="N50" s="419" t="s">
        <v>746</v>
      </c>
      <c r="O50" s="419"/>
      <c r="P50" s="419" t="s">
        <v>747</v>
      </c>
      <c r="Q50" s="419" t="s">
        <v>748</v>
      </c>
      <c r="R50" s="419"/>
      <c r="S50" s="423"/>
      <c r="T50" s="419"/>
      <c r="U50" s="423"/>
      <c r="V50" s="439"/>
      <c r="W50" s="439"/>
      <c r="X50" s="439">
        <f>'[6]Dif Kemb Detyr Kredi Furnit etj'!$S$33</f>
        <v>133412833.80000035</v>
      </c>
      <c r="Y50" s="440">
        <f t="shared" si="2"/>
        <v>-133412833.80000035</v>
      </c>
      <c r="Z50" s="418"/>
      <c r="AA50" s="454"/>
      <c r="AB50" s="454"/>
      <c r="AC50" s="454"/>
      <c r="AD50" s="419"/>
      <c r="AE50" s="419"/>
    </row>
    <row r="51" spans="2:31" s="420" customFormat="1" hidden="1" outlineLevel="1">
      <c r="B51" s="423" t="s">
        <v>749</v>
      </c>
      <c r="C51" s="423"/>
      <c r="D51" s="423" t="s">
        <v>750</v>
      </c>
      <c r="E51" s="423" t="s">
        <v>751</v>
      </c>
      <c r="F51" s="423"/>
      <c r="G51" s="423"/>
      <c r="H51" s="424"/>
      <c r="I51" s="423"/>
      <c r="J51" s="438"/>
      <c r="K51" s="438"/>
      <c r="L51" s="438"/>
      <c r="M51" s="438"/>
      <c r="N51" s="419"/>
      <c r="O51" s="419"/>
      <c r="P51" s="419"/>
      <c r="Q51" s="419"/>
      <c r="R51" s="419"/>
      <c r="S51" s="423"/>
      <c r="T51" s="419"/>
      <c r="U51" s="423"/>
      <c r="V51" s="439"/>
      <c r="W51" s="439"/>
      <c r="X51" s="438"/>
      <c r="Y51" s="440">
        <f t="shared" si="2"/>
        <v>0</v>
      </c>
      <c r="Z51" s="418"/>
      <c r="AA51" s="454"/>
      <c r="AB51" s="454"/>
      <c r="AC51" s="454"/>
      <c r="AD51" s="419"/>
      <c r="AE51" s="419"/>
    </row>
    <row r="52" spans="2:31" s="420" customFormat="1" hidden="1" outlineLevel="1">
      <c r="B52" s="423"/>
      <c r="C52" s="423"/>
      <c r="D52" s="423"/>
      <c r="E52" s="423"/>
      <c r="F52" s="423"/>
      <c r="G52" s="423"/>
      <c r="H52" s="424"/>
      <c r="I52" s="423"/>
      <c r="J52" s="438"/>
      <c r="K52" s="438"/>
      <c r="L52" s="438"/>
      <c r="M52" s="438"/>
      <c r="N52" s="419"/>
      <c r="O52" s="419"/>
      <c r="P52" s="419"/>
      <c r="Q52" s="419"/>
      <c r="R52" s="419"/>
      <c r="S52" s="423"/>
      <c r="T52" s="419"/>
      <c r="U52" s="423"/>
      <c r="V52" s="439"/>
      <c r="W52" s="439"/>
      <c r="X52" s="438"/>
      <c r="Y52" s="440">
        <f t="shared" si="2"/>
        <v>0</v>
      </c>
      <c r="Z52" s="418"/>
      <c r="AA52" s="454"/>
      <c r="AB52" s="454"/>
      <c r="AC52" s="454"/>
      <c r="AD52" s="419"/>
      <c r="AE52" s="419"/>
    </row>
    <row r="53" spans="2:31" s="420" customFormat="1" ht="18" hidden="1" customHeight="1" outlineLevel="1" thickBot="1">
      <c r="B53" s="424"/>
      <c r="C53" s="424"/>
      <c r="D53" s="424" t="s">
        <v>752</v>
      </c>
      <c r="E53" s="424" t="s">
        <v>753</v>
      </c>
      <c r="F53" s="424"/>
      <c r="G53" s="424"/>
      <c r="H53" s="424"/>
      <c r="I53" s="424"/>
      <c r="J53" s="426">
        <f>SUM(J49+J26+J5)</f>
        <v>15008630437</v>
      </c>
      <c r="K53" s="426"/>
      <c r="L53" s="426">
        <f>SUM(L49+L26+L5)</f>
        <v>14784096644.353617</v>
      </c>
      <c r="M53" s="426"/>
      <c r="N53" s="419"/>
      <c r="O53" s="419"/>
      <c r="P53" s="435" t="s">
        <v>754</v>
      </c>
      <c r="Q53" s="435" t="s">
        <v>755</v>
      </c>
      <c r="R53" s="435"/>
      <c r="S53" s="424"/>
      <c r="T53" s="435"/>
      <c r="U53" s="424"/>
      <c r="V53" s="430" t="e">
        <f>SUM(V49+V26+V5)</f>
        <v>#REF!</v>
      </c>
      <c r="W53" s="430"/>
      <c r="X53" s="426">
        <f>SUM(X49+X26+X5)</f>
        <v>14784096644.368206</v>
      </c>
      <c r="Y53" s="458" t="e">
        <f t="shared" si="2"/>
        <v>#REF!</v>
      </c>
      <c r="Z53" s="418"/>
      <c r="AA53" s="454"/>
      <c r="AB53" s="454"/>
      <c r="AC53" s="454"/>
      <c r="AD53" s="419"/>
      <c r="AE53" s="419"/>
    </row>
    <row r="54" spans="2:31" collapsed="1">
      <c r="J54" s="459"/>
      <c r="K54" s="459"/>
      <c r="L54" s="459"/>
      <c r="M54" s="459"/>
      <c r="AA54" s="460"/>
      <c r="AB54" s="460"/>
      <c r="AC54" s="460"/>
    </row>
    <row r="55" spans="2:31">
      <c r="J55" s="459"/>
      <c r="K55" s="459"/>
      <c r="L55" s="459"/>
      <c r="M55" s="459"/>
      <c r="V55" s="461"/>
      <c r="W55" s="461"/>
      <c r="AA55" s="460"/>
      <c r="AB55" s="460"/>
      <c r="AC55" s="460"/>
    </row>
    <row r="56" spans="2:31">
      <c r="J56" s="172" t="e">
        <f>+J53-V53</f>
        <v>#REF!</v>
      </c>
      <c r="K56" s="172"/>
      <c r="L56" s="172">
        <f>+L53-X53</f>
        <v>-1.4589309692382813E-2</v>
      </c>
      <c r="M56" s="172"/>
      <c r="AA56" s="460"/>
      <c r="AB56" s="460"/>
      <c r="AC56" s="460"/>
    </row>
    <row r="57" spans="2:31">
      <c r="AA57" s="460"/>
      <c r="AB57" s="460"/>
      <c r="AC57" s="460"/>
    </row>
    <row r="58" spans="2:31">
      <c r="AA58" s="460"/>
      <c r="AB58" s="460"/>
      <c r="AC58" s="460"/>
    </row>
    <row r="61" spans="2:31" ht="17.25" customHeight="1">
      <c r="B61" s="1449" t="s">
        <v>517</v>
      </c>
      <c r="C61" s="462" t="s">
        <v>273</v>
      </c>
      <c r="D61" s="1449" t="s">
        <v>75</v>
      </c>
      <c r="E61" s="1449" t="s">
        <v>519</v>
      </c>
      <c r="F61" s="462"/>
      <c r="G61" s="462"/>
      <c r="H61" s="1449" t="s">
        <v>313</v>
      </c>
      <c r="I61" s="462"/>
      <c r="J61" s="1456" t="s">
        <v>520</v>
      </c>
      <c r="K61" s="1456"/>
      <c r="L61" s="1456"/>
      <c r="M61" s="463"/>
      <c r="N61" s="1453" t="s">
        <v>522</v>
      </c>
      <c r="O61" s="464" t="s">
        <v>273</v>
      </c>
      <c r="P61" s="1453" t="s">
        <v>1102</v>
      </c>
      <c r="Q61" s="1453" t="s">
        <v>524</v>
      </c>
      <c r="R61" s="464"/>
      <c r="S61" s="462"/>
      <c r="T61" s="1453" t="s">
        <v>314</v>
      </c>
      <c r="U61" s="462"/>
      <c r="V61" s="1456" t="s">
        <v>520</v>
      </c>
      <c r="W61" s="1456"/>
      <c r="X61" s="1456"/>
      <c r="Y61" s="1458"/>
    </row>
    <row r="62" spans="2:31" ht="18.75" customHeight="1">
      <c r="B62" s="1450"/>
      <c r="C62" s="462" t="s">
        <v>274</v>
      </c>
      <c r="D62" s="1450"/>
      <c r="E62" s="1449"/>
      <c r="F62" s="462"/>
      <c r="G62" s="462"/>
      <c r="H62" s="1450"/>
      <c r="I62" s="462"/>
      <c r="J62" s="465" t="s">
        <v>116</v>
      </c>
      <c r="K62" s="466"/>
      <c r="L62" s="465" t="s">
        <v>1051</v>
      </c>
      <c r="M62" s="466"/>
      <c r="N62" s="1453"/>
      <c r="O62" s="464" t="s">
        <v>274</v>
      </c>
      <c r="P62" s="1454"/>
      <c r="Q62" s="1453"/>
      <c r="R62" s="464"/>
      <c r="S62" s="462"/>
      <c r="T62" s="1454"/>
      <c r="U62" s="462"/>
      <c r="V62" s="467" t="s">
        <v>116</v>
      </c>
      <c r="W62" s="466"/>
      <c r="X62" s="467" t="s">
        <v>1051</v>
      </c>
      <c r="Y62" s="1458"/>
    </row>
    <row r="63" spans="2:31">
      <c r="B63" s="468" t="s">
        <v>760</v>
      </c>
      <c r="C63" s="463" t="s">
        <v>526</v>
      </c>
      <c r="D63" s="469" t="s">
        <v>1073</v>
      </c>
      <c r="E63" s="470" t="s">
        <v>23</v>
      </c>
      <c r="F63" s="729"/>
      <c r="G63" s="729"/>
      <c r="H63" s="470"/>
      <c r="I63" s="470"/>
      <c r="J63" s="471"/>
      <c r="K63" s="471"/>
      <c r="L63" s="471"/>
      <c r="M63" s="471"/>
      <c r="N63" s="468" t="s">
        <v>760</v>
      </c>
      <c r="O63" s="468" t="s">
        <v>185</v>
      </c>
      <c r="P63" s="469" t="s">
        <v>1103</v>
      </c>
      <c r="Q63" s="472"/>
      <c r="R63" s="730"/>
      <c r="S63" s="729"/>
      <c r="T63" s="470"/>
      <c r="U63" s="470"/>
      <c r="V63" s="165"/>
      <c r="W63" s="165"/>
      <c r="X63" s="471"/>
      <c r="Y63" s="473"/>
    </row>
    <row r="64" spans="2:31">
      <c r="B64" s="474">
        <v>1</v>
      </c>
      <c r="C64" s="474" t="s">
        <v>194</v>
      </c>
      <c r="D64" s="414" t="s">
        <v>1074</v>
      </c>
      <c r="E64" s="475" t="s">
        <v>24</v>
      </c>
      <c r="F64" s="731" t="s">
        <v>281</v>
      </c>
      <c r="G64" s="731"/>
      <c r="H64" s="463">
        <v>4</v>
      </c>
      <c r="I64" s="475"/>
      <c r="J64" s="471">
        <f>+B_Sheet14!I8</f>
        <v>1811558</v>
      </c>
      <c r="K64" s="471"/>
      <c r="L64" s="476">
        <f>+B_Sheet14!J8</f>
        <v>2040303</v>
      </c>
      <c r="M64" s="476"/>
      <c r="N64" s="246">
        <v>1</v>
      </c>
      <c r="O64" s="246" t="s">
        <v>227</v>
      </c>
      <c r="P64" s="246" t="s">
        <v>1076</v>
      </c>
      <c r="Q64" s="246" t="s">
        <v>47</v>
      </c>
      <c r="R64" s="728" t="s">
        <v>280</v>
      </c>
      <c r="T64" s="246"/>
      <c r="U64" s="414"/>
      <c r="V64" s="476">
        <f>+B_Sheet14!T8</f>
        <v>0</v>
      </c>
      <c r="W64" s="476"/>
      <c r="X64" s="476">
        <f>+B_Sheet14!U8</f>
        <v>0</v>
      </c>
      <c r="Y64" s="477"/>
    </row>
    <row r="65" spans="2:30" ht="15.75" customHeight="1">
      <c r="B65" s="474">
        <v>2</v>
      </c>
      <c r="C65" s="474" t="s">
        <v>195</v>
      </c>
      <c r="D65" s="414" t="s">
        <v>1075</v>
      </c>
      <c r="E65" s="475" t="s">
        <v>25</v>
      </c>
      <c r="F65" s="1460" t="s">
        <v>282</v>
      </c>
      <c r="G65" s="732"/>
      <c r="H65" s="463"/>
      <c r="I65" s="475"/>
      <c r="J65" s="459">
        <f>SUM(J66:J67)</f>
        <v>0</v>
      </c>
      <c r="K65" s="459"/>
      <c r="L65" s="459">
        <f>SUM(L66:L67)</f>
        <v>0</v>
      </c>
      <c r="M65" s="459"/>
      <c r="N65" s="246">
        <v>2</v>
      </c>
      <c r="O65" s="246" t="s">
        <v>228</v>
      </c>
      <c r="P65" s="246" t="s">
        <v>1104</v>
      </c>
      <c r="Q65" s="246" t="s">
        <v>48</v>
      </c>
      <c r="R65" s="733"/>
      <c r="S65" s="734"/>
      <c r="T65" s="246"/>
      <c r="U65" s="414"/>
      <c r="V65" s="887"/>
      <c r="W65" s="887"/>
      <c r="X65" s="888"/>
      <c r="Y65" s="478"/>
    </row>
    <row r="66" spans="2:30">
      <c r="B66" s="479" t="s">
        <v>1078</v>
      </c>
      <c r="C66" s="479" t="s">
        <v>196</v>
      </c>
      <c r="D66" s="248" t="s">
        <v>76</v>
      </c>
      <c r="E66" s="459" t="s">
        <v>26</v>
      </c>
      <c r="F66" s="1460"/>
      <c r="G66" s="732"/>
      <c r="H66" s="501"/>
      <c r="I66" s="459"/>
      <c r="J66" s="459">
        <f>+B_Sheet14!I10</f>
        <v>0</v>
      </c>
      <c r="K66" s="459"/>
      <c r="L66" s="459">
        <f>+B_Sheet14!J10</f>
        <v>0</v>
      </c>
      <c r="M66" s="459"/>
      <c r="N66" s="480" t="s">
        <v>1078</v>
      </c>
      <c r="O66" s="480" t="s">
        <v>229</v>
      </c>
      <c r="P66" s="245" t="s">
        <v>1105</v>
      </c>
      <c r="Q66" s="245" t="s">
        <v>49</v>
      </c>
      <c r="R66" s="728" t="s">
        <v>296</v>
      </c>
      <c r="T66" s="485">
        <v>10</v>
      </c>
      <c r="V66" s="172">
        <f>+B_Sheet14!T10</f>
        <v>0</v>
      </c>
      <c r="W66" s="172"/>
      <c r="X66" s="459">
        <f>+B_Sheet14!U10</f>
        <v>0</v>
      </c>
      <c r="Y66" s="478"/>
    </row>
    <row r="67" spans="2:30" ht="16.5" customHeight="1">
      <c r="B67" s="479" t="s">
        <v>1079</v>
      </c>
      <c r="C67" s="479" t="s">
        <v>197</v>
      </c>
      <c r="D67" s="248" t="s">
        <v>77</v>
      </c>
      <c r="E67" s="459" t="s">
        <v>27</v>
      </c>
      <c r="F67" s="1460"/>
      <c r="G67" s="732"/>
      <c r="H67" s="501"/>
      <c r="I67" s="459"/>
      <c r="J67" s="481">
        <f>+B_Sheet14!I11</f>
        <v>0</v>
      </c>
      <c r="K67" s="459"/>
      <c r="L67" s="481">
        <f>+B_Sheet14!J11</f>
        <v>0</v>
      </c>
      <c r="M67" s="459"/>
      <c r="N67" s="480" t="s">
        <v>1079</v>
      </c>
      <c r="O67" s="480" t="s">
        <v>230</v>
      </c>
      <c r="P67" s="245" t="s">
        <v>1106</v>
      </c>
      <c r="Q67" s="245" t="s">
        <v>50</v>
      </c>
      <c r="R67" s="735" t="s">
        <v>297</v>
      </c>
      <c r="S67" s="736"/>
      <c r="T67" s="485"/>
      <c r="V67" s="172">
        <f>+B_Sheet14!T11</f>
        <v>0</v>
      </c>
      <c r="W67" s="172"/>
      <c r="X67" s="459">
        <f>+B_Sheet14!U11</f>
        <v>0</v>
      </c>
      <c r="Y67" s="478"/>
    </row>
    <row r="68" spans="2:30" ht="15" customHeight="1">
      <c r="B68" s="479"/>
      <c r="C68" s="479"/>
      <c r="D68" s="474" t="s">
        <v>1077</v>
      </c>
      <c r="E68" s="474" t="s">
        <v>936</v>
      </c>
      <c r="F68" s="737"/>
      <c r="G68" s="737"/>
      <c r="H68" s="463"/>
      <c r="J68" s="471">
        <f>SUM(J64:J67)</f>
        <v>1811558</v>
      </c>
      <c r="K68" s="471"/>
      <c r="L68" s="471">
        <f>SUM(L64:L67)</f>
        <v>2040303</v>
      </c>
      <c r="M68" s="459"/>
      <c r="N68" s="480" t="s">
        <v>1081</v>
      </c>
      <c r="O68" s="480" t="s">
        <v>231</v>
      </c>
      <c r="P68" s="245" t="s">
        <v>1107</v>
      </c>
      <c r="Q68" s="245" t="s">
        <v>51</v>
      </c>
      <c r="R68" s="735" t="s">
        <v>298</v>
      </c>
      <c r="S68" s="736"/>
      <c r="T68" s="485"/>
      <c r="V68" s="186">
        <f>+B_Sheet14!T12</f>
        <v>0</v>
      </c>
      <c r="W68" s="172"/>
      <c r="X68" s="481">
        <f>+B_Sheet14!U12</f>
        <v>0</v>
      </c>
      <c r="Y68" s="478"/>
    </row>
    <row r="69" spans="2:30" ht="12.75" customHeight="1">
      <c r="B69" s="474">
        <v>3</v>
      </c>
      <c r="C69" s="474" t="s">
        <v>198</v>
      </c>
      <c r="D69" s="414" t="s">
        <v>1080</v>
      </c>
      <c r="E69" s="414" t="s">
        <v>28</v>
      </c>
      <c r="F69" s="1460" t="s">
        <v>283</v>
      </c>
      <c r="G69" s="732"/>
      <c r="H69" s="463"/>
      <c r="I69" s="414"/>
      <c r="J69" s="459"/>
      <c r="K69" s="459"/>
      <c r="L69" s="459"/>
      <c r="M69" s="459"/>
      <c r="N69" s="480"/>
      <c r="O69" s="480" t="s">
        <v>186</v>
      </c>
      <c r="P69" s="483" t="s">
        <v>1077</v>
      </c>
      <c r="Q69" s="246" t="s">
        <v>936</v>
      </c>
      <c r="R69" s="733"/>
      <c r="S69" s="734"/>
      <c r="T69" s="915"/>
      <c r="U69" s="414"/>
      <c r="V69" s="887">
        <f>SUM(V66:V68)</f>
        <v>0</v>
      </c>
      <c r="W69" s="887"/>
      <c r="X69" s="888">
        <f>SUM(X66:X68)</f>
        <v>0</v>
      </c>
      <c r="Y69" s="478"/>
      <c r="AA69" s="484"/>
    </row>
    <row r="70" spans="2:30">
      <c r="B70" s="479" t="s">
        <v>1078</v>
      </c>
      <c r="C70" s="479" t="s">
        <v>199</v>
      </c>
      <c r="D70" s="248" t="s">
        <v>310</v>
      </c>
      <c r="E70" s="459" t="s">
        <v>29</v>
      </c>
      <c r="F70" s="1460"/>
      <c r="G70" s="732"/>
      <c r="H70" s="463">
        <v>5</v>
      </c>
      <c r="I70" s="459"/>
      <c r="J70" s="459">
        <f>+B_Sheet14!I14</f>
        <v>0</v>
      </c>
      <c r="K70" s="459"/>
      <c r="L70" s="459">
        <f>+B_Sheet14!J14</f>
        <v>0</v>
      </c>
      <c r="M70" s="459"/>
      <c r="N70" s="483">
        <v>3</v>
      </c>
      <c r="O70" s="483" t="s">
        <v>232</v>
      </c>
      <c r="P70" s="246" t="s">
        <v>1108</v>
      </c>
      <c r="T70" s="485"/>
      <c r="V70" s="172"/>
      <c r="W70" s="172"/>
      <c r="X70" s="459"/>
      <c r="Y70" s="478"/>
    </row>
    <row r="71" spans="2:30">
      <c r="B71" s="479" t="s">
        <v>1079</v>
      </c>
      <c r="C71" s="479" t="s">
        <v>200</v>
      </c>
      <c r="D71" s="248" t="s">
        <v>78</v>
      </c>
      <c r="E71" s="459" t="s">
        <v>30</v>
      </c>
      <c r="F71" s="1460"/>
      <c r="G71" s="732"/>
      <c r="H71" s="463">
        <v>6</v>
      </c>
      <c r="I71" s="459"/>
      <c r="J71" s="459">
        <f>+B_Sheet14!I15</f>
        <v>1048641</v>
      </c>
      <c r="K71" s="459"/>
      <c r="L71" s="459">
        <f>+B_Sheet14!J15</f>
        <v>338092</v>
      </c>
      <c r="M71" s="459"/>
      <c r="N71" s="480" t="s">
        <v>1078</v>
      </c>
      <c r="O71" s="480" t="s">
        <v>233</v>
      </c>
      <c r="P71" s="245" t="s">
        <v>1109</v>
      </c>
      <c r="Q71" s="245" t="s">
        <v>52</v>
      </c>
      <c r="R71" s="728" t="s">
        <v>296</v>
      </c>
      <c r="T71" s="485">
        <v>11</v>
      </c>
      <c r="V71" s="172">
        <f>+B_Sheet14!T15</f>
        <v>65565523</v>
      </c>
      <c r="W71" s="172"/>
      <c r="X71" s="459">
        <f>+B_Sheet14!U15</f>
        <v>74688530</v>
      </c>
      <c r="Y71" s="478"/>
    </row>
    <row r="72" spans="2:30">
      <c r="B72" s="479" t="s">
        <v>1081</v>
      </c>
      <c r="C72" s="479" t="s">
        <v>201</v>
      </c>
      <c r="D72" s="248" t="s">
        <v>272</v>
      </c>
      <c r="E72" s="459" t="s">
        <v>26</v>
      </c>
      <c r="F72" s="1460"/>
      <c r="G72" s="732"/>
      <c r="H72" s="463"/>
      <c r="I72" s="459"/>
      <c r="J72" s="459">
        <f>+B_Sheet14!I16</f>
        <v>0</v>
      </c>
      <c r="K72" s="459"/>
      <c r="L72" s="476">
        <f>+B_Sheet14!J16</f>
        <v>0</v>
      </c>
      <c r="M72" s="476"/>
      <c r="N72" s="480" t="s">
        <v>1079</v>
      </c>
      <c r="O72" s="480" t="s">
        <v>234</v>
      </c>
      <c r="P72" s="245" t="s">
        <v>1110</v>
      </c>
      <c r="Q72" s="245" t="s">
        <v>53</v>
      </c>
      <c r="T72" s="485"/>
      <c r="V72" s="172">
        <f>+B_Sheet14!T16</f>
        <v>5553825</v>
      </c>
      <c r="W72" s="172"/>
      <c r="X72" s="459">
        <f>+B_Sheet14!U16</f>
        <v>4544929</v>
      </c>
      <c r="Y72" s="478"/>
    </row>
    <row r="73" spans="2:30">
      <c r="B73" s="479" t="s">
        <v>1082</v>
      </c>
      <c r="C73" s="479" t="s">
        <v>202</v>
      </c>
      <c r="D73" s="248" t="s">
        <v>79</v>
      </c>
      <c r="E73" s="459" t="s">
        <v>31</v>
      </c>
      <c r="F73" s="1460"/>
      <c r="G73" s="732"/>
      <c r="H73" s="501"/>
      <c r="I73" s="459"/>
      <c r="J73" s="481">
        <f>+B_Sheet14!I17</f>
        <v>0</v>
      </c>
      <c r="K73" s="459"/>
      <c r="L73" s="481">
        <f>+B_Sheet14!J17</f>
        <v>0</v>
      </c>
      <c r="M73" s="459"/>
      <c r="N73" s="480" t="s">
        <v>1081</v>
      </c>
      <c r="O73" s="480" t="s">
        <v>235</v>
      </c>
      <c r="P73" s="245" t="s">
        <v>1111</v>
      </c>
      <c r="Q73" s="245" t="s">
        <v>54</v>
      </c>
      <c r="T73" s="485">
        <v>12</v>
      </c>
      <c r="V73" s="459">
        <f>+B_Sheet14!T17</f>
        <v>34958</v>
      </c>
      <c r="W73" s="459"/>
      <c r="X73" s="459">
        <f>+B_Sheet14!U17</f>
        <v>4634234.1000000006</v>
      </c>
      <c r="Y73" s="478"/>
      <c r="AA73" s="486"/>
      <c r="AB73" s="487"/>
    </row>
    <row r="74" spans="2:30">
      <c r="B74" s="479"/>
      <c r="C74" s="479"/>
      <c r="D74" s="474" t="s">
        <v>1077</v>
      </c>
      <c r="E74" s="474" t="s">
        <v>936</v>
      </c>
      <c r="F74" s="737"/>
      <c r="G74" s="737"/>
      <c r="H74" s="463"/>
      <c r="J74" s="471">
        <f>SUM(J70:J73)</f>
        <v>1048641</v>
      </c>
      <c r="K74" s="471"/>
      <c r="L74" s="471">
        <f>SUM(L70:L73)</f>
        <v>338092</v>
      </c>
      <c r="M74" s="459"/>
      <c r="N74" s="480" t="s">
        <v>1089</v>
      </c>
      <c r="O74" s="480" t="s">
        <v>236</v>
      </c>
      <c r="P74" s="245" t="s">
        <v>1112</v>
      </c>
      <c r="Q74" s="245" t="s">
        <v>55</v>
      </c>
      <c r="T74" s="485"/>
      <c r="V74" s="172">
        <f>+B_Sheet14!T18</f>
        <v>0</v>
      </c>
      <c r="W74" s="165"/>
      <c r="X74" s="165">
        <f>+B_Sheet14!U18</f>
        <v>0</v>
      </c>
      <c r="Y74" s="488"/>
      <c r="AA74" s="489"/>
    </row>
    <row r="75" spans="2:30" ht="12.75" customHeight="1">
      <c r="B75" s="474">
        <v>4</v>
      </c>
      <c r="C75" s="474" t="s">
        <v>633</v>
      </c>
      <c r="D75" s="414" t="s">
        <v>1083</v>
      </c>
      <c r="E75" s="414" t="s">
        <v>638</v>
      </c>
      <c r="F75" s="1460" t="s">
        <v>284</v>
      </c>
      <c r="G75" s="732"/>
      <c r="H75" s="463"/>
      <c r="I75" s="414"/>
      <c r="J75" s="459"/>
      <c r="K75" s="459"/>
      <c r="L75" s="459"/>
      <c r="M75" s="459"/>
      <c r="N75" s="480" t="s">
        <v>1082</v>
      </c>
      <c r="O75" s="480" t="s">
        <v>237</v>
      </c>
      <c r="P75" s="245" t="s">
        <v>1113</v>
      </c>
      <c r="Q75" s="245" t="s">
        <v>56</v>
      </c>
      <c r="T75" s="485"/>
      <c r="V75" s="172">
        <f>+B_Sheet14!T19</f>
        <v>92508717</v>
      </c>
      <c r="W75" s="172"/>
      <c r="X75" s="459">
        <f>+B_Sheet14!U19</f>
        <v>64561207</v>
      </c>
      <c r="Y75" s="491"/>
    </row>
    <row r="76" spans="2:30">
      <c r="B76" s="479" t="s">
        <v>1078</v>
      </c>
      <c r="C76" s="479" t="s">
        <v>203</v>
      </c>
      <c r="D76" s="248" t="s">
        <v>80</v>
      </c>
      <c r="E76" s="459" t="s">
        <v>32</v>
      </c>
      <c r="F76" s="1460"/>
      <c r="G76" s="732"/>
      <c r="H76" s="463">
        <v>7</v>
      </c>
      <c r="I76" s="459"/>
      <c r="J76" s="459">
        <f>+B_Sheet14!I20</f>
        <v>5723945</v>
      </c>
      <c r="K76" s="459"/>
      <c r="L76" s="459">
        <f>+B_Sheet14!J20</f>
        <v>5296963</v>
      </c>
      <c r="M76" s="459"/>
      <c r="N76" s="480" t="s">
        <v>426</v>
      </c>
      <c r="O76" s="480" t="s">
        <v>187</v>
      </c>
      <c r="P76" s="245" t="s">
        <v>488</v>
      </c>
      <c r="T76" s="485">
        <v>13</v>
      </c>
      <c r="V76" s="186">
        <f>+B_Sheet14!T20</f>
        <v>17122709</v>
      </c>
      <c r="W76" s="172"/>
      <c r="X76" s="481">
        <f>+B_Sheet14!U20</f>
        <v>25237618</v>
      </c>
      <c r="Y76" s="478"/>
    </row>
    <row r="77" spans="2:30" ht="15.75" customHeight="1">
      <c r="B77" s="479" t="s">
        <v>1079</v>
      </c>
      <c r="C77" s="479" t="s">
        <v>204</v>
      </c>
      <c r="D77" s="248" t="s">
        <v>81</v>
      </c>
      <c r="E77" s="459" t="s">
        <v>33</v>
      </c>
      <c r="F77" s="1460"/>
      <c r="G77" s="732"/>
      <c r="H77" s="463"/>
      <c r="I77" s="459"/>
      <c r="J77" s="459">
        <f>+B_Sheet14!I21</f>
        <v>0</v>
      </c>
      <c r="K77" s="459"/>
      <c r="L77" s="459">
        <f>+B_Sheet14!J21</f>
        <v>0</v>
      </c>
      <c r="M77" s="459"/>
      <c r="N77" s="483"/>
      <c r="O77" s="483" t="s">
        <v>238</v>
      </c>
      <c r="P77" s="483" t="s">
        <v>1077</v>
      </c>
      <c r="Q77" s="246" t="s">
        <v>936</v>
      </c>
      <c r="R77" s="733"/>
      <c r="S77" s="734"/>
      <c r="T77" s="485"/>
      <c r="V77" s="887">
        <f>SUM(V71:V76)</f>
        <v>180785732</v>
      </c>
      <c r="W77" s="887"/>
      <c r="X77" s="888">
        <f>SUM(X71:X76)</f>
        <v>173666518.09999999</v>
      </c>
      <c r="Y77" s="478"/>
      <c r="AC77" s="249"/>
      <c r="AD77" s="249"/>
    </row>
    <row r="78" spans="2:30" ht="15.75" customHeight="1">
      <c r="B78" s="479" t="s">
        <v>1081</v>
      </c>
      <c r="C78" s="479" t="s">
        <v>205</v>
      </c>
      <c r="D78" s="248" t="s">
        <v>82</v>
      </c>
      <c r="E78" s="459" t="s">
        <v>34</v>
      </c>
      <c r="F78" s="738"/>
      <c r="G78" s="732"/>
      <c r="H78" s="463"/>
      <c r="I78" s="459"/>
      <c r="J78" s="459">
        <f>+B_Sheet14!I22</f>
        <v>0</v>
      </c>
      <c r="K78" s="459"/>
      <c r="L78" s="459">
        <f>+B_Sheet14!J22</f>
        <v>0</v>
      </c>
      <c r="M78" s="459"/>
      <c r="N78" s="483">
        <v>4</v>
      </c>
      <c r="O78" s="483" t="s">
        <v>239</v>
      </c>
      <c r="P78" s="246" t="s">
        <v>277</v>
      </c>
      <c r="Q78" s="246" t="s">
        <v>57</v>
      </c>
      <c r="R78" s="735" t="s">
        <v>299</v>
      </c>
      <c r="S78" s="736"/>
      <c r="T78" s="485"/>
      <c r="V78" s="172"/>
      <c r="W78" s="172"/>
      <c r="X78" s="459">
        <f>+B_Sheet14!U22</f>
        <v>0</v>
      </c>
      <c r="Y78" s="478"/>
      <c r="AC78" s="249"/>
      <c r="AD78" s="249"/>
    </row>
    <row r="79" spans="2:30" ht="18" customHeight="1">
      <c r="B79" s="479" t="s">
        <v>1082</v>
      </c>
      <c r="C79" s="479" t="s">
        <v>206</v>
      </c>
      <c r="D79" s="248" t="s">
        <v>83</v>
      </c>
      <c r="E79" s="459" t="s">
        <v>35</v>
      </c>
      <c r="F79" s="738"/>
      <c r="G79" s="738"/>
      <c r="H79" s="463"/>
      <c r="I79" s="459"/>
      <c r="J79" s="459">
        <f>+B_Sheet14!I23</f>
        <v>0</v>
      </c>
      <c r="K79" s="459"/>
      <c r="L79" s="476">
        <f>+B_Sheet14!J23</f>
        <v>0</v>
      </c>
      <c r="M79" s="476"/>
      <c r="N79" s="483">
        <v>5</v>
      </c>
      <c r="O79" s="480"/>
      <c r="P79" s="246" t="s">
        <v>278</v>
      </c>
      <c r="Q79" s="246" t="s">
        <v>58</v>
      </c>
      <c r="R79" s="735" t="s">
        <v>301</v>
      </c>
      <c r="S79" s="736"/>
      <c r="T79" s="485"/>
      <c r="V79" s="172">
        <f>+B_Sheet14!T23</f>
        <v>0</v>
      </c>
      <c r="W79" s="172"/>
      <c r="X79" s="459">
        <f>+B_Sheet14!U23</f>
        <v>0</v>
      </c>
      <c r="Y79" s="478"/>
      <c r="AC79" s="249"/>
      <c r="AD79" s="249"/>
    </row>
    <row r="80" spans="2:30">
      <c r="B80" s="479" t="s">
        <v>87</v>
      </c>
      <c r="C80" s="479" t="s">
        <v>207</v>
      </c>
      <c r="D80" s="248" t="s">
        <v>84</v>
      </c>
      <c r="E80" s="459" t="s">
        <v>36</v>
      </c>
      <c r="F80" s="738"/>
      <c r="G80" s="738"/>
      <c r="H80" s="463"/>
      <c r="I80" s="459"/>
      <c r="J80" s="459">
        <f>+B_Sheet14!I24</f>
        <v>0</v>
      </c>
      <c r="K80" s="459"/>
      <c r="L80" s="459">
        <f>+B_Sheet14!J24</f>
        <v>0</v>
      </c>
      <c r="M80" s="459"/>
      <c r="N80" s="480"/>
      <c r="O80" s="480"/>
      <c r="T80" s="485"/>
      <c r="V80" s="186"/>
      <c r="W80" s="172"/>
      <c r="X80" s="481"/>
      <c r="Y80" s="496"/>
      <c r="AC80" s="249"/>
      <c r="AD80" s="249"/>
    </row>
    <row r="81" spans="2:30">
      <c r="B81" s="479"/>
      <c r="C81" s="479"/>
      <c r="D81" s="474" t="s">
        <v>1077</v>
      </c>
      <c r="E81" s="474" t="s">
        <v>936</v>
      </c>
      <c r="F81" s="737"/>
      <c r="G81" s="737"/>
      <c r="H81" s="463"/>
      <c r="J81" s="471">
        <f>SUM(J76:J80)</f>
        <v>5723945</v>
      </c>
      <c r="K81" s="471"/>
      <c r="L81" s="471">
        <f>SUM(L76:L80)</f>
        <v>5296963</v>
      </c>
      <c r="M81" s="459"/>
      <c r="N81" s="246"/>
      <c r="O81" s="246"/>
      <c r="P81" s="483" t="s">
        <v>1114</v>
      </c>
      <c r="Q81" s="492" t="s">
        <v>72</v>
      </c>
      <c r="R81" s="733"/>
      <c r="S81" s="734"/>
      <c r="T81" s="916"/>
      <c r="U81" s="493"/>
      <c r="V81" s="494">
        <f>SUM(V78,V77,V69)+V79</f>
        <v>180785732</v>
      </c>
      <c r="W81" s="490"/>
      <c r="X81" s="495">
        <f>SUM(X78,X77,X69)+X79</f>
        <v>173666518.09999999</v>
      </c>
      <c r="Y81" s="491"/>
      <c r="AC81" s="249"/>
      <c r="AD81" s="249"/>
    </row>
    <row r="82" spans="2:30">
      <c r="B82" s="479">
        <v>5</v>
      </c>
      <c r="C82" s="479" t="s">
        <v>208</v>
      </c>
      <c r="D82" s="414" t="s">
        <v>1084</v>
      </c>
      <c r="E82" s="414" t="s">
        <v>309</v>
      </c>
      <c r="F82" s="734"/>
      <c r="G82" s="734"/>
      <c r="H82" s="463"/>
      <c r="I82" s="414"/>
      <c r="J82" s="459">
        <f>+B_Sheet14!I26</f>
        <v>0</v>
      </c>
      <c r="K82" s="459"/>
      <c r="L82" s="459">
        <f>+B_Sheet14!J26</f>
        <v>0</v>
      </c>
      <c r="M82" s="459"/>
      <c r="N82" s="463"/>
      <c r="O82" s="468" t="s">
        <v>188</v>
      </c>
      <c r="P82" s="497"/>
      <c r="T82" s="485"/>
      <c r="V82" s="490">
        <f>SUM(V79,V78,V70)</f>
        <v>0</v>
      </c>
      <c r="W82" s="490"/>
      <c r="X82" s="476"/>
      <c r="Y82" s="478"/>
      <c r="AC82" s="249"/>
      <c r="AD82" s="249"/>
    </row>
    <row r="83" spans="2:30" ht="15.75" customHeight="1">
      <c r="B83" s="479">
        <v>6</v>
      </c>
      <c r="C83" s="479" t="s">
        <v>209</v>
      </c>
      <c r="D83" s="414" t="s">
        <v>1085</v>
      </c>
      <c r="E83" s="414" t="s">
        <v>27</v>
      </c>
      <c r="F83" s="736" t="s">
        <v>285</v>
      </c>
      <c r="G83" s="736"/>
      <c r="H83" s="463"/>
      <c r="I83" s="414"/>
      <c r="J83" s="459">
        <f>+B_Sheet14!I27</f>
        <v>0</v>
      </c>
      <c r="K83" s="459"/>
      <c r="L83" s="459">
        <f>+B_Sheet14!J27</f>
        <v>0</v>
      </c>
      <c r="M83" s="459"/>
      <c r="N83" s="468" t="s">
        <v>765</v>
      </c>
      <c r="P83" s="469" t="s">
        <v>1115</v>
      </c>
      <c r="Q83" s="498"/>
      <c r="R83" s="739"/>
      <c r="T83" s="482"/>
      <c r="V83" s="172"/>
      <c r="W83" s="172"/>
      <c r="X83" s="459"/>
      <c r="Y83" s="478"/>
      <c r="AC83" s="249"/>
      <c r="AD83" s="249"/>
    </row>
    <row r="84" spans="2:30">
      <c r="B84" s="479">
        <v>7</v>
      </c>
      <c r="C84" s="479" t="s">
        <v>210</v>
      </c>
      <c r="D84" s="414" t="s">
        <v>1086</v>
      </c>
      <c r="E84" s="414" t="s">
        <v>37</v>
      </c>
      <c r="F84" s="727" t="s">
        <v>286</v>
      </c>
      <c r="H84" s="463"/>
      <c r="I84" s="414"/>
      <c r="J84" s="459">
        <f>+B_Sheet14!I28</f>
        <v>21111973</v>
      </c>
      <c r="K84" s="459"/>
      <c r="L84" s="459"/>
      <c r="M84" s="459"/>
      <c r="N84" s="414"/>
      <c r="O84" s="414" t="s">
        <v>240</v>
      </c>
      <c r="T84" s="482"/>
      <c r="V84" s="172"/>
      <c r="W84" s="172"/>
      <c r="X84" s="459"/>
      <c r="Y84" s="499"/>
      <c r="AC84" s="249"/>
      <c r="AD84" s="500"/>
    </row>
    <row r="85" spans="2:30">
      <c r="B85" s="414"/>
      <c r="C85" s="414"/>
      <c r="D85" s="474" t="s">
        <v>85</v>
      </c>
      <c r="E85" s="475"/>
      <c r="F85" s="740"/>
      <c r="G85" s="740"/>
      <c r="H85" s="463"/>
      <c r="I85" s="475"/>
      <c r="J85" s="495">
        <f>SUM(J82:J84,J81,J74,J68)</f>
        <v>29696117</v>
      </c>
      <c r="K85" s="476"/>
      <c r="L85" s="495">
        <f>SUM(L82:L84,L81,L74,L68)</f>
        <v>7675358</v>
      </c>
      <c r="M85" s="476"/>
      <c r="N85" s="414">
        <v>1</v>
      </c>
      <c r="O85" s="479" t="s">
        <v>241</v>
      </c>
      <c r="P85" s="414" t="s">
        <v>1116</v>
      </c>
      <c r="Q85" s="246" t="s">
        <v>59</v>
      </c>
      <c r="R85" s="733"/>
      <c r="S85" s="734"/>
      <c r="T85" s="463"/>
      <c r="U85" s="414"/>
      <c r="V85" s="165"/>
      <c r="W85" s="165"/>
      <c r="X85" s="471"/>
      <c r="Y85" s="491"/>
      <c r="AC85" s="249"/>
    </row>
    <row r="86" spans="2:30">
      <c r="B86" s="414"/>
      <c r="C86" s="414"/>
      <c r="D86" s="414"/>
      <c r="E86" s="475"/>
      <c r="F86" s="740"/>
      <c r="G86" s="740"/>
      <c r="H86" s="463"/>
      <c r="I86" s="475"/>
      <c r="J86" s="476"/>
      <c r="K86" s="476"/>
      <c r="L86" s="476"/>
      <c r="M86" s="476"/>
      <c r="N86" s="479" t="s">
        <v>1078</v>
      </c>
      <c r="O86" s="479" t="s">
        <v>242</v>
      </c>
      <c r="P86" s="248" t="s">
        <v>74</v>
      </c>
      <c r="Q86" s="245" t="s">
        <v>73</v>
      </c>
      <c r="T86" s="482">
        <v>14</v>
      </c>
      <c r="V86" s="172">
        <f>+B_Sheet14!T29</f>
        <v>0</v>
      </c>
      <c r="W86" s="172"/>
      <c r="X86" s="459">
        <f>+B_Sheet14!U29</f>
        <v>0</v>
      </c>
      <c r="Y86" s="478"/>
    </row>
    <row r="87" spans="2:30" ht="17.25" customHeight="1">
      <c r="B87" s="468" t="s">
        <v>765</v>
      </c>
      <c r="C87" s="463" t="s">
        <v>630</v>
      </c>
      <c r="D87" s="469" t="s">
        <v>1087</v>
      </c>
      <c r="E87" s="471" t="s">
        <v>86</v>
      </c>
      <c r="F87" s="741"/>
      <c r="G87" s="741"/>
      <c r="H87" s="463"/>
      <c r="I87" s="471"/>
      <c r="J87" s="459"/>
      <c r="K87" s="459"/>
      <c r="L87" s="459"/>
      <c r="M87" s="459"/>
      <c r="N87" s="479" t="s">
        <v>1079</v>
      </c>
      <c r="O87" s="248"/>
      <c r="P87" s="248" t="s">
        <v>1117</v>
      </c>
      <c r="Q87" s="245" t="s">
        <v>50</v>
      </c>
      <c r="R87" s="735" t="s">
        <v>300</v>
      </c>
      <c r="S87" s="736"/>
      <c r="T87" s="482"/>
      <c r="V87" s="186">
        <f>+B_Sheet14!T30</f>
        <v>0</v>
      </c>
      <c r="W87" s="172"/>
      <c r="X87" s="481">
        <f>+B_Sheet14!U30</f>
        <v>0</v>
      </c>
      <c r="Y87" s="478"/>
    </row>
    <row r="88" spans="2:30" ht="11.25" customHeight="1">
      <c r="B88" s="414">
        <v>1</v>
      </c>
      <c r="C88" s="414" t="s">
        <v>211</v>
      </c>
      <c r="D88" s="414" t="s">
        <v>1088</v>
      </c>
      <c r="E88" s="414" t="s">
        <v>38</v>
      </c>
      <c r="F88" s="736" t="s">
        <v>287</v>
      </c>
      <c r="G88" s="736"/>
      <c r="H88" s="463"/>
      <c r="I88" s="414"/>
      <c r="J88" s="459"/>
      <c r="K88" s="459"/>
      <c r="L88" s="459"/>
      <c r="M88" s="459"/>
      <c r="O88" s="414" t="s">
        <v>243</v>
      </c>
      <c r="P88" s="474" t="s">
        <v>1077</v>
      </c>
      <c r="Q88" s="246" t="s">
        <v>1077</v>
      </c>
      <c r="R88" s="733"/>
      <c r="S88" s="734"/>
      <c r="T88" s="482"/>
      <c r="V88" s="887">
        <f>SUM(V86:V87)</f>
        <v>0</v>
      </c>
      <c r="W88" s="887"/>
      <c r="X88" s="888">
        <f>SUM(X86:X87)</f>
        <v>0</v>
      </c>
      <c r="Y88" s="478"/>
    </row>
    <row r="89" spans="2:30" ht="17.25" customHeight="1">
      <c r="B89" s="479" t="s">
        <v>1078</v>
      </c>
      <c r="C89" s="479" t="s">
        <v>212</v>
      </c>
      <c r="D89" s="248" t="s">
        <v>1090</v>
      </c>
      <c r="E89" s="248" t="s">
        <v>39</v>
      </c>
      <c r="H89" s="463">
        <v>8</v>
      </c>
      <c r="J89" s="459">
        <f>+B_Sheet14!I33</f>
        <v>0</v>
      </c>
      <c r="K89" s="459"/>
      <c r="L89" s="459">
        <f>+B_Sheet14!J33</f>
        <v>0</v>
      </c>
      <c r="M89" s="459"/>
      <c r="N89" s="414">
        <v>2</v>
      </c>
      <c r="O89" s="414" t="s">
        <v>244</v>
      </c>
      <c r="P89" s="414" t="s">
        <v>1118</v>
      </c>
      <c r="Q89" s="246" t="s">
        <v>60</v>
      </c>
      <c r="R89" s="733"/>
      <c r="S89" s="734"/>
      <c r="T89" s="482"/>
      <c r="V89" s="172">
        <f>+B_Sheet14!T32</f>
        <v>0</v>
      </c>
      <c r="W89" s="172"/>
      <c r="X89" s="459">
        <f>+B_Sheet14!U32</f>
        <v>0</v>
      </c>
      <c r="Y89" s="478"/>
    </row>
    <row r="90" spans="2:30" ht="18.75" customHeight="1">
      <c r="B90" s="479" t="s">
        <v>1079</v>
      </c>
      <c r="C90" s="479" t="s">
        <v>213</v>
      </c>
      <c r="D90" s="248" t="s">
        <v>1091</v>
      </c>
      <c r="E90" s="248" t="s">
        <v>40</v>
      </c>
      <c r="F90" s="736" t="s">
        <v>288</v>
      </c>
      <c r="G90" s="736"/>
      <c r="H90" s="463"/>
      <c r="J90" s="459">
        <f>+B_Sheet14!I34</f>
        <v>0</v>
      </c>
      <c r="K90" s="459"/>
      <c r="L90" s="459">
        <f>+B_Sheet14!J34</f>
        <v>0</v>
      </c>
      <c r="M90" s="459"/>
      <c r="N90" s="414">
        <v>3</v>
      </c>
      <c r="O90" s="414" t="s">
        <v>245</v>
      </c>
      <c r="P90" s="414" t="s">
        <v>1119</v>
      </c>
      <c r="Q90" s="246" t="s">
        <v>618</v>
      </c>
      <c r="R90" s="735" t="s">
        <v>302</v>
      </c>
      <c r="S90" s="736"/>
      <c r="T90" s="482"/>
      <c r="V90" s="172">
        <f>+B_Sheet14!T33</f>
        <v>0</v>
      </c>
      <c r="W90" s="172"/>
      <c r="X90" s="459">
        <f>+B_Sheet14!U33</f>
        <v>0</v>
      </c>
      <c r="Y90" s="478"/>
    </row>
    <row r="91" spans="2:30" ht="18.75" customHeight="1">
      <c r="B91" s="479" t="s">
        <v>1081</v>
      </c>
      <c r="C91" s="479" t="s">
        <v>214</v>
      </c>
      <c r="D91" s="248" t="s">
        <v>1092</v>
      </c>
      <c r="E91" s="248" t="s">
        <v>41</v>
      </c>
      <c r="F91" s="736" t="s">
        <v>289</v>
      </c>
      <c r="G91" s="736"/>
      <c r="H91" s="463"/>
      <c r="J91" s="459">
        <f>+B_Sheet14!I35</f>
        <v>0</v>
      </c>
      <c r="K91" s="459"/>
      <c r="L91" s="459">
        <f>+B_Sheet14!J35</f>
        <v>0</v>
      </c>
      <c r="M91" s="459"/>
      <c r="N91" s="414">
        <v>4</v>
      </c>
      <c r="O91" s="414"/>
      <c r="P91" s="414" t="s">
        <v>1120</v>
      </c>
      <c r="Q91" s="246" t="s">
        <v>57</v>
      </c>
      <c r="R91" s="735" t="s">
        <v>303</v>
      </c>
      <c r="S91" s="736"/>
      <c r="T91" s="482">
        <v>15</v>
      </c>
      <c r="V91" s="172">
        <f>B_Sheet14!T34</f>
        <v>0</v>
      </c>
      <c r="W91" s="172"/>
      <c r="X91" s="459">
        <f>+B_Sheet14!U34</f>
        <v>0</v>
      </c>
      <c r="Y91" s="478"/>
    </row>
    <row r="92" spans="2:30">
      <c r="B92" s="479" t="s">
        <v>1089</v>
      </c>
      <c r="C92" s="479" t="s">
        <v>215</v>
      </c>
      <c r="D92" s="248" t="s">
        <v>1093</v>
      </c>
      <c r="E92" s="248" t="s">
        <v>42</v>
      </c>
      <c r="F92" s="727" t="s">
        <v>290</v>
      </c>
      <c r="H92" s="463"/>
      <c r="J92" s="481"/>
      <c r="K92" s="459"/>
      <c r="L92" s="503"/>
      <c r="M92" s="504"/>
      <c r="N92" s="248"/>
      <c r="O92" s="248"/>
      <c r="P92" s="474" t="s">
        <v>1121</v>
      </c>
      <c r="Q92" s="492" t="s">
        <v>61</v>
      </c>
      <c r="R92" s="733"/>
      <c r="S92" s="734"/>
      <c r="T92" s="917"/>
      <c r="U92" s="493"/>
      <c r="V92" s="189">
        <f>SUM(V89:V91,V88)</f>
        <v>0</v>
      </c>
      <c r="W92" s="172"/>
      <c r="X92" s="889">
        <f>SUM(X89:X91,X88)</f>
        <v>0</v>
      </c>
      <c r="Y92" s="478"/>
    </row>
    <row r="93" spans="2:30">
      <c r="B93" s="474"/>
      <c r="C93" s="474"/>
      <c r="D93" s="474" t="s">
        <v>1077</v>
      </c>
      <c r="E93" s="505" t="s">
        <v>936</v>
      </c>
      <c r="F93" s="742"/>
      <c r="G93" s="742"/>
      <c r="H93" s="463"/>
      <c r="I93" s="475"/>
      <c r="J93" s="459">
        <f>SUM(J89:J92)</f>
        <v>0</v>
      </c>
      <c r="K93" s="459"/>
      <c r="L93" s="471">
        <f>SUM(L89:L92)</f>
        <v>0</v>
      </c>
      <c r="M93" s="471"/>
      <c r="N93" s="414"/>
      <c r="O93" s="414"/>
      <c r="P93" s="248"/>
      <c r="Q93" s="248"/>
      <c r="R93" s="727"/>
      <c r="T93" s="482"/>
      <c r="V93" s="172"/>
      <c r="W93" s="172"/>
      <c r="X93" s="459"/>
      <c r="Y93" s="491"/>
    </row>
    <row r="94" spans="2:30">
      <c r="B94" s="479"/>
      <c r="C94" s="463" t="s">
        <v>740</v>
      </c>
      <c r="D94" s="414" t="s">
        <v>1094</v>
      </c>
      <c r="E94" s="414" t="s">
        <v>43</v>
      </c>
      <c r="F94" s="734"/>
      <c r="G94" s="734"/>
      <c r="H94" s="463">
        <v>9</v>
      </c>
      <c r="I94" s="414"/>
      <c r="J94" s="459"/>
      <c r="K94" s="459"/>
      <c r="L94" s="459"/>
      <c r="M94" s="459"/>
      <c r="N94" s="248"/>
      <c r="O94" s="248"/>
      <c r="P94" s="414" t="s">
        <v>1122</v>
      </c>
      <c r="Q94" s="492" t="s">
        <v>62</v>
      </c>
      <c r="R94" s="733"/>
      <c r="S94" s="734"/>
      <c r="T94" s="917"/>
      <c r="U94" s="493"/>
      <c r="V94" s="887">
        <f>+V92+V81</f>
        <v>180785732</v>
      </c>
      <c r="W94" s="887"/>
      <c r="X94" s="888">
        <f>+X92+X81</f>
        <v>173666518.09999999</v>
      </c>
      <c r="Y94" s="478"/>
      <c r="AB94" s="484"/>
    </row>
    <row r="95" spans="2:30" ht="12.75" customHeight="1">
      <c r="B95" s="479" t="s">
        <v>1078</v>
      </c>
      <c r="C95" s="479" t="s">
        <v>216</v>
      </c>
      <c r="D95" s="248" t="s">
        <v>975</v>
      </c>
      <c r="E95" s="248" t="s">
        <v>44</v>
      </c>
      <c r="F95" s="1459" t="s">
        <v>291</v>
      </c>
      <c r="G95" s="743"/>
      <c r="H95" s="463"/>
      <c r="J95" s="459">
        <f>+B_Sheet14!I39</f>
        <v>0</v>
      </c>
      <c r="K95" s="459"/>
      <c r="L95" s="459">
        <f>+B_Sheet14!J39</f>
        <v>0</v>
      </c>
      <c r="M95" s="459"/>
      <c r="N95" s="463"/>
      <c r="O95" s="468" t="s">
        <v>189</v>
      </c>
      <c r="P95" s="248"/>
      <c r="T95" s="482"/>
      <c r="V95" s="172"/>
      <c r="W95" s="172"/>
      <c r="X95" s="172"/>
      <c r="Y95" s="478"/>
    </row>
    <row r="96" spans="2:30">
      <c r="B96" s="479" t="s">
        <v>1079</v>
      </c>
      <c r="C96" s="479" t="s">
        <v>217</v>
      </c>
      <c r="D96" s="248" t="s">
        <v>1095</v>
      </c>
      <c r="E96" s="248" t="s">
        <v>120</v>
      </c>
      <c r="F96" s="1459"/>
      <c r="G96" s="743"/>
      <c r="H96" s="463"/>
      <c r="J96" s="459">
        <f>+B_Sheet14!I40</f>
        <v>0</v>
      </c>
      <c r="K96" s="459"/>
      <c r="L96" s="459">
        <f>+B_Sheet14!J40</f>
        <v>0</v>
      </c>
      <c r="M96" s="459"/>
      <c r="N96" s="468" t="s">
        <v>863</v>
      </c>
      <c r="O96" s="248"/>
      <c r="P96" s="469" t="s">
        <v>931</v>
      </c>
      <c r="Q96" s="498"/>
      <c r="R96" s="739"/>
      <c r="T96" s="482"/>
      <c r="V96" s="172"/>
      <c r="W96" s="172"/>
      <c r="X96" s="459"/>
      <c r="Y96" s="478"/>
    </row>
    <row r="97" spans="2:29">
      <c r="B97" s="479" t="s">
        <v>1081</v>
      </c>
      <c r="C97" s="479" t="s">
        <v>218</v>
      </c>
      <c r="D97" s="248" t="s">
        <v>275</v>
      </c>
      <c r="E97" s="248" t="s">
        <v>45</v>
      </c>
      <c r="F97" s="1459"/>
      <c r="G97" s="743"/>
      <c r="H97" s="463"/>
      <c r="J97" s="459">
        <f>+B_Sheet14!I41</f>
        <v>0</v>
      </c>
      <c r="K97" s="459"/>
      <c r="L97" s="459">
        <f>+B_Sheet14!J41</f>
        <v>0</v>
      </c>
      <c r="M97" s="459"/>
      <c r="O97" s="414" t="s">
        <v>246</v>
      </c>
      <c r="P97" s="248"/>
      <c r="Q97" s="248"/>
      <c r="R97" s="727"/>
      <c r="T97" s="482"/>
      <c r="V97" s="172"/>
      <c r="W97" s="172"/>
      <c r="X97" s="172"/>
      <c r="Y97" s="478"/>
      <c r="AA97" s="460"/>
      <c r="AB97" s="506"/>
      <c r="AC97" s="460"/>
    </row>
    <row r="98" spans="2:29">
      <c r="B98" s="479" t="s">
        <v>1089</v>
      </c>
      <c r="C98" s="479" t="s">
        <v>219</v>
      </c>
      <c r="D98" s="248" t="s">
        <v>276</v>
      </c>
      <c r="E98" s="248" t="s">
        <v>46</v>
      </c>
      <c r="F98" s="743"/>
      <c r="G98" s="743"/>
      <c r="H98" s="463"/>
      <c r="J98" s="481">
        <f>+B_Sheet14!I42</f>
        <v>563053</v>
      </c>
      <c r="K98" s="459"/>
      <c r="L98" s="481">
        <f>+B_Sheet14!J42</f>
        <v>703816</v>
      </c>
      <c r="M98" s="459"/>
      <c r="N98" s="414">
        <v>1</v>
      </c>
      <c r="O98" s="414" t="s">
        <v>247</v>
      </c>
      <c r="P98" s="414" t="s">
        <v>1123</v>
      </c>
      <c r="Q98" s="414" t="s">
        <v>63</v>
      </c>
      <c r="R98" s="727" t="s">
        <v>304</v>
      </c>
      <c r="T98" s="918"/>
      <c r="U98" s="172"/>
      <c r="V98" s="172">
        <f>+B_Sheet14!T41</f>
        <v>0</v>
      </c>
      <c r="W98" s="172"/>
      <c r="X98" s="172">
        <f>+B_Sheet14!U41</f>
        <v>0</v>
      </c>
      <c r="Y98" s="478"/>
      <c r="AA98" s="460"/>
      <c r="AB98" s="507"/>
      <c r="AC98" s="460"/>
    </row>
    <row r="99" spans="2:29">
      <c r="B99" s="474"/>
      <c r="C99" s="474"/>
      <c r="D99" s="474" t="s">
        <v>1077</v>
      </c>
      <c r="E99" s="505" t="s">
        <v>936</v>
      </c>
      <c r="F99" s="742"/>
      <c r="G99" s="742"/>
      <c r="H99" s="463"/>
      <c r="I99" s="475"/>
      <c r="J99" s="459">
        <f>SUM(J95:J98)</f>
        <v>563053</v>
      </c>
      <c r="K99" s="459"/>
      <c r="L99" s="476">
        <f>SUM(L95:L98)</f>
        <v>703816</v>
      </c>
      <c r="M99" s="476"/>
      <c r="N99" s="414">
        <v>2</v>
      </c>
      <c r="O99" s="414" t="s">
        <v>248</v>
      </c>
      <c r="P99" s="414" t="s">
        <v>1124</v>
      </c>
      <c r="Q99" s="414" t="s">
        <v>64</v>
      </c>
      <c r="R99" s="734"/>
      <c r="S99" s="734"/>
      <c r="T99" s="482"/>
      <c r="U99" s="172"/>
      <c r="V99" s="172">
        <f>+B_Sheet14!T42</f>
        <v>0</v>
      </c>
      <c r="W99" s="172"/>
      <c r="X99" s="172">
        <f>+B_Sheet14!U42</f>
        <v>0</v>
      </c>
      <c r="Y99" s="478"/>
      <c r="AA99" s="460"/>
      <c r="AB99" s="507"/>
      <c r="AC99" s="460"/>
    </row>
    <row r="100" spans="2:29" ht="15.75" customHeight="1">
      <c r="B100" s="474">
        <v>3</v>
      </c>
      <c r="C100" s="474" t="s">
        <v>220</v>
      </c>
      <c r="D100" s="414" t="s">
        <v>1096</v>
      </c>
      <c r="E100" s="475"/>
      <c r="F100" s="736" t="s">
        <v>292</v>
      </c>
      <c r="G100" s="736"/>
      <c r="H100" s="463"/>
      <c r="I100" s="475"/>
      <c r="J100" s="459"/>
      <c r="K100" s="459"/>
      <c r="L100" s="459"/>
      <c r="M100" s="459"/>
      <c r="N100" s="414">
        <v>3</v>
      </c>
      <c r="O100" s="414" t="s">
        <v>249</v>
      </c>
      <c r="P100" s="414" t="s">
        <v>1125</v>
      </c>
      <c r="Q100" s="414" t="s">
        <v>65</v>
      </c>
      <c r="R100" s="734"/>
      <c r="S100" s="734"/>
      <c r="T100" s="482">
        <v>16</v>
      </c>
      <c r="U100" s="172"/>
      <c r="V100" s="172">
        <f>+B_Sheet14!T43</f>
        <v>100000</v>
      </c>
      <c r="W100" s="172"/>
      <c r="X100" s="172">
        <f>+B_Sheet14!U43</f>
        <v>100000</v>
      </c>
      <c r="Y100" s="478"/>
      <c r="AA100" s="460"/>
      <c r="AB100" s="507"/>
      <c r="AC100" s="460"/>
    </row>
    <row r="101" spans="2:29" ht="15.75" customHeight="1">
      <c r="B101" s="474">
        <v>4</v>
      </c>
      <c r="C101" s="474" t="s">
        <v>221</v>
      </c>
      <c r="D101" s="414" t="s">
        <v>1097</v>
      </c>
      <c r="E101" s="475"/>
      <c r="F101" s="736"/>
      <c r="G101" s="736"/>
      <c r="I101" s="475"/>
      <c r="J101" s="459">
        <f>SUM(J102:J104)</f>
        <v>0</v>
      </c>
      <c r="K101" s="459"/>
      <c r="L101" s="459"/>
      <c r="M101" s="459"/>
      <c r="N101" s="414">
        <v>4</v>
      </c>
      <c r="O101" s="414" t="s">
        <v>250</v>
      </c>
      <c r="P101" s="414" t="s">
        <v>1126</v>
      </c>
      <c r="Q101" s="414" t="s">
        <v>66</v>
      </c>
      <c r="R101" s="734" t="s">
        <v>305</v>
      </c>
      <c r="S101" s="734"/>
      <c r="T101" s="482"/>
      <c r="U101" s="172"/>
      <c r="V101" s="172">
        <f>+B_Sheet14!T44</f>
        <v>0</v>
      </c>
      <c r="W101" s="172"/>
      <c r="X101" s="172">
        <f>+B_Sheet14!U44</f>
        <v>0</v>
      </c>
      <c r="Y101" s="478"/>
      <c r="AA101" s="460"/>
      <c r="AB101" s="507"/>
      <c r="AC101" s="460"/>
    </row>
    <row r="102" spans="2:29">
      <c r="B102" s="479" t="s">
        <v>1078</v>
      </c>
      <c r="C102" s="479" t="s">
        <v>222</v>
      </c>
      <c r="D102" s="248" t="s">
        <v>1098</v>
      </c>
      <c r="E102" s="475" t="s">
        <v>117</v>
      </c>
      <c r="F102" s="740" t="s">
        <v>293</v>
      </c>
      <c r="G102" s="740"/>
      <c r="I102" s="475"/>
      <c r="J102" s="481">
        <f>+B_Sheet14!I46</f>
        <v>0</v>
      </c>
      <c r="K102" s="459"/>
      <c r="L102" s="481">
        <f>+B_Sheet14!J46</f>
        <v>0</v>
      </c>
      <c r="M102" s="459"/>
      <c r="N102" s="414">
        <v>5</v>
      </c>
      <c r="O102" s="414" t="s">
        <v>251</v>
      </c>
      <c r="P102" s="414" t="s">
        <v>1127</v>
      </c>
      <c r="Q102" s="414" t="s">
        <v>71</v>
      </c>
      <c r="R102" s="727" t="s">
        <v>306</v>
      </c>
      <c r="T102" s="482"/>
      <c r="U102" s="172"/>
      <c r="V102" s="172">
        <f>+B_Sheet14!T45</f>
        <v>0</v>
      </c>
      <c r="W102" s="172"/>
      <c r="X102" s="459">
        <f>+B_Sheet14!U45</f>
        <v>0</v>
      </c>
      <c r="Y102" s="478"/>
      <c r="AA102" s="460"/>
      <c r="AB102" s="460"/>
      <c r="AC102" s="460"/>
    </row>
    <row r="103" spans="2:29">
      <c r="B103" s="479" t="s">
        <v>1079</v>
      </c>
      <c r="C103" s="479" t="s">
        <v>223</v>
      </c>
      <c r="D103" s="248" t="s">
        <v>1099</v>
      </c>
      <c r="E103" s="475"/>
      <c r="F103" s="740"/>
      <c r="G103" s="740"/>
      <c r="I103" s="475"/>
      <c r="J103" s="459">
        <f>+B_Sheet14!I47</f>
        <v>0</v>
      </c>
      <c r="K103" s="459"/>
      <c r="L103" s="459">
        <f>+B_Sheet14!J47</f>
        <v>0</v>
      </c>
      <c r="M103" s="459"/>
      <c r="N103" s="414">
        <v>6</v>
      </c>
      <c r="O103" s="414" t="s">
        <v>252</v>
      </c>
      <c r="P103" s="414" t="s">
        <v>1128</v>
      </c>
      <c r="Q103" s="414" t="s">
        <v>67</v>
      </c>
      <c r="R103" s="734"/>
      <c r="S103" s="734"/>
      <c r="T103" s="482"/>
      <c r="U103" s="172"/>
      <c r="V103" s="172">
        <f>+B_Sheet14!T46</f>
        <v>0</v>
      </c>
      <c r="W103" s="172"/>
      <c r="X103" s="459">
        <f>+B_Sheet14!U46</f>
        <v>0</v>
      </c>
      <c r="Y103" s="496"/>
      <c r="AA103" s="460"/>
      <c r="AB103" s="460"/>
      <c r="AC103" s="460"/>
    </row>
    <row r="104" spans="2:29">
      <c r="B104" s="479" t="s">
        <v>1081</v>
      </c>
      <c r="C104" s="479" t="s">
        <v>224</v>
      </c>
      <c r="D104" s="248" t="s">
        <v>279</v>
      </c>
      <c r="E104" s="475"/>
      <c r="F104" s="740"/>
      <c r="G104" s="740"/>
      <c r="I104" s="475"/>
      <c r="J104" s="481">
        <f>+B_Sheet14!I48</f>
        <v>0</v>
      </c>
      <c r="K104" s="459"/>
      <c r="L104" s="481">
        <f>+B_Sheet14!J48</f>
        <v>0</v>
      </c>
      <c r="M104" s="459"/>
      <c r="N104" s="414">
        <v>7</v>
      </c>
      <c r="O104" s="414" t="s">
        <v>253</v>
      </c>
      <c r="P104" s="414" t="s">
        <v>1132</v>
      </c>
      <c r="Q104" s="414" t="s">
        <v>68</v>
      </c>
      <c r="R104" s="734"/>
      <c r="S104" s="734"/>
      <c r="T104" s="482">
        <v>17</v>
      </c>
      <c r="U104" s="172"/>
      <c r="V104" s="172">
        <f>+B_Sheet14!T47</f>
        <v>463437</v>
      </c>
      <c r="W104" s="172"/>
      <c r="X104" s="459">
        <f>+B_Sheet14!U47</f>
        <v>463437</v>
      </c>
      <c r="Y104" s="478"/>
      <c r="AA104" s="460"/>
      <c r="AB104" s="460"/>
      <c r="AC104" s="460"/>
    </row>
    <row r="105" spans="2:29" ht="12.75" customHeight="1">
      <c r="B105" s="479"/>
      <c r="C105" s="479"/>
      <c r="D105" s="474" t="s">
        <v>1077</v>
      </c>
      <c r="E105" s="505" t="s">
        <v>936</v>
      </c>
      <c r="F105" s="742"/>
      <c r="G105" s="742"/>
      <c r="I105" s="475"/>
      <c r="J105" s="459">
        <f>SUM(J101,J100:J101)</f>
        <v>0</v>
      </c>
      <c r="K105" s="459"/>
      <c r="L105" s="459">
        <f>SUM(L101,L100:L101)</f>
        <v>0</v>
      </c>
      <c r="M105" s="459"/>
      <c r="N105" s="414">
        <v>8</v>
      </c>
      <c r="O105" s="414" t="s">
        <v>254</v>
      </c>
      <c r="P105" s="414" t="s">
        <v>1133</v>
      </c>
      <c r="Q105" s="414" t="s">
        <v>69</v>
      </c>
      <c r="R105" s="734"/>
      <c r="S105" s="734"/>
      <c r="T105" s="482"/>
      <c r="U105" s="172"/>
      <c r="V105" s="172">
        <f>+B_Sheet14!T48</f>
        <v>127178166.90000001</v>
      </c>
      <c r="W105" s="172"/>
      <c r="X105" s="459">
        <f>+B_Sheet14!U48</f>
        <v>89561534</v>
      </c>
      <c r="Y105" s="478"/>
      <c r="AA105" s="460"/>
      <c r="AB105" s="460"/>
      <c r="AC105" s="460"/>
    </row>
    <row r="106" spans="2:29" ht="12.75" customHeight="1">
      <c r="B106" s="479">
        <v>5</v>
      </c>
      <c r="C106" s="479" t="s">
        <v>225</v>
      </c>
      <c r="D106" s="508" t="s">
        <v>1100</v>
      </c>
      <c r="E106" s="505"/>
      <c r="F106" s="742"/>
      <c r="G106" s="742"/>
      <c r="I106" s="475"/>
      <c r="J106" s="459">
        <f>+B_Sheet14!I50</f>
        <v>0</v>
      </c>
      <c r="K106" s="459"/>
      <c r="L106" s="459">
        <f>+B_Sheet14!J50</f>
        <v>0</v>
      </c>
      <c r="M106" s="459"/>
      <c r="N106" s="414">
        <v>9</v>
      </c>
      <c r="O106" s="414" t="s">
        <v>255</v>
      </c>
      <c r="P106" s="414" t="s">
        <v>1134</v>
      </c>
      <c r="Q106" s="414" t="s">
        <v>580</v>
      </c>
      <c r="R106" s="736" t="s">
        <v>307</v>
      </c>
      <c r="S106" s="736"/>
      <c r="T106" s="482"/>
      <c r="U106" s="172"/>
      <c r="V106" s="172">
        <f>+B_Sheet14!T49</f>
        <v>0</v>
      </c>
      <c r="W106" s="172"/>
      <c r="X106" s="459">
        <f>+B_Sheet14!U49</f>
        <v>-1460600</v>
      </c>
      <c r="Y106" s="478"/>
      <c r="AA106" s="460"/>
      <c r="AB106" s="460"/>
      <c r="AC106" s="460"/>
    </row>
    <row r="107" spans="2:29" ht="12.75" customHeight="1">
      <c r="B107" s="479">
        <v>6</v>
      </c>
      <c r="C107" s="479" t="s">
        <v>226</v>
      </c>
      <c r="D107" s="508" t="s">
        <v>118</v>
      </c>
      <c r="E107" s="505"/>
      <c r="F107" s="742"/>
      <c r="G107" s="742"/>
      <c r="I107" s="475"/>
      <c r="J107" s="459">
        <f>+B_Sheet14!I52</f>
        <v>198686299</v>
      </c>
      <c r="K107" s="459"/>
      <c r="L107" s="459">
        <f>+B_Sheet14!J52</f>
        <v>197526847</v>
      </c>
      <c r="M107" s="459"/>
      <c r="N107" s="414">
        <v>10</v>
      </c>
      <c r="O107" s="414"/>
      <c r="P107" s="414" t="s">
        <v>1135</v>
      </c>
      <c r="Q107" s="414" t="s">
        <v>70</v>
      </c>
      <c r="R107" s="736" t="s">
        <v>308</v>
      </c>
      <c r="S107" s="736"/>
      <c r="T107" s="482"/>
      <c r="U107" s="172"/>
      <c r="V107" s="172">
        <f>+B_Sheet14!T50</f>
        <v>-1890019.32</v>
      </c>
      <c r="W107" s="172"/>
      <c r="X107" s="459">
        <f>+B_Sheet14!U50</f>
        <v>39077232.899999999</v>
      </c>
      <c r="Y107" s="478"/>
      <c r="AA107" s="460"/>
      <c r="AB107" s="460"/>
      <c r="AC107" s="460"/>
    </row>
    <row r="108" spans="2:29">
      <c r="B108" s="414"/>
      <c r="C108" s="414"/>
      <c r="D108" s="474" t="s">
        <v>1101</v>
      </c>
      <c r="E108" s="414"/>
      <c r="F108" s="734"/>
      <c r="G108" s="734"/>
      <c r="I108" s="414"/>
      <c r="J108" s="502">
        <f>SUM(J106:J107,J105,J99,J93)</f>
        <v>199249352</v>
      </c>
      <c r="K108" s="471"/>
      <c r="L108" s="502">
        <f>SUM(L106:L107,L105,L99,L93)</f>
        <v>198230663</v>
      </c>
      <c r="M108" s="471"/>
      <c r="P108" s="474" t="s">
        <v>1136</v>
      </c>
      <c r="Q108" s="248"/>
      <c r="R108" s="727"/>
      <c r="T108" s="482"/>
      <c r="V108" s="165">
        <f>SUM(V98:V107)</f>
        <v>125851584.58000001</v>
      </c>
      <c r="W108" s="165"/>
      <c r="X108" s="471">
        <f>SUM(X98:X107)</f>
        <v>127741603.90000001</v>
      </c>
      <c r="Y108" s="478"/>
      <c r="AA108" s="460"/>
      <c r="AB108" s="460"/>
      <c r="AC108" s="460"/>
    </row>
    <row r="109" spans="2:29" ht="18" customHeight="1">
      <c r="E109" s="475"/>
      <c r="F109" s="740"/>
      <c r="G109" s="740"/>
      <c r="I109" s="475"/>
      <c r="J109" s="459"/>
      <c r="K109" s="459"/>
      <c r="L109" s="459"/>
      <c r="M109" s="459"/>
      <c r="T109" s="485"/>
      <c r="V109" s="172"/>
      <c r="W109" s="172"/>
      <c r="X109" s="459"/>
      <c r="Y109" s="509"/>
      <c r="AA109" s="460"/>
      <c r="AB109" s="460"/>
      <c r="AC109" s="460"/>
    </row>
    <row r="110" spans="2:29" ht="20.25" customHeight="1" thickBot="1">
      <c r="B110" s="414"/>
      <c r="C110" s="414"/>
      <c r="D110" s="414" t="s">
        <v>1138</v>
      </c>
      <c r="E110" s="414" t="s">
        <v>119</v>
      </c>
      <c r="F110" s="734"/>
      <c r="G110" s="734"/>
      <c r="I110" s="414"/>
      <c r="J110" s="510">
        <f>+J108+J85</f>
        <v>228945469</v>
      </c>
      <c r="K110" s="471"/>
      <c r="L110" s="510">
        <f>+L108+L85</f>
        <v>205906021</v>
      </c>
      <c r="M110" s="471"/>
      <c r="P110" s="246" t="s">
        <v>1137</v>
      </c>
      <c r="Q110" s="246"/>
      <c r="R110" s="733"/>
      <c r="S110" s="734"/>
      <c r="T110" s="915"/>
      <c r="U110" s="414"/>
      <c r="V110" s="511">
        <f>+V108+V94</f>
        <v>306637316.58000004</v>
      </c>
      <c r="W110" s="165"/>
      <c r="X110" s="510">
        <f>+X108+X94</f>
        <v>301408122</v>
      </c>
    </row>
    <row r="113" spans="10:13">
      <c r="J113" s="461">
        <f>+J110-V110</f>
        <v>-77691847.580000043</v>
      </c>
      <c r="K113" s="461">
        <f>+K110-W110</f>
        <v>0</v>
      </c>
      <c r="L113" s="461">
        <f>+L110-X110</f>
        <v>-95502101</v>
      </c>
      <c r="M113" s="461"/>
    </row>
  </sheetData>
  <mergeCells count="25">
    <mergeCell ref="J61:L61"/>
    <mergeCell ref="J3:L3"/>
    <mergeCell ref="N3:N4"/>
    <mergeCell ref="F95:F97"/>
    <mergeCell ref="F72:F73"/>
    <mergeCell ref="F65:F67"/>
    <mergeCell ref="F69:F71"/>
    <mergeCell ref="F75:F77"/>
    <mergeCell ref="H61:H62"/>
    <mergeCell ref="Y3:Y4"/>
    <mergeCell ref="Q61:Q62"/>
    <mergeCell ref="N61:N62"/>
    <mergeCell ref="P61:P62"/>
    <mergeCell ref="P3:P4"/>
    <mergeCell ref="V61:X61"/>
    <mergeCell ref="V3:X3"/>
    <mergeCell ref="T61:T62"/>
    <mergeCell ref="Y61:Y62"/>
    <mergeCell ref="Q3:Q4"/>
    <mergeCell ref="B61:B62"/>
    <mergeCell ref="D61:D62"/>
    <mergeCell ref="E61:E62"/>
    <mergeCell ref="B3:B4"/>
    <mergeCell ref="D3:D4"/>
    <mergeCell ref="E3:E4"/>
  </mergeCells>
  <phoneticPr fontId="86" type="noConversion"/>
  <pageMargins left="0.57999999999999996" right="0.51" top="0.51" bottom="0.85" header="0.51" footer="0.5"/>
  <pageSetup scale="74" orientation="portrait" horizontalDpi="300" verticalDpi="300" r:id="rId1"/>
  <headerFooter alignWithMargins="0"/>
  <colBreaks count="1" manualBreakCount="1">
    <brk id="13" min="59" max="11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B1:R110"/>
  <sheetViews>
    <sheetView showGridLines="0" defaultGridColor="0" topLeftCell="B75" colorId="18" workbookViewId="0">
      <selection activeCell="F101" sqref="F101"/>
    </sheetView>
  </sheetViews>
  <sheetFormatPr defaultColWidth="9.109375" defaultRowHeight="13.8" outlineLevelRow="1"/>
  <cols>
    <col min="1" max="1" width="1.33203125" style="159" customWidth="1"/>
    <col min="2" max="2" width="4.44140625" style="404" customWidth="1"/>
    <col min="3" max="3" width="3.109375" style="404" customWidth="1"/>
    <col min="4" max="4" width="44" style="159" customWidth="1"/>
    <col min="5" max="5" width="1.44140625" style="159" customWidth="1"/>
    <col min="6" max="6" width="6.6640625" style="159" customWidth="1"/>
    <col min="7" max="7" width="1.6640625" style="159" customWidth="1"/>
    <col min="8" max="8" width="16.44140625" style="159" customWidth="1"/>
    <col min="9" max="9" width="2.88671875" style="159" customWidth="1"/>
    <col min="10" max="10" width="15.88671875" style="159" customWidth="1"/>
    <col min="11" max="11" width="4.109375" style="404" customWidth="1"/>
    <col min="12" max="12" width="38" style="159" bestFit="1" customWidth="1"/>
    <col min="13" max="13" width="35" style="159" hidden="1" customWidth="1"/>
    <col min="14" max="14" width="17.88671875" style="159" bestFit="1" customWidth="1"/>
    <col min="15" max="15" width="18.5546875" style="159" bestFit="1" customWidth="1"/>
    <col min="16" max="16" width="2.33203125" style="159" customWidth="1"/>
    <col min="17" max="17" width="9.109375" style="159"/>
    <col min="18" max="18" width="10.33203125" style="159" bestFit="1" customWidth="1"/>
    <col min="19" max="16384" width="9.109375" style="159"/>
  </cols>
  <sheetData>
    <row r="1" spans="2:15" s="251" customFormat="1">
      <c r="B1" s="250"/>
      <c r="C1" s="250"/>
      <c r="H1" s="252"/>
      <c r="I1" s="252"/>
      <c r="K1" s="250"/>
    </row>
    <row r="2" spans="2:15" s="251" customFormat="1" ht="12.75" hidden="1" customHeight="1" outlineLevel="1">
      <c r="B2" s="1470"/>
      <c r="C2" s="253"/>
      <c r="D2" s="1470" t="s">
        <v>757</v>
      </c>
      <c r="E2" s="253"/>
      <c r="F2" s="253"/>
      <c r="G2" s="253"/>
      <c r="H2" s="1472"/>
      <c r="I2" s="1473"/>
      <c r="J2" s="1473"/>
      <c r="K2" s="1461" t="s">
        <v>756</v>
      </c>
      <c r="L2" s="1463" t="s">
        <v>759</v>
      </c>
      <c r="M2" s="254"/>
      <c r="N2" s="1465"/>
      <c r="O2" s="1466"/>
    </row>
    <row r="3" spans="2:15" s="251" customFormat="1" ht="14.4" hidden="1" outlineLevel="1" thickBot="1">
      <c r="B3" s="1471"/>
      <c r="C3" s="255"/>
      <c r="D3" s="1471"/>
      <c r="E3" s="255"/>
      <c r="F3" s="255"/>
      <c r="G3" s="255"/>
      <c r="H3" s="256" t="s">
        <v>1070</v>
      </c>
      <c r="I3" s="257"/>
      <c r="J3" s="257" t="s">
        <v>1051</v>
      </c>
      <c r="K3" s="1462"/>
      <c r="L3" s="1464"/>
      <c r="M3" s="255"/>
      <c r="N3" s="258" t="s">
        <v>1070</v>
      </c>
      <c r="O3" s="259" t="s">
        <v>1051</v>
      </c>
    </row>
    <row r="4" spans="2:15" s="268" customFormat="1" hidden="1" outlineLevel="1">
      <c r="B4" s="260"/>
      <c r="C4" s="261"/>
      <c r="D4" s="262" t="s">
        <v>761</v>
      </c>
      <c r="E4" s="262"/>
      <c r="F4" s="263" t="s">
        <v>762</v>
      </c>
      <c r="G4" s="263"/>
      <c r="H4" s="264"/>
      <c r="I4" s="265"/>
      <c r="J4" s="265"/>
      <c r="K4" s="266" t="s">
        <v>760</v>
      </c>
      <c r="L4" s="262" t="s">
        <v>763</v>
      </c>
      <c r="M4" s="263" t="s">
        <v>764</v>
      </c>
      <c r="N4" s="264">
        <f>N10</f>
        <v>0</v>
      </c>
      <c r="O4" s="267">
        <f>O10</f>
        <v>0</v>
      </c>
    </row>
    <row r="5" spans="2:15" s="280" customFormat="1" hidden="1" outlineLevel="1">
      <c r="B5" s="269"/>
      <c r="C5" s="270"/>
      <c r="D5" s="271" t="s">
        <v>766</v>
      </c>
      <c r="E5" s="271"/>
      <c r="F5" s="272" t="s">
        <v>767</v>
      </c>
      <c r="G5" s="272"/>
      <c r="H5" s="273">
        <f>SUM(H6,H12,H13,H17,H22,H18,H9)</f>
        <v>33421460.5</v>
      </c>
      <c r="I5" s="274"/>
      <c r="J5" s="274">
        <f>SUM(J6,J12,J13,J17,J22,J18,J9)</f>
        <v>4869152</v>
      </c>
      <c r="K5" s="275"/>
      <c r="L5" s="276"/>
      <c r="M5" s="277"/>
      <c r="N5" s="278"/>
      <c r="O5" s="279"/>
    </row>
    <row r="6" spans="2:15" s="251" customFormat="1" hidden="1" outlineLevel="1">
      <c r="B6" s="281">
        <v>1</v>
      </c>
      <c r="C6" s="281"/>
      <c r="D6" s="282" t="s">
        <v>768</v>
      </c>
      <c r="E6" s="282"/>
      <c r="F6" s="283" t="s">
        <v>769</v>
      </c>
      <c r="G6" s="283"/>
      <c r="H6" s="284">
        <f>SUM(H7:H8)</f>
        <v>0</v>
      </c>
      <c r="I6" s="285"/>
      <c r="J6" s="285">
        <f>SUM(J7:J8)</f>
        <v>0</v>
      </c>
      <c r="K6" s="286"/>
      <c r="L6" s="287" t="s">
        <v>770</v>
      </c>
      <c r="M6" s="288" t="s">
        <v>771</v>
      </c>
      <c r="N6" s="289"/>
      <c r="O6" s="290"/>
    </row>
    <row r="7" spans="2:15" s="251" customFormat="1" hidden="1" outlineLevel="1">
      <c r="B7" s="291" t="s">
        <v>772</v>
      </c>
      <c r="C7" s="291"/>
      <c r="D7" s="282" t="s">
        <v>773</v>
      </c>
      <c r="E7" s="282"/>
      <c r="F7" s="283" t="s">
        <v>774</v>
      </c>
      <c r="G7" s="283"/>
      <c r="H7" s="289"/>
      <c r="I7" s="292"/>
      <c r="J7" s="292"/>
      <c r="K7" s="286"/>
      <c r="L7" s="282" t="s">
        <v>775</v>
      </c>
      <c r="M7" s="283" t="s">
        <v>776</v>
      </c>
      <c r="N7" s="289"/>
      <c r="O7" s="290"/>
    </row>
    <row r="8" spans="2:15" s="251" customFormat="1" hidden="1" outlineLevel="1">
      <c r="B8" s="291" t="s">
        <v>777</v>
      </c>
      <c r="C8" s="291"/>
      <c r="D8" s="282" t="s">
        <v>778</v>
      </c>
      <c r="E8" s="282"/>
      <c r="F8" s="283" t="s">
        <v>779</v>
      </c>
      <c r="G8" s="283"/>
      <c r="H8" s="289"/>
      <c r="I8" s="292"/>
      <c r="J8" s="292"/>
      <c r="K8" s="286"/>
      <c r="L8" s="282" t="s">
        <v>780</v>
      </c>
      <c r="M8" s="283" t="s">
        <v>781</v>
      </c>
      <c r="N8" s="289"/>
      <c r="O8" s="290"/>
    </row>
    <row r="9" spans="2:15" s="251" customFormat="1" hidden="1" outlineLevel="1">
      <c r="B9" s="293">
        <v>2</v>
      </c>
      <c r="C9" s="293"/>
      <c r="D9" s="294" t="s">
        <v>782</v>
      </c>
      <c r="E9" s="294"/>
      <c r="F9" s="295" t="s">
        <v>656</v>
      </c>
      <c r="G9" s="295"/>
      <c r="H9" s="296">
        <f>SUM(H10:H11)</f>
        <v>0</v>
      </c>
      <c r="I9" s="297"/>
      <c r="J9" s="297">
        <f>SUM(J10:J11)</f>
        <v>0</v>
      </c>
      <c r="K9" s="298"/>
      <c r="L9" s="282" t="s">
        <v>783</v>
      </c>
      <c r="M9" s="283" t="s">
        <v>784</v>
      </c>
      <c r="N9" s="289"/>
      <c r="O9" s="290"/>
    </row>
    <row r="10" spans="2:15" s="251" customFormat="1" hidden="1" outlineLevel="1">
      <c r="B10" s="291" t="s">
        <v>785</v>
      </c>
      <c r="C10" s="291"/>
      <c r="D10" s="282" t="s">
        <v>773</v>
      </c>
      <c r="E10" s="282"/>
      <c r="F10" s="283" t="s">
        <v>786</v>
      </c>
      <c r="G10" s="283"/>
      <c r="H10" s="289"/>
      <c r="I10" s="292"/>
      <c r="J10" s="292"/>
      <c r="K10" s="286"/>
      <c r="L10" s="291" t="s">
        <v>787</v>
      </c>
      <c r="M10" s="299" t="s">
        <v>788</v>
      </c>
      <c r="N10" s="284">
        <f>SUM(N6:N9)</f>
        <v>0</v>
      </c>
      <c r="O10" s="300">
        <f>SUM(O6:O9)</f>
        <v>0</v>
      </c>
    </row>
    <row r="11" spans="2:15" s="251" customFormat="1" hidden="1" outlineLevel="1">
      <c r="B11" s="291" t="s">
        <v>789</v>
      </c>
      <c r="C11" s="291"/>
      <c r="D11" s="282" t="s">
        <v>778</v>
      </c>
      <c r="E11" s="282"/>
      <c r="F11" s="283" t="s">
        <v>790</v>
      </c>
      <c r="G11" s="283"/>
      <c r="H11" s="289"/>
      <c r="I11" s="292"/>
      <c r="J11" s="292"/>
      <c r="K11" s="286"/>
      <c r="L11" s="282" t="s">
        <v>791</v>
      </c>
      <c r="M11" s="283" t="s">
        <v>792</v>
      </c>
      <c r="N11" s="289"/>
      <c r="O11" s="290"/>
    </row>
    <row r="12" spans="2:15" s="251" customFormat="1" hidden="1" outlineLevel="1">
      <c r="B12" s="281">
        <v>3</v>
      </c>
      <c r="C12" s="281"/>
      <c r="D12" s="282" t="s">
        <v>1045</v>
      </c>
      <c r="E12" s="282"/>
      <c r="F12" s="283" t="s">
        <v>793</v>
      </c>
      <c r="G12" s="283"/>
      <c r="H12" s="301">
        <f>154070.5+2150611+15656272+22111+1888917</f>
        <v>19871981.5</v>
      </c>
      <c r="I12" s="302"/>
      <c r="J12" s="302">
        <f>84548+37000+700+444304</f>
        <v>566552</v>
      </c>
      <c r="K12" s="303" t="s">
        <v>765</v>
      </c>
      <c r="L12" s="305" t="s">
        <v>1048</v>
      </c>
      <c r="M12" s="306" t="s">
        <v>794</v>
      </c>
      <c r="N12" s="307">
        <f>SUM(N14,N15,N16,N17,N22)</f>
        <v>0</v>
      </c>
      <c r="O12" s="308">
        <f>SUM(O14,O15,O16,O17,O22)</f>
        <v>0</v>
      </c>
    </row>
    <row r="13" spans="2:15" s="251" customFormat="1" hidden="1" outlineLevel="1">
      <c r="B13" s="309">
        <v>4</v>
      </c>
      <c r="C13" s="309"/>
      <c r="D13" s="310" t="s">
        <v>795</v>
      </c>
      <c r="E13" s="310"/>
      <c r="F13" s="311" t="s">
        <v>796</v>
      </c>
      <c r="G13" s="311"/>
      <c r="H13" s="312">
        <f>SUM(H14:H16)</f>
        <v>10069470</v>
      </c>
      <c r="I13" s="313"/>
      <c r="J13" s="313">
        <f>SUM(J14:J16)</f>
        <v>4302600</v>
      </c>
      <c r="K13" s="314"/>
      <c r="L13" s="282"/>
      <c r="M13" s="283"/>
      <c r="N13" s="289"/>
      <c r="O13" s="290"/>
    </row>
    <row r="14" spans="2:15" s="251" customFormat="1" hidden="1" outlineLevel="1">
      <c r="B14" s="291" t="s">
        <v>797</v>
      </c>
      <c r="C14" s="291"/>
      <c r="D14" s="282" t="s">
        <v>798</v>
      </c>
      <c r="E14" s="282"/>
      <c r="F14" s="283" t="s">
        <v>799</v>
      </c>
      <c r="G14" s="283"/>
      <c r="H14" s="315">
        <v>9943762</v>
      </c>
      <c r="I14" s="315"/>
      <c r="J14" s="315">
        <v>4232617</v>
      </c>
      <c r="K14" s="286"/>
      <c r="L14" s="282" t="s">
        <v>800</v>
      </c>
      <c r="M14" s="283" t="s">
        <v>801</v>
      </c>
      <c r="N14" s="289"/>
      <c r="O14" s="290"/>
    </row>
    <row r="15" spans="2:15" s="251" customFormat="1" hidden="1" outlineLevel="1">
      <c r="B15" s="291" t="s">
        <v>802</v>
      </c>
      <c r="C15" s="291"/>
      <c r="D15" s="282" t="s">
        <v>803</v>
      </c>
      <c r="E15" s="282"/>
      <c r="F15" s="283" t="s">
        <v>804</v>
      </c>
      <c r="G15" s="283"/>
      <c r="H15" s="315"/>
      <c r="I15" s="315"/>
      <c r="J15" s="315"/>
      <c r="K15" s="286"/>
      <c r="L15" s="282" t="s">
        <v>805</v>
      </c>
      <c r="M15" s="283" t="s">
        <v>806</v>
      </c>
      <c r="N15" s="316"/>
      <c r="O15" s="317"/>
    </row>
    <row r="16" spans="2:15" s="251" customFormat="1" hidden="1" outlineLevel="1">
      <c r="B16" s="291" t="s">
        <v>807</v>
      </c>
      <c r="C16" s="291"/>
      <c r="D16" s="282" t="s">
        <v>808</v>
      </c>
      <c r="E16" s="282"/>
      <c r="F16" s="283" t="s">
        <v>809</v>
      </c>
      <c r="G16" s="283"/>
      <c r="H16" s="315">
        <v>125708</v>
      </c>
      <c r="I16" s="315"/>
      <c r="J16" s="315">
        <v>69983</v>
      </c>
      <c r="K16" s="286"/>
      <c r="L16" s="282" t="s">
        <v>810</v>
      </c>
      <c r="M16" s="283" t="s">
        <v>811</v>
      </c>
      <c r="N16" s="318"/>
      <c r="O16" s="319"/>
    </row>
    <row r="17" spans="2:15" s="251" customFormat="1" hidden="1" outlineLevel="1">
      <c r="B17" s="281">
        <v>5</v>
      </c>
      <c r="C17" s="281"/>
      <c r="D17" s="282" t="s">
        <v>812</v>
      </c>
      <c r="E17" s="282"/>
      <c r="F17" s="283" t="s">
        <v>813</v>
      </c>
      <c r="G17" s="283"/>
      <c r="H17" s="284">
        <v>66706</v>
      </c>
      <c r="I17" s="285"/>
      <c r="J17" s="285"/>
      <c r="K17" s="286"/>
      <c r="L17" s="282" t="s">
        <v>814</v>
      </c>
      <c r="M17" s="283" t="s">
        <v>815</v>
      </c>
      <c r="N17" s="289"/>
      <c r="O17" s="290">
        <v>0</v>
      </c>
    </row>
    <row r="18" spans="2:15" s="251" customFormat="1" hidden="1" outlineLevel="1">
      <c r="B18" s="281">
        <v>6</v>
      </c>
      <c r="C18" s="281"/>
      <c r="D18" s="282" t="s">
        <v>816</v>
      </c>
      <c r="E18" s="282"/>
      <c r="F18" s="283" t="s">
        <v>817</v>
      </c>
      <c r="G18" s="283"/>
      <c r="H18" s="301">
        <f>SUM(H19:H21)</f>
        <v>3413303</v>
      </c>
      <c r="I18" s="302"/>
      <c r="J18" s="302">
        <f>SUM(J19:J21)</f>
        <v>0</v>
      </c>
      <c r="K18" s="286"/>
      <c r="L18" s="282" t="s">
        <v>818</v>
      </c>
      <c r="M18" s="283" t="s">
        <v>819</v>
      </c>
      <c r="N18" s="289"/>
      <c r="O18" s="290"/>
    </row>
    <row r="19" spans="2:15" s="251" customFormat="1" hidden="1" outlineLevel="1">
      <c r="B19" s="291" t="s">
        <v>820</v>
      </c>
      <c r="C19" s="291"/>
      <c r="D19" s="282" t="s">
        <v>821</v>
      </c>
      <c r="E19" s="282"/>
      <c r="F19" s="283" t="s">
        <v>822</v>
      </c>
      <c r="G19" s="283"/>
      <c r="H19" s="289"/>
      <c r="I19" s="292"/>
      <c r="J19" s="292"/>
      <c r="K19" s="286"/>
      <c r="L19" s="282" t="s">
        <v>823</v>
      </c>
      <c r="M19" s="283" t="s">
        <v>824</v>
      </c>
      <c r="N19" s="289"/>
      <c r="O19" s="290"/>
    </row>
    <row r="20" spans="2:15" s="251" customFormat="1" hidden="1" outlineLevel="1">
      <c r="B20" s="320" t="s">
        <v>825</v>
      </c>
      <c r="C20" s="291"/>
      <c r="D20" s="282" t="s">
        <v>826</v>
      </c>
      <c r="E20" s="282"/>
      <c r="F20" s="283" t="s">
        <v>827</v>
      </c>
      <c r="G20" s="283"/>
      <c r="H20" s="318"/>
      <c r="I20" s="321"/>
      <c r="J20" s="292"/>
      <c r="K20" s="286"/>
      <c r="L20" s="282" t="s">
        <v>828</v>
      </c>
      <c r="M20" s="283" t="s">
        <v>829</v>
      </c>
      <c r="N20" s="289"/>
      <c r="O20" s="290"/>
    </row>
    <row r="21" spans="2:15" s="251" customFormat="1" hidden="1" outlineLevel="1">
      <c r="B21" s="291" t="s">
        <v>830</v>
      </c>
      <c r="C21" s="291"/>
      <c r="D21" s="282" t="s">
        <v>831</v>
      </c>
      <c r="E21" s="282"/>
      <c r="F21" s="283" t="s">
        <v>832</v>
      </c>
      <c r="G21" s="283"/>
      <c r="H21" s="289">
        <f>1235756+800953+805254+268418+20125+282797</f>
        <v>3413303</v>
      </c>
      <c r="I21" s="292"/>
      <c r="J21" s="292"/>
      <c r="K21" s="286"/>
      <c r="L21" s="282"/>
      <c r="M21" s="283"/>
      <c r="N21" s="318"/>
      <c r="O21" s="319"/>
    </row>
    <row r="22" spans="2:15" s="251" customFormat="1" hidden="1" outlineLevel="1">
      <c r="B22" s="281">
        <v>7</v>
      </c>
      <c r="C22" s="281"/>
      <c r="D22" s="282" t="s">
        <v>833</v>
      </c>
      <c r="E22" s="282"/>
      <c r="F22" s="283" t="s">
        <v>834</v>
      </c>
      <c r="G22" s="283"/>
      <c r="H22" s="284">
        <f>SUM(H23:H27)</f>
        <v>0</v>
      </c>
      <c r="I22" s="285"/>
      <c r="J22" s="285">
        <f>SUM(J23:J27)</f>
        <v>0</v>
      </c>
      <c r="K22" s="286"/>
      <c r="L22" s="282" t="s">
        <v>835</v>
      </c>
      <c r="M22" s="283" t="s">
        <v>836</v>
      </c>
      <c r="N22" s="318">
        <f>SUM(N23:N26)</f>
        <v>0</v>
      </c>
      <c r="O22" s="319">
        <f>SUM(O23:O26)</f>
        <v>0</v>
      </c>
    </row>
    <row r="23" spans="2:15" s="251" customFormat="1" hidden="1" outlineLevel="1">
      <c r="B23" s="291" t="s">
        <v>837</v>
      </c>
      <c r="C23" s="291"/>
      <c r="D23" s="282" t="s">
        <v>838</v>
      </c>
      <c r="E23" s="282"/>
      <c r="F23" s="283" t="s">
        <v>839</v>
      </c>
      <c r="G23" s="283"/>
      <c r="H23" s="289"/>
      <c r="I23" s="292"/>
      <c r="J23" s="292"/>
      <c r="K23" s="286"/>
      <c r="L23" s="282" t="s">
        <v>840</v>
      </c>
      <c r="M23" s="283" t="s">
        <v>841</v>
      </c>
      <c r="N23" s="289"/>
      <c r="O23" s="290"/>
    </row>
    <row r="24" spans="2:15" s="251" customFormat="1" hidden="1" outlineLevel="1">
      <c r="B24" s="291" t="s">
        <v>842</v>
      </c>
      <c r="C24" s="291"/>
      <c r="D24" s="282" t="s">
        <v>843</v>
      </c>
      <c r="E24" s="282"/>
      <c r="F24" s="283" t="s">
        <v>844</v>
      </c>
      <c r="G24" s="283"/>
      <c r="H24" s="289"/>
      <c r="I24" s="292"/>
      <c r="J24" s="292"/>
      <c r="K24" s="286"/>
      <c r="L24" s="282" t="s">
        <v>845</v>
      </c>
      <c r="M24" s="283" t="s">
        <v>846</v>
      </c>
      <c r="N24" s="289"/>
      <c r="O24" s="290"/>
    </row>
    <row r="25" spans="2:15" s="268" customFormat="1" hidden="1" outlineLevel="1">
      <c r="B25" s="323" t="s">
        <v>847</v>
      </c>
      <c r="C25" s="323"/>
      <c r="D25" s="282" t="s">
        <v>848</v>
      </c>
      <c r="E25" s="282"/>
      <c r="F25" s="324" t="s">
        <v>849</v>
      </c>
      <c r="G25" s="324"/>
      <c r="H25" s="325"/>
      <c r="I25" s="326"/>
      <c r="J25" s="326"/>
      <c r="K25" s="327"/>
      <c r="L25" s="282" t="s">
        <v>1049</v>
      </c>
      <c r="M25" s="283" t="s">
        <v>850</v>
      </c>
      <c r="N25" s="325"/>
      <c r="O25" s="328"/>
    </row>
    <row r="26" spans="2:15" s="251" customFormat="1" hidden="1" outlineLevel="1">
      <c r="B26" s="291" t="s">
        <v>851</v>
      </c>
      <c r="C26" s="291"/>
      <c r="D26" s="282" t="s">
        <v>852</v>
      </c>
      <c r="E26" s="282"/>
      <c r="F26" s="283" t="s">
        <v>853</v>
      </c>
      <c r="G26" s="283"/>
      <c r="H26" s="289"/>
      <c r="I26" s="292"/>
      <c r="J26" s="292"/>
      <c r="K26" s="329"/>
      <c r="L26" s="282" t="s">
        <v>854</v>
      </c>
      <c r="M26" s="283" t="s">
        <v>855</v>
      </c>
      <c r="N26" s="330"/>
      <c r="O26" s="331"/>
    </row>
    <row r="27" spans="2:15" s="251" customFormat="1" hidden="1" outlineLevel="1">
      <c r="B27" s="332" t="s">
        <v>856</v>
      </c>
      <c r="C27" s="332"/>
      <c r="D27" s="294" t="s">
        <v>857</v>
      </c>
      <c r="E27" s="294"/>
      <c r="F27" s="295" t="s">
        <v>858</v>
      </c>
      <c r="G27" s="295"/>
      <c r="H27" s="333"/>
      <c r="I27" s="334"/>
      <c r="J27" s="334"/>
      <c r="K27" s="298"/>
      <c r="L27" s="294"/>
      <c r="M27" s="295"/>
      <c r="N27" s="333"/>
      <c r="O27" s="335"/>
    </row>
    <row r="28" spans="2:15" s="251" customFormat="1" hidden="1" outlineLevel="1">
      <c r="B28" s="336"/>
      <c r="C28" s="336"/>
      <c r="D28" s="337" t="s">
        <v>859</v>
      </c>
      <c r="E28" s="337"/>
      <c r="F28" s="338" t="s">
        <v>860</v>
      </c>
      <c r="G28" s="338"/>
      <c r="H28" s="339">
        <f>SUM(H5,H4)</f>
        <v>33421460.5</v>
      </c>
      <c r="I28" s="340"/>
      <c r="J28" s="340">
        <f>SUM(J5,J4)</f>
        <v>4869152</v>
      </c>
      <c r="K28" s="341"/>
      <c r="L28" s="342" t="s">
        <v>861</v>
      </c>
      <c r="M28" s="338" t="s">
        <v>862</v>
      </c>
      <c r="N28" s="339">
        <f>SUM(N12,N4)</f>
        <v>0</v>
      </c>
      <c r="O28" s="343">
        <f>SUM(O12,O4)</f>
        <v>0</v>
      </c>
    </row>
    <row r="29" spans="2:15" s="251" customFormat="1" hidden="1" outlineLevel="1">
      <c r="B29" s="344"/>
      <c r="C29" s="344"/>
      <c r="D29" s="345"/>
      <c r="E29" s="345"/>
      <c r="F29" s="311"/>
      <c r="G29" s="311"/>
      <c r="H29" s="346"/>
      <c r="I29" s="347"/>
      <c r="J29" s="347"/>
      <c r="K29" s="314"/>
      <c r="L29" s="310"/>
      <c r="M29" s="311"/>
      <c r="N29" s="346"/>
      <c r="O29" s="348"/>
    </row>
    <row r="30" spans="2:15" s="251" customFormat="1" hidden="1" outlineLevel="1">
      <c r="B30" s="349"/>
      <c r="C30" s="350"/>
      <c r="D30" s="305" t="s">
        <v>865</v>
      </c>
      <c r="E30" s="305"/>
      <c r="F30" s="306" t="s">
        <v>866</v>
      </c>
      <c r="G30" s="306"/>
      <c r="H30" s="351">
        <f>SUM(H31:H35)</f>
        <v>484242787.5</v>
      </c>
      <c r="I30" s="352"/>
      <c r="J30" s="352">
        <f>SUM(J31:J35)</f>
        <v>223389357.8317959</v>
      </c>
      <c r="K30" s="303" t="s">
        <v>863</v>
      </c>
      <c r="L30" s="305" t="s">
        <v>867</v>
      </c>
      <c r="M30" s="306" t="s">
        <v>868</v>
      </c>
      <c r="N30" s="351">
        <f>SUM(N31:N35)</f>
        <v>141287807</v>
      </c>
      <c r="O30" s="308">
        <f>SUM(O31:O35)</f>
        <v>1771555</v>
      </c>
    </row>
    <row r="31" spans="2:15" s="251" customFormat="1" hidden="1" outlineLevel="1">
      <c r="B31" s="281">
        <v>8</v>
      </c>
      <c r="C31" s="281"/>
      <c r="D31" s="282" t="s">
        <v>869</v>
      </c>
      <c r="E31" s="282"/>
      <c r="F31" s="283" t="s">
        <v>870</v>
      </c>
      <c r="G31" s="283"/>
      <c r="H31" s="315">
        <f>377437373.5+41876360+1173690+25506009+8675009</f>
        <v>454668441.5</v>
      </c>
      <c r="I31" s="353"/>
      <c r="J31" s="292">
        <v>196444254</v>
      </c>
      <c r="K31" s="286"/>
      <c r="L31" s="282" t="s">
        <v>871</v>
      </c>
      <c r="M31" s="283" t="s">
        <v>872</v>
      </c>
      <c r="N31" s="315">
        <v>226343</v>
      </c>
      <c r="O31" s="290">
        <f>1767706+3849</f>
        <v>1771555</v>
      </c>
    </row>
    <row r="32" spans="2:15" s="251" customFormat="1" hidden="1" outlineLevel="1">
      <c r="B32" s="281">
        <v>9</v>
      </c>
      <c r="C32" s="281"/>
      <c r="D32" s="282" t="s">
        <v>873</v>
      </c>
      <c r="E32" s="282"/>
      <c r="F32" s="283" t="s">
        <v>874</v>
      </c>
      <c r="G32" s="283"/>
      <c r="H32" s="318"/>
      <c r="I32" s="321"/>
      <c r="J32" s="321"/>
      <c r="K32" s="329"/>
      <c r="L32" s="282" t="s">
        <v>875</v>
      </c>
      <c r="M32" s="283" t="s">
        <v>876</v>
      </c>
      <c r="N32" s="289"/>
      <c r="O32" s="290"/>
    </row>
    <row r="33" spans="2:15" s="251" customFormat="1" hidden="1" outlineLevel="1">
      <c r="B33" s="281">
        <v>10</v>
      </c>
      <c r="C33" s="281"/>
      <c r="D33" s="282" t="s">
        <v>877</v>
      </c>
      <c r="E33" s="282"/>
      <c r="F33" s="283" t="s">
        <v>878</v>
      </c>
      <c r="G33" s="283"/>
      <c r="H33" s="315">
        <v>25974346</v>
      </c>
      <c r="I33" s="353"/>
      <c r="J33" s="292">
        <v>26945103.831795912</v>
      </c>
      <c r="K33" s="286"/>
      <c r="L33" s="282" t="s">
        <v>879</v>
      </c>
      <c r="M33" s="283" t="s">
        <v>880</v>
      </c>
      <c r="N33" s="315">
        <v>134210873</v>
      </c>
      <c r="O33" s="290"/>
    </row>
    <row r="34" spans="2:15" s="251" customFormat="1" hidden="1" outlineLevel="1">
      <c r="B34" s="281">
        <v>11</v>
      </c>
      <c r="C34" s="281"/>
      <c r="D34" s="282" t="s">
        <v>1046</v>
      </c>
      <c r="E34" s="282"/>
      <c r="F34" s="283" t="s">
        <v>881</v>
      </c>
      <c r="G34" s="283"/>
      <c r="H34" s="316"/>
      <c r="I34" s="354"/>
      <c r="J34" s="292"/>
      <c r="K34" s="286"/>
      <c r="L34" s="282" t="s">
        <v>1050</v>
      </c>
      <c r="M34" s="283" t="s">
        <v>882</v>
      </c>
      <c r="N34" s="318"/>
      <c r="O34" s="319"/>
    </row>
    <row r="35" spans="2:15" s="251" customFormat="1" hidden="1" outlineLevel="1">
      <c r="B35" s="293">
        <v>12</v>
      </c>
      <c r="C35" s="293"/>
      <c r="D35" s="294" t="s">
        <v>883</v>
      </c>
      <c r="E35" s="294"/>
      <c r="F35" s="295" t="s">
        <v>884</v>
      </c>
      <c r="G35" s="295"/>
      <c r="H35" s="355">
        <v>3600000</v>
      </c>
      <c r="I35" s="356"/>
      <c r="J35" s="334"/>
      <c r="K35" s="298"/>
      <c r="L35" s="294" t="s">
        <v>885</v>
      </c>
      <c r="M35" s="295" t="s">
        <v>886</v>
      </c>
      <c r="N35" s="355">
        <v>6850591</v>
      </c>
      <c r="O35" s="335"/>
    </row>
    <row r="36" spans="2:15" s="251" customFormat="1" hidden="1" outlineLevel="1">
      <c r="B36" s="342"/>
      <c r="C36" s="342"/>
      <c r="D36" s="337" t="s">
        <v>887</v>
      </c>
      <c r="E36" s="337"/>
      <c r="F36" s="338" t="s">
        <v>888</v>
      </c>
      <c r="G36" s="338"/>
      <c r="H36" s="339">
        <f>SUM(H30,H28)</f>
        <v>517664248</v>
      </c>
      <c r="I36" s="340"/>
      <c r="J36" s="340">
        <f>SUM(J30,J28)</f>
        <v>228258509.8317959</v>
      </c>
      <c r="K36" s="341"/>
      <c r="L36" s="342" t="s">
        <v>889</v>
      </c>
      <c r="M36" s="338" t="s">
        <v>890</v>
      </c>
      <c r="N36" s="339">
        <f>SUM(N28,N30)</f>
        <v>141287807</v>
      </c>
      <c r="O36" s="343">
        <f>SUM(O28,O30)</f>
        <v>1771555</v>
      </c>
    </row>
    <row r="37" spans="2:15" s="251" customFormat="1" hidden="1" outlineLevel="1">
      <c r="B37" s="344"/>
      <c r="C37" s="344"/>
      <c r="D37" s="310"/>
      <c r="E37" s="310"/>
      <c r="F37" s="311"/>
      <c r="G37" s="311"/>
      <c r="H37" s="346"/>
      <c r="I37" s="347"/>
      <c r="J37" s="347"/>
      <c r="K37" s="314"/>
      <c r="L37" s="310"/>
      <c r="M37" s="311"/>
      <c r="N37" s="346"/>
      <c r="O37" s="348"/>
    </row>
    <row r="38" spans="2:15" s="251" customFormat="1" hidden="1" outlineLevel="1">
      <c r="B38" s="349"/>
      <c r="C38" s="350"/>
      <c r="D38" s="305" t="s">
        <v>892</v>
      </c>
      <c r="E38" s="305"/>
      <c r="F38" s="306" t="s">
        <v>893</v>
      </c>
      <c r="G38" s="306"/>
      <c r="H38" s="307"/>
      <c r="I38" s="357"/>
      <c r="J38" s="357"/>
      <c r="K38" s="303" t="s">
        <v>891</v>
      </c>
      <c r="L38" s="305" t="s">
        <v>894</v>
      </c>
      <c r="M38" s="306" t="s">
        <v>895</v>
      </c>
      <c r="N38" s="307"/>
      <c r="O38" s="308"/>
    </row>
    <row r="39" spans="2:15" s="251" customFormat="1" hidden="1" outlineLevel="1">
      <c r="B39" s="358"/>
      <c r="C39" s="358"/>
      <c r="D39" s="282"/>
      <c r="E39" s="282"/>
      <c r="F39" s="283"/>
      <c r="G39" s="283"/>
      <c r="H39" s="289"/>
      <c r="I39" s="292"/>
      <c r="J39" s="292"/>
      <c r="K39" s="286"/>
      <c r="L39" s="282"/>
      <c r="M39" s="283"/>
      <c r="N39" s="289"/>
      <c r="O39" s="290"/>
    </row>
    <row r="40" spans="2:15" s="251" customFormat="1" hidden="1" outlineLevel="1">
      <c r="B40" s="359"/>
      <c r="C40" s="359"/>
      <c r="D40" s="359" t="s">
        <v>896</v>
      </c>
      <c r="E40" s="359"/>
      <c r="F40" s="360" t="s">
        <v>897</v>
      </c>
      <c r="G40" s="360"/>
      <c r="H40" s="361">
        <f>N38-H38</f>
        <v>0</v>
      </c>
      <c r="I40" s="362"/>
      <c r="J40" s="362">
        <f>O38-J38</f>
        <v>0</v>
      </c>
      <c r="K40" s="363"/>
      <c r="L40" s="359" t="s">
        <v>898</v>
      </c>
      <c r="M40" s="364"/>
      <c r="N40" s="365">
        <f>N38-H38</f>
        <v>0</v>
      </c>
      <c r="O40" s="366">
        <f>O38-J38</f>
        <v>0</v>
      </c>
    </row>
    <row r="41" spans="2:15" s="251" customFormat="1" hidden="1" outlineLevel="1">
      <c r="B41" s="358"/>
      <c r="C41" s="358"/>
      <c r="D41" s="282"/>
      <c r="E41" s="282"/>
      <c r="F41" s="283"/>
      <c r="G41" s="283"/>
      <c r="H41" s="367"/>
      <c r="I41" s="368"/>
      <c r="J41" s="368"/>
      <c r="K41" s="286"/>
      <c r="L41" s="282"/>
      <c r="M41" s="283"/>
      <c r="N41" s="289"/>
      <c r="O41" s="290"/>
    </row>
    <row r="42" spans="2:15" s="251" customFormat="1" hidden="1" outlineLevel="1">
      <c r="B42" s="369"/>
      <c r="C42" s="369"/>
      <c r="D42" s="369" t="s">
        <v>899</v>
      </c>
      <c r="E42" s="369"/>
      <c r="F42" s="370" t="s">
        <v>900</v>
      </c>
      <c r="G42" s="370"/>
      <c r="H42" s="371">
        <f>IF(H36&gt;=N36,N36-H36,0)+N40</f>
        <v>-376376441</v>
      </c>
      <c r="I42" s="372"/>
      <c r="J42" s="372">
        <f>IF(J36&lt;=O36,O36-J36,0)+O40</f>
        <v>0</v>
      </c>
      <c r="K42" s="373"/>
      <c r="L42" s="374" t="s">
        <v>901</v>
      </c>
      <c r="M42" s="375"/>
      <c r="N42" s="376">
        <f>IF(N36&lt;H36,N36-H36,0)</f>
        <v>-376376441</v>
      </c>
      <c r="O42" s="377"/>
    </row>
    <row r="43" spans="2:15" s="251" customFormat="1" hidden="1" outlineLevel="1">
      <c r="B43" s="349"/>
      <c r="C43" s="350"/>
      <c r="D43" s="305" t="s">
        <v>902</v>
      </c>
      <c r="E43" s="305"/>
      <c r="F43" s="306" t="s">
        <v>903</v>
      </c>
      <c r="G43" s="306"/>
      <c r="H43" s="351">
        <f>H44</f>
        <v>0</v>
      </c>
      <c r="I43" s="352"/>
      <c r="J43" s="352">
        <f>J42</f>
        <v>0</v>
      </c>
      <c r="K43" s="378"/>
      <c r="L43" s="304"/>
      <c r="M43" s="379"/>
      <c r="N43" s="307">
        <f>+N42+H46</f>
        <v>-376376441</v>
      </c>
      <c r="O43" s="380"/>
    </row>
    <row r="44" spans="2:15" s="251" customFormat="1" hidden="1" outlineLevel="1">
      <c r="B44" s="281">
        <v>1</v>
      </c>
      <c r="C44" s="281"/>
      <c r="D44" s="358" t="s">
        <v>904</v>
      </c>
      <c r="E44" s="358"/>
      <c r="F44" s="381" t="s">
        <v>905</v>
      </c>
      <c r="G44" s="381"/>
      <c r="H44" s="318"/>
      <c r="I44" s="321"/>
      <c r="J44" s="321"/>
      <c r="K44" s="329"/>
      <c r="L44" s="282"/>
      <c r="M44" s="283"/>
      <c r="N44" s="289"/>
      <c r="O44" s="290"/>
    </row>
    <row r="45" spans="2:15" s="251" customFormat="1" hidden="1" outlineLevel="1">
      <c r="B45" s="291" t="s">
        <v>772</v>
      </c>
      <c r="C45" s="291"/>
      <c r="D45" s="322" t="s">
        <v>906</v>
      </c>
      <c r="E45" s="322"/>
      <c r="F45" s="382" t="s">
        <v>907</v>
      </c>
      <c r="G45" s="382"/>
      <c r="H45" s="325">
        <f>H42*0%</f>
        <v>0</v>
      </c>
      <c r="I45" s="326"/>
      <c r="J45" s="285"/>
      <c r="K45" s="286"/>
      <c r="L45" s="282"/>
      <c r="M45" s="283"/>
      <c r="N45" s="289"/>
      <c r="O45" s="290"/>
    </row>
    <row r="46" spans="2:15" s="268" customFormat="1" hidden="1" outlineLevel="1">
      <c r="B46" s="323"/>
      <c r="C46" s="323"/>
      <c r="D46" s="383" t="s">
        <v>1047</v>
      </c>
      <c r="E46" s="383"/>
      <c r="F46" s="324" t="s">
        <v>908</v>
      </c>
      <c r="G46" s="324"/>
      <c r="H46" s="325"/>
      <c r="I46" s="384"/>
      <c r="J46" s="385"/>
      <c r="K46" s="327"/>
      <c r="L46" s="386"/>
      <c r="M46" s="387"/>
      <c r="N46" s="388"/>
      <c r="O46" s="389"/>
    </row>
    <row r="47" spans="2:15" s="251" customFormat="1" hidden="1" outlineLevel="1">
      <c r="B47" s="291" t="s">
        <v>777</v>
      </c>
      <c r="C47" s="291"/>
      <c r="D47" s="282" t="s">
        <v>909</v>
      </c>
      <c r="E47" s="282"/>
      <c r="F47" s="283" t="s">
        <v>910</v>
      </c>
      <c r="G47" s="283"/>
      <c r="H47" s="289"/>
      <c r="I47" s="292"/>
      <c r="J47" s="292"/>
      <c r="K47" s="286"/>
      <c r="L47" s="282"/>
      <c r="M47" s="283"/>
      <c r="N47" s="289"/>
      <c r="O47" s="290"/>
    </row>
    <row r="48" spans="2:15" s="251" customFormat="1" hidden="1" outlineLevel="1">
      <c r="B48" s="358"/>
      <c r="C48" s="358"/>
      <c r="D48" s="282"/>
      <c r="E48" s="282"/>
      <c r="F48" s="283"/>
      <c r="G48" s="283"/>
      <c r="H48" s="289"/>
      <c r="I48" s="292"/>
      <c r="J48" s="292"/>
      <c r="K48" s="286"/>
      <c r="L48" s="282"/>
      <c r="M48" s="283"/>
      <c r="N48" s="289"/>
      <c r="O48" s="290"/>
    </row>
    <row r="49" spans="2:18" s="251" customFormat="1" ht="14.4" hidden="1" outlineLevel="1" thickBot="1">
      <c r="B49" s="390"/>
      <c r="C49" s="390"/>
      <c r="D49" s="391"/>
      <c r="E49" s="391"/>
      <c r="F49" s="392"/>
      <c r="G49" s="392"/>
      <c r="H49" s="393"/>
      <c r="I49" s="394"/>
      <c r="J49" s="394"/>
      <c r="K49" s="395"/>
      <c r="L49" s="391"/>
      <c r="M49" s="392"/>
      <c r="N49" s="393"/>
      <c r="O49" s="396"/>
    </row>
    <row r="50" spans="2:18" s="251" customFormat="1" ht="17.25" hidden="1" customHeight="1" outlineLevel="1" thickBot="1">
      <c r="B50" s="397"/>
      <c r="C50" s="397"/>
      <c r="D50" s="397" t="s">
        <v>911</v>
      </c>
      <c r="E50" s="397"/>
      <c r="F50" s="398" t="s">
        <v>912</v>
      </c>
      <c r="G50" s="398"/>
      <c r="H50" s="399">
        <f>H43+H45+H47+H42</f>
        <v>-376376441</v>
      </c>
      <c r="I50" s="400"/>
      <c r="J50" s="400">
        <f>O36-J36</f>
        <v>-226486954.8317959</v>
      </c>
      <c r="K50" s="401"/>
      <c r="L50" s="397" t="s">
        <v>1037</v>
      </c>
      <c r="M50" s="402"/>
      <c r="N50" s="399">
        <f>H45</f>
        <v>0</v>
      </c>
      <c r="O50" s="403"/>
    </row>
    <row r="51" spans="2:18" collapsed="1"/>
    <row r="52" spans="2:18" hidden="1" outlineLevel="1">
      <c r="H52" s="405">
        <f>H42+H23-N26+H26</f>
        <v>-376376441</v>
      </c>
      <c r="I52" s="405"/>
    </row>
    <row r="53" spans="2:18" hidden="1" outlineLevel="1"/>
    <row r="54" spans="2:18" hidden="1" outlineLevel="1">
      <c r="J54" s="406">
        <f>N28-H28</f>
        <v>-33421460.5</v>
      </c>
      <c r="L54" s="406">
        <f>N30-H30</f>
        <v>-342954980.5</v>
      </c>
    </row>
    <row r="55" spans="2:18" hidden="1" outlineLevel="1"/>
    <row r="56" spans="2:18" ht="96.6" hidden="1" outlineLevel="1">
      <c r="D56" s="247" t="s">
        <v>913</v>
      </c>
      <c r="E56" s="247"/>
      <c r="F56" s="721" t="s">
        <v>914</v>
      </c>
      <c r="G56" s="721"/>
      <c r="H56" s="722" t="s">
        <v>915</v>
      </c>
      <c r="I56" s="722"/>
      <c r="J56" s="407" t="s">
        <v>916</v>
      </c>
      <c r="L56" s="407" t="s">
        <v>917</v>
      </c>
    </row>
    <row r="57" spans="2:18" ht="82.8" hidden="1" outlineLevel="1">
      <c r="D57" s="244" t="s">
        <v>918</v>
      </c>
      <c r="E57" s="244"/>
      <c r="F57" s="723" t="s">
        <v>919</v>
      </c>
      <c r="G57" s="723"/>
      <c r="H57" s="724">
        <f>L57-J57</f>
        <v>-33421460.5</v>
      </c>
      <c r="I57" s="724"/>
      <c r="J57" s="406">
        <f>H28-H19-H40</f>
        <v>33421460.5</v>
      </c>
      <c r="L57" s="406">
        <f>N28-N17</f>
        <v>0</v>
      </c>
      <c r="N57" s="235"/>
    </row>
    <row r="58" spans="2:18" ht="41.4" hidden="1" outlineLevel="1">
      <c r="D58" s="244" t="s">
        <v>920</v>
      </c>
      <c r="E58" s="244"/>
      <c r="F58" s="723" t="s">
        <v>921</v>
      </c>
      <c r="G58" s="723"/>
      <c r="H58" s="724">
        <f>L58-J58</f>
        <v>0</v>
      </c>
      <c r="I58" s="724"/>
      <c r="N58" s="235"/>
      <c r="R58" s="406"/>
    </row>
    <row r="59" spans="2:18" ht="96.6" hidden="1" outlineLevel="1">
      <c r="D59" s="244" t="s">
        <v>922</v>
      </c>
      <c r="E59" s="244"/>
      <c r="F59" s="725" t="s">
        <v>923</v>
      </c>
      <c r="G59" s="725"/>
      <c r="H59" s="724">
        <f>L59-J59</f>
        <v>-342954980.5</v>
      </c>
      <c r="I59" s="724"/>
      <c r="J59" s="406">
        <f>H30</f>
        <v>484242787.5</v>
      </c>
      <c r="L59" s="406">
        <f>N30</f>
        <v>141287807</v>
      </c>
      <c r="N59" s="235"/>
    </row>
    <row r="60" spans="2:18" ht="41.4" hidden="1" outlineLevel="1">
      <c r="D60" s="244" t="s">
        <v>924</v>
      </c>
      <c r="E60" s="244"/>
      <c r="F60" s="725" t="s">
        <v>925</v>
      </c>
      <c r="G60" s="725"/>
      <c r="H60" s="724">
        <f>-(L60-J60)</f>
        <v>0</v>
      </c>
      <c r="I60" s="724"/>
      <c r="J60" s="406">
        <f>H23</f>
        <v>0</v>
      </c>
      <c r="N60" s="235"/>
    </row>
    <row r="61" spans="2:18" hidden="1" outlineLevel="1">
      <c r="D61" s="244" t="s">
        <v>926</v>
      </c>
      <c r="E61" s="244"/>
      <c r="F61" s="725"/>
      <c r="G61" s="725"/>
      <c r="H61" s="724">
        <f>-(L61-J61)</f>
        <v>0</v>
      </c>
      <c r="I61" s="724"/>
      <c r="J61" s="406">
        <f>H26</f>
        <v>0</v>
      </c>
      <c r="L61" s="406">
        <f>N26</f>
        <v>0</v>
      </c>
      <c r="N61" s="235"/>
    </row>
    <row r="62" spans="2:18" ht="15" hidden="1" customHeight="1" outlineLevel="1">
      <c r="D62" s="244" t="s">
        <v>927</v>
      </c>
      <c r="E62" s="244"/>
      <c r="F62" s="725" t="s">
        <v>928</v>
      </c>
      <c r="G62" s="725"/>
      <c r="H62" s="724">
        <f>L62-J62</f>
        <v>0</v>
      </c>
      <c r="I62" s="724"/>
      <c r="J62" s="406">
        <f>H19</f>
        <v>0</v>
      </c>
      <c r="L62" s="406">
        <f>N18</f>
        <v>0</v>
      </c>
      <c r="N62" s="235"/>
    </row>
    <row r="63" spans="2:18" ht="25.5" hidden="1" customHeight="1" outlineLevel="1" thickBot="1">
      <c r="D63" s="247" t="s">
        <v>929</v>
      </c>
      <c r="E63" s="247"/>
      <c r="F63" s="723" t="s">
        <v>930</v>
      </c>
      <c r="G63" s="723"/>
      <c r="H63" s="726">
        <f>SUM(H57:H62)</f>
        <v>-376376441</v>
      </c>
      <c r="I63" s="726"/>
      <c r="J63" s="408">
        <f>SUM(J57:J62)</f>
        <v>517664248</v>
      </c>
      <c r="L63" s="408">
        <f>SUM(L57:L62)</f>
        <v>141287807</v>
      </c>
      <c r="N63" s="726"/>
    </row>
    <row r="64" spans="2:18" hidden="1" outlineLevel="1"/>
    <row r="65" spans="2:13" hidden="1" outlineLevel="1">
      <c r="J65" s="406"/>
    </row>
    <row r="66" spans="2:13" hidden="1" outlineLevel="1"/>
    <row r="67" spans="2:13" hidden="1" outlineLevel="1">
      <c r="H67" s="409">
        <f>H63-H52</f>
        <v>0</v>
      </c>
      <c r="I67" s="410"/>
    </row>
    <row r="68" spans="2:13" ht="14.4" hidden="1" outlineLevel="1" thickBot="1">
      <c r="H68" s="411">
        <f>H67/2</f>
        <v>0</v>
      </c>
      <c r="I68" s="410"/>
    </row>
    <row r="69" spans="2:13" collapsed="1"/>
    <row r="72" spans="2:13" ht="12.75" customHeight="1">
      <c r="B72" s="1467" t="s">
        <v>756</v>
      </c>
      <c r="C72" s="157"/>
      <c r="D72" s="1467" t="s">
        <v>974</v>
      </c>
      <c r="E72" s="157"/>
      <c r="F72" s="1467" t="s">
        <v>314</v>
      </c>
      <c r="G72" s="157"/>
      <c r="H72" s="1469" t="s">
        <v>758</v>
      </c>
      <c r="I72" s="1469"/>
      <c r="J72" s="1469"/>
      <c r="K72" s="158"/>
    </row>
    <row r="73" spans="2:13">
      <c r="B73" s="1467"/>
      <c r="C73" s="157"/>
      <c r="D73" s="1468"/>
      <c r="E73" s="157"/>
      <c r="F73" s="1468"/>
      <c r="G73" s="157"/>
      <c r="H73" s="177" t="s">
        <v>485</v>
      </c>
      <c r="I73" s="160"/>
      <c r="J73" s="178" t="s">
        <v>486</v>
      </c>
      <c r="K73" s="159"/>
      <c r="M73" s="162"/>
    </row>
    <row r="74" spans="2:13" ht="9" customHeight="1">
      <c r="B74" s="157"/>
      <c r="C74" s="157"/>
      <c r="D74" s="157"/>
      <c r="E74" s="157"/>
      <c r="F74" s="157"/>
      <c r="G74" s="157"/>
      <c r="H74" s="160"/>
      <c r="I74" s="160"/>
      <c r="J74" s="161"/>
      <c r="K74" s="159"/>
      <c r="M74" s="162"/>
    </row>
    <row r="75" spans="2:13">
      <c r="B75" s="163">
        <v>1</v>
      </c>
      <c r="C75" s="163"/>
      <c r="D75" s="164" t="s">
        <v>1139</v>
      </c>
      <c r="E75" s="164"/>
      <c r="F75" s="179">
        <v>18</v>
      </c>
      <c r="G75" s="164"/>
      <c r="H75" s="182">
        <f>+'P&amp;L14'!F7</f>
        <v>966210</v>
      </c>
      <c r="I75" s="165"/>
      <c r="J75" s="165">
        <f>+'P&amp;L14'!G7</f>
        <v>147975165</v>
      </c>
      <c r="K75" s="159"/>
      <c r="M75" s="162"/>
    </row>
    <row r="76" spans="2:13">
      <c r="B76" s="163">
        <v>2</v>
      </c>
      <c r="C76" s="163"/>
      <c r="D76" s="166" t="s">
        <v>0</v>
      </c>
      <c r="E76" s="166"/>
      <c r="F76" s="179">
        <v>19</v>
      </c>
      <c r="G76" s="164"/>
      <c r="H76" s="182">
        <f>+'P&amp;L14'!F8</f>
        <v>0</v>
      </c>
      <c r="I76" s="165"/>
      <c r="J76" s="165">
        <f>+'P&amp;L14'!G8</f>
        <v>0</v>
      </c>
      <c r="K76" s="159"/>
      <c r="M76" s="162"/>
    </row>
    <row r="77" spans="2:13">
      <c r="B77" s="163">
        <v>3</v>
      </c>
      <c r="C77" s="163"/>
      <c r="D77" s="166" t="s">
        <v>1010</v>
      </c>
      <c r="E77" s="166"/>
      <c r="F77" s="180"/>
      <c r="G77" s="167"/>
      <c r="H77" s="182">
        <f>+'P&amp;L14'!F9</f>
        <v>0</v>
      </c>
      <c r="I77" s="165"/>
      <c r="J77" s="165">
        <f>+'P&amp;L14'!G9</f>
        <v>0</v>
      </c>
      <c r="K77" s="159"/>
      <c r="M77" s="162"/>
    </row>
    <row r="78" spans="2:13">
      <c r="B78" s="163">
        <v>4</v>
      </c>
      <c r="C78" s="163"/>
      <c r="D78" s="166" t="s">
        <v>1</v>
      </c>
      <c r="E78" s="166"/>
      <c r="F78" s="180"/>
      <c r="G78" s="168"/>
      <c r="H78" s="182">
        <f>+'P&amp;L14'!F10</f>
        <v>0</v>
      </c>
      <c r="I78" s="165"/>
      <c r="J78" s="165">
        <f>+'P&amp;L14'!G10</f>
        <v>0</v>
      </c>
      <c r="K78" s="159"/>
      <c r="M78" s="162"/>
    </row>
    <row r="79" spans="2:13">
      <c r="B79" s="163">
        <v>5</v>
      </c>
      <c r="C79" s="163"/>
      <c r="D79" s="166" t="s">
        <v>2</v>
      </c>
      <c r="E79" s="166"/>
      <c r="F79" s="180">
        <v>20</v>
      </c>
      <c r="G79" s="168"/>
      <c r="H79" s="182">
        <f>+'P&amp;L14'!F11</f>
        <v>-819484</v>
      </c>
      <c r="I79" s="165"/>
      <c r="J79" s="165">
        <f>+'P&amp;L14'!G11</f>
        <v>-101307348</v>
      </c>
      <c r="K79" s="159"/>
      <c r="M79" s="162"/>
    </row>
    <row r="80" spans="2:13">
      <c r="B80" s="163">
        <v>6</v>
      </c>
      <c r="C80" s="163"/>
      <c r="D80" s="166" t="s">
        <v>3</v>
      </c>
      <c r="E80" s="166"/>
      <c r="F80" s="180">
        <v>21</v>
      </c>
      <c r="G80" s="168"/>
      <c r="H80" s="182">
        <f>+'P&amp;L14'!F12</f>
        <v>-779738</v>
      </c>
      <c r="I80" s="165"/>
      <c r="J80" s="165">
        <f>+'P&amp;L14'!G12</f>
        <v>-1690152</v>
      </c>
      <c r="K80" s="159"/>
      <c r="M80" s="162"/>
    </row>
    <row r="81" spans="2:13">
      <c r="B81" s="163">
        <v>7</v>
      </c>
      <c r="C81" s="163"/>
      <c r="D81" s="164" t="s">
        <v>4</v>
      </c>
      <c r="E81" s="164"/>
      <c r="F81" s="179">
        <v>22</v>
      </c>
      <c r="G81" s="169"/>
      <c r="H81" s="165">
        <f>SUM(H82:H84)</f>
        <v>-1428408</v>
      </c>
      <c r="I81" s="165"/>
      <c r="J81" s="165">
        <f>SUM(J82:J84)</f>
        <v>-1453095</v>
      </c>
      <c r="K81" s="159"/>
      <c r="M81" s="162"/>
    </row>
    <row r="82" spans="2:13">
      <c r="B82" s="944" t="s">
        <v>1078</v>
      </c>
      <c r="C82" s="170"/>
      <c r="D82" s="171" t="s">
        <v>191</v>
      </c>
      <c r="E82" s="171"/>
      <c r="F82" s="180"/>
      <c r="G82" s="168"/>
      <c r="H82" s="183">
        <f>+'P&amp;L14'!F14</f>
        <v>-1224000</v>
      </c>
      <c r="I82" s="172"/>
      <c r="J82" s="172">
        <f>+'P&amp;L14'!G14</f>
        <v>-1245154</v>
      </c>
      <c r="K82" s="159"/>
      <c r="M82" s="162"/>
    </row>
    <row r="83" spans="2:13">
      <c r="B83" s="944" t="s">
        <v>1079</v>
      </c>
      <c r="C83" s="170"/>
      <c r="D83" s="171" t="s">
        <v>192</v>
      </c>
      <c r="E83" s="171"/>
      <c r="F83" s="181"/>
      <c r="G83" s="173"/>
      <c r="H83" s="183">
        <f>+'P&amp;L14'!F15</f>
        <v>-204408</v>
      </c>
      <c r="I83" s="172"/>
      <c r="J83" s="172">
        <f>+'P&amp;L14'!G15</f>
        <v>-207941</v>
      </c>
      <c r="K83" s="159"/>
      <c r="M83" s="162"/>
    </row>
    <row r="84" spans="2:13">
      <c r="B84" s="944" t="s">
        <v>1081</v>
      </c>
      <c r="C84" s="170"/>
      <c r="D84" s="190" t="s">
        <v>487</v>
      </c>
      <c r="E84" s="167"/>
      <c r="F84" s="180"/>
      <c r="G84" s="168"/>
      <c r="H84" s="183">
        <f>+'P&amp;L14'!F16</f>
        <v>0</v>
      </c>
      <c r="I84" s="172"/>
      <c r="J84" s="172">
        <f>+'P&amp;L14'!G16</f>
        <v>0</v>
      </c>
      <c r="K84" s="159"/>
      <c r="M84" s="162"/>
    </row>
    <row r="85" spans="2:13">
      <c r="B85" s="163">
        <v>8</v>
      </c>
      <c r="C85" s="163"/>
      <c r="D85" s="166" t="s">
        <v>193</v>
      </c>
      <c r="E85" s="166"/>
      <c r="F85" s="180"/>
      <c r="G85" s="168"/>
      <c r="H85" s="182">
        <f>'P&amp;L14'!F17</f>
        <v>-140763</v>
      </c>
      <c r="I85" s="165"/>
      <c r="J85" s="172">
        <f>+'P&amp;L14'!G17</f>
        <v>-175954</v>
      </c>
      <c r="K85" s="159"/>
      <c r="M85" s="162"/>
    </row>
    <row r="86" spans="2:13">
      <c r="B86" s="163"/>
      <c r="C86" s="163"/>
      <c r="D86" s="166"/>
      <c r="E86" s="166"/>
      <c r="F86" s="180"/>
      <c r="G86" s="168"/>
      <c r="H86" s="188"/>
      <c r="I86" s="165"/>
      <c r="J86" s="189"/>
      <c r="K86" s="159"/>
      <c r="M86" s="162"/>
    </row>
    <row r="87" spans="2:13">
      <c r="B87" s="163">
        <v>9</v>
      </c>
      <c r="C87" s="163"/>
      <c r="D87" s="166" t="s">
        <v>22</v>
      </c>
      <c r="E87" s="166"/>
      <c r="F87" s="180"/>
      <c r="G87" s="168"/>
      <c r="H87" s="165">
        <f>SUM(H75:H81,H85)</f>
        <v>-2202183</v>
      </c>
      <c r="I87" s="165"/>
      <c r="J87" s="165">
        <f>SUM(J75:J81,J85)</f>
        <v>43348616</v>
      </c>
      <c r="K87" s="159"/>
      <c r="M87" s="162"/>
    </row>
    <row r="88" spans="2:13">
      <c r="B88" s="163"/>
      <c r="C88" s="163"/>
      <c r="D88" s="166"/>
      <c r="E88" s="166"/>
      <c r="F88" s="180"/>
      <c r="G88" s="168"/>
      <c r="H88" s="165"/>
      <c r="I88" s="165"/>
      <c r="J88" s="165"/>
      <c r="K88" s="159"/>
      <c r="M88" s="162"/>
    </row>
    <row r="89" spans="2:13">
      <c r="B89" s="163">
        <v>10</v>
      </c>
      <c r="C89" s="163"/>
      <c r="D89" s="167" t="s">
        <v>9</v>
      </c>
      <c r="E89" s="167"/>
      <c r="F89" s="180"/>
      <c r="G89" s="168"/>
      <c r="H89" s="183">
        <f>+'P&amp;L14'!F19</f>
        <v>0</v>
      </c>
      <c r="I89" s="172"/>
      <c r="J89" s="172">
        <f>+'P&amp;L14'!G19</f>
        <v>0</v>
      </c>
      <c r="K89" s="159"/>
      <c r="M89" s="162"/>
    </row>
    <row r="90" spans="2:13">
      <c r="B90" s="163">
        <v>11</v>
      </c>
      <c r="C90" s="163"/>
      <c r="D90" s="167" t="s">
        <v>10</v>
      </c>
      <c r="E90" s="167"/>
      <c r="F90" s="180"/>
      <c r="G90" s="168"/>
      <c r="H90" s="184">
        <f>+'P&amp;L14'!F20</f>
        <v>0</v>
      </c>
      <c r="I90" s="172"/>
      <c r="J90" s="185">
        <f>+'P&amp;L14'!G20</f>
        <v>0</v>
      </c>
      <c r="K90" s="159"/>
      <c r="M90" s="162"/>
    </row>
    <row r="91" spans="2:13">
      <c r="B91" s="163">
        <v>12</v>
      </c>
      <c r="C91" s="163"/>
      <c r="D91" s="166" t="s">
        <v>11</v>
      </c>
      <c r="E91" s="166"/>
      <c r="F91" s="180">
        <v>23</v>
      </c>
      <c r="G91" s="168"/>
      <c r="H91" s="165">
        <f>SUM(H92:H95)</f>
        <v>312163.68</v>
      </c>
      <c r="I91" s="165"/>
      <c r="J91" s="165">
        <f>SUM(J92:J95)</f>
        <v>1519</v>
      </c>
      <c r="K91" s="159"/>
      <c r="M91" s="162"/>
    </row>
    <row r="92" spans="2:13">
      <c r="B92" s="945" t="s">
        <v>5</v>
      </c>
      <c r="C92" s="163"/>
      <c r="D92" s="167" t="s">
        <v>1009</v>
      </c>
      <c r="E92" s="167"/>
      <c r="F92" s="180"/>
      <c r="G92" s="168"/>
      <c r="H92" s="183">
        <f>+'P&amp;L14'!F22</f>
        <v>0</v>
      </c>
      <c r="I92" s="172"/>
      <c r="J92" s="172">
        <f>+'P&amp;L14'!G22</f>
        <v>0</v>
      </c>
      <c r="K92" s="159"/>
      <c r="M92" s="162"/>
    </row>
    <row r="93" spans="2:13">
      <c r="B93" s="945" t="s">
        <v>6</v>
      </c>
      <c r="C93" s="163"/>
      <c r="D93" s="167" t="s">
        <v>12</v>
      </c>
      <c r="E93" s="167"/>
      <c r="F93" s="180"/>
      <c r="G93" s="168"/>
      <c r="H93" s="183">
        <f>+'P&amp;L14'!F23</f>
        <v>108904.68</v>
      </c>
      <c r="I93" s="172"/>
      <c r="J93" s="172">
        <f>+'P&amp;L14'!G23</f>
        <v>214</v>
      </c>
      <c r="K93" s="159"/>
      <c r="M93" s="162"/>
    </row>
    <row r="94" spans="2:13">
      <c r="B94" s="945" t="s">
        <v>7</v>
      </c>
      <c r="C94" s="163"/>
      <c r="D94" s="167" t="s">
        <v>13</v>
      </c>
      <c r="E94" s="167"/>
      <c r="F94" s="180"/>
      <c r="G94" s="168"/>
      <c r="H94" s="183">
        <f>+'P&amp;L14'!F24</f>
        <v>203259</v>
      </c>
      <c r="I94" s="172"/>
      <c r="J94" s="172">
        <f>+'P&amp;L14'!G24</f>
        <v>1305</v>
      </c>
      <c r="K94" s="159"/>
      <c r="M94" s="162"/>
    </row>
    <row r="95" spans="2:13">
      <c r="B95" s="945" t="s">
        <v>8</v>
      </c>
      <c r="C95" s="163"/>
      <c r="D95" s="167" t="s">
        <v>14</v>
      </c>
      <c r="E95" s="167"/>
      <c r="F95" s="180"/>
      <c r="G95" s="168"/>
      <c r="H95" s="184">
        <f>+'P&amp;L14'!F25</f>
        <v>0</v>
      </c>
      <c r="I95" s="172"/>
      <c r="J95" s="186">
        <f>+'P&amp;L14'!G25</f>
        <v>0</v>
      </c>
      <c r="K95" s="159"/>
      <c r="M95" s="162"/>
    </row>
    <row r="96" spans="2:13">
      <c r="B96" s="163">
        <v>13</v>
      </c>
      <c r="C96" s="163"/>
      <c r="D96" s="166" t="s">
        <v>20</v>
      </c>
      <c r="E96" s="166"/>
      <c r="F96" s="180"/>
      <c r="G96" s="168"/>
      <c r="H96" s="165">
        <f>SUM(H89:H91)</f>
        <v>312163.68</v>
      </c>
      <c r="I96" s="165"/>
      <c r="J96" s="165">
        <f>SUM(J89:J91)</f>
        <v>1519</v>
      </c>
      <c r="K96" s="159"/>
      <c r="M96" s="162"/>
    </row>
    <row r="97" spans="2:13">
      <c r="B97" s="163"/>
      <c r="C97" s="163"/>
      <c r="D97" s="175"/>
      <c r="E97" s="175"/>
      <c r="F97" s="180"/>
      <c r="G97" s="168"/>
      <c r="H97" s="186"/>
      <c r="I97" s="172"/>
      <c r="J97" s="186"/>
      <c r="K97" s="159"/>
      <c r="M97" s="162"/>
    </row>
    <row r="98" spans="2:13">
      <c r="B98" s="163">
        <v>14</v>
      </c>
      <c r="C98" s="163"/>
      <c r="D98" s="166" t="s">
        <v>15</v>
      </c>
      <c r="E98" s="166"/>
      <c r="F98" s="180"/>
      <c r="G98" s="168"/>
      <c r="H98" s="165">
        <f>H87+H96</f>
        <v>-1890019.32</v>
      </c>
      <c r="I98" s="165"/>
      <c r="J98" s="165">
        <f>J87+J96</f>
        <v>43350135</v>
      </c>
      <c r="K98" s="159"/>
      <c r="M98" s="162"/>
    </row>
    <row r="99" spans="2:13">
      <c r="B99" s="163"/>
      <c r="C99" s="163"/>
      <c r="D99" s="166"/>
      <c r="E99" s="166"/>
      <c r="F99" s="180"/>
      <c r="G99" s="168"/>
      <c r="H99" s="165"/>
      <c r="I99" s="165"/>
      <c r="J99" s="165"/>
      <c r="K99" s="159"/>
      <c r="M99" s="162"/>
    </row>
    <row r="100" spans="2:13">
      <c r="B100" s="163">
        <v>15</v>
      </c>
      <c r="C100" s="163"/>
      <c r="D100" s="167" t="s">
        <v>16</v>
      </c>
      <c r="E100" s="167"/>
      <c r="F100" s="412">
        <v>24</v>
      </c>
      <c r="G100" s="168"/>
      <c r="H100" s="172">
        <f>'P&amp;L14'!F29</f>
        <v>0</v>
      </c>
      <c r="I100" s="172"/>
      <c r="J100" s="172">
        <f>'P&amp;L14'!G29</f>
        <v>-4272902.1000000006</v>
      </c>
      <c r="K100" s="159"/>
      <c r="M100" s="162"/>
    </row>
    <row r="101" spans="2:13">
      <c r="B101" s="163"/>
      <c r="C101" s="163"/>
      <c r="D101" s="167"/>
      <c r="E101" s="167"/>
      <c r="F101" s="180"/>
      <c r="G101" s="168"/>
      <c r="H101" s="172"/>
      <c r="I101" s="172"/>
      <c r="J101" s="172"/>
      <c r="K101" s="159"/>
      <c r="M101" s="162"/>
    </row>
    <row r="102" spans="2:13" ht="14.4" thickBot="1">
      <c r="B102" s="176">
        <v>16</v>
      </c>
      <c r="C102" s="163"/>
      <c r="D102" s="166" t="s">
        <v>17</v>
      </c>
      <c r="E102" s="166"/>
      <c r="F102" s="180"/>
      <c r="G102" s="168"/>
      <c r="H102" s="187">
        <f>+H98+H100</f>
        <v>-1890019.32</v>
      </c>
      <c r="I102" s="165"/>
      <c r="J102" s="187">
        <f>+J98+J100</f>
        <v>39077232.899999999</v>
      </c>
      <c r="K102" s="159"/>
      <c r="M102" s="162"/>
    </row>
    <row r="103" spans="2:13" ht="14.4" thickTop="1">
      <c r="B103" s="176"/>
      <c r="C103" s="163"/>
      <c r="D103" s="167" t="s">
        <v>18</v>
      </c>
      <c r="E103" s="167"/>
      <c r="F103" s="180"/>
      <c r="G103" s="168"/>
      <c r="H103" s="172"/>
      <c r="I103" s="172"/>
      <c r="J103" s="174"/>
      <c r="K103" s="159"/>
      <c r="M103" s="162"/>
    </row>
    <row r="104" spans="2:13">
      <c r="B104" s="176"/>
      <c r="C104" s="163"/>
      <c r="D104" s="167" t="s">
        <v>19</v>
      </c>
      <c r="E104" s="167"/>
      <c r="F104" s="180"/>
      <c r="G104" s="168"/>
      <c r="H104" s="172"/>
      <c r="I104" s="172"/>
      <c r="J104" s="174"/>
      <c r="K104" s="159"/>
      <c r="M104" s="162"/>
    </row>
    <row r="105" spans="2:13">
      <c r="B105" s="176"/>
      <c r="C105" s="163"/>
      <c r="D105" s="166"/>
      <c r="E105" s="166"/>
      <c r="F105" s="168"/>
      <c r="G105" s="168"/>
      <c r="H105" s="172"/>
      <c r="I105" s="172"/>
      <c r="J105" s="174"/>
      <c r="K105" s="159"/>
      <c r="M105" s="162"/>
    </row>
    <row r="106" spans="2:13">
      <c r="B106" s="163"/>
      <c r="C106" s="163"/>
      <c r="D106" s="168"/>
      <c r="E106" s="168"/>
      <c r="F106" s="169"/>
      <c r="G106" s="169"/>
      <c r="H106" s="413"/>
      <c r="I106" s="413"/>
      <c r="J106" s="163"/>
      <c r="K106" s="159"/>
      <c r="M106" s="162"/>
    </row>
    <row r="107" spans="2:13">
      <c r="K107" s="159"/>
      <c r="M107" s="162"/>
    </row>
    <row r="109" spans="2:13">
      <c r="H109" s="406"/>
      <c r="I109" s="406"/>
      <c r="J109" s="406"/>
    </row>
    <row r="110" spans="2:13">
      <c r="H110" s="193"/>
      <c r="I110" s="193"/>
    </row>
  </sheetData>
  <mergeCells count="10">
    <mergeCell ref="K2:K3"/>
    <mergeCell ref="L2:L3"/>
    <mergeCell ref="N2:O2"/>
    <mergeCell ref="B72:B73"/>
    <mergeCell ref="D72:D73"/>
    <mergeCell ref="F72:F73"/>
    <mergeCell ref="H72:J72"/>
    <mergeCell ref="B2:B3"/>
    <mergeCell ref="D2:D3"/>
    <mergeCell ref="H2:J2"/>
  </mergeCells>
  <phoneticPr fontId="86" type="noConversion"/>
  <printOptions horizontalCentered="1"/>
  <pageMargins left="1.0900000000000001" right="1.4" top="1" bottom="1" header="0.5" footer="0.5"/>
  <pageSetup paperSize="9" scale="83" fitToWidth="2" orientation="portrait" horizontalDpi="4294967292" verticalDpi="300" r:id="rId1"/>
  <headerFooter alignWithMargins="0">
    <oddFooter>&amp;L&amp;D&amp;C&amp;F&amp;A&amp;R&amp;P</oddFooter>
  </headerFooter>
  <rowBreaks count="1" manualBreakCount="1">
    <brk id="51" max="16383" man="1"/>
  </rowBreaks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B1:H78"/>
  <sheetViews>
    <sheetView showGridLines="0" topLeftCell="A46" workbookViewId="0">
      <selection activeCell="N56" sqref="N56"/>
    </sheetView>
  </sheetViews>
  <sheetFormatPr defaultColWidth="9.109375" defaultRowHeight="13.8" outlineLevelRow="1"/>
  <cols>
    <col min="1" max="1" width="3.88671875" style="191" customWidth="1"/>
    <col min="2" max="3" width="3" style="191" customWidth="1"/>
    <col min="4" max="4" width="49.5546875" style="191" customWidth="1"/>
    <col min="5" max="5" width="2.109375" style="192" customWidth="1"/>
    <col min="6" max="6" width="15.6640625" style="193" customWidth="1"/>
    <col min="7" max="7" width="1.88671875" style="172" customWidth="1"/>
    <col min="8" max="8" width="14.88671875" style="193" customWidth="1"/>
    <col min="9" max="10" width="3.6640625" style="191" customWidth="1"/>
    <col min="11" max="16384" width="9.109375" style="191"/>
  </cols>
  <sheetData>
    <row r="1" spans="2:8" ht="15" hidden="1" customHeight="1" outlineLevel="1"/>
    <row r="2" spans="2:8" hidden="1" outlineLevel="1">
      <c r="D2" s="194" t="s">
        <v>115</v>
      </c>
    </row>
    <row r="3" spans="2:8" ht="15" hidden="1" customHeight="1" outlineLevel="1" thickBot="1"/>
    <row r="4" spans="2:8" s="202" customFormat="1" ht="28.2" hidden="1" outlineLevel="1" thickBot="1">
      <c r="B4" s="195"/>
      <c r="C4" s="196"/>
      <c r="D4" s="197" t="s">
        <v>89</v>
      </c>
      <c r="E4" s="198"/>
      <c r="F4" s="199" t="s">
        <v>108</v>
      </c>
      <c r="G4" s="200"/>
      <c r="H4" s="201" t="s">
        <v>109</v>
      </c>
    </row>
    <row r="5" spans="2:8" ht="15" hidden="1" outlineLevel="1">
      <c r="D5" s="203"/>
    </row>
    <row r="6" spans="2:8" ht="15" hidden="1" customHeight="1" outlineLevel="1">
      <c r="B6" s="204" t="s">
        <v>526</v>
      </c>
      <c r="C6" s="205"/>
      <c r="D6" s="205" t="s">
        <v>90</v>
      </c>
      <c r="F6" s="206"/>
      <c r="H6" s="207"/>
    </row>
    <row r="7" spans="2:8" ht="15" hidden="1" customHeight="1" outlineLevel="1">
      <c r="B7" s="208">
        <v>1</v>
      </c>
      <c r="C7" s="209"/>
      <c r="D7" s="209" t="s">
        <v>91</v>
      </c>
      <c r="F7" s="210"/>
      <c r="H7" s="211"/>
    </row>
    <row r="8" spans="2:8" ht="15" hidden="1" customHeight="1" outlineLevel="1">
      <c r="B8" s="212">
        <v>2</v>
      </c>
      <c r="C8" s="213"/>
      <c r="D8" s="213" t="s">
        <v>92</v>
      </c>
      <c r="F8" s="214" t="e">
        <f>-'[1]P&amp;L08'!E13</f>
        <v>#VALUE!</v>
      </c>
      <c r="H8" s="215"/>
    </row>
    <row r="9" spans="2:8" ht="15" hidden="1" customHeight="1" outlineLevel="1">
      <c r="B9" s="212">
        <v>3</v>
      </c>
      <c r="C9" s="213"/>
      <c r="D9" s="213" t="s">
        <v>93</v>
      </c>
      <c r="F9" s="214"/>
      <c r="H9" s="215"/>
    </row>
    <row r="10" spans="2:8" ht="15" hidden="1" customHeight="1" outlineLevel="1">
      <c r="B10" s="212">
        <v>4</v>
      </c>
      <c r="C10" s="213"/>
      <c r="D10" s="213" t="s">
        <v>110</v>
      </c>
      <c r="F10" s="214" t="e">
        <f>-'[1]P&amp;L08'!E31</f>
        <v>#VALUE!</v>
      </c>
      <c r="H10" s="215"/>
    </row>
    <row r="11" spans="2:8" ht="15" hidden="1" customHeight="1" outlineLevel="1">
      <c r="B11" s="216">
        <v>5</v>
      </c>
      <c r="C11" s="217"/>
      <c r="D11" s="217" t="s">
        <v>111</v>
      </c>
      <c r="F11" s="218"/>
      <c r="H11" s="219"/>
    </row>
    <row r="12" spans="2:8" ht="15" hidden="1" customHeight="1" outlineLevel="1">
      <c r="B12" s="220"/>
      <c r="C12" s="221"/>
      <c r="D12" s="221" t="s">
        <v>95</v>
      </c>
      <c r="F12" s="222" t="e">
        <f>SUM(F7:F11)</f>
        <v>#VALUE!</v>
      </c>
      <c r="H12" s="223">
        <f>SUM(H7:H11)</f>
        <v>0</v>
      </c>
    </row>
    <row r="13" spans="2:8" ht="15" hidden="1" customHeight="1" outlineLevel="1">
      <c r="B13" s="203"/>
      <c r="C13" s="203"/>
      <c r="D13" s="203"/>
    </row>
    <row r="14" spans="2:8" ht="15" hidden="1" customHeight="1" outlineLevel="1">
      <c r="B14" s="204" t="s">
        <v>633</v>
      </c>
      <c r="C14" s="205"/>
      <c r="D14" s="205" t="s">
        <v>112</v>
      </c>
      <c r="F14" s="206"/>
      <c r="H14" s="207"/>
    </row>
    <row r="15" spans="2:8" ht="15" hidden="1" customHeight="1" outlineLevel="1">
      <c r="B15" s="208">
        <v>1</v>
      </c>
      <c r="C15" s="209"/>
      <c r="D15" s="209" t="s">
        <v>96</v>
      </c>
      <c r="F15" s="210">
        <v>0</v>
      </c>
      <c r="H15" s="211"/>
    </row>
    <row r="16" spans="2:8" ht="15" hidden="1" customHeight="1" outlineLevel="1">
      <c r="B16" s="212">
        <v>2</v>
      </c>
      <c r="C16" s="213"/>
      <c r="D16" s="213" t="s">
        <v>97</v>
      </c>
      <c r="F16" s="214"/>
      <c r="H16" s="215"/>
    </row>
    <row r="17" spans="2:8" ht="15" hidden="1" customHeight="1" outlineLevel="1">
      <c r="B17" s="212">
        <v>3</v>
      </c>
      <c r="C17" s="213"/>
      <c r="D17" s="213" t="s">
        <v>98</v>
      </c>
      <c r="F17" s="214" t="str">
        <f>+'[1]P&amp;L08'!K18</f>
        <v xml:space="preserve">      Sales of fixed assets</v>
      </c>
      <c r="H17" s="215"/>
    </row>
    <row r="18" spans="2:8" ht="15" hidden="1" customHeight="1" outlineLevel="1">
      <c r="B18" s="212">
        <v>4</v>
      </c>
      <c r="C18" s="213"/>
      <c r="D18" s="213" t="s">
        <v>182</v>
      </c>
      <c r="F18" s="214">
        <v>0</v>
      </c>
      <c r="H18" s="215"/>
    </row>
    <row r="19" spans="2:8" ht="15" hidden="1" customHeight="1" outlineLevel="1">
      <c r="B19" s="216">
        <v>5</v>
      </c>
      <c r="C19" s="217"/>
      <c r="D19" s="217" t="s">
        <v>99</v>
      </c>
      <c r="F19" s="218">
        <v>0</v>
      </c>
      <c r="H19" s="219"/>
    </row>
    <row r="20" spans="2:8" ht="15" hidden="1" customHeight="1" outlineLevel="1">
      <c r="B20" s="220"/>
      <c r="C20" s="221"/>
      <c r="D20" s="221" t="s">
        <v>100</v>
      </c>
      <c r="F20" s="222">
        <f>SUM(F15:F19)</f>
        <v>0</v>
      </c>
      <c r="H20" s="223">
        <f>SUM(H15:H19)</f>
        <v>0</v>
      </c>
    </row>
    <row r="21" spans="2:8" ht="15" hidden="1" customHeight="1" outlineLevel="1">
      <c r="B21" s="203"/>
      <c r="C21" s="203"/>
      <c r="D21" s="203"/>
    </row>
    <row r="22" spans="2:8" ht="15" hidden="1" customHeight="1" outlineLevel="1">
      <c r="B22" s="204" t="s">
        <v>630</v>
      </c>
      <c r="C22" s="205"/>
      <c r="D22" s="205" t="s">
        <v>113</v>
      </c>
      <c r="F22" s="206"/>
      <c r="H22" s="207"/>
    </row>
    <row r="23" spans="2:8" ht="15" hidden="1" customHeight="1" outlineLevel="1">
      <c r="B23" s="208">
        <v>1</v>
      </c>
      <c r="C23" s="209"/>
      <c r="D23" s="209" t="s">
        <v>114</v>
      </c>
      <c r="F23" s="210">
        <v>0</v>
      </c>
      <c r="H23" s="211"/>
    </row>
    <row r="24" spans="2:8" ht="15" hidden="1" customHeight="1" outlineLevel="1">
      <c r="B24" s="212">
        <v>2</v>
      </c>
      <c r="C24" s="213"/>
      <c r="D24" s="213" t="s">
        <v>101</v>
      </c>
      <c r="F24" s="214">
        <v>0</v>
      </c>
      <c r="H24" s="215"/>
    </row>
    <row r="25" spans="2:8" ht="15" hidden="1" customHeight="1" outlineLevel="1">
      <c r="B25" s="212">
        <v>3</v>
      </c>
      <c r="C25" s="213"/>
      <c r="D25" s="213" t="s">
        <v>102</v>
      </c>
      <c r="F25" s="214">
        <v>0</v>
      </c>
      <c r="H25" s="215"/>
    </row>
    <row r="26" spans="2:8" ht="15" hidden="1" customHeight="1" outlineLevel="1">
      <c r="B26" s="216">
        <v>4</v>
      </c>
      <c r="C26" s="217"/>
      <c r="D26" s="217" t="s">
        <v>103</v>
      </c>
      <c r="F26" s="218">
        <v>0</v>
      </c>
      <c r="H26" s="219"/>
    </row>
    <row r="27" spans="2:8" ht="15" hidden="1" customHeight="1" outlineLevel="1">
      <c r="B27" s="220"/>
      <c r="C27" s="221"/>
      <c r="D27" s="221" t="s">
        <v>104</v>
      </c>
      <c r="F27" s="222">
        <f>SUM(F23:F26)</f>
        <v>0</v>
      </c>
      <c r="H27" s="223">
        <f>SUM(H20,H23:H26)</f>
        <v>0</v>
      </c>
    </row>
    <row r="28" spans="2:8" ht="15" hidden="1" customHeight="1" outlineLevel="1">
      <c r="B28" s="203"/>
      <c r="C28" s="203"/>
      <c r="D28" s="203"/>
    </row>
    <row r="29" spans="2:8" ht="15" hidden="1" customHeight="1" outlineLevel="1">
      <c r="B29" s="220"/>
      <c r="C29" s="221"/>
      <c r="D29" s="224" t="s">
        <v>105</v>
      </c>
      <c r="F29" s="222">
        <f>+[1]B_Sheet08!H43</f>
        <v>1188574.8</v>
      </c>
      <c r="H29" s="223"/>
    </row>
    <row r="30" spans="2:8" ht="15" hidden="1" customHeight="1" outlineLevel="1">
      <c r="B30" s="220"/>
      <c r="C30" s="221"/>
      <c r="D30" s="224" t="s">
        <v>106</v>
      </c>
      <c r="F30" s="222">
        <f>+[1]B_Sheet08!G43</f>
        <v>1414948.9791999997</v>
      </c>
      <c r="H30" s="223"/>
    </row>
    <row r="31" spans="2:8" s="227" customFormat="1" ht="15" hidden="1" customHeight="1" outlineLevel="1">
      <c r="B31" s="225"/>
      <c r="C31" s="225"/>
      <c r="D31" s="226"/>
      <c r="F31" s="228"/>
      <c r="G31" s="172"/>
      <c r="H31" s="228"/>
    </row>
    <row r="32" spans="2:8" ht="16.5" hidden="1" customHeight="1" outlineLevel="1">
      <c r="B32" s="229"/>
      <c r="C32" s="230"/>
      <c r="D32" s="231" t="s">
        <v>107</v>
      </c>
      <c r="F32" s="232" t="e">
        <f>SUM(F29:F30,F27,F20,F12)</f>
        <v>#VALUE!</v>
      </c>
      <c r="G32" s="165"/>
      <c r="H32" s="233">
        <f>SUM(H29:H30,H27,H20,H12)</f>
        <v>0</v>
      </c>
    </row>
    <row r="33" spans="2:8" ht="15" hidden="1" outlineLevel="1">
      <c r="D33" s="203"/>
    </row>
    <row r="34" spans="2:8" ht="15" collapsed="1">
      <c r="D34" s="203"/>
    </row>
    <row r="35" spans="2:8" s="234" customFormat="1">
      <c r="D35" s="922" t="s">
        <v>94</v>
      </c>
    </row>
    <row r="36" spans="2:8" s="234" customFormat="1"/>
    <row r="37" spans="2:8" s="234" customFormat="1" ht="27.6">
      <c r="D37" s="923" t="s">
        <v>89</v>
      </c>
      <c r="F37" s="924" t="s">
        <v>108</v>
      </c>
      <c r="G37" s="925"/>
      <c r="H37" s="924" t="s">
        <v>109</v>
      </c>
    </row>
    <row r="38" spans="2:8" s="234" customFormat="1"/>
    <row r="39" spans="2:8" s="234" customFormat="1">
      <c r="B39" s="234" t="s">
        <v>526</v>
      </c>
      <c r="D39" s="877" t="s">
        <v>122</v>
      </c>
    </row>
    <row r="40" spans="2:8" s="234" customFormat="1">
      <c r="D40" s="234" t="s">
        <v>123</v>
      </c>
      <c r="F40" s="949">
        <f>+'Fluksi '!E40</f>
        <v>-1890019.32</v>
      </c>
      <c r="G40" s="949"/>
      <c r="H40" s="949">
        <f>+'Fluksi '!G40</f>
        <v>43350135</v>
      </c>
    </row>
    <row r="41" spans="2:8" s="234" customFormat="1">
      <c r="D41" s="234" t="s">
        <v>124</v>
      </c>
      <c r="F41" s="949">
        <f>+'Fluksi '!E41</f>
        <v>0</v>
      </c>
      <c r="G41" s="949"/>
      <c r="H41" s="949">
        <f>+'Fluksi '!G41</f>
        <v>0</v>
      </c>
    </row>
    <row r="42" spans="2:8" s="234" customFormat="1">
      <c r="D42" s="234" t="s">
        <v>129</v>
      </c>
      <c r="F42" s="949">
        <f>+'Fluksi '!E42</f>
        <v>0</v>
      </c>
      <c r="G42" s="949"/>
      <c r="H42" s="949">
        <f>+'Fluksi '!G42</f>
        <v>0</v>
      </c>
    </row>
    <row r="43" spans="2:8" s="234" customFormat="1">
      <c r="D43" s="234" t="s">
        <v>130</v>
      </c>
      <c r="F43" s="949">
        <f>+'Fluksi '!E43</f>
        <v>0</v>
      </c>
      <c r="G43" s="949"/>
      <c r="H43" s="949">
        <f>+'Fluksi '!G43</f>
        <v>0</v>
      </c>
    </row>
    <row r="44" spans="2:8" s="234" customFormat="1">
      <c r="D44" s="234" t="s">
        <v>131</v>
      </c>
      <c r="F44" s="949">
        <f>+'Fluksi '!E44</f>
        <v>0</v>
      </c>
      <c r="G44" s="949"/>
      <c r="H44" s="949">
        <f>+'Fluksi '!G44</f>
        <v>0</v>
      </c>
    </row>
    <row r="45" spans="2:8" s="234" customFormat="1">
      <c r="D45" s="234" t="s">
        <v>132</v>
      </c>
      <c r="F45" s="949">
        <f>+'Fluksi '!E45</f>
        <v>0</v>
      </c>
      <c r="G45" s="949"/>
      <c r="H45" s="949">
        <f>+'Fluksi '!G45</f>
        <v>0</v>
      </c>
    </row>
    <row r="46" spans="2:8" s="234" customFormat="1" ht="27.6">
      <c r="B46" s="234" t="s">
        <v>633</v>
      </c>
      <c r="D46" s="947" t="s">
        <v>183</v>
      </c>
      <c r="F46" s="949">
        <f>+'Fluksi '!E46</f>
        <v>-710549</v>
      </c>
      <c r="G46" s="949"/>
      <c r="H46" s="949">
        <f>+'Fluksi '!G46</f>
        <v>-238092.20000000019</v>
      </c>
    </row>
    <row r="47" spans="2:8" s="234" customFormat="1">
      <c r="B47" s="234" t="s">
        <v>630</v>
      </c>
      <c r="D47" s="234" t="s">
        <v>125</v>
      </c>
      <c r="F47" s="949">
        <f>+'Fluksi '!E47</f>
        <v>-426982</v>
      </c>
      <c r="G47" s="949"/>
      <c r="H47" s="949">
        <f>+'Fluksi '!G47</f>
        <v>3289988</v>
      </c>
    </row>
    <row r="48" spans="2:8" s="234" customFormat="1">
      <c r="B48" s="234" t="s">
        <v>740</v>
      </c>
      <c r="D48" s="234" t="s">
        <v>133</v>
      </c>
      <c r="F48" s="950">
        <f>+'Fluksi '!E48</f>
        <v>7119213.900000006</v>
      </c>
      <c r="G48" s="949"/>
      <c r="H48" s="950">
        <f>+'Fluksi '!G48</f>
        <v>-121022434.90000001</v>
      </c>
    </row>
    <row r="49" spans="2:8" s="234" customFormat="1">
      <c r="B49" s="234" t="s">
        <v>184</v>
      </c>
      <c r="D49" s="877" t="s">
        <v>126</v>
      </c>
      <c r="E49" s="877"/>
      <c r="F49" s="951">
        <f>+'Fluksi '!E49</f>
        <v>4091663.5800000057</v>
      </c>
      <c r="G49" s="949"/>
      <c r="H49" s="951">
        <f>+'Fluksi '!G49</f>
        <v>-74620404.100000009</v>
      </c>
    </row>
    <row r="50" spans="2:8" s="234" customFormat="1">
      <c r="B50" s="234" t="s">
        <v>185</v>
      </c>
      <c r="D50" s="234" t="s">
        <v>110</v>
      </c>
      <c r="F50" s="949">
        <f>+'Fluksi '!E50</f>
        <v>0</v>
      </c>
      <c r="G50" s="949"/>
      <c r="H50" s="949">
        <f>+'Fluksi '!G50</f>
        <v>0</v>
      </c>
    </row>
    <row r="51" spans="2:8" s="234" customFormat="1">
      <c r="B51" s="234" t="s">
        <v>186</v>
      </c>
      <c r="D51" s="234" t="s">
        <v>127</v>
      </c>
      <c r="F51" s="949">
        <f>+'Fluksi '!E51</f>
        <v>0</v>
      </c>
      <c r="G51" s="949"/>
      <c r="H51" s="949">
        <f>+'Fluksi '!G51</f>
        <v>-4272902.1000000006</v>
      </c>
    </row>
    <row r="52" spans="2:8" s="234" customFormat="1">
      <c r="D52" s="877" t="s">
        <v>128</v>
      </c>
      <c r="F52" s="952">
        <f>SUM(F49:F51)</f>
        <v>4091663.5800000057</v>
      </c>
      <c r="G52" s="949"/>
      <c r="H52" s="953">
        <f>SUM(H40:H51)</f>
        <v>-153513710.30000001</v>
      </c>
    </row>
    <row r="53" spans="2:8" s="234" customFormat="1">
      <c r="F53" s="949"/>
      <c r="G53" s="949"/>
      <c r="H53" s="949"/>
    </row>
    <row r="54" spans="2:8" s="234" customFormat="1">
      <c r="B54" s="234" t="s">
        <v>187</v>
      </c>
      <c r="D54" s="877" t="s">
        <v>134</v>
      </c>
      <c r="F54" s="949"/>
      <c r="G54" s="949"/>
      <c r="H54" s="949"/>
    </row>
    <row r="55" spans="2:8" s="234" customFormat="1">
      <c r="D55" s="930" t="s">
        <v>135</v>
      </c>
      <c r="F55" s="949">
        <f>+'Fluksi '!E55</f>
        <v>-3301720</v>
      </c>
      <c r="G55" s="949"/>
      <c r="H55" s="949">
        <f>+'Fluksi '!G55</f>
        <v>5179247</v>
      </c>
    </row>
    <row r="56" spans="2:8" s="234" customFormat="1">
      <c r="D56" s="234" t="s">
        <v>97</v>
      </c>
      <c r="F56" s="949">
        <f>+'Fluksi '!E56</f>
        <v>-1018689</v>
      </c>
      <c r="G56" s="949"/>
      <c r="H56" s="949">
        <f>+'Fluksi '!G56</f>
        <v>75378553</v>
      </c>
    </row>
    <row r="57" spans="2:8" s="234" customFormat="1">
      <c r="D57" s="234" t="s">
        <v>136</v>
      </c>
      <c r="F57" s="949">
        <f>+'Fluksi '!E57</f>
        <v>0</v>
      </c>
      <c r="G57" s="949"/>
      <c r="H57" s="949">
        <f>+'Fluksi '!G57</f>
        <v>0</v>
      </c>
    </row>
    <row r="58" spans="2:8" s="234" customFormat="1">
      <c r="B58" s="234" t="s">
        <v>760</v>
      </c>
      <c r="D58" s="234" t="s">
        <v>137</v>
      </c>
      <c r="F58" s="949">
        <f>+'Fluksi '!E58</f>
        <v>0</v>
      </c>
      <c r="G58" s="949"/>
      <c r="H58" s="949">
        <f>+'Fluksi '!G58</f>
        <v>0</v>
      </c>
    </row>
    <row r="59" spans="2:8" s="234" customFormat="1">
      <c r="B59" s="234" t="s">
        <v>188</v>
      </c>
      <c r="D59" s="234" t="s">
        <v>138</v>
      </c>
      <c r="F59" s="949">
        <f>+'Fluksi '!E59</f>
        <v>0</v>
      </c>
      <c r="G59" s="949"/>
      <c r="H59" s="949">
        <f>+'Fluksi '!G59</f>
        <v>0</v>
      </c>
    </row>
    <row r="60" spans="2:8" s="234" customFormat="1">
      <c r="D60" s="877" t="s">
        <v>139</v>
      </c>
      <c r="F60" s="952">
        <f>SUM(F55:F59)</f>
        <v>-4320409</v>
      </c>
      <c r="G60" s="949"/>
      <c r="H60" s="953">
        <f>SUM(H55:H59)</f>
        <v>80557800</v>
      </c>
    </row>
    <row r="61" spans="2:8" s="234" customFormat="1">
      <c r="F61" s="949"/>
      <c r="G61" s="949"/>
      <c r="H61" s="949"/>
    </row>
    <row r="62" spans="2:8" s="234" customFormat="1">
      <c r="B62" s="234" t="s">
        <v>189</v>
      </c>
      <c r="D62" s="877" t="s">
        <v>140</v>
      </c>
      <c r="F62" s="949"/>
      <c r="G62" s="949"/>
      <c r="H62" s="949"/>
    </row>
    <row r="63" spans="2:8" s="234" customFormat="1">
      <c r="D63" s="234" t="s">
        <v>141</v>
      </c>
      <c r="F63" s="949">
        <f>+'Fluksi '!E63</f>
        <v>0</v>
      </c>
      <c r="G63" s="949"/>
      <c r="H63" s="949">
        <f>+'Fluksi '!G63</f>
        <v>0</v>
      </c>
    </row>
    <row r="64" spans="2:8" s="234" customFormat="1">
      <c r="D64" s="234" t="s">
        <v>142</v>
      </c>
      <c r="F64" s="949">
        <f>+'Fluksi '!E64</f>
        <v>0</v>
      </c>
      <c r="G64" s="949"/>
      <c r="H64" s="949">
        <f>+'Fluksi '!G64</f>
        <v>0</v>
      </c>
    </row>
    <row r="65" spans="4:8" s="234" customFormat="1">
      <c r="D65" s="234" t="s">
        <v>143</v>
      </c>
      <c r="F65" s="949">
        <f>+'Fluksi '!E65</f>
        <v>0</v>
      </c>
      <c r="G65" s="949"/>
      <c r="H65" s="949">
        <f>+'Fluksi '!G65</f>
        <v>0</v>
      </c>
    </row>
    <row r="66" spans="4:8" s="234" customFormat="1">
      <c r="D66" s="234" t="s">
        <v>144</v>
      </c>
      <c r="F66" s="949">
        <f>+'Fluksi '!E66</f>
        <v>0</v>
      </c>
      <c r="G66" s="949"/>
      <c r="H66" s="949">
        <f>+'Fluksi '!G66</f>
        <v>0</v>
      </c>
    </row>
    <row r="67" spans="4:8" s="234" customFormat="1">
      <c r="D67" s="877" t="s">
        <v>145</v>
      </c>
      <c r="F67" s="952">
        <f>SUM(F63:F66)</f>
        <v>0</v>
      </c>
      <c r="G67" s="949"/>
      <c r="H67" s="953">
        <f>SUM(H63:H66)</f>
        <v>0</v>
      </c>
    </row>
    <row r="68" spans="4:8" s="234" customFormat="1">
      <c r="F68" s="949"/>
      <c r="G68" s="949"/>
      <c r="H68" s="949"/>
    </row>
    <row r="69" spans="4:8" s="234" customFormat="1">
      <c r="D69" s="234" t="s">
        <v>190</v>
      </c>
      <c r="F69" s="949">
        <f>+F67+F60+F52</f>
        <v>-228745.41999999434</v>
      </c>
      <c r="G69" s="949"/>
      <c r="H69" s="949">
        <f>+'Fluksi '!G69</f>
        <v>1664493.799999997</v>
      </c>
    </row>
    <row r="70" spans="4:8" s="234" customFormat="1">
      <c r="D70" s="234" t="s">
        <v>146</v>
      </c>
      <c r="F70" s="949">
        <f>+H72</f>
        <v>2040302.799999997</v>
      </c>
      <c r="G70" s="949"/>
      <c r="H70" s="949">
        <f>+'Fluksi '!G70</f>
        <v>375809</v>
      </c>
    </row>
    <row r="71" spans="4:8" s="234" customFormat="1">
      <c r="F71" s="949"/>
      <c r="G71" s="949"/>
      <c r="H71" s="949"/>
    </row>
    <row r="72" spans="4:8" s="234" customFormat="1" ht="14.4" thickBot="1">
      <c r="D72" s="877" t="s">
        <v>147</v>
      </c>
      <c r="F72" s="954">
        <f>SUM(F69:F70)</f>
        <v>1811557.3800000027</v>
      </c>
      <c r="G72" s="949"/>
      <c r="H72" s="955">
        <f>SUM(H69:H70)</f>
        <v>2040302.799999997</v>
      </c>
    </row>
    <row r="73" spans="4:8" s="234" customFormat="1" ht="14.4" thickTop="1">
      <c r="F73" s="235"/>
      <c r="G73" s="235"/>
      <c r="H73" s="235">
        <f>+'[7]Fluksi SKK'!F72</f>
        <v>0</v>
      </c>
    </row>
    <row r="74" spans="4:8" s="234" customFormat="1">
      <c r="F74" s="881"/>
      <c r="G74" s="235"/>
      <c r="H74" s="235"/>
    </row>
    <row r="75" spans="4:8" s="234" customFormat="1">
      <c r="F75" s="881"/>
      <c r="G75" s="235"/>
      <c r="H75" s="235"/>
    </row>
    <row r="76" spans="4:8" s="234" customFormat="1">
      <c r="D76" s="234" t="s">
        <v>959</v>
      </c>
      <c r="F76" s="881">
        <f>+B_Sheet14!I8</f>
        <v>1811558</v>
      </c>
      <c r="G76" s="235"/>
      <c r="H76" s="235"/>
    </row>
    <row r="77" spans="4:8" s="234" customFormat="1">
      <c r="F77" s="948">
        <f>+F76-F72</f>
        <v>0.61999999731779099</v>
      </c>
    </row>
    <row r="78" spans="4:8" s="234" customFormat="1">
      <c r="G78" s="236"/>
      <c r="H78" s="236"/>
    </row>
  </sheetData>
  <phoneticPr fontId="86" type="noConversion"/>
  <pageMargins left="0.75" right="0.75" top="1" bottom="1" header="0.5" footer="0.5"/>
  <pageSetup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T92"/>
  <sheetViews>
    <sheetView showGridLines="0" defaultGridColor="0" colorId="12" workbookViewId="0">
      <selection activeCell="E76" sqref="E76"/>
    </sheetView>
  </sheetViews>
  <sheetFormatPr defaultColWidth="9.109375" defaultRowHeight="13.8" outlineLevelRow="1"/>
  <cols>
    <col min="1" max="1" width="2.5546875" style="689" customWidth="1"/>
    <col min="2" max="2" width="2.6640625" style="931" bestFit="1" customWidth="1"/>
    <col min="3" max="3" width="44" style="689" customWidth="1"/>
    <col min="4" max="4" width="2.5546875" style="237" customWidth="1"/>
    <col min="5" max="5" width="16" style="689" bestFit="1" customWidth="1"/>
    <col min="6" max="6" width="12.6640625" style="689" customWidth="1"/>
    <col min="7" max="7" width="11.88671875" style="689" hidden="1" customWidth="1"/>
    <col min="8" max="8" width="11.5546875" style="689" customWidth="1"/>
    <col min="9" max="9" width="14.109375" style="689" customWidth="1"/>
    <col min="10" max="11" width="13.5546875" style="689" customWidth="1"/>
    <col min="12" max="12" width="16.44140625" style="689" customWidth="1"/>
    <col min="13" max="13" width="10.88671875" style="689" hidden="1" customWidth="1"/>
    <col min="14" max="14" width="5.5546875" style="689" hidden="1" customWidth="1"/>
    <col min="15" max="15" width="2.5546875" style="689" customWidth="1"/>
    <col min="16" max="16" width="14" style="689" customWidth="1"/>
    <col min="17" max="17" width="1" style="717" customWidth="1"/>
    <col min="18" max="18" width="14" style="689" customWidth="1"/>
    <col min="19" max="19" width="2.5546875" style="689" customWidth="1"/>
    <col min="20" max="20" width="13.44140625" style="689" bestFit="1" customWidth="1"/>
    <col min="21" max="21" width="2.5546875" style="689" customWidth="1"/>
    <col min="22" max="22" width="12.44140625" style="689" bestFit="1" customWidth="1"/>
    <col min="23" max="23" width="1.44140625" style="689" customWidth="1"/>
    <col min="24" max="25" width="16.33203125" style="689" customWidth="1"/>
    <col min="26" max="26" width="1" style="689" customWidth="1"/>
    <col min="27" max="27" width="25.88671875" style="689" bestFit="1" customWidth="1"/>
    <col min="28" max="28" width="10.6640625" style="689" bestFit="1" customWidth="1"/>
    <col min="29" max="29" width="1.6640625" style="689" customWidth="1"/>
    <col min="30" max="30" width="9.109375" style="689"/>
    <col min="31" max="31" width="1.109375" style="689" customWidth="1"/>
    <col min="32" max="32" width="9.109375" style="689"/>
    <col min="33" max="33" width="1.109375" style="689" customWidth="1"/>
    <col min="34" max="34" width="9.109375" style="689"/>
    <col min="35" max="35" width="1.5546875" style="689" customWidth="1"/>
    <col min="36" max="36" width="9.109375" style="689"/>
    <col min="37" max="37" width="1.44140625" style="689" customWidth="1"/>
    <col min="38" max="16384" width="9.109375" style="689"/>
  </cols>
  <sheetData>
    <row r="1" spans="1:17">
      <c r="A1" s="688"/>
      <c r="Q1" s="689"/>
    </row>
    <row r="2" spans="1:17">
      <c r="A2" s="688"/>
      <c r="Q2" s="689"/>
    </row>
    <row r="3" spans="1:17">
      <c r="A3" s="688"/>
      <c r="B3" s="932"/>
      <c r="C3" s="690"/>
      <c r="D3" s="691"/>
      <c r="E3" s="690"/>
      <c r="F3" s="690"/>
      <c r="G3" s="690"/>
      <c r="H3" s="690"/>
      <c r="I3" s="690"/>
      <c r="J3" s="690"/>
      <c r="K3" s="690"/>
      <c r="Q3" s="689"/>
    </row>
    <row r="4" spans="1:17" s="696" customFormat="1" ht="15" hidden="1" customHeight="1" outlineLevel="1">
      <c r="A4" s="692"/>
      <c r="B4" s="932"/>
      <c r="C4" s="1474"/>
      <c r="D4" s="693"/>
      <c r="E4" s="694" t="s">
        <v>931</v>
      </c>
      <c r="F4" s="1479" t="s">
        <v>932</v>
      </c>
      <c r="G4" s="1481" t="s">
        <v>933</v>
      </c>
      <c r="H4" s="1481" t="s">
        <v>934</v>
      </c>
      <c r="I4" s="695" t="s">
        <v>935</v>
      </c>
      <c r="J4" s="1479" t="s">
        <v>936</v>
      </c>
      <c r="K4" s="956"/>
    </row>
    <row r="5" spans="1:17" s="696" customFormat="1" hidden="1" outlineLevel="1">
      <c r="A5" s="692"/>
      <c r="B5" s="932"/>
      <c r="C5" s="1474"/>
      <c r="D5" s="693"/>
      <c r="E5" s="697" t="s">
        <v>937</v>
      </c>
      <c r="F5" s="1480"/>
      <c r="G5" s="1480"/>
      <c r="H5" s="1480"/>
      <c r="I5" s="697" t="s">
        <v>938</v>
      </c>
      <c r="J5" s="1480"/>
      <c r="K5" s="956"/>
    </row>
    <row r="6" spans="1:17" ht="8.25" hidden="1" customHeight="1" outlineLevel="1">
      <c r="A6" s="688"/>
      <c r="B6" s="932"/>
      <c r="C6" s="698"/>
      <c r="D6" s="693"/>
      <c r="E6" s="699"/>
      <c r="F6" s="700"/>
      <c r="G6" s="700"/>
      <c r="H6" s="700"/>
      <c r="I6" s="699"/>
      <c r="J6" s="700"/>
      <c r="K6" s="700"/>
      <c r="Q6" s="689"/>
    </row>
    <row r="7" spans="1:17" hidden="1" outlineLevel="1">
      <c r="A7" s="701"/>
      <c r="B7" s="932"/>
      <c r="C7" s="702" t="s">
        <v>1071</v>
      </c>
      <c r="D7" s="703"/>
      <c r="E7" s="704">
        <v>3720000000</v>
      </c>
      <c r="F7" s="704"/>
      <c r="G7" s="704"/>
      <c r="H7" s="704" t="e">
        <f>+B_Sheet14!#REF!</f>
        <v>#REF!</v>
      </c>
      <c r="I7" s="704">
        <v>0</v>
      </c>
      <c r="J7" s="704" t="e">
        <f>SUM(E7:I7)</f>
        <v>#REF!</v>
      </c>
      <c r="K7" s="957"/>
      <c r="Q7" s="689"/>
    </row>
    <row r="8" spans="1:17" ht="4.5" hidden="1" customHeight="1" outlineLevel="1">
      <c r="A8" s="705"/>
      <c r="B8" s="932"/>
      <c r="C8" s="706"/>
      <c r="D8" s="707"/>
      <c r="E8" s="708"/>
      <c r="F8" s="709"/>
      <c r="G8" s="709"/>
      <c r="H8" s="709"/>
      <c r="I8" s="708"/>
      <c r="J8" s="710"/>
      <c r="K8" s="957"/>
      <c r="Q8" s="689"/>
    </row>
    <row r="9" spans="1:17" hidden="1" outlineLevel="1">
      <c r="A9" s="705"/>
      <c r="B9" s="932"/>
      <c r="C9" s="706" t="s">
        <v>939</v>
      </c>
      <c r="D9" s="707"/>
      <c r="E9" s="708"/>
      <c r="F9" s="709"/>
      <c r="G9" s="709"/>
      <c r="H9" s="709"/>
      <c r="I9" s="708"/>
      <c r="J9" s="710">
        <f>SUM(E9:I9)</f>
        <v>0</v>
      </c>
      <c r="K9" s="957"/>
      <c r="Q9" s="689"/>
    </row>
    <row r="10" spans="1:17" hidden="1" outlineLevel="1">
      <c r="A10" s="705"/>
      <c r="B10" s="932"/>
      <c r="C10" s="706" t="s">
        <v>940</v>
      </c>
      <c r="D10" s="707"/>
      <c r="E10" s="708"/>
      <c r="F10" s="709"/>
      <c r="G10" s="709" t="e">
        <f>-H10</f>
        <v>#REF!</v>
      </c>
      <c r="H10" s="709" t="e">
        <f>-H7</f>
        <v>#REF!</v>
      </c>
      <c r="I10" s="708"/>
      <c r="J10" s="710" t="e">
        <f>SUM(E10:I10)</f>
        <v>#REF!</v>
      </c>
      <c r="K10" s="957"/>
      <c r="Q10" s="689"/>
    </row>
    <row r="11" spans="1:17" hidden="1" outlineLevel="1">
      <c r="A11" s="705"/>
      <c r="B11" s="932"/>
      <c r="C11" s="706" t="s">
        <v>941</v>
      </c>
      <c r="D11" s="707"/>
      <c r="E11" s="708"/>
      <c r="F11" s="711"/>
      <c r="G11" s="709"/>
      <c r="H11" s="712" t="e">
        <f>+B_Sheet14!#REF!</f>
        <v>#REF!</v>
      </c>
      <c r="I11" s="708"/>
      <c r="J11" s="710" t="e">
        <f>SUM(E11:I11)</f>
        <v>#REF!</v>
      </c>
      <c r="K11" s="957"/>
      <c r="Q11" s="689"/>
    </row>
    <row r="12" spans="1:17" hidden="1" outlineLevel="1">
      <c r="A12" s="705"/>
      <c r="B12" s="932"/>
      <c r="C12" s="706" t="s">
        <v>932</v>
      </c>
      <c r="D12" s="707"/>
      <c r="E12" s="708"/>
      <c r="F12" s="711"/>
      <c r="G12" s="709"/>
      <c r="H12" s="709"/>
      <c r="I12" s="708"/>
      <c r="J12" s="710">
        <f>SUM(E12:I12)</f>
        <v>0</v>
      </c>
      <c r="K12" s="957"/>
      <c r="Q12" s="689"/>
    </row>
    <row r="13" spans="1:17" hidden="1" outlineLevel="1">
      <c r="A13" s="701"/>
      <c r="B13" s="932"/>
      <c r="C13" s="706" t="s">
        <v>942</v>
      </c>
      <c r="D13" s="707"/>
      <c r="E13" s="713"/>
      <c r="F13" s="714"/>
      <c r="G13" s="714"/>
      <c r="H13" s="714"/>
      <c r="I13" s="715"/>
      <c r="J13" s="710">
        <f>SUM(E13:I13)</f>
        <v>0</v>
      </c>
      <c r="K13" s="957"/>
      <c r="Q13" s="689"/>
    </row>
    <row r="14" spans="1:17" ht="21" hidden="1" customHeight="1" outlineLevel="1" thickBot="1">
      <c r="A14" s="705"/>
      <c r="B14" s="932"/>
      <c r="C14" s="702" t="s">
        <v>1072</v>
      </c>
      <c r="D14" s="703"/>
      <c r="E14" s="716">
        <f t="shared" ref="E14:J14" si="0">SUM(E7:E13)</f>
        <v>3720000000</v>
      </c>
      <c r="F14" s="716">
        <f t="shared" si="0"/>
        <v>0</v>
      </c>
      <c r="G14" s="716" t="e">
        <f t="shared" si="0"/>
        <v>#REF!</v>
      </c>
      <c r="H14" s="716" t="e">
        <f t="shared" si="0"/>
        <v>#REF!</v>
      </c>
      <c r="I14" s="716">
        <f t="shared" si="0"/>
        <v>0</v>
      </c>
      <c r="J14" s="716" t="e">
        <f t="shared" si="0"/>
        <v>#REF!</v>
      </c>
      <c r="K14" s="956"/>
      <c r="Q14" s="689"/>
    </row>
    <row r="15" spans="1:17" ht="8.25" hidden="1" customHeight="1" outlineLevel="1" thickTop="1">
      <c r="A15" s="705"/>
      <c r="B15" s="932"/>
      <c r="C15" s="690"/>
      <c r="D15" s="691"/>
      <c r="E15" s="690"/>
      <c r="F15" s="690"/>
      <c r="G15" s="690"/>
      <c r="H15" s="690"/>
      <c r="I15" s="690"/>
      <c r="J15" s="690"/>
      <c r="K15" s="690"/>
      <c r="Q15" s="689"/>
    </row>
    <row r="16" spans="1:17" hidden="1" outlineLevel="1">
      <c r="A16" s="705"/>
      <c r="Q16" s="689"/>
    </row>
    <row r="17" spans="2:18" hidden="1" outlineLevel="1">
      <c r="Q17" s="689"/>
      <c r="R17" s="717"/>
    </row>
    <row r="18" spans="2:18" collapsed="1">
      <c r="Q18" s="689"/>
      <c r="R18" s="717"/>
    </row>
    <row r="19" spans="2:18">
      <c r="E19" s="240"/>
      <c r="F19" s="240"/>
      <c r="G19" s="718"/>
      <c r="H19" s="240"/>
      <c r="I19" s="240"/>
      <c r="J19" s="240"/>
      <c r="K19" s="240"/>
      <c r="L19" s="240"/>
      <c r="M19" s="240"/>
      <c r="Q19" s="689"/>
      <c r="R19" s="717"/>
    </row>
    <row r="20" spans="2:18" s="237" customFormat="1" ht="16.5" customHeight="1">
      <c r="B20" s="933"/>
      <c r="E20" s="1478" t="s">
        <v>148</v>
      </c>
      <c r="F20" s="1478"/>
      <c r="G20" s="1478"/>
      <c r="H20" s="1478"/>
      <c r="I20" s="1478"/>
      <c r="J20" s="1478"/>
      <c r="K20" s="1478"/>
      <c r="L20" s="1478"/>
      <c r="M20" s="240"/>
      <c r="Q20" s="240"/>
    </row>
    <row r="21" spans="2:18" s="237" customFormat="1">
      <c r="B21" s="933"/>
      <c r="C21" s="1485"/>
      <c r="E21" s="239" t="s">
        <v>931</v>
      </c>
      <c r="F21" s="239" t="s">
        <v>150</v>
      </c>
      <c r="G21" s="239" t="s">
        <v>164</v>
      </c>
      <c r="H21" s="239" t="s">
        <v>932</v>
      </c>
      <c r="I21" s="239" t="s">
        <v>156</v>
      </c>
      <c r="J21" s="239" t="s">
        <v>160</v>
      </c>
      <c r="K21" s="1482" t="s">
        <v>490</v>
      </c>
      <c r="L21" s="1476" t="s">
        <v>1077</v>
      </c>
      <c r="N21" s="1476"/>
      <c r="Q21" s="240"/>
    </row>
    <row r="22" spans="2:18" s="237" customFormat="1">
      <c r="B22" s="933"/>
      <c r="C22" s="1485"/>
      <c r="E22" s="239" t="s">
        <v>149</v>
      </c>
      <c r="F22" s="239" t="s">
        <v>151</v>
      </c>
      <c r="G22" s="239" t="s">
        <v>152</v>
      </c>
      <c r="H22" s="239" t="s">
        <v>153</v>
      </c>
      <c r="I22" s="239" t="s">
        <v>157</v>
      </c>
      <c r="J22" s="239" t="s">
        <v>181</v>
      </c>
      <c r="K22" s="1483"/>
      <c r="L22" s="1476"/>
      <c r="N22" s="1476"/>
      <c r="Q22" s="240"/>
    </row>
    <row r="23" spans="2:18" s="237" customFormat="1">
      <c r="B23" s="933"/>
      <c r="C23" s="1485"/>
      <c r="E23" s="239"/>
      <c r="F23" s="239"/>
      <c r="G23" s="239"/>
      <c r="H23" s="239" t="s">
        <v>154</v>
      </c>
      <c r="I23" s="239" t="s">
        <v>158</v>
      </c>
      <c r="J23" s="239"/>
      <c r="K23" s="1483"/>
      <c r="L23" s="1476"/>
      <c r="N23" s="1476"/>
      <c r="Q23" s="240"/>
    </row>
    <row r="24" spans="2:18" s="237" customFormat="1">
      <c r="B24" s="933"/>
      <c r="C24" s="1485"/>
      <c r="E24" s="242"/>
      <c r="F24" s="242"/>
      <c r="G24" s="242"/>
      <c r="H24" s="242" t="s">
        <v>155</v>
      </c>
      <c r="I24" s="242" t="s">
        <v>159</v>
      </c>
      <c r="J24" s="242"/>
      <c r="K24" s="1484"/>
      <c r="L24" s="1477"/>
      <c r="N24" s="1476"/>
      <c r="Q24" s="240"/>
    </row>
    <row r="25" spans="2:18" s="237" customFormat="1">
      <c r="B25" s="933"/>
      <c r="L25" s="238"/>
      <c r="N25" s="238"/>
      <c r="Q25" s="240"/>
    </row>
    <row r="26" spans="2:18" s="237" customFormat="1">
      <c r="B26" s="933"/>
      <c r="C26" s="239" t="s">
        <v>168</v>
      </c>
      <c r="E26" s="880">
        <f>B_Sheet14!U43</f>
        <v>100000</v>
      </c>
      <c r="F26" s="880"/>
      <c r="G26" s="880"/>
      <c r="H26" s="880">
        <v>36766287</v>
      </c>
      <c r="I26" s="880"/>
      <c r="J26" s="880">
        <v>205702876</v>
      </c>
      <c r="K26" s="958">
        <v>1200000</v>
      </c>
      <c r="L26" s="880">
        <f>SUM(E26:K26)</f>
        <v>243769163</v>
      </c>
      <c r="N26" s="238"/>
      <c r="P26" s="691">
        <f>[8]B_Sheet_07!$L$5-L26</f>
        <v>1091557678</v>
      </c>
      <c r="Q26" s="240"/>
    </row>
    <row r="27" spans="2:18" s="237" customFormat="1">
      <c r="B27" s="933"/>
      <c r="C27" s="237" t="s">
        <v>165</v>
      </c>
      <c r="E27" s="249"/>
      <c r="F27" s="249"/>
      <c r="G27" s="249"/>
      <c r="H27" s="249"/>
      <c r="I27" s="249"/>
      <c r="J27" s="172"/>
      <c r="K27" s="172">
        <v>-1170000</v>
      </c>
      <c r="L27" s="878">
        <f>SUM(E27:K27)</f>
        <v>-1170000</v>
      </c>
      <c r="N27" s="238"/>
      <c r="Q27" s="240"/>
    </row>
    <row r="28" spans="2:18" s="237" customFormat="1">
      <c r="B28" s="933" t="s">
        <v>760</v>
      </c>
      <c r="C28" s="242" t="s">
        <v>166</v>
      </c>
      <c r="E28" s="880">
        <v>1091657678</v>
      </c>
      <c r="F28" s="880">
        <v>0</v>
      </c>
      <c r="G28" s="880">
        <v>0</v>
      </c>
      <c r="H28" s="880">
        <v>36766287</v>
      </c>
      <c r="I28" s="880">
        <f>+I26+I27</f>
        <v>0</v>
      </c>
      <c r="J28" s="880">
        <f>+J26+J27</f>
        <v>205702876</v>
      </c>
      <c r="K28" s="958">
        <f>+K26+K27</f>
        <v>30000</v>
      </c>
      <c r="L28" s="880">
        <f>SUM(L26:L27)</f>
        <v>242599163</v>
      </c>
      <c r="N28" s="238"/>
      <c r="Q28" s="240"/>
    </row>
    <row r="29" spans="2:18" s="237" customFormat="1">
      <c r="B29" s="934" t="s">
        <v>174</v>
      </c>
      <c r="C29" s="237" t="s">
        <v>1130</v>
      </c>
      <c r="E29" s="249"/>
      <c r="F29" s="249"/>
      <c r="G29" s="249"/>
      <c r="H29" s="249"/>
      <c r="I29" s="249"/>
      <c r="J29" s="249">
        <f>B_Sheet14!U50</f>
        <v>39077232.899999999</v>
      </c>
      <c r="K29" s="249"/>
      <c r="L29" s="878">
        <f>SUM(E29:K29)</f>
        <v>39077232.899999999</v>
      </c>
      <c r="N29" s="238"/>
      <c r="Q29" s="240"/>
    </row>
    <row r="30" spans="2:18" s="237" customFormat="1">
      <c r="B30" s="934" t="s">
        <v>175</v>
      </c>
      <c r="C30" s="237" t="s">
        <v>144</v>
      </c>
      <c r="E30" s="249"/>
      <c r="F30" s="249"/>
      <c r="G30" s="249"/>
      <c r="H30" s="249"/>
      <c r="I30" s="249"/>
      <c r="J30" s="249">
        <v>-195417732</v>
      </c>
      <c r="K30" s="249"/>
      <c r="L30" s="878">
        <f>SUM(E30:K30)</f>
        <v>-195417732</v>
      </c>
      <c r="N30" s="238"/>
      <c r="Q30" s="240"/>
    </row>
    <row r="31" spans="2:18" s="237" customFormat="1">
      <c r="B31" s="934" t="s">
        <v>176</v>
      </c>
      <c r="C31" s="237" t="s">
        <v>316</v>
      </c>
      <c r="E31" s="249"/>
      <c r="F31" s="249"/>
      <c r="G31" s="249"/>
      <c r="H31" s="249">
        <v>10285144</v>
      </c>
      <c r="I31" s="249"/>
      <c r="J31" s="249">
        <f>-H31</f>
        <v>-10285144</v>
      </c>
      <c r="K31" s="249"/>
      <c r="L31" s="878">
        <f>SUM(E31:K31)</f>
        <v>0</v>
      </c>
      <c r="N31" s="238"/>
      <c r="Q31" s="240"/>
    </row>
    <row r="32" spans="2:18" s="237" customFormat="1">
      <c r="B32" s="934" t="s">
        <v>177</v>
      </c>
      <c r="C32" s="237" t="s">
        <v>167</v>
      </c>
      <c r="E32" s="249"/>
      <c r="F32" s="249"/>
      <c r="G32" s="249"/>
      <c r="H32" s="249"/>
      <c r="I32" s="249"/>
      <c r="J32" s="249"/>
      <c r="K32" s="249"/>
      <c r="L32" s="878">
        <f>SUM(E32:K32)</f>
        <v>0</v>
      </c>
      <c r="N32" s="238"/>
      <c r="Q32" s="240"/>
    </row>
    <row r="33" spans="2:18" s="237" customFormat="1">
      <c r="B33" s="933" t="s">
        <v>765</v>
      </c>
      <c r="C33" s="242" t="s">
        <v>171</v>
      </c>
      <c r="E33" s="880">
        <f t="shared" ref="E33:L33" si="1">SUM(E28:E32)</f>
        <v>1091657678</v>
      </c>
      <c r="F33" s="880">
        <f t="shared" si="1"/>
        <v>0</v>
      </c>
      <c r="G33" s="880">
        <f t="shared" si="1"/>
        <v>0</v>
      </c>
      <c r="H33" s="880">
        <f t="shared" si="1"/>
        <v>47051431</v>
      </c>
      <c r="I33" s="880">
        <f t="shared" si="1"/>
        <v>0</v>
      </c>
      <c r="J33" s="880">
        <f t="shared" si="1"/>
        <v>39077232.900000006</v>
      </c>
      <c r="K33" s="958">
        <f t="shared" si="1"/>
        <v>30000</v>
      </c>
      <c r="L33" s="880">
        <f t="shared" si="1"/>
        <v>86258663.899999976</v>
      </c>
      <c r="M33" s="691"/>
      <c r="N33" s="241"/>
      <c r="P33" s="249">
        <f>B_Sheet14!U52-L33</f>
        <v>41482940.00000003</v>
      </c>
      <c r="Q33" s="240"/>
    </row>
    <row r="34" spans="2:18" s="237" customFormat="1">
      <c r="B34" s="933" t="s">
        <v>174</v>
      </c>
      <c r="C34" s="237" t="s">
        <v>165</v>
      </c>
      <c r="E34" s="878"/>
      <c r="F34" s="878"/>
      <c r="G34" s="878"/>
      <c r="H34" s="878"/>
      <c r="I34" s="878"/>
      <c r="J34" s="878"/>
      <c r="K34" s="959">
        <f>-K33</f>
        <v>-30000</v>
      </c>
      <c r="L34" s="878">
        <f>SUM(E34:K34)</f>
        <v>-30000</v>
      </c>
      <c r="M34" s="691"/>
      <c r="N34" s="241"/>
      <c r="Q34" s="240"/>
    </row>
    <row r="35" spans="2:18" s="237" customFormat="1">
      <c r="B35" s="934" t="s">
        <v>175</v>
      </c>
      <c r="C35" s="237" t="s">
        <v>1129</v>
      </c>
      <c r="E35" s="249"/>
      <c r="F35" s="249"/>
      <c r="G35" s="249"/>
      <c r="H35" s="249"/>
      <c r="I35" s="249"/>
      <c r="J35" s="249">
        <f>B_Sheet14!T50</f>
        <v>-1890019.32</v>
      </c>
      <c r="K35" s="249"/>
      <c r="L35" s="878">
        <f>SUM(E35:K35)</f>
        <v>-1890019.32</v>
      </c>
      <c r="N35" s="238"/>
      <c r="Q35" s="240"/>
    </row>
    <row r="36" spans="2:18" s="237" customFormat="1">
      <c r="B36" s="934" t="s">
        <v>176</v>
      </c>
      <c r="C36" s="237" t="s">
        <v>144</v>
      </c>
      <c r="E36" s="249"/>
      <c r="F36" s="249"/>
      <c r="G36" s="249"/>
      <c r="H36" s="249"/>
      <c r="I36" s="249"/>
      <c r="J36" s="249">
        <v>-57452902</v>
      </c>
      <c r="K36" s="249"/>
      <c r="L36" s="878">
        <f>SUM(E36:K36)</f>
        <v>-57452902</v>
      </c>
      <c r="N36" s="238"/>
      <c r="Q36" s="240"/>
    </row>
    <row r="37" spans="2:18" s="237" customFormat="1">
      <c r="B37" s="934" t="s">
        <v>177</v>
      </c>
      <c r="C37" s="237" t="s">
        <v>316</v>
      </c>
      <c r="E37" s="249"/>
      <c r="F37" s="249"/>
      <c r="G37" s="249"/>
      <c r="H37" s="249">
        <v>2872645</v>
      </c>
      <c r="I37" s="249"/>
      <c r="J37" s="249"/>
      <c r="K37" s="249"/>
      <c r="L37" s="878">
        <f>SUM(E37:K37)</f>
        <v>2872645</v>
      </c>
      <c r="N37" s="238"/>
      <c r="Q37" s="240"/>
    </row>
    <row r="38" spans="2:18" s="237" customFormat="1">
      <c r="B38" s="934" t="s">
        <v>178</v>
      </c>
      <c r="C38" s="237" t="s">
        <v>167</v>
      </c>
      <c r="E38" s="172"/>
      <c r="F38" s="172"/>
      <c r="G38" s="172"/>
      <c r="H38" s="172"/>
      <c r="I38" s="172"/>
      <c r="J38" s="172"/>
      <c r="K38" s="172"/>
      <c r="L38" s="878">
        <f>SUM(E38:K38)</f>
        <v>0</v>
      </c>
      <c r="N38" s="238"/>
      <c r="Q38" s="240"/>
    </row>
    <row r="39" spans="2:18" s="237" customFormat="1">
      <c r="B39" s="933" t="s">
        <v>863</v>
      </c>
      <c r="C39" s="243" t="s">
        <v>173</v>
      </c>
      <c r="D39" s="239"/>
      <c r="E39" s="879">
        <f t="shared" ref="E39:K39" si="2">SUM(E33:E38)</f>
        <v>1091657678</v>
      </c>
      <c r="F39" s="879">
        <f t="shared" si="2"/>
        <v>0</v>
      </c>
      <c r="G39" s="879">
        <f t="shared" si="2"/>
        <v>0</v>
      </c>
      <c r="H39" s="879">
        <f t="shared" si="2"/>
        <v>49924076</v>
      </c>
      <c r="I39" s="879">
        <f t="shared" si="2"/>
        <v>0</v>
      </c>
      <c r="J39" s="879">
        <f t="shared" si="2"/>
        <v>-20265688.419999994</v>
      </c>
      <c r="K39" s="960">
        <f t="shared" si="2"/>
        <v>0</v>
      </c>
      <c r="L39" s="879">
        <f>SUM(L33:L38)</f>
        <v>29758387.579999983</v>
      </c>
      <c r="M39" s="720"/>
      <c r="N39" s="241"/>
      <c r="P39" s="249">
        <f>B_Sheet14!T52-L39</f>
        <v>96093197.00000003</v>
      </c>
      <c r="Q39" s="240"/>
    </row>
    <row r="40" spans="2:18" s="237" customFormat="1">
      <c r="B40" s="933"/>
      <c r="E40" s="240"/>
      <c r="F40" s="240"/>
      <c r="G40" s="719"/>
      <c r="H40" s="240"/>
      <c r="I40" s="240"/>
      <c r="J40" s="240"/>
      <c r="K40" s="240"/>
      <c r="L40" s="240"/>
      <c r="M40" s="240"/>
      <c r="R40" s="240"/>
    </row>
    <row r="41" spans="2:18" s="237" customFormat="1">
      <c r="B41" s="933"/>
      <c r="E41" s="240"/>
      <c r="F41" s="240"/>
      <c r="G41" s="719"/>
      <c r="H41" s="240"/>
      <c r="I41" s="240"/>
      <c r="J41" s="240"/>
      <c r="K41" s="240"/>
      <c r="L41" s="240"/>
      <c r="M41" s="240"/>
      <c r="R41" s="240"/>
    </row>
    <row r="42" spans="2:18" s="237" customFormat="1">
      <c r="B42" s="933"/>
      <c r="M42" s="240"/>
      <c r="R42" s="240"/>
    </row>
    <row r="43" spans="2:18" s="237" customFormat="1">
      <c r="B43" s="933"/>
      <c r="C43" s="942" t="s">
        <v>1131</v>
      </c>
      <c r="E43" s="943">
        <f>[8]Equity!$E$22</f>
        <v>1091657678</v>
      </c>
      <c r="F43" s="943"/>
      <c r="G43" s="943"/>
      <c r="H43" s="943">
        <f>[8]Equity!$G$22</f>
        <v>36766287</v>
      </c>
      <c r="I43" s="943"/>
      <c r="J43" s="943">
        <f>[8]Equity!$K$22</f>
        <v>205702876</v>
      </c>
      <c r="K43" s="961">
        <f>[8]Equity!$M$22</f>
        <v>1200000</v>
      </c>
      <c r="L43" s="943"/>
      <c r="M43" s="240"/>
      <c r="R43" s="240"/>
    </row>
    <row r="44" spans="2:18" s="237" customFormat="1">
      <c r="B44" s="933"/>
      <c r="E44" s="240"/>
      <c r="F44" s="240"/>
      <c r="G44" s="719"/>
      <c r="H44" s="240"/>
      <c r="I44" s="240"/>
      <c r="J44" s="240"/>
      <c r="K44" s="240"/>
      <c r="L44" s="240"/>
      <c r="M44" s="240"/>
      <c r="R44" s="240"/>
    </row>
    <row r="45" spans="2:18" s="237" customFormat="1" ht="16.5" hidden="1" customHeight="1" outlineLevel="1">
      <c r="B45" s="933"/>
      <c r="E45" s="1478" t="s">
        <v>148</v>
      </c>
      <c r="F45" s="1478"/>
      <c r="G45" s="1478"/>
      <c r="H45" s="1478"/>
      <c r="I45" s="1478"/>
      <c r="J45" s="1478"/>
      <c r="K45" s="1478"/>
      <c r="L45" s="1478"/>
      <c r="M45" s="240"/>
      <c r="Q45" s="240"/>
    </row>
    <row r="46" spans="2:18" s="237" customFormat="1" hidden="1" outlineLevel="1">
      <c r="B46" s="933"/>
      <c r="C46" s="1485"/>
      <c r="E46" s="239" t="s">
        <v>931</v>
      </c>
      <c r="F46" s="239" t="s">
        <v>150</v>
      </c>
      <c r="G46" s="239" t="s">
        <v>164</v>
      </c>
      <c r="H46" s="239" t="s">
        <v>932</v>
      </c>
      <c r="I46" s="239" t="s">
        <v>156</v>
      </c>
      <c r="J46" s="239" t="s">
        <v>160</v>
      </c>
      <c r="K46" s="962"/>
      <c r="L46" s="1476" t="s">
        <v>1077</v>
      </c>
      <c r="M46" s="237" t="s">
        <v>161</v>
      </c>
      <c r="N46" s="1476" t="s">
        <v>1077</v>
      </c>
      <c r="Q46" s="240"/>
    </row>
    <row r="47" spans="2:18" s="237" customFormat="1" hidden="1" outlineLevel="1">
      <c r="B47" s="933"/>
      <c r="C47" s="1485"/>
      <c r="E47" s="239" t="s">
        <v>149</v>
      </c>
      <c r="F47" s="239" t="s">
        <v>151</v>
      </c>
      <c r="G47" s="239" t="s">
        <v>152</v>
      </c>
      <c r="H47" s="239" t="s">
        <v>153</v>
      </c>
      <c r="I47" s="239" t="s">
        <v>157</v>
      </c>
      <c r="J47" s="239" t="s">
        <v>181</v>
      </c>
      <c r="K47" s="962"/>
      <c r="L47" s="1476"/>
      <c r="M47" s="237" t="s">
        <v>162</v>
      </c>
      <c r="N47" s="1476"/>
      <c r="Q47" s="240"/>
    </row>
    <row r="48" spans="2:18" s="237" customFormat="1" hidden="1" outlineLevel="1">
      <c r="B48" s="933"/>
      <c r="C48" s="1485"/>
      <c r="E48" s="239"/>
      <c r="F48" s="239"/>
      <c r="G48" s="239"/>
      <c r="H48" s="239" t="s">
        <v>154</v>
      </c>
      <c r="I48" s="239" t="s">
        <v>158</v>
      </c>
      <c r="J48" s="239"/>
      <c r="K48" s="962"/>
      <c r="L48" s="1476"/>
      <c r="M48" s="237" t="s">
        <v>163</v>
      </c>
      <c r="N48" s="1476"/>
      <c r="Q48" s="240"/>
    </row>
    <row r="49" spans="2:17" s="237" customFormat="1" hidden="1" outlineLevel="1">
      <c r="B49" s="933"/>
      <c r="C49" s="1485"/>
      <c r="E49" s="242"/>
      <c r="F49" s="242"/>
      <c r="G49" s="242"/>
      <c r="H49" s="242" t="s">
        <v>155</v>
      </c>
      <c r="I49" s="242" t="s">
        <v>159</v>
      </c>
      <c r="J49" s="242"/>
      <c r="K49" s="963"/>
      <c r="L49" s="1477"/>
      <c r="N49" s="1476"/>
      <c r="Q49" s="240"/>
    </row>
    <row r="50" spans="2:17" s="237" customFormat="1" hidden="1" outlineLevel="1">
      <c r="B50" s="933"/>
      <c r="L50" s="238"/>
      <c r="N50" s="238"/>
      <c r="Q50" s="240"/>
    </row>
    <row r="51" spans="2:17" s="237" customFormat="1" hidden="1" outlineLevel="1">
      <c r="B51" s="933"/>
      <c r="C51" s="239" t="s">
        <v>168</v>
      </c>
      <c r="E51" s="880">
        <f>+Equity!E14</f>
        <v>0</v>
      </c>
      <c r="F51" s="880">
        <f>+Equity!F14</f>
        <v>0</v>
      </c>
      <c r="G51" s="880">
        <f>+Equity!G14</f>
        <v>0</v>
      </c>
      <c r="H51" s="880">
        <f>+Equity!H14</f>
        <v>0</v>
      </c>
      <c r="I51" s="880">
        <f>+Equity!I14</f>
        <v>0</v>
      </c>
      <c r="J51" s="880">
        <f>+Equity!J14</f>
        <v>0</v>
      </c>
      <c r="K51" s="958"/>
      <c r="L51" s="880">
        <f>SUM(E51:J51)</f>
        <v>0</v>
      </c>
      <c r="N51" s="238"/>
      <c r="Q51" s="240"/>
    </row>
    <row r="52" spans="2:17" s="237" customFormat="1" hidden="1" outlineLevel="1">
      <c r="B52" s="933"/>
      <c r="C52" s="237" t="s">
        <v>165</v>
      </c>
      <c r="E52" s="249">
        <f>+Equity!E15</f>
        <v>0</v>
      </c>
      <c r="F52" s="249">
        <f>+Equity!F15</f>
        <v>0</v>
      </c>
      <c r="G52" s="249">
        <f>+Equity!G15</f>
        <v>0</v>
      </c>
      <c r="H52" s="249">
        <f>+Equity!H15</f>
        <v>0</v>
      </c>
      <c r="I52" s="249">
        <f>+Equity!I15</f>
        <v>0</v>
      </c>
      <c r="J52" s="172">
        <f>+Equity!J15</f>
        <v>0</v>
      </c>
      <c r="K52" s="172"/>
      <c r="L52" s="878">
        <f>SUM(E52:J52)</f>
        <v>0</v>
      </c>
      <c r="N52" s="238"/>
      <c r="Q52" s="240"/>
    </row>
    <row r="53" spans="2:17" s="237" customFormat="1" hidden="1" outlineLevel="1">
      <c r="B53" s="933"/>
      <c r="E53" s="249"/>
      <c r="F53" s="249"/>
      <c r="G53" s="249"/>
      <c r="H53" s="249"/>
      <c r="I53" s="249"/>
      <c r="J53" s="249"/>
      <c r="K53" s="249"/>
      <c r="L53" s="878">
        <f>SUM(E53:J53)</f>
        <v>0</v>
      </c>
      <c r="N53" s="238"/>
      <c r="Q53" s="240"/>
    </row>
    <row r="54" spans="2:17" s="237" customFormat="1" hidden="1" outlineLevel="1">
      <c r="B54" s="933" t="s">
        <v>760</v>
      </c>
      <c r="C54" s="242" t="s">
        <v>166</v>
      </c>
      <c r="E54" s="880">
        <f t="shared" ref="E54:J54" si="3">+E51+E52+E53</f>
        <v>0</v>
      </c>
      <c r="F54" s="880">
        <f t="shared" si="3"/>
        <v>0</v>
      </c>
      <c r="G54" s="880">
        <f t="shared" si="3"/>
        <v>0</v>
      </c>
      <c r="H54" s="880">
        <f t="shared" si="3"/>
        <v>0</v>
      </c>
      <c r="I54" s="880">
        <f t="shared" si="3"/>
        <v>0</v>
      </c>
      <c r="J54" s="880">
        <f t="shared" si="3"/>
        <v>0</v>
      </c>
      <c r="K54" s="958"/>
      <c r="L54" s="880">
        <f>SUM(L51:L53)</f>
        <v>0</v>
      </c>
      <c r="N54" s="238"/>
      <c r="Q54" s="240"/>
    </row>
    <row r="55" spans="2:17" s="237" customFormat="1" hidden="1" outlineLevel="1">
      <c r="B55" s="934" t="s">
        <v>174</v>
      </c>
      <c r="C55" s="237" t="s">
        <v>315</v>
      </c>
      <c r="E55" s="249">
        <f>+Equity!E18</f>
        <v>0</v>
      </c>
      <c r="F55" s="249">
        <f>+Equity!F18</f>
        <v>0</v>
      </c>
      <c r="G55" s="249">
        <f>+Equity!G18</f>
        <v>0</v>
      </c>
      <c r="H55" s="249">
        <f>+Equity!H18</f>
        <v>0</v>
      </c>
      <c r="I55" s="249">
        <f>+Equity!I18</f>
        <v>0</v>
      </c>
      <c r="J55" s="249">
        <f>+Equity!J18</f>
        <v>0</v>
      </c>
      <c r="K55" s="249"/>
      <c r="L55" s="878">
        <f t="shared" ref="L55:L60" si="4">SUM(E55:J55)</f>
        <v>0</v>
      </c>
      <c r="N55" s="238"/>
      <c r="Q55" s="240"/>
    </row>
    <row r="56" spans="2:17" s="237" customFormat="1" hidden="1" outlineLevel="1">
      <c r="B56" s="934" t="s">
        <v>175</v>
      </c>
      <c r="C56" s="237" t="s">
        <v>319</v>
      </c>
      <c r="E56" s="249">
        <f>+Equity!E19</f>
        <v>0</v>
      </c>
      <c r="F56" s="249">
        <f>+Equity!F19</f>
        <v>0</v>
      </c>
      <c r="G56" s="249">
        <f>+Equity!G19</f>
        <v>0</v>
      </c>
      <c r="H56" s="249">
        <f>+Equity!H19</f>
        <v>0</v>
      </c>
      <c r="I56" s="249">
        <f>+Equity!I19</f>
        <v>0</v>
      </c>
      <c r="J56" s="249">
        <f>+Equity!J19</f>
        <v>0</v>
      </c>
      <c r="K56" s="249"/>
      <c r="L56" s="878">
        <f t="shared" si="4"/>
        <v>0</v>
      </c>
      <c r="N56" s="238"/>
      <c r="Q56" s="240"/>
    </row>
    <row r="57" spans="2:17" s="237" customFormat="1" hidden="1" outlineLevel="1">
      <c r="B57" s="934" t="s">
        <v>176</v>
      </c>
      <c r="C57" s="237" t="s">
        <v>172</v>
      </c>
      <c r="E57" s="249">
        <f>+Equity!E20</f>
        <v>0</v>
      </c>
      <c r="F57" s="249">
        <f>+Equity!F20</f>
        <v>0</v>
      </c>
      <c r="G57" s="249">
        <f>+Equity!G20</f>
        <v>0</v>
      </c>
      <c r="H57" s="249">
        <f>+Equity!H20</f>
        <v>0</v>
      </c>
      <c r="I57" s="249">
        <f>+Equity!I20</f>
        <v>0</v>
      </c>
      <c r="J57" s="249">
        <f>+Equity!J20</f>
        <v>0</v>
      </c>
      <c r="K57" s="249"/>
      <c r="L57" s="878">
        <f t="shared" si="4"/>
        <v>0</v>
      </c>
      <c r="N57" s="238"/>
      <c r="Q57" s="240"/>
    </row>
    <row r="58" spans="2:17" s="237" customFormat="1" hidden="1" outlineLevel="1">
      <c r="B58" s="934" t="s">
        <v>177</v>
      </c>
      <c r="C58" s="237" t="s">
        <v>144</v>
      </c>
      <c r="E58" s="249">
        <f>+Equity!E21</f>
        <v>0</v>
      </c>
      <c r="F58" s="249">
        <f>+Equity!F21</f>
        <v>0</v>
      </c>
      <c r="G58" s="249">
        <f>+Equity!G21</f>
        <v>0</v>
      </c>
      <c r="H58" s="249">
        <f>+Equity!H21</f>
        <v>0</v>
      </c>
      <c r="I58" s="249">
        <f>+Equity!I21</f>
        <v>0</v>
      </c>
      <c r="J58" s="249">
        <f>+Equity!J21</f>
        <v>0</v>
      </c>
      <c r="K58" s="249"/>
      <c r="L58" s="878">
        <f t="shared" si="4"/>
        <v>0</v>
      </c>
      <c r="N58" s="238"/>
      <c r="Q58" s="240"/>
    </row>
    <row r="59" spans="2:17" s="237" customFormat="1" hidden="1" outlineLevel="1">
      <c r="B59" s="934" t="s">
        <v>178</v>
      </c>
      <c r="C59" s="237" t="s">
        <v>316</v>
      </c>
      <c r="E59" s="249">
        <f>+Equity!E22</f>
        <v>0</v>
      </c>
      <c r="F59" s="249">
        <f>+Equity!F22</f>
        <v>0</v>
      </c>
      <c r="G59" s="249">
        <f>+Equity!G22</f>
        <v>0</v>
      </c>
      <c r="H59" s="249">
        <f>+Equity!H22</f>
        <v>0</v>
      </c>
      <c r="I59" s="249">
        <f>+Equity!I22</f>
        <v>0</v>
      </c>
      <c r="J59" s="249">
        <f>+Equity!J22</f>
        <v>0</v>
      </c>
      <c r="K59" s="249"/>
      <c r="L59" s="878">
        <f t="shared" si="4"/>
        <v>0</v>
      </c>
      <c r="N59" s="238"/>
      <c r="Q59" s="240"/>
    </row>
    <row r="60" spans="2:17" s="237" customFormat="1" hidden="1" outlineLevel="1">
      <c r="B60" s="934" t="s">
        <v>179</v>
      </c>
      <c r="C60" s="237" t="s">
        <v>167</v>
      </c>
      <c r="E60" s="249">
        <f>+Equity!E23</f>
        <v>0</v>
      </c>
      <c r="F60" s="249">
        <f>+Equity!F23</f>
        <v>0</v>
      </c>
      <c r="G60" s="249">
        <f>+Equity!G23</f>
        <v>0</v>
      </c>
      <c r="H60" s="249">
        <f>+Equity!H23</f>
        <v>0</v>
      </c>
      <c r="I60" s="249">
        <f>+Equity!I23</f>
        <v>0</v>
      </c>
      <c r="J60" s="249">
        <f>+Equity!J23</f>
        <v>0</v>
      </c>
      <c r="K60" s="249"/>
      <c r="L60" s="878">
        <f t="shared" si="4"/>
        <v>0</v>
      </c>
      <c r="N60" s="238"/>
      <c r="Q60" s="240"/>
    </row>
    <row r="61" spans="2:17" s="237" customFormat="1" hidden="1" outlineLevel="1">
      <c r="B61" s="934" t="s">
        <v>180</v>
      </c>
      <c r="C61" s="237" t="s">
        <v>170</v>
      </c>
      <c r="E61" s="249">
        <f>+Equity!E24</f>
        <v>0</v>
      </c>
      <c r="F61" s="249">
        <f>+Equity!F24</f>
        <v>0</v>
      </c>
      <c r="G61" s="249">
        <f>+Equity!G24</f>
        <v>0</v>
      </c>
      <c r="H61" s="249">
        <f>+Equity!H24</f>
        <v>0</v>
      </c>
      <c r="I61" s="249">
        <f>+Equity!I24</f>
        <v>0</v>
      </c>
      <c r="J61" s="249">
        <f>+Equity!J24</f>
        <v>0</v>
      </c>
      <c r="K61" s="249"/>
      <c r="L61" s="878"/>
      <c r="N61" s="238"/>
      <c r="Q61" s="240"/>
    </row>
    <row r="62" spans="2:17" s="237" customFormat="1" hidden="1" outlineLevel="1">
      <c r="B62" s="933" t="s">
        <v>765</v>
      </c>
      <c r="C62" s="242" t="s">
        <v>171</v>
      </c>
      <c r="E62" s="880">
        <f>SUM(E54:E61)</f>
        <v>0</v>
      </c>
      <c r="F62" s="880">
        <f t="shared" ref="F62:L62" si="5">SUM(F54:F61)</f>
        <v>0</v>
      </c>
      <c r="G62" s="880">
        <f t="shared" si="5"/>
        <v>0</v>
      </c>
      <c r="H62" s="880">
        <f t="shared" si="5"/>
        <v>0</v>
      </c>
      <c r="I62" s="880">
        <f t="shared" si="5"/>
        <v>0</v>
      </c>
      <c r="J62" s="880">
        <f t="shared" si="5"/>
        <v>0</v>
      </c>
      <c r="K62" s="958"/>
      <c r="L62" s="880">
        <f t="shared" si="5"/>
        <v>0</v>
      </c>
      <c r="M62" s="691">
        <f>SUM(M54:M60)</f>
        <v>0</v>
      </c>
      <c r="N62" s="241">
        <f>SUM(N54:N60)</f>
        <v>0</v>
      </c>
      <c r="Q62" s="240"/>
    </row>
    <row r="63" spans="2:17" s="237" customFormat="1" hidden="1" outlineLevel="1">
      <c r="B63" s="933"/>
      <c r="C63" s="237" t="str">
        <f>+Equity!C26</f>
        <v xml:space="preserve">Derdhja e Kapitalit </v>
      </c>
      <c r="E63" s="249">
        <f>+Equity!E26</f>
        <v>0</v>
      </c>
      <c r="F63" s="249">
        <f>+Equity!F26</f>
        <v>0</v>
      </c>
      <c r="G63" s="249">
        <f>+Equity!G26</f>
        <v>0</v>
      </c>
      <c r="H63" s="249">
        <f>+Equity!H26</f>
        <v>0</v>
      </c>
      <c r="I63" s="249">
        <f>+Equity!I26</f>
        <v>0</v>
      </c>
      <c r="J63" s="249">
        <f>+Equity!J26</f>
        <v>0</v>
      </c>
      <c r="K63" s="249"/>
      <c r="L63" s="878">
        <f t="shared" ref="L63:L69" si="6">SUM(E63:J63)</f>
        <v>0</v>
      </c>
      <c r="M63" s="691"/>
      <c r="N63" s="241"/>
      <c r="Q63" s="240"/>
    </row>
    <row r="64" spans="2:17" s="237" customFormat="1" hidden="1" outlineLevel="1">
      <c r="B64" s="934" t="s">
        <v>174</v>
      </c>
      <c r="C64" s="237" t="s">
        <v>315</v>
      </c>
      <c r="E64" s="249">
        <f>+Equity!E27</f>
        <v>0</v>
      </c>
      <c r="F64" s="249">
        <f>+Equity!F27</f>
        <v>0</v>
      </c>
      <c r="G64" s="249">
        <f>+Equity!G27</f>
        <v>0</v>
      </c>
      <c r="H64" s="249">
        <f>+Equity!H27</f>
        <v>0</v>
      </c>
      <c r="I64" s="249">
        <f>+Equity!I27</f>
        <v>0</v>
      </c>
      <c r="J64" s="249">
        <f>+Equity!J27</f>
        <v>0</v>
      </c>
      <c r="K64" s="249"/>
      <c r="L64" s="878">
        <f t="shared" si="6"/>
        <v>0</v>
      </c>
      <c r="N64" s="238"/>
      <c r="Q64" s="240"/>
    </row>
    <row r="65" spans="2:20" s="237" customFormat="1" hidden="1" outlineLevel="1">
      <c r="B65" s="934" t="s">
        <v>175</v>
      </c>
      <c r="C65" s="237" t="s">
        <v>319</v>
      </c>
      <c r="E65" s="249">
        <f>+Equity!E28</f>
        <v>0</v>
      </c>
      <c r="F65" s="249">
        <f>+Equity!F28</f>
        <v>0</v>
      </c>
      <c r="G65" s="249">
        <f>+Equity!G28</f>
        <v>0</v>
      </c>
      <c r="H65" s="249">
        <f>+Equity!H28</f>
        <v>0</v>
      </c>
      <c r="I65" s="249">
        <f>+Equity!I28</f>
        <v>0</v>
      </c>
      <c r="J65" s="249">
        <f>+Equity!J28</f>
        <v>0</v>
      </c>
      <c r="K65" s="249"/>
      <c r="L65" s="878">
        <f t="shared" si="6"/>
        <v>0</v>
      </c>
      <c r="N65" s="238"/>
      <c r="Q65" s="240"/>
    </row>
    <row r="66" spans="2:20" s="237" customFormat="1" hidden="1" outlineLevel="1">
      <c r="B66" s="934" t="s">
        <v>176</v>
      </c>
      <c r="C66" s="237" t="s">
        <v>169</v>
      </c>
      <c r="E66" s="249">
        <f>+Equity!E29</f>
        <v>0</v>
      </c>
      <c r="F66" s="249">
        <f>+Equity!F29</f>
        <v>0</v>
      </c>
      <c r="G66" s="249">
        <f>+Equity!G29</f>
        <v>0</v>
      </c>
      <c r="H66" s="249">
        <f>+Equity!H29</f>
        <v>0</v>
      </c>
      <c r="I66" s="249">
        <f>+Equity!I29</f>
        <v>0</v>
      </c>
      <c r="J66" s="249">
        <f>+Equity!J29</f>
        <v>-1890019.32</v>
      </c>
      <c r="K66" s="249"/>
      <c r="L66" s="878">
        <f t="shared" si="6"/>
        <v>-1890019.32</v>
      </c>
      <c r="N66" s="238"/>
      <c r="Q66" s="240"/>
    </row>
    <row r="67" spans="2:20" s="237" customFormat="1" hidden="1" outlineLevel="1">
      <c r="B67" s="934" t="s">
        <v>177</v>
      </c>
      <c r="C67" s="237" t="s">
        <v>144</v>
      </c>
      <c r="E67" s="249">
        <f>+Equity!E30</f>
        <v>0</v>
      </c>
      <c r="F67" s="249">
        <f>+Equity!F30</f>
        <v>0</v>
      </c>
      <c r="G67" s="249">
        <f>+Equity!G30</f>
        <v>0</v>
      </c>
      <c r="H67" s="249">
        <f>+Equity!H30</f>
        <v>0</v>
      </c>
      <c r="I67" s="249">
        <f>+Equity!I30</f>
        <v>0</v>
      </c>
      <c r="J67" s="249">
        <f>+Equity!J30</f>
        <v>0</v>
      </c>
      <c r="K67" s="249"/>
      <c r="L67" s="878">
        <f t="shared" si="6"/>
        <v>0</v>
      </c>
      <c r="N67" s="238"/>
      <c r="Q67" s="240"/>
    </row>
    <row r="68" spans="2:20" s="237" customFormat="1" hidden="1" outlineLevel="1">
      <c r="B68" s="934" t="s">
        <v>179</v>
      </c>
      <c r="C68" s="237" t="s">
        <v>167</v>
      </c>
      <c r="E68" s="172">
        <f>+Equity!E31</f>
        <v>0</v>
      </c>
      <c r="F68" s="172">
        <f>+Equity!F31</f>
        <v>0</v>
      </c>
      <c r="G68" s="172">
        <f>+Equity!G31</f>
        <v>0</v>
      </c>
      <c r="H68" s="172">
        <f>+Equity!H31</f>
        <v>0</v>
      </c>
      <c r="I68" s="172">
        <f>+Equity!I31</f>
        <v>37616632.899999999</v>
      </c>
      <c r="J68" s="172">
        <f>+Equity!J31</f>
        <v>-39077232.899999999</v>
      </c>
      <c r="K68" s="172"/>
      <c r="L68" s="878">
        <f t="shared" si="6"/>
        <v>-1460600</v>
      </c>
      <c r="N68" s="238"/>
      <c r="Q68" s="240"/>
    </row>
    <row r="69" spans="2:20" s="237" customFormat="1" hidden="1" outlineLevel="1">
      <c r="B69" s="934" t="s">
        <v>180</v>
      </c>
      <c r="C69" s="237" t="s">
        <v>170</v>
      </c>
      <c r="E69" s="172">
        <f>+Equity!E32</f>
        <v>0</v>
      </c>
      <c r="F69" s="172">
        <f>+Equity!F32</f>
        <v>0</v>
      </c>
      <c r="G69" s="172">
        <f>+Equity!G32</f>
        <v>0</v>
      </c>
      <c r="H69" s="172">
        <f>+Equity!H32</f>
        <v>0</v>
      </c>
      <c r="I69" s="172">
        <f>+Equity!I32</f>
        <v>0</v>
      </c>
      <c r="J69" s="172">
        <f>+Equity!J32</f>
        <v>0</v>
      </c>
      <c r="K69" s="172"/>
      <c r="L69" s="878">
        <f t="shared" si="6"/>
        <v>0</v>
      </c>
      <c r="N69" s="238"/>
      <c r="Q69" s="240"/>
    </row>
    <row r="70" spans="2:20" s="237" customFormat="1" hidden="1" outlineLevel="1">
      <c r="B70" s="933" t="s">
        <v>863</v>
      </c>
      <c r="C70" s="243" t="s">
        <v>173</v>
      </c>
      <c r="D70" s="239"/>
      <c r="E70" s="879">
        <f t="shared" ref="E70:L70" si="7">SUM(E62:E69)</f>
        <v>0</v>
      </c>
      <c r="F70" s="879">
        <f t="shared" si="7"/>
        <v>0</v>
      </c>
      <c r="G70" s="879">
        <f t="shared" si="7"/>
        <v>0</v>
      </c>
      <c r="H70" s="879">
        <f t="shared" si="7"/>
        <v>0</v>
      </c>
      <c r="I70" s="879">
        <f t="shared" si="7"/>
        <v>37616632.899999999</v>
      </c>
      <c r="J70" s="879">
        <f t="shared" si="7"/>
        <v>-40967252.219999999</v>
      </c>
      <c r="K70" s="960"/>
      <c r="L70" s="879">
        <f t="shared" si="7"/>
        <v>-3350619.3200000003</v>
      </c>
      <c r="M70" s="720">
        <f>SUM(M62)</f>
        <v>0</v>
      </c>
      <c r="N70" s="241">
        <f>SUM(N62)</f>
        <v>0</v>
      </c>
      <c r="Q70" s="240"/>
    </row>
    <row r="71" spans="2:20" s="237" customFormat="1" hidden="1" outlineLevel="1">
      <c r="B71" s="933"/>
      <c r="Q71" s="240"/>
    </row>
    <row r="72" spans="2:20" s="237" customFormat="1" collapsed="1">
      <c r="B72" s="933"/>
      <c r="Q72" s="240"/>
    </row>
    <row r="73" spans="2:20">
      <c r="E73" s="935"/>
      <c r="F73" s="935"/>
      <c r="G73" s="1475"/>
      <c r="H73" s="935"/>
      <c r="I73" s="935"/>
      <c r="J73" s="935"/>
      <c r="K73" s="935"/>
      <c r="L73" s="935"/>
      <c r="M73" s="1475"/>
      <c r="N73" s="935"/>
      <c r="O73" s="1475"/>
      <c r="P73" s="237"/>
      <c r="Q73" s="240"/>
      <c r="R73" s="237"/>
      <c r="S73" s="237"/>
      <c r="T73" s="237"/>
    </row>
    <row r="74" spans="2:20">
      <c r="E74" s="935"/>
      <c r="F74" s="935"/>
      <c r="G74" s="1475"/>
      <c r="H74" s="935"/>
      <c r="I74" s="935"/>
      <c r="J74" s="935"/>
      <c r="K74" s="935"/>
      <c r="L74" s="935"/>
      <c r="M74" s="1475"/>
      <c r="N74" s="935"/>
      <c r="O74" s="1475"/>
      <c r="P74" s="237"/>
      <c r="Q74" s="240"/>
      <c r="R74" s="237"/>
      <c r="S74" s="237"/>
      <c r="T74" s="237"/>
    </row>
    <row r="75" spans="2:20">
      <c r="E75" s="938"/>
      <c r="F75" s="938"/>
      <c r="G75" s="938"/>
      <c r="H75" s="938"/>
      <c r="I75" s="938"/>
      <c r="J75" s="938"/>
      <c r="K75" s="938"/>
      <c r="L75" s="938"/>
      <c r="M75" s="938"/>
      <c r="N75" s="938"/>
      <c r="O75" s="939"/>
      <c r="P75" s="237"/>
      <c r="Q75" s="240"/>
      <c r="R75" s="237"/>
      <c r="S75" s="237"/>
      <c r="T75" s="237"/>
    </row>
    <row r="76" spans="2:20">
      <c r="E76" s="936"/>
      <c r="F76" s="936"/>
      <c r="G76" s="936"/>
      <c r="H76" s="936"/>
      <c r="I76" s="936"/>
      <c r="J76" s="936"/>
      <c r="K76" s="936"/>
      <c r="L76" s="936"/>
      <c r="M76" s="936"/>
      <c r="N76" s="936"/>
      <c r="O76" s="936"/>
      <c r="P76" s="237"/>
      <c r="Q76" s="240"/>
      <c r="R76" s="237"/>
      <c r="S76" s="237"/>
      <c r="T76" s="237"/>
    </row>
    <row r="77" spans="2:20">
      <c r="E77" s="940"/>
      <c r="F77" s="940"/>
      <c r="G77" s="940"/>
      <c r="H77" s="940"/>
      <c r="I77" s="940"/>
      <c r="J77" s="940"/>
      <c r="K77" s="940"/>
      <c r="L77" s="940"/>
      <c r="M77" s="940"/>
      <c r="N77" s="940"/>
      <c r="O77" s="936"/>
      <c r="P77" s="237"/>
      <c r="Q77" s="240"/>
      <c r="R77" s="237"/>
      <c r="S77" s="237"/>
      <c r="T77" s="237"/>
    </row>
    <row r="78" spans="2:20">
      <c r="E78" s="940"/>
      <c r="F78" s="940"/>
      <c r="G78" s="940"/>
      <c r="H78" s="940"/>
      <c r="I78" s="940"/>
      <c r="J78" s="940"/>
      <c r="K78" s="940"/>
      <c r="L78" s="940"/>
      <c r="M78" s="940"/>
      <c r="N78" s="940"/>
      <c r="O78" s="936"/>
      <c r="P78" s="237"/>
      <c r="Q78" s="240"/>
      <c r="R78" s="237"/>
      <c r="S78" s="237"/>
      <c r="T78" s="237"/>
    </row>
    <row r="79" spans="2:20">
      <c r="E79" s="940"/>
      <c r="F79" s="940"/>
      <c r="G79" s="940"/>
      <c r="H79" s="940"/>
      <c r="I79" s="940"/>
      <c r="J79" s="940"/>
      <c r="K79" s="940"/>
      <c r="L79" s="940"/>
      <c r="M79" s="940"/>
      <c r="N79" s="940"/>
      <c r="O79" s="936"/>
      <c r="P79" s="237"/>
      <c r="Q79" s="240"/>
      <c r="R79" s="237"/>
      <c r="S79" s="237"/>
      <c r="T79" s="237"/>
    </row>
    <row r="80" spans="2:20">
      <c r="E80" s="940"/>
      <c r="F80" s="940"/>
      <c r="G80" s="940"/>
      <c r="H80" s="940"/>
      <c r="I80" s="940"/>
      <c r="J80" s="940"/>
      <c r="K80" s="940"/>
      <c r="L80" s="940"/>
      <c r="M80" s="940"/>
      <c r="N80" s="940"/>
      <c r="O80" s="936"/>
      <c r="P80" s="237"/>
      <c r="Q80" s="240"/>
      <c r="R80" s="237"/>
      <c r="S80" s="237"/>
      <c r="T80" s="237"/>
    </row>
    <row r="81" spans="5:20">
      <c r="E81" s="936"/>
      <c r="F81" s="936"/>
      <c r="G81" s="936"/>
      <c r="H81" s="936"/>
      <c r="I81" s="936"/>
      <c r="J81" s="936"/>
      <c r="K81" s="936"/>
      <c r="L81" s="936"/>
      <c r="M81" s="936"/>
      <c r="N81" s="936"/>
      <c r="O81" s="936"/>
      <c r="P81" s="237"/>
      <c r="Q81" s="240"/>
      <c r="R81" s="237"/>
      <c r="S81" s="237"/>
      <c r="T81" s="237"/>
    </row>
    <row r="82" spans="5:20">
      <c r="E82" s="940"/>
      <c r="F82" s="940"/>
      <c r="G82" s="940"/>
      <c r="H82" s="940"/>
      <c r="I82" s="940"/>
      <c r="J82" s="940"/>
      <c r="K82" s="940"/>
      <c r="L82" s="940"/>
      <c r="M82" s="940"/>
      <c r="N82" s="940"/>
      <c r="O82" s="940"/>
      <c r="P82" s="237"/>
      <c r="Q82" s="240"/>
      <c r="R82" s="237"/>
      <c r="S82" s="237"/>
      <c r="T82" s="237"/>
    </row>
    <row r="83" spans="5:20">
      <c r="E83" s="940"/>
      <c r="F83" s="940"/>
      <c r="G83" s="940"/>
      <c r="H83" s="940"/>
      <c r="I83" s="940"/>
      <c r="J83" s="940"/>
      <c r="K83" s="940"/>
      <c r="L83" s="940"/>
      <c r="M83" s="940"/>
      <c r="N83" s="940"/>
      <c r="O83" s="936"/>
      <c r="P83" s="237"/>
      <c r="Q83" s="240"/>
      <c r="R83" s="237"/>
      <c r="S83" s="237"/>
      <c r="T83" s="237"/>
    </row>
    <row r="84" spans="5:20">
      <c r="E84" s="940"/>
      <c r="F84" s="940"/>
      <c r="G84" s="940"/>
      <c r="H84" s="940"/>
      <c r="I84" s="940"/>
      <c r="J84" s="940"/>
      <c r="K84" s="940"/>
      <c r="L84" s="940"/>
      <c r="M84" s="940"/>
      <c r="N84" s="940"/>
      <c r="O84" s="940"/>
      <c r="P84" s="237"/>
      <c r="Q84" s="240"/>
      <c r="R84" s="237"/>
      <c r="S84" s="237"/>
      <c r="T84" s="237"/>
    </row>
    <row r="85" spans="5:20">
      <c r="E85" s="940"/>
      <c r="F85" s="940"/>
      <c r="G85" s="940"/>
      <c r="H85" s="940"/>
      <c r="I85" s="940"/>
      <c r="J85" s="940"/>
      <c r="K85" s="940"/>
      <c r="L85" s="940"/>
      <c r="M85" s="940"/>
      <c r="N85" s="940"/>
      <c r="O85" s="936"/>
      <c r="P85" s="237"/>
      <c r="Q85" s="240"/>
      <c r="R85" s="237"/>
      <c r="S85" s="237"/>
      <c r="T85" s="237"/>
    </row>
    <row r="86" spans="5:20">
      <c r="E86" s="940"/>
      <c r="F86" s="940"/>
      <c r="G86" s="940"/>
      <c r="H86" s="940"/>
      <c r="I86" s="940"/>
      <c r="J86" s="940"/>
      <c r="K86" s="940"/>
      <c r="L86" s="940"/>
      <c r="M86" s="940"/>
      <c r="N86" s="940"/>
      <c r="O86" s="936"/>
      <c r="P86" s="237"/>
      <c r="Q86" s="240"/>
      <c r="R86" s="237"/>
      <c r="S86" s="237"/>
      <c r="T86" s="237"/>
    </row>
    <row r="87" spans="5:20">
      <c r="E87" s="936"/>
      <c r="F87" s="936"/>
      <c r="G87" s="936"/>
      <c r="H87" s="936"/>
      <c r="I87" s="936"/>
      <c r="J87" s="936"/>
      <c r="K87" s="936"/>
      <c r="L87" s="936"/>
      <c r="M87" s="936"/>
      <c r="N87" s="936"/>
      <c r="O87" s="936"/>
      <c r="P87" s="237"/>
      <c r="Q87" s="240"/>
      <c r="R87" s="237"/>
      <c r="S87" s="237"/>
      <c r="T87" s="237"/>
    </row>
    <row r="88" spans="5:20">
      <c r="E88" s="938"/>
      <c r="F88" s="938"/>
      <c r="G88" s="938"/>
      <c r="H88" s="938"/>
      <c r="I88" s="938"/>
      <c r="J88" s="938"/>
      <c r="K88" s="938"/>
      <c r="L88" s="938"/>
      <c r="M88" s="938"/>
      <c r="N88" s="938"/>
      <c r="O88" s="938"/>
      <c r="P88" s="237"/>
      <c r="Q88" s="240"/>
      <c r="R88" s="237"/>
      <c r="S88" s="237"/>
      <c r="T88" s="237"/>
    </row>
    <row r="89" spans="5:20">
      <c r="E89" s="938"/>
      <c r="F89" s="938"/>
      <c r="G89" s="938"/>
      <c r="H89" s="938"/>
      <c r="I89" s="938"/>
      <c r="J89" s="938"/>
      <c r="K89" s="938"/>
      <c r="L89" s="938"/>
      <c r="M89" s="938"/>
      <c r="N89" s="938"/>
      <c r="O89" s="938"/>
      <c r="P89" s="237"/>
      <c r="Q89" s="240"/>
      <c r="R89" s="237"/>
      <c r="S89" s="237"/>
      <c r="T89" s="237"/>
    </row>
    <row r="90" spans="5:20">
      <c r="E90" s="938"/>
      <c r="F90" s="938"/>
      <c r="G90" s="938"/>
      <c r="H90" s="938"/>
      <c r="I90" s="938"/>
      <c r="J90" s="938"/>
      <c r="K90" s="938"/>
      <c r="L90" s="938"/>
      <c r="M90" s="938"/>
      <c r="N90" s="938"/>
      <c r="O90" s="941"/>
      <c r="P90" s="237"/>
      <c r="Q90" s="240"/>
      <c r="R90" s="237"/>
      <c r="S90" s="237"/>
      <c r="T90" s="237"/>
    </row>
    <row r="91" spans="5:20">
      <c r="E91" s="937"/>
      <c r="F91" s="937"/>
      <c r="G91" s="937"/>
      <c r="H91" s="937"/>
      <c r="I91" s="937"/>
      <c r="J91" s="937"/>
      <c r="K91" s="937"/>
      <c r="L91" s="937"/>
      <c r="M91" s="937"/>
      <c r="N91" s="937"/>
      <c r="O91" s="937"/>
      <c r="P91" s="237"/>
      <c r="Q91" s="240"/>
      <c r="R91" s="237"/>
      <c r="S91" s="237"/>
      <c r="T91" s="237"/>
    </row>
    <row r="92" spans="5:20"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40"/>
      <c r="R92" s="237"/>
      <c r="S92" s="237"/>
      <c r="T92" s="237"/>
    </row>
  </sheetData>
  <mergeCells count="17">
    <mergeCell ref="N21:N24"/>
    <mergeCell ref="K21:K24"/>
    <mergeCell ref="C21:C24"/>
    <mergeCell ref="O73:O74"/>
    <mergeCell ref="C46:C49"/>
    <mergeCell ref="L46:L49"/>
    <mergeCell ref="N46:N49"/>
    <mergeCell ref="C4:C5"/>
    <mergeCell ref="G73:G74"/>
    <mergeCell ref="M73:M74"/>
    <mergeCell ref="L21:L24"/>
    <mergeCell ref="E20:L20"/>
    <mergeCell ref="E45:L45"/>
    <mergeCell ref="F4:F5"/>
    <mergeCell ref="G4:G5"/>
    <mergeCell ref="H4:H5"/>
    <mergeCell ref="J4:J5"/>
  </mergeCells>
  <phoneticPr fontId="86" type="noConversion"/>
  <pageMargins left="0.39" right="0.2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C1:AC61"/>
  <sheetViews>
    <sheetView showGridLines="0" defaultGridColor="0" view="pageBreakPreview" topLeftCell="B1" colorId="18" zoomScale="75" zoomScaleNormal="69" zoomScaleSheetLayoutView="75" workbookViewId="0">
      <selection activeCell="E3" sqref="E3"/>
    </sheetView>
  </sheetViews>
  <sheetFormatPr defaultColWidth="9.109375" defaultRowHeight="18"/>
  <cols>
    <col min="1" max="1" width="2.109375" style="1057" customWidth="1"/>
    <col min="2" max="2" width="6.109375" style="1057" customWidth="1"/>
    <col min="3" max="3" width="6.5546875" style="1057" customWidth="1"/>
    <col min="4" max="4" width="6.5546875" style="1057" hidden="1" customWidth="1"/>
    <col min="5" max="5" width="68.33203125" style="1057" customWidth="1"/>
    <col min="6" max="6" width="47.5546875" style="1057" hidden="1" customWidth="1"/>
    <col min="7" max="7" width="47.5546875" style="1266" hidden="1" customWidth="1"/>
    <col min="8" max="8" width="0.5546875" style="1057" customWidth="1"/>
    <col min="9" max="9" width="24.77734375" style="1057" customWidth="1"/>
    <col min="10" max="10" width="22.109375" style="1057" customWidth="1"/>
    <col min="11" max="11" width="7.109375" style="1057" customWidth="1"/>
    <col min="12" max="12" width="7" style="1057" customWidth="1"/>
    <col min="13" max="13" width="6.5546875" style="1057" customWidth="1"/>
    <col min="14" max="14" width="6.44140625" style="1057" bestFit="1" customWidth="1"/>
    <col min="15" max="15" width="6.44140625" style="1057" hidden="1" customWidth="1"/>
    <col min="16" max="16" width="61" style="1057" customWidth="1"/>
    <col min="17" max="17" width="45.5546875" style="1057" hidden="1" customWidth="1"/>
    <col min="18" max="18" width="46.44140625" style="1266" hidden="1" customWidth="1"/>
    <col min="19" max="19" width="0.5546875" style="1057" customWidth="1"/>
    <col min="20" max="20" width="25.88671875" style="1058" customWidth="1"/>
    <col min="21" max="21" width="22.44140625" style="1058" customWidth="1"/>
    <col min="22" max="22" width="3.5546875" style="1057" hidden="1" customWidth="1"/>
    <col min="23" max="23" width="5.21875" style="1057" customWidth="1"/>
    <col min="24" max="24" width="2.33203125" style="1059" customWidth="1"/>
    <col min="25" max="25" width="11.44140625" style="1061" bestFit="1" customWidth="1"/>
    <col min="26" max="26" width="12.5546875" style="1061" bestFit="1" customWidth="1"/>
    <col min="27" max="27" width="13.6640625" style="1061" bestFit="1" customWidth="1"/>
    <col min="28" max="28" width="14.109375" style="1061" bestFit="1" customWidth="1"/>
    <col min="29" max="29" width="9.109375" style="1061"/>
    <col min="30" max="16384" width="9.109375" style="1057"/>
  </cols>
  <sheetData>
    <row r="1" spans="3:29">
      <c r="G1" s="1057"/>
      <c r="R1" s="1057"/>
      <c r="Y1" s="1060"/>
      <c r="Z1" s="1060"/>
      <c r="AA1" s="1060"/>
    </row>
    <row r="2" spans="3:29">
      <c r="G2" s="1057"/>
      <c r="R2" s="1057"/>
      <c r="Y2" s="1060"/>
      <c r="Z2" s="1060"/>
      <c r="AA2" s="1060"/>
    </row>
    <row r="3" spans="3:29" s="1323" customFormat="1" ht="21">
      <c r="C3" s="1322" t="s">
        <v>1225</v>
      </c>
      <c r="N3" s="1322" t="s">
        <v>1225</v>
      </c>
      <c r="T3" s="1324"/>
      <c r="U3" s="1324"/>
      <c r="X3" s="1325"/>
      <c r="Y3" s="1326"/>
      <c r="Z3" s="1326"/>
      <c r="AA3" s="1326"/>
      <c r="AB3" s="1326"/>
      <c r="AC3" s="1326"/>
    </row>
    <row r="4" spans="3:29" ht="18.600000000000001" thickBot="1">
      <c r="G4" s="1057"/>
      <c r="R4" s="1057"/>
    </row>
    <row r="5" spans="3:29" ht="17.25" customHeight="1">
      <c r="C5" s="1335" t="s">
        <v>517</v>
      </c>
      <c r="D5" s="1062" t="s">
        <v>273</v>
      </c>
      <c r="E5" s="1337" t="s">
        <v>75</v>
      </c>
      <c r="F5" s="1337" t="s">
        <v>519</v>
      </c>
      <c r="G5" s="1063"/>
      <c r="H5" s="1337" t="s">
        <v>88</v>
      </c>
      <c r="I5" s="1350" t="s">
        <v>520</v>
      </c>
      <c r="J5" s="1351"/>
      <c r="K5" s="1064"/>
      <c r="L5" s="1064"/>
      <c r="M5" s="1065"/>
      <c r="N5" s="1335" t="s">
        <v>522</v>
      </c>
      <c r="O5" s="1066" t="s">
        <v>273</v>
      </c>
      <c r="P5" s="1348" t="s">
        <v>1102</v>
      </c>
      <c r="Q5" s="1348" t="s">
        <v>524</v>
      </c>
      <c r="R5" s="1063"/>
      <c r="S5" s="1337" t="s">
        <v>88</v>
      </c>
      <c r="T5" s="1346" t="s">
        <v>520</v>
      </c>
      <c r="U5" s="1347"/>
      <c r="V5" s="1345"/>
      <c r="W5" s="1067"/>
    </row>
    <row r="6" spans="3:29" ht="18.75" customHeight="1" thickBot="1">
      <c r="C6" s="1336"/>
      <c r="D6" s="1068" t="s">
        <v>274</v>
      </c>
      <c r="E6" s="1338"/>
      <c r="F6" s="1338"/>
      <c r="G6" s="1069"/>
      <c r="H6" s="1338"/>
      <c r="I6" s="1070" t="s">
        <v>1157</v>
      </c>
      <c r="J6" s="1071" t="s">
        <v>1140</v>
      </c>
      <c r="K6" s="1072"/>
      <c r="L6" s="1072"/>
      <c r="M6" s="1072"/>
      <c r="N6" s="1336"/>
      <c r="O6" s="1073" t="s">
        <v>274</v>
      </c>
      <c r="P6" s="1349"/>
      <c r="Q6" s="1349"/>
      <c r="R6" s="1069"/>
      <c r="S6" s="1338"/>
      <c r="T6" s="1070" t="s">
        <v>1157</v>
      </c>
      <c r="U6" s="1071" t="s">
        <v>1140</v>
      </c>
      <c r="V6" s="1345"/>
      <c r="W6" s="1067"/>
    </row>
    <row r="7" spans="3:29" ht="29.4" customHeight="1">
      <c r="C7" s="1074" t="s">
        <v>760</v>
      </c>
      <c r="D7" s="1075" t="s">
        <v>526</v>
      </c>
      <c r="E7" s="1076" t="s">
        <v>1073</v>
      </c>
      <c r="F7" s="1077" t="s">
        <v>23</v>
      </c>
      <c r="G7" s="1077"/>
      <c r="H7" s="1077"/>
      <c r="I7" s="1078"/>
      <c r="J7" s="1079"/>
      <c r="K7" s="1080"/>
      <c r="L7" s="1080"/>
      <c r="M7" s="1080"/>
      <c r="N7" s="1074" t="s">
        <v>760</v>
      </c>
      <c r="O7" s="1081" t="s">
        <v>185</v>
      </c>
      <c r="P7" s="1076" t="s">
        <v>1103</v>
      </c>
      <c r="Q7" s="1077"/>
      <c r="R7" s="1077"/>
      <c r="S7" s="1077"/>
      <c r="T7" s="1082"/>
      <c r="U7" s="1083"/>
      <c r="V7" s="1084"/>
      <c r="W7" s="1080"/>
    </row>
    <row r="8" spans="3:29">
      <c r="C8" s="1085">
        <v>1</v>
      </c>
      <c r="D8" s="1086" t="s">
        <v>194</v>
      </c>
      <c r="E8" s="1087" t="s">
        <v>1074</v>
      </c>
      <c r="F8" s="1088" t="s">
        <v>24</v>
      </c>
      <c r="G8" s="1089" t="s">
        <v>281</v>
      </c>
      <c r="H8" s="1088"/>
      <c r="I8" s="1090">
        <v>1811558</v>
      </c>
      <c r="J8" s="1091">
        <f>1693923+346380</f>
        <v>2040303</v>
      </c>
      <c r="K8" s="1080"/>
      <c r="L8" s="1080"/>
      <c r="M8" s="1092"/>
      <c r="N8" s="1093">
        <v>1</v>
      </c>
      <c r="O8" s="1087" t="s">
        <v>227</v>
      </c>
      <c r="P8" s="1087" t="s">
        <v>1076</v>
      </c>
      <c r="Q8" s="1087" t="s">
        <v>47</v>
      </c>
      <c r="R8" s="1094" t="s">
        <v>280</v>
      </c>
      <c r="S8" s="1087"/>
      <c r="T8" s="1095"/>
      <c r="U8" s="1096"/>
      <c r="V8" s="1097"/>
      <c r="W8" s="1098"/>
    </row>
    <row r="9" spans="3:29">
      <c r="C9" s="1099">
        <v>2</v>
      </c>
      <c r="D9" s="1100" t="s">
        <v>195</v>
      </c>
      <c r="E9" s="1101" t="s">
        <v>1075</v>
      </c>
      <c r="F9" s="1102" t="s">
        <v>25</v>
      </c>
      <c r="G9" s="1342" t="s">
        <v>282</v>
      </c>
      <c r="H9" s="1102"/>
      <c r="I9" s="1103">
        <f>SUM(I10:I11)</f>
        <v>0</v>
      </c>
      <c r="J9" s="1104">
        <f>SUM(J10:J11)</f>
        <v>0</v>
      </c>
      <c r="K9" s="1105"/>
      <c r="L9" s="1105"/>
      <c r="M9" s="1105"/>
      <c r="N9" s="1106">
        <v>2</v>
      </c>
      <c r="O9" s="1101" t="s">
        <v>228</v>
      </c>
      <c r="P9" s="1101" t="s">
        <v>1104</v>
      </c>
      <c r="Q9" s="1101" t="s">
        <v>48</v>
      </c>
      <c r="R9" s="1101"/>
      <c r="S9" s="1101"/>
      <c r="T9" s="1107">
        <f>SUM(T10:T12)</f>
        <v>0</v>
      </c>
      <c r="U9" s="1108">
        <f>SUM(U10:U12)</f>
        <v>0</v>
      </c>
      <c r="V9" s="1109"/>
      <c r="W9" s="1110"/>
    </row>
    <row r="10" spans="3:29">
      <c r="C10" s="1111" t="s">
        <v>1078</v>
      </c>
      <c r="D10" s="1112" t="s">
        <v>196</v>
      </c>
      <c r="E10" s="1113" t="s">
        <v>76</v>
      </c>
      <c r="F10" s="1103" t="s">
        <v>26</v>
      </c>
      <c r="G10" s="1343"/>
      <c r="H10" s="1103"/>
      <c r="I10" s="1103"/>
      <c r="J10" s="1104"/>
      <c r="K10" s="1105"/>
      <c r="L10" s="1105"/>
      <c r="M10" s="1105"/>
      <c r="N10" s="1111" t="s">
        <v>1078</v>
      </c>
      <c r="O10" s="1114" t="s">
        <v>229</v>
      </c>
      <c r="P10" s="1113" t="s">
        <v>1105</v>
      </c>
      <c r="Q10" s="1113" t="s">
        <v>49</v>
      </c>
      <c r="R10" s="1113" t="s">
        <v>296</v>
      </c>
      <c r="S10" s="1113"/>
      <c r="T10" s="1107"/>
      <c r="U10" s="1108"/>
      <c r="V10" s="1109"/>
      <c r="W10" s="1110"/>
    </row>
    <row r="11" spans="3:29" ht="22.8" customHeight="1">
      <c r="C11" s="1115" t="s">
        <v>1079</v>
      </c>
      <c r="D11" s="1116" t="s">
        <v>197</v>
      </c>
      <c r="E11" s="1117" t="s">
        <v>77</v>
      </c>
      <c r="F11" s="1118" t="s">
        <v>27</v>
      </c>
      <c r="G11" s="1344"/>
      <c r="H11" s="1118"/>
      <c r="I11" s="1118"/>
      <c r="J11" s="1119"/>
      <c r="K11" s="1105"/>
      <c r="L11" s="1105"/>
      <c r="M11" s="1105"/>
      <c r="N11" s="1111" t="s">
        <v>1079</v>
      </c>
      <c r="O11" s="1114" t="s">
        <v>230</v>
      </c>
      <c r="P11" s="1113" t="s">
        <v>1106</v>
      </c>
      <c r="Q11" s="1113" t="s">
        <v>50</v>
      </c>
      <c r="R11" s="1120" t="s">
        <v>297</v>
      </c>
      <c r="S11" s="1113"/>
      <c r="T11" s="1107"/>
      <c r="U11" s="1108"/>
      <c r="V11" s="1109"/>
      <c r="W11" s="1110"/>
    </row>
    <row r="12" spans="3:29" ht="15" customHeight="1">
      <c r="C12" s="1121"/>
      <c r="D12" s="1122"/>
      <c r="E12" s="1123" t="s">
        <v>1077</v>
      </c>
      <c r="F12" s="1124" t="s">
        <v>936</v>
      </c>
      <c r="G12" s="1124"/>
      <c r="H12" s="1125"/>
      <c r="I12" s="1126">
        <f>SUM(I10:I11)+I8</f>
        <v>1811558</v>
      </c>
      <c r="J12" s="1127">
        <f>SUM(J10:J11)+J8</f>
        <v>2040303</v>
      </c>
      <c r="K12" s="1105"/>
      <c r="L12" s="1105"/>
      <c r="M12" s="1105"/>
      <c r="N12" s="1115" t="s">
        <v>1081</v>
      </c>
      <c r="O12" s="1128" t="s">
        <v>231</v>
      </c>
      <c r="P12" s="1117" t="s">
        <v>1107</v>
      </c>
      <c r="Q12" s="1117" t="s">
        <v>51</v>
      </c>
      <c r="R12" s="1129" t="s">
        <v>298</v>
      </c>
      <c r="S12" s="1117"/>
      <c r="T12" s="1130"/>
      <c r="U12" s="1131"/>
      <c r="V12" s="1109"/>
      <c r="W12" s="1110"/>
    </row>
    <row r="13" spans="3:29">
      <c r="C13" s="1085">
        <v>3</v>
      </c>
      <c r="D13" s="1086" t="s">
        <v>198</v>
      </c>
      <c r="E13" s="1087" t="s">
        <v>1080</v>
      </c>
      <c r="F13" s="1087" t="s">
        <v>28</v>
      </c>
      <c r="G13" s="1342" t="s">
        <v>283</v>
      </c>
      <c r="H13" s="1087"/>
      <c r="I13" s="1132"/>
      <c r="J13" s="1133"/>
      <c r="K13" s="1105"/>
      <c r="L13" s="1105"/>
      <c r="M13" s="1105"/>
      <c r="N13" s="1121"/>
      <c r="O13" s="1134" t="s">
        <v>186</v>
      </c>
      <c r="P13" s="1123" t="s">
        <v>1077</v>
      </c>
      <c r="Q13" s="1135" t="s">
        <v>936</v>
      </c>
      <c r="R13" s="1135"/>
      <c r="S13" s="1135"/>
      <c r="T13" s="1136">
        <f>SUM(T10:T12)</f>
        <v>0</v>
      </c>
      <c r="U13" s="1137">
        <f>SUM(U10:U12)</f>
        <v>0</v>
      </c>
      <c r="V13" s="1109"/>
      <c r="W13" s="1110"/>
      <c r="Y13" s="1138"/>
    </row>
    <row r="14" spans="3:29">
      <c r="C14" s="1111" t="s">
        <v>1078</v>
      </c>
      <c r="D14" s="1112" t="s">
        <v>199</v>
      </c>
      <c r="E14" s="1113" t="s">
        <v>310</v>
      </c>
      <c r="F14" s="1103" t="s">
        <v>29</v>
      </c>
      <c r="G14" s="1343"/>
      <c r="H14" s="1103"/>
      <c r="I14" s="1103"/>
      <c r="J14" s="1104"/>
      <c r="K14" s="1105"/>
      <c r="L14" s="1105"/>
      <c r="M14" s="1105"/>
      <c r="N14" s="1085">
        <v>3</v>
      </c>
      <c r="O14" s="1139" t="s">
        <v>232</v>
      </c>
      <c r="P14" s="1087" t="s">
        <v>1108</v>
      </c>
      <c r="Q14" s="1094"/>
      <c r="R14" s="1094"/>
      <c r="S14" s="1094"/>
      <c r="T14" s="1140"/>
      <c r="U14" s="1141"/>
      <c r="V14" s="1109"/>
      <c r="W14" s="1110"/>
    </row>
    <row r="15" spans="3:29">
      <c r="C15" s="1111" t="s">
        <v>1079</v>
      </c>
      <c r="D15" s="1112" t="s">
        <v>200</v>
      </c>
      <c r="E15" s="1113" t="s">
        <v>78</v>
      </c>
      <c r="F15" s="1103" t="s">
        <v>30</v>
      </c>
      <c r="G15" s="1344"/>
      <c r="H15" s="1103"/>
      <c r="I15" s="1142">
        <f>1048641</f>
        <v>1048641</v>
      </c>
      <c r="J15" s="1143">
        <f>100000+238092</f>
        <v>338092</v>
      </c>
      <c r="K15" s="1105"/>
      <c r="L15" s="1105"/>
      <c r="M15" s="1105"/>
      <c r="N15" s="1111" t="s">
        <v>1078</v>
      </c>
      <c r="O15" s="1114" t="s">
        <v>233</v>
      </c>
      <c r="P15" s="1113" t="s">
        <v>1109</v>
      </c>
      <c r="Q15" s="1113" t="s">
        <v>52</v>
      </c>
      <c r="R15" s="1113" t="s">
        <v>296</v>
      </c>
      <c r="S15" s="1113"/>
      <c r="T15" s="1107">
        <v>65565523</v>
      </c>
      <c r="U15" s="1108">
        <f>-15+74688545</f>
        <v>74688530</v>
      </c>
      <c r="V15" s="1109"/>
      <c r="W15" s="1110"/>
    </row>
    <row r="16" spans="3:29">
      <c r="C16" s="1144" t="s">
        <v>1081</v>
      </c>
      <c r="D16" s="1145" t="s">
        <v>201</v>
      </c>
      <c r="E16" s="1113" t="s">
        <v>1222</v>
      </c>
      <c r="F16" s="1103" t="s">
        <v>26</v>
      </c>
      <c r="G16" s="1342"/>
      <c r="H16" s="1103"/>
      <c r="I16" s="1146"/>
      <c r="J16" s="1104"/>
      <c r="K16" s="1105"/>
      <c r="L16" s="1105"/>
      <c r="M16" s="1092"/>
      <c r="N16" s="1111" t="s">
        <v>1079</v>
      </c>
      <c r="O16" s="1114" t="s">
        <v>234</v>
      </c>
      <c r="P16" s="1113" t="s">
        <v>1110</v>
      </c>
      <c r="Q16" s="1113" t="s">
        <v>53</v>
      </c>
      <c r="R16" s="1113"/>
      <c r="S16" s="1113"/>
      <c r="T16" s="1107">
        <v>5553825</v>
      </c>
      <c r="U16" s="1108">
        <v>4544929</v>
      </c>
      <c r="V16" s="1109"/>
      <c r="W16" s="1110"/>
    </row>
    <row r="17" spans="3:28">
      <c r="C17" s="1115" t="s">
        <v>1082</v>
      </c>
      <c r="D17" s="1116" t="s">
        <v>202</v>
      </c>
      <c r="E17" s="1117" t="s">
        <v>79</v>
      </c>
      <c r="F17" s="1147" t="s">
        <v>31</v>
      </c>
      <c r="G17" s="1343"/>
      <c r="H17" s="1147"/>
      <c r="I17" s="1118"/>
      <c r="J17" s="1119"/>
      <c r="K17" s="1105"/>
      <c r="L17" s="1105"/>
      <c r="M17" s="1105"/>
      <c r="N17" s="1111" t="s">
        <v>1081</v>
      </c>
      <c r="O17" s="1114" t="s">
        <v>235</v>
      </c>
      <c r="P17" s="1113" t="s">
        <v>1111</v>
      </c>
      <c r="Q17" s="1113" t="s">
        <v>54</v>
      </c>
      <c r="R17" s="1113"/>
      <c r="S17" s="1113"/>
      <c r="T17" s="1142">
        <v>34958</v>
      </c>
      <c r="U17" s="1143">
        <f>28458+8000+324874-'P&amp;L14'!G29</f>
        <v>4634234.1000000006</v>
      </c>
      <c r="V17" s="1109"/>
      <c r="W17" s="1110"/>
      <c r="Y17" s="1148"/>
      <c r="Z17" s="1110"/>
    </row>
    <row r="18" spans="3:28">
      <c r="C18" s="1121"/>
      <c r="D18" s="1122"/>
      <c r="E18" s="1123" t="s">
        <v>1077</v>
      </c>
      <c r="F18" s="1123" t="s">
        <v>936</v>
      </c>
      <c r="G18" s="1123"/>
      <c r="H18" s="1149"/>
      <c r="I18" s="1126">
        <f>SUM(I14:I17)</f>
        <v>1048641</v>
      </c>
      <c r="J18" s="1127">
        <f>SUM(J14:J17)</f>
        <v>338092</v>
      </c>
      <c r="K18" s="1105"/>
      <c r="L18" s="1105"/>
      <c r="M18" s="1105"/>
      <c r="N18" s="1111" t="s">
        <v>1089</v>
      </c>
      <c r="O18" s="1114" t="s">
        <v>236</v>
      </c>
      <c r="P18" s="1113" t="s">
        <v>1112</v>
      </c>
      <c r="Q18" s="1113" t="s">
        <v>55</v>
      </c>
      <c r="R18" s="1113"/>
      <c r="S18" s="1113"/>
      <c r="T18" s="1150"/>
      <c r="U18" s="1151"/>
      <c r="V18" s="1152"/>
      <c r="W18" s="1153"/>
      <c r="Y18" s="1154"/>
    </row>
    <row r="19" spans="3:28">
      <c r="C19" s="1085">
        <v>4</v>
      </c>
      <c r="D19" s="1086" t="s">
        <v>633</v>
      </c>
      <c r="E19" s="1087" t="s">
        <v>1083</v>
      </c>
      <c r="F19" s="1087" t="s">
        <v>638</v>
      </c>
      <c r="G19" s="1342" t="s">
        <v>284</v>
      </c>
      <c r="H19" s="1087"/>
      <c r="I19" s="1132"/>
      <c r="J19" s="1133"/>
      <c r="K19" s="1105"/>
      <c r="L19" s="1105"/>
      <c r="M19" s="1105"/>
      <c r="N19" s="1115" t="s">
        <v>1082</v>
      </c>
      <c r="O19" s="1128" t="s">
        <v>237</v>
      </c>
      <c r="P19" s="1117" t="s">
        <v>1113</v>
      </c>
      <c r="Q19" s="1117" t="s">
        <v>56</v>
      </c>
      <c r="R19" s="1117"/>
      <c r="S19" s="1117"/>
      <c r="T19" s="1130">
        <v>92508717</v>
      </c>
      <c r="U19" s="1131">
        <v>64561207</v>
      </c>
      <c r="V19" s="1155"/>
      <c r="W19" s="1098"/>
    </row>
    <row r="20" spans="3:28">
      <c r="C20" s="1111" t="s">
        <v>1078</v>
      </c>
      <c r="D20" s="1112" t="s">
        <v>203</v>
      </c>
      <c r="E20" s="1113" t="s">
        <v>80</v>
      </c>
      <c r="F20" s="1103" t="s">
        <v>32</v>
      </c>
      <c r="G20" s="1343"/>
      <c r="H20" s="1103"/>
      <c r="I20" s="1103">
        <v>5723945</v>
      </c>
      <c r="J20" s="1104">
        <v>5296963</v>
      </c>
      <c r="K20" s="1105"/>
      <c r="L20" s="1105"/>
      <c r="M20" s="1105"/>
      <c r="N20" s="1111" t="s">
        <v>426</v>
      </c>
      <c r="O20" s="1114"/>
      <c r="P20" s="1113" t="s">
        <v>488</v>
      </c>
      <c r="Q20" s="1113"/>
      <c r="R20" s="1113"/>
      <c r="S20" s="1113"/>
      <c r="T20" s="1107">
        <f>17122709</f>
        <v>17122709</v>
      </c>
      <c r="U20" s="1108">
        <v>25237618</v>
      </c>
      <c r="V20" s="1109"/>
      <c r="W20" s="1110"/>
      <c r="Y20" s="1138"/>
    </row>
    <row r="21" spans="3:28" ht="15.75" customHeight="1">
      <c r="C21" s="1111" t="s">
        <v>1079</v>
      </c>
      <c r="D21" s="1112" t="s">
        <v>204</v>
      </c>
      <c r="E21" s="1113" t="s">
        <v>81</v>
      </c>
      <c r="F21" s="1103" t="s">
        <v>33</v>
      </c>
      <c r="G21" s="1344"/>
      <c r="H21" s="1103"/>
      <c r="I21" s="1103"/>
      <c r="J21" s="1104"/>
      <c r="K21" s="1105"/>
      <c r="L21" s="1105"/>
      <c r="M21" s="1105"/>
      <c r="N21" s="1121"/>
      <c r="O21" s="1134" t="s">
        <v>187</v>
      </c>
      <c r="P21" s="1123" t="s">
        <v>1077</v>
      </c>
      <c r="Q21" s="1135" t="s">
        <v>936</v>
      </c>
      <c r="R21" s="1135"/>
      <c r="S21" s="1149"/>
      <c r="T21" s="1156">
        <f>SUM(T15:T20)</f>
        <v>180785732</v>
      </c>
      <c r="U21" s="1157">
        <f>SUM(U15:U20)</f>
        <v>173666518.09999999</v>
      </c>
      <c r="V21" s="1109"/>
      <c r="W21" s="1110"/>
      <c r="AA21" s="1158"/>
      <c r="AB21" s="1158"/>
    </row>
    <row r="22" spans="3:28" ht="15.75" customHeight="1">
      <c r="C22" s="1144" t="s">
        <v>1081</v>
      </c>
      <c r="D22" s="1145" t="s">
        <v>205</v>
      </c>
      <c r="E22" s="1113" t="s">
        <v>82</v>
      </c>
      <c r="F22" s="1103" t="s">
        <v>34</v>
      </c>
      <c r="G22" s="1159"/>
      <c r="H22" s="1103"/>
      <c r="I22" s="1103"/>
      <c r="J22" s="1104"/>
      <c r="K22" s="1105"/>
      <c r="L22" s="1105"/>
      <c r="M22" s="1105"/>
      <c r="N22" s="1085">
        <v>4</v>
      </c>
      <c r="O22" s="1139" t="s">
        <v>238</v>
      </c>
      <c r="P22" s="1087" t="s">
        <v>277</v>
      </c>
      <c r="Q22" s="1087" t="s">
        <v>57</v>
      </c>
      <c r="R22" s="1160" t="s">
        <v>299</v>
      </c>
      <c r="S22" s="1094"/>
      <c r="T22" s="1140"/>
      <c r="U22" s="1141"/>
      <c r="V22" s="1109"/>
      <c r="W22" s="1110"/>
      <c r="AA22" s="1158"/>
      <c r="AB22" s="1158"/>
    </row>
    <row r="23" spans="3:28" ht="17.25" customHeight="1">
      <c r="C23" s="1111" t="s">
        <v>1082</v>
      </c>
      <c r="D23" s="1112" t="s">
        <v>206</v>
      </c>
      <c r="E23" s="1113" t="s">
        <v>83</v>
      </c>
      <c r="F23" s="1103" t="s">
        <v>35</v>
      </c>
      <c r="G23" s="1161"/>
      <c r="H23" s="1103"/>
      <c r="I23" s="1103"/>
      <c r="J23" s="1104"/>
      <c r="K23" s="1105"/>
      <c r="L23" s="1105"/>
      <c r="M23" s="1092"/>
      <c r="N23" s="1099">
        <v>5</v>
      </c>
      <c r="O23" s="1162" t="s">
        <v>239</v>
      </c>
      <c r="P23" s="1101" t="s">
        <v>278</v>
      </c>
      <c r="Q23" s="1101" t="s">
        <v>58</v>
      </c>
      <c r="R23" s="1120" t="s">
        <v>301</v>
      </c>
      <c r="S23" s="1113"/>
      <c r="T23" s="1107"/>
      <c r="U23" s="1108"/>
      <c r="V23" s="1109"/>
      <c r="W23" s="1110"/>
      <c r="AA23" s="1158"/>
      <c r="AB23" s="1158"/>
    </row>
    <row r="24" spans="3:28">
      <c r="C24" s="1115" t="s">
        <v>87</v>
      </c>
      <c r="D24" s="1116" t="s">
        <v>207</v>
      </c>
      <c r="E24" s="1117" t="s">
        <v>84</v>
      </c>
      <c r="F24" s="1118" t="s">
        <v>36</v>
      </c>
      <c r="G24" s="1163"/>
      <c r="H24" s="1118"/>
      <c r="I24" s="1164"/>
      <c r="J24" s="1165"/>
      <c r="K24" s="1105"/>
      <c r="L24" s="1105"/>
      <c r="M24" s="1105"/>
      <c r="N24" s="1115"/>
      <c r="O24" s="1128"/>
      <c r="P24" s="1117"/>
      <c r="Q24" s="1117"/>
      <c r="R24" s="1117"/>
      <c r="S24" s="1117"/>
      <c r="T24" s="1130"/>
      <c r="U24" s="1131"/>
      <c r="V24" s="1166"/>
      <c r="W24" s="1167"/>
      <c r="AA24" s="1158"/>
      <c r="AB24" s="1158"/>
    </row>
    <row r="25" spans="3:28">
      <c r="C25" s="1121"/>
      <c r="D25" s="1122"/>
      <c r="E25" s="1123" t="s">
        <v>1077</v>
      </c>
      <c r="F25" s="1123" t="s">
        <v>936</v>
      </c>
      <c r="G25" s="1123"/>
      <c r="H25" s="1149"/>
      <c r="I25" s="1126">
        <f>SUM(I20:I24)</f>
        <v>5723945</v>
      </c>
      <c r="J25" s="1127">
        <f>SUM(J20:J24)</f>
        <v>5296963</v>
      </c>
      <c r="K25" s="1105"/>
      <c r="L25" s="1105"/>
      <c r="M25" s="1105"/>
      <c r="N25" s="1121"/>
      <c r="O25" s="1134"/>
      <c r="P25" s="1123" t="s">
        <v>1114</v>
      </c>
      <c r="Q25" s="1168" t="s">
        <v>72</v>
      </c>
      <c r="R25" s="1168"/>
      <c r="S25" s="1168"/>
      <c r="T25" s="1169">
        <f>SUM(T22:T23,T21,T13)</f>
        <v>180785732</v>
      </c>
      <c r="U25" s="1170">
        <f>SUM(U22:U23,U21,U13)</f>
        <v>173666518.09999999</v>
      </c>
      <c r="V25" s="1155"/>
      <c r="W25" s="1098"/>
      <c r="AA25" s="1158"/>
      <c r="AB25" s="1158"/>
    </row>
    <row r="26" spans="3:28">
      <c r="C26" s="1144">
        <v>5</v>
      </c>
      <c r="D26" s="1145" t="s">
        <v>208</v>
      </c>
      <c r="E26" s="1087" t="s">
        <v>1084</v>
      </c>
      <c r="F26" s="1087" t="s">
        <v>309</v>
      </c>
      <c r="G26" s="1087"/>
      <c r="H26" s="1087"/>
      <c r="I26" s="1132"/>
      <c r="J26" s="1133"/>
      <c r="K26" s="1105"/>
      <c r="L26" s="1105"/>
      <c r="M26" s="1105"/>
      <c r="N26" s="1171" t="s">
        <v>765</v>
      </c>
      <c r="O26" s="1172" t="s">
        <v>188</v>
      </c>
      <c r="P26" s="1173" t="s">
        <v>1115</v>
      </c>
      <c r="Q26" s="1174"/>
      <c r="R26" s="1174"/>
      <c r="S26" s="1174"/>
      <c r="T26" s="1175"/>
      <c r="U26" s="1176"/>
      <c r="V26" s="1109"/>
      <c r="W26" s="1110"/>
      <c r="AA26" s="1158"/>
      <c r="AB26" s="1158"/>
    </row>
    <row r="27" spans="3:28" ht="19.8" customHeight="1">
      <c r="C27" s="1111">
        <v>6</v>
      </c>
      <c r="D27" s="1112" t="s">
        <v>209</v>
      </c>
      <c r="E27" s="1101" t="s">
        <v>1085</v>
      </c>
      <c r="F27" s="1101" t="s">
        <v>27</v>
      </c>
      <c r="G27" s="1120" t="s">
        <v>285</v>
      </c>
      <c r="H27" s="1101"/>
      <c r="I27" s="1103"/>
      <c r="J27" s="1104"/>
      <c r="K27" s="1105"/>
      <c r="L27" s="1105"/>
      <c r="M27" s="1105"/>
      <c r="N27" s="1177"/>
      <c r="O27" s="1094"/>
      <c r="P27" s="1094"/>
      <c r="Q27" s="1094"/>
      <c r="R27" s="1094"/>
      <c r="S27" s="1094"/>
      <c r="T27" s="1140"/>
      <c r="U27" s="1141"/>
      <c r="V27" s="1109"/>
      <c r="W27" s="1110"/>
      <c r="AA27" s="1158"/>
      <c r="AB27" s="1158"/>
    </row>
    <row r="28" spans="3:28">
      <c r="C28" s="1115">
        <v>7</v>
      </c>
      <c r="D28" s="1116" t="s">
        <v>210</v>
      </c>
      <c r="E28" s="1178" t="s">
        <v>1086</v>
      </c>
      <c r="F28" s="1101" t="s">
        <v>37</v>
      </c>
      <c r="G28" s="1117" t="s">
        <v>286</v>
      </c>
      <c r="H28" s="1178"/>
      <c r="I28" s="1118">
        <f>17810253+1801720+1500000</f>
        <v>21111973</v>
      </c>
      <c r="J28" s="1119">
        <v>17810253</v>
      </c>
      <c r="K28" s="1105"/>
      <c r="L28" s="1105"/>
      <c r="M28" s="1105"/>
      <c r="N28" s="1179">
        <v>1</v>
      </c>
      <c r="O28" s="1180" t="s">
        <v>240</v>
      </c>
      <c r="P28" s="1180" t="s">
        <v>1116</v>
      </c>
      <c r="Q28" s="1101" t="s">
        <v>59</v>
      </c>
      <c r="R28" s="1101"/>
      <c r="S28" s="1101"/>
      <c r="T28" s="1181">
        <f>SUM(T29:T30)</f>
        <v>0</v>
      </c>
      <c r="U28" s="1151">
        <f>SUM(U29:U30)</f>
        <v>0</v>
      </c>
      <c r="V28" s="1182"/>
      <c r="W28" s="1080"/>
      <c r="AA28" s="1158"/>
      <c r="AB28" s="1183"/>
    </row>
    <row r="29" spans="3:28">
      <c r="C29" s="1184"/>
      <c r="D29" s="1185"/>
      <c r="E29" s="1123" t="s">
        <v>85</v>
      </c>
      <c r="F29" s="1186"/>
      <c r="G29" s="1186"/>
      <c r="H29" s="1186"/>
      <c r="I29" s="1187">
        <f>SUM(I26:I28,I25,I18,I12)</f>
        <v>29696117</v>
      </c>
      <c r="J29" s="1188">
        <f>SUM(J26:J28,J25,J18,J12)</f>
        <v>25485611</v>
      </c>
      <c r="K29" s="1092"/>
      <c r="L29" s="1092"/>
      <c r="M29" s="1092"/>
      <c r="N29" s="1189" t="s">
        <v>1078</v>
      </c>
      <c r="O29" s="1190" t="s">
        <v>241</v>
      </c>
      <c r="P29" s="1191" t="s">
        <v>74</v>
      </c>
      <c r="Q29" s="1113" t="s">
        <v>73</v>
      </c>
      <c r="R29" s="1113"/>
      <c r="S29" s="1113"/>
      <c r="T29" s="1107"/>
      <c r="U29" s="1108"/>
      <c r="V29" s="1155"/>
      <c r="W29" s="1098"/>
      <c r="AA29" s="1158"/>
    </row>
    <row r="30" spans="3:28" ht="16.5" customHeight="1">
      <c r="C30" s="1192"/>
      <c r="D30" s="1168"/>
      <c r="E30" s="1168"/>
      <c r="F30" s="1193"/>
      <c r="G30" s="1193"/>
      <c r="H30" s="1193"/>
      <c r="I30" s="1194"/>
      <c r="J30" s="1195"/>
      <c r="K30" s="1092"/>
      <c r="L30" s="1092"/>
      <c r="M30" s="1092"/>
      <c r="N30" s="1196" t="s">
        <v>1079</v>
      </c>
      <c r="O30" s="1197" t="s">
        <v>242</v>
      </c>
      <c r="P30" s="1198" t="s">
        <v>1117</v>
      </c>
      <c r="Q30" s="1117" t="s">
        <v>50</v>
      </c>
      <c r="R30" s="1129" t="s">
        <v>300</v>
      </c>
      <c r="S30" s="1117"/>
      <c r="T30" s="1130"/>
      <c r="U30" s="1131"/>
      <c r="V30" s="1109"/>
      <c r="W30" s="1110"/>
    </row>
    <row r="31" spans="3:28" ht="27.6" customHeight="1">
      <c r="C31" s="1171" t="s">
        <v>765</v>
      </c>
      <c r="D31" s="1199" t="s">
        <v>630</v>
      </c>
      <c r="E31" s="1173" t="s">
        <v>1087</v>
      </c>
      <c r="F31" s="1200" t="s">
        <v>86</v>
      </c>
      <c r="G31" s="1200"/>
      <c r="H31" s="1200"/>
      <c r="I31" s="1201"/>
      <c r="J31" s="1202"/>
      <c r="K31" s="1105"/>
      <c r="L31" s="1105"/>
      <c r="M31" s="1105"/>
      <c r="N31" s="1203"/>
      <c r="O31" s="1204"/>
      <c r="P31" s="1205" t="s">
        <v>1077</v>
      </c>
      <c r="Q31" s="1135" t="s">
        <v>1077</v>
      </c>
      <c r="R31" s="1135"/>
      <c r="S31" s="1149"/>
      <c r="T31" s="1136">
        <f>T28</f>
        <v>0</v>
      </c>
      <c r="U31" s="1137">
        <f>U28</f>
        <v>0</v>
      </c>
      <c r="V31" s="1109"/>
      <c r="W31" s="1110"/>
    </row>
    <row r="32" spans="3:28" ht="15" customHeight="1">
      <c r="C32" s="1206">
        <v>1</v>
      </c>
      <c r="D32" s="1207" t="s">
        <v>211</v>
      </c>
      <c r="E32" s="1087" t="s">
        <v>1088</v>
      </c>
      <c r="F32" s="1101" t="s">
        <v>38</v>
      </c>
      <c r="G32" s="1120" t="s">
        <v>287</v>
      </c>
      <c r="H32" s="1101"/>
      <c r="I32" s="1103"/>
      <c r="J32" s="1104"/>
      <c r="K32" s="1105"/>
      <c r="L32" s="1105"/>
      <c r="M32" s="1105"/>
      <c r="N32" s="1208">
        <v>2</v>
      </c>
      <c r="O32" s="1209" t="s">
        <v>243</v>
      </c>
      <c r="P32" s="1209" t="s">
        <v>1118</v>
      </c>
      <c r="Q32" s="1087" t="s">
        <v>60</v>
      </c>
      <c r="R32" s="1087"/>
      <c r="S32" s="1094"/>
      <c r="T32" s="1140"/>
      <c r="U32" s="1141"/>
      <c r="V32" s="1109"/>
      <c r="W32" s="1110"/>
    </row>
    <row r="33" spans="3:27" ht="17.25" customHeight="1">
      <c r="C33" s="1111" t="s">
        <v>1078</v>
      </c>
      <c r="D33" s="1112" t="s">
        <v>212</v>
      </c>
      <c r="E33" s="1113" t="s">
        <v>1090</v>
      </c>
      <c r="F33" s="1113" t="s">
        <v>39</v>
      </c>
      <c r="G33" s="1113"/>
      <c r="H33" s="1113"/>
      <c r="I33" s="1103"/>
      <c r="J33" s="1104"/>
      <c r="K33" s="1210"/>
      <c r="L33" s="1210"/>
      <c r="M33" s="1105"/>
      <c r="N33" s="1179">
        <v>3</v>
      </c>
      <c r="O33" s="1180" t="s">
        <v>244</v>
      </c>
      <c r="P33" s="1180" t="s">
        <v>1119</v>
      </c>
      <c r="Q33" s="1101" t="s">
        <v>618</v>
      </c>
      <c r="R33" s="1120" t="s">
        <v>302</v>
      </c>
      <c r="S33" s="1113"/>
      <c r="T33" s="1107"/>
      <c r="U33" s="1108"/>
      <c r="V33" s="1109"/>
      <c r="W33" s="1110"/>
    </row>
    <row r="34" spans="3:27" ht="18.75" customHeight="1">
      <c r="C34" s="1111" t="s">
        <v>1079</v>
      </c>
      <c r="D34" s="1112" t="s">
        <v>213</v>
      </c>
      <c r="E34" s="1113" t="s">
        <v>1091</v>
      </c>
      <c r="F34" s="1113" t="s">
        <v>40</v>
      </c>
      <c r="G34" s="1120" t="s">
        <v>288</v>
      </c>
      <c r="H34" s="1113"/>
      <c r="I34" s="1142">
        <v>0</v>
      </c>
      <c r="J34" s="1143">
        <v>0</v>
      </c>
      <c r="K34" s="1105"/>
      <c r="L34" s="1105"/>
      <c r="M34" s="1105"/>
      <c r="N34" s="1211">
        <v>4</v>
      </c>
      <c r="O34" s="1212" t="s">
        <v>245</v>
      </c>
      <c r="P34" s="1212" t="s">
        <v>1120</v>
      </c>
      <c r="Q34" s="1178" t="s">
        <v>57</v>
      </c>
      <c r="R34" s="1129" t="s">
        <v>303</v>
      </c>
      <c r="S34" s="1117"/>
      <c r="T34" s="1130"/>
      <c r="U34" s="1131"/>
      <c r="V34" s="1109"/>
      <c r="W34" s="1110"/>
    </row>
    <row r="35" spans="3:27" ht="16.5" customHeight="1">
      <c r="C35" s="1111" t="s">
        <v>1081</v>
      </c>
      <c r="D35" s="1112" t="s">
        <v>214</v>
      </c>
      <c r="E35" s="1113" t="s">
        <v>1092</v>
      </c>
      <c r="F35" s="1113" t="s">
        <v>41</v>
      </c>
      <c r="G35" s="1120" t="s">
        <v>289</v>
      </c>
      <c r="H35" s="1113"/>
      <c r="I35" s="1103"/>
      <c r="J35" s="1104"/>
      <c r="K35" s="1210"/>
      <c r="L35" s="1210"/>
      <c r="M35" s="1105"/>
      <c r="N35" s="1203"/>
      <c r="O35" s="1204"/>
      <c r="P35" s="1205" t="s">
        <v>1121</v>
      </c>
      <c r="Q35" s="1168" t="s">
        <v>61</v>
      </c>
      <c r="R35" s="1168"/>
      <c r="S35" s="1168"/>
      <c r="T35" s="1136">
        <f>SUM(T32:T34,T28)</f>
        <v>0</v>
      </c>
      <c r="U35" s="1137">
        <f>SUM(U32:U34,U28)</f>
        <v>0</v>
      </c>
      <c r="V35" s="1109"/>
      <c r="W35" s="1110"/>
    </row>
    <row r="36" spans="3:27">
      <c r="C36" s="1115" t="s">
        <v>1089</v>
      </c>
      <c r="D36" s="1116" t="s">
        <v>215</v>
      </c>
      <c r="E36" s="1117" t="s">
        <v>1093</v>
      </c>
      <c r="F36" s="1117" t="s">
        <v>42</v>
      </c>
      <c r="G36" s="1117" t="s">
        <v>290</v>
      </c>
      <c r="H36" s="1117"/>
      <c r="I36" s="1118"/>
      <c r="J36" s="1119"/>
      <c r="K36" s="1210"/>
      <c r="L36" s="1210"/>
      <c r="M36" s="1213"/>
      <c r="N36" s="1214"/>
      <c r="O36" s="1215"/>
      <c r="P36" s="1215"/>
      <c r="Q36" s="1215"/>
      <c r="R36" s="1215"/>
      <c r="S36" s="1215"/>
      <c r="T36" s="1216"/>
      <c r="U36" s="1217"/>
      <c r="V36" s="1109"/>
      <c r="W36" s="1110"/>
    </row>
    <row r="37" spans="3:27">
      <c r="C37" s="1218"/>
      <c r="D37" s="1219"/>
      <c r="E37" s="1123" t="s">
        <v>1077</v>
      </c>
      <c r="F37" s="1220" t="s">
        <v>936</v>
      </c>
      <c r="G37" s="1220"/>
      <c r="H37" s="1186"/>
      <c r="I37" s="1221">
        <f>SUM(I33:I36)</f>
        <v>0</v>
      </c>
      <c r="J37" s="1222">
        <f>SUM(J33:J36)</f>
        <v>0</v>
      </c>
      <c r="K37" s="1223"/>
      <c r="L37" s="1223"/>
      <c r="M37" s="1080"/>
      <c r="N37" s="1224"/>
      <c r="O37" s="1225"/>
      <c r="P37" s="1225" t="s">
        <v>1122</v>
      </c>
      <c r="Q37" s="1168" t="s">
        <v>62</v>
      </c>
      <c r="R37" s="1168"/>
      <c r="S37" s="1168"/>
      <c r="T37" s="1136">
        <f>+T35+T25</f>
        <v>180785732</v>
      </c>
      <c r="U37" s="1137">
        <f>+U35+U25</f>
        <v>173666518.09999999</v>
      </c>
      <c r="V37" s="1155"/>
      <c r="W37" s="1098"/>
      <c r="Y37" s="1138"/>
    </row>
    <row r="38" spans="3:27">
      <c r="C38" s="1144"/>
      <c r="D38" s="1226" t="s">
        <v>740</v>
      </c>
      <c r="E38" s="1087" t="s">
        <v>1094</v>
      </c>
      <c r="F38" s="1087" t="s">
        <v>43</v>
      </c>
      <c r="G38" s="1087"/>
      <c r="H38" s="1087"/>
      <c r="I38" s="1132"/>
      <c r="J38" s="1133"/>
      <c r="K38" s="1210"/>
      <c r="L38" s="1210"/>
      <c r="M38" s="1105"/>
      <c r="N38" s="1214"/>
      <c r="O38" s="1215"/>
      <c r="P38" s="1215"/>
      <c r="Q38" s="1094"/>
      <c r="R38" s="1227"/>
      <c r="S38" s="1227"/>
      <c r="T38" s="1216"/>
      <c r="U38" s="1217"/>
      <c r="V38" s="1109"/>
      <c r="W38" s="1110"/>
      <c r="Z38" s="1138"/>
    </row>
    <row r="39" spans="3:27">
      <c r="C39" s="1111" t="s">
        <v>1078</v>
      </c>
      <c r="D39" s="1112" t="s">
        <v>216</v>
      </c>
      <c r="E39" s="1113" t="s">
        <v>975</v>
      </c>
      <c r="F39" s="1113" t="s">
        <v>44</v>
      </c>
      <c r="G39" s="1339" t="s">
        <v>291</v>
      </c>
      <c r="H39" s="1113"/>
      <c r="I39" s="1103"/>
      <c r="J39" s="1104"/>
      <c r="K39" s="1210"/>
      <c r="L39" s="1210"/>
      <c r="M39" s="1105"/>
      <c r="N39" s="1171" t="s">
        <v>863</v>
      </c>
      <c r="O39" s="1172" t="s">
        <v>189</v>
      </c>
      <c r="P39" s="1173" t="s">
        <v>931</v>
      </c>
      <c r="Q39" s="1174"/>
      <c r="R39" s="1174"/>
      <c r="S39" s="1174"/>
      <c r="T39" s="1175"/>
      <c r="U39" s="1176"/>
      <c r="V39" s="1109"/>
      <c r="W39" s="1110"/>
    </row>
    <row r="40" spans="3:27">
      <c r="C40" s="1111" t="s">
        <v>1079</v>
      </c>
      <c r="D40" s="1112" t="s">
        <v>217</v>
      </c>
      <c r="E40" s="1113" t="s">
        <v>1095</v>
      </c>
      <c r="F40" s="1113" t="s">
        <v>120</v>
      </c>
      <c r="G40" s="1340"/>
      <c r="H40" s="1113"/>
      <c r="I40" s="1103"/>
      <c r="J40" s="1104"/>
      <c r="K40" s="1210"/>
      <c r="L40" s="1210"/>
      <c r="M40" s="1105"/>
      <c r="N40" s="1228"/>
      <c r="O40" s="1229"/>
      <c r="P40" s="1229"/>
      <c r="Q40" s="1229"/>
      <c r="R40" s="1229"/>
      <c r="S40" s="1229"/>
      <c r="T40" s="1140"/>
      <c r="U40" s="1141"/>
      <c r="V40" s="1109"/>
      <c r="W40" s="1110"/>
    </row>
    <row r="41" spans="3:27">
      <c r="C41" s="1111" t="s">
        <v>1081</v>
      </c>
      <c r="D41" s="1112" t="s">
        <v>218</v>
      </c>
      <c r="E41" s="1113" t="s">
        <v>275</v>
      </c>
      <c r="F41" s="1113" t="s">
        <v>45</v>
      </c>
      <c r="G41" s="1341"/>
      <c r="H41" s="1113"/>
      <c r="I41" s="1103"/>
      <c r="J41" s="1104"/>
      <c r="K41" s="1210"/>
      <c r="L41" s="1210"/>
      <c r="M41" s="1105"/>
      <c r="N41" s="1179">
        <v>1</v>
      </c>
      <c r="O41" s="1180" t="s">
        <v>246</v>
      </c>
      <c r="P41" s="1180" t="s">
        <v>1123</v>
      </c>
      <c r="Q41" s="1180" t="s">
        <v>63</v>
      </c>
      <c r="R41" s="1191" t="s">
        <v>304</v>
      </c>
      <c r="S41" s="1107"/>
      <c r="T41" s="1107"/>
      <c r="U41" s="1108"/>
      <c r="V41" s="1109"/>
      <c r="W41" s="1110"/>
      <c r="Y41" s="1060"/>
      <c r="Z41" s="1230"/>
      <c r="AA41" s="1060"/>
    </row>
    <row r="42" spans="3:27">
      <c r="C42" s="1115" t="s">
        <v>1089</v>
      </c>
      <c r="D42" s="1116" t="s">
        <v>219</v>
      </c>
      <c r="E42" s="1117" t="s">
        <v>276</v>
      </c>
      <c r="F42" s="1117" t="s">
        <v>46</v>
      </c>
      <c r="G42" s="1231"/>
      <c r="H42" s="1117"/>
      <c r="I42" s="1118">
        <f>+AQT!L25</f>
        <v>563053</v>
      </c>
      <c r="J42" s="1119">
        <f>+AQT!O9</f>
        <v>703816</v>
      </c>
      <c r="K42" s="1210"/>
      <c r="L42" s="1210"/>
      <c r="M42" s="1105"/>
      <c r="N42" s="1179">
        <v>2</v>
      </c>
      <c r="O42" s="1180" t="s">
        <v>247</v>
      </c>
      <c r="P42" s="1180" t="s">
        <v>1124</v>
      </c>
      <c r="Q42" s="1180" t="s">
        <v>64</v>
      </c>
      <c r="R42" s="1180"/>
      <c r="S42" s="1107"/>
      <c r="T42" s="1107"/>
      <c r="U42" s="1108"/>
      <c r="V42" s="1109"/>
      <c r="W42" s="1110"/>
      <c r="Y42" s="1060"/>
      <c r="Z42" s="1232"/>
      <c r="AA42" s="1060"/>
    </row>
    <row r="43" spans="3:27">
      <c r="C43" s="1218"/>
      <c r="D43" s="1219"/>
      <c r="E43" s="1123" t="s">
        <v>1077</v>
      </c>
      <c r="F43" s="1220" t="s">
        <v>936</v>
      </c>
      <c r="G43" s="1220"/>
      <c r="H43" s="1186"/>
      <c r="I43" s="1221">
        <f>SUM(I39:I42)</f>
        <v>563053</v>
      </c>
      <c r="J43" s="1222">
        <f>SUM(J39:J42)</f>
        <v>703816</v>
      </c>
      <c r="K43" s="1223"/>
      <c r="L43" s="1223"/>
      <c r="M43" s="1092"/>
      <c r="N43" s="1179">
        <v>3</v>
      </c>
      <c r="O43" s="1180" t="s">
        <v>248</v>
      </c>
      <c r="P43" s="1180" t="s">
        <v>1125</v>
      </c>
      <c r="Q43" s="1180" t="s">
        <v>65</v>
      </c>
      <c r="R43" s="1180"/>
      <c r="S43" s="1107"/>
      <c r="T43" s="1107">
        <v>100000</v>
      </c>
      <c r="U43" s="1108">
        <v>100000</v>
      </c>
      <c r="V43" s="1109"/>
      <c r="W43" s="1110"/>
      <c r="Y43" s="1060"/>
      <c r="Z43" s="1232"/>
      <c r="AA43" s="1060"/>
    </row>
    <row r="44" spans="3:27" ht="15.6" customHeight="1">
      <c r="C44" s="1085">
        <v>3</v>
      </c>
      <c r="D44" s="1086" t="s">
        <v>220</v>
      </c>
      <c r="E44" s="1087" t="s">
        <v>1096</v>
      </c>
      <c r="F44" s="1088"/>
      <c r="G44" s="1160" t="s">
        <v>292</v>
      </c>
      <c r="H44" s="1088"/>
      <c r="I44" s="1132"/>
      <c r="J44" s="1133"/>
      <c r="K44" s="1210"/>
      <c r="L44" s="1210"/>
      <c r="M44" s="1105"/>
      <c r="N44" s="1179">
        <v>4</v>
      </c>
      <c r="O44" s="1180" t="s">
        <v>249</v>
      </c>
      <c r="P44" s="1180" t="s">
        <v>1126</v>
      </c>
      <c r="Q44" s="1180" t="s">
        <v>66</v>
      </c>
      <c r="R44" s="1233" t="s">
        <v>305</v>
      </c>
      <c r="S44" s="1107"/>
      <c r="T44" s="1107"/>
      <c r="U44" s="1108"/>
      <c r="V44" s="1109"/>
      <c r="W44" s="1110"/>
      <c r="Y44" s="1060"/>
      <c r="Z44" s="1232"/>
      <c r="AA44" s="1060"/>
    </row>
    <row r="45" spans="3:27">
      <c r="C45" s="1099">
        <v>4</v>
      </c>
      <c r="D45" s="1100" t="s">
        <v>221</v>
      </c>
      <c r="E45" s="1101" t="s">
        <v>1097</v>
      </c>
      <c r="F45" s="1102"/>
      <c r="G45" s="1102"/>
      <c r="H45" s="1102"/>
      <c r="I45" s="1103"/>
      <c r="J45" s="1104"/>
      <c r="K45" s="1210"/>
      <c r="L45" s="1210"/>
      <c r="M45" s="1105"/>
      <c r="N45" s="1179">
        <v>5</v>
      </c>
      <c r="O45" s="1180" t="s">
        <v>250</v>
      </c>
      <c r="P45" s="1180" t="s">
        <v>1127</v>
      </c>
      <c r="Q45" s="1180" t="s">
        <v>71</v>
      </c>
      <c r="R45" s="1191" t="s">
        <v>306</v>
      </c>
      <c r="S45" s="1107"/>
      <c r="T45" s="1107"/>
      <c r="U45" s="1108"/>
      <c r="V45" s="1109"/>
      <c r="W45" s="1110"/>
      <c r="Y45" s="1060"/>
      <c r="Z45" s="1060"/>
      <c r="AA45" s="1060"/>
    </row>
    <row r="46" spans="3:27">
      <c r="C46" s="1111" t="s">
        <v>1078</v>
      </c>
      <c r="D46" s="1112" t="s">
        <v>222</v>
      </c>
      <c r="E46" s="1113" t="s">
        <v>1098</v>
      </c>
      <c r="F46" s="1102" t="s">
        <v>117</v>
      </c>
      <c r="G46" s="1102" t="s">
        <v>293</v>
      </c>
      <c r="H46" s="1102"/>
      <c r="I46" s="1142"/>
      <c r="J46" s="1143"/>
      <c r="K46" s="1105"/>
      <c r="L46" s="1105"/>
      <c r="M46" s="1105"/>
      <c r="N46" s="1179">
        <v>6</v>
      </c>
      <c r="O46" s="1180" t="s">
        <v>251</v>
      </c>
      <c r="P46" s="1180" t="s">
        <v>1128</v>
      </c>
      <c r="Q46" s="1180" t="s">
        <v>67</v>
      </c>
      <c r="R46" s="1180"/>
      <c r="S46" s="1107"/>
      <c r="T46" s="1107"/>
      <c r="U46" s="1108"/>
      <c r="V46" s="1166"/>
      <c r="W46" s="1167"/>
      <c r="Y46" s="1060"/>
      <c r="Z46" s="1060"/>
      <c r="AA46" s="1060"/>
    </row>
    <row r="47" spans="3:27">
      <c r="C47" s="1111" t="s">
        <v>1079</v>
      </c>
      <c r="D47" s="1112" t="s">
        <v>223</v>
      </c>
      <c r="E47" s="1113" t="s">
        <v>1099</v>
      </c>
      <c r="F47" s="1102"/>
      <c r="G47" s="1102"/>
      <c r="H47" s="1102"/>
      <c r="I47" s="1142"/>
      <c r="J47" s="1143"/>
      <c r="K47" s="1105"/>
      <c r="L47" s="1105"/>
      <c r="M47" s="1105"/>
      <c r="N47" s="1179">
        <v>7</v>
      </c>
      <c r="O47" s="1180" t="s">
        <v>252</v>
      </c>
      <c r="P47" s="1180" t="s">
        <v>1132</v>
      </c>
      <c r="Q47" s="1180" t="s">
        <v>68</v>
      </c>
      <c r="R47" s="1180"/>
      <c r="S47" s="1107"/>
      <c r="T47" s="1107">
        <v>463437</v>
      </c>
      <c r="U47" s="1108">
        <v>463437</v>
      </c>
      <c r="V47" s="1166"/>
      <c r="W47" s="1167"/>
      <c r="Y47" s="1060"/>
      <c r="Z47" s="1060"/>
      <c r="AA47" s="1060"/>
    </row>
    <row r="48" spans="3:27" ht="22.8" customHeight="1">
      <c r="C48" s="1115" t="s">
        <v>1081</v>
      </c>
      <c r="D48" s="1116" t="s">
        <v>224</v>
      </c>
      <c r="E48" s="1117" t="s">
        <v>279</v>
      </c>
      <c r="F48" s="1234"/>
      <c r="G48" s="1234"/>
      <c r="H48" s="1234"/>
      <c r="I48" s="1118"/>
      <c r="J48" s="1119"/>
      <c r="K48" s="1210"/>
      <c r="L48" s="1210"/>
      <c r="M48" s="1105"/>
      <c r="N48" s="1179">
        <v>8</v>
      </c>
      <c r="O48" s="1180" t="s">
        <v>253</v>
      </c>
      <c r="P48" s="1180" t="s">
        <v>1133</v>
      </c>
      <c r="Q48" s="1180" t="s">
        <v>69</v>
      </c>
      <c r="R48" s="1180"/>
      <c r="S48" s="1107"/>
      <c r="T48" s="1107">
        <f>+U48+U50+U49</f>
        <v>127178166.90000001</v>
      </c>
      <c r="U48" s="1108">
        <f>60329363+29232171</f>
        <v>89561534</v>
      </c>
      <c r="V48" s="1109"/>
      <c r="W48" s="1110"/>
      <c r="Y48" s="1060"/>
      <c r="Z48" s="1060"/>
      <c r="AA48" s="1060"/>
    </row>
    <row r="49" spans="3:27" ht="19.2" customHeight="1">
      <c r="C49" s="1121"/>
      <c r="D49" s="1122"/>
      <c r="E49" s="1123" t="s">
        <v>1077</v>
      </c>
      <c r="F49" s="1220" t="s">
        <v>936</v>
      </c>
      <c r="G49" s="1220"/>
      <c r="H49" s="1186"/>
      <c r="I49" s="1126">
        <f>SUM(I45:I48)</f>
        <v>0</v>
      </c>
      <c r="J49" s="1127">
        <f>SUM(J45:J48)</f>
        <v>0</v>
      </c>
      <c r="K49" s="1210"/>
      <c r="L49" s="1210"/>
      <c r="M49" s="1105"/>
      <c r="N49" s="1179">
        <v>9</v>
      </c>
      <c r="O49" s="1180" t="s">
        <v>254</v>
      </c>
      <c r="P49" s="1180" t="s">
        <v>1134</v>
      </c>
      <c r="Q49" s="1180" t="s">
        <v>580</v>
      </c>
      <c r="R49" s="1233" t="s">
        <v>307</v>
      </c>
      <c r="S49" s="1107"/>
      <c r="T49" s="1107">
        <v>0</v>
      </c>
      <c r="U49" s="1108">
        <v>-1460600</v>
      </c>
      <c r="V49" s="1109"/>
      <c r="W49" s="1110"/>
      <c r="Y49" s="1060"/>
      <c r="Z49" s="1060"/>
      <c r="AA49" s="1060"/>
    </row>
    <row r="50" spans="3:27" ht="22.8" customHeight="1">
      <c r="C50" s="1085">
        <v>5</v>
      </c>
      <c r="D50" s="1226" t="s">
        <v>225</v>
      </c>
      <c r="E50" s="1087" t="s">
        <v>1100</v>
      </c>
      <c r="F50" s="1087"/>
      <c r="G50" s="1087"/>
      <c r="H50" s="1087"/>
      <c r="I50" s="1132"/>
      <c r="J50" s="1133"/>
      <c r="K50" s="1210"/>
      <c r="L50" s="1210"/>
      <c r="M50" s="1105"/>
      <c r="N50" s="1214">
        <v>10</v>
      </c>
      <c r="O50" s="1215" t="s">
        <v>255</v>
      </c>
      <c r="P50" s="1235" t="s">
        <v>1135</v>
      </c>
      <c r="Q50" s="1094" t="s">
        <v>70</v>
      </c>
      <c r="R50" s="1227" t="s">
        <v>308</v>
      </c>
      <c r="S50" s="1227"/>
      <c r="T50" s="1216">
        <f>+'P&amp;L14'!F30</f>
        <v>-1890019.32</v>
      </c>
      <c r="U50" s="1217">
        <f>+'P&amp;L14'!G30</f>
        <v>39077232.899999999</v>
      </c>
      <c r="V50" s="1109"/>
      <c r="W50" s="1110"/>
      <c r="Z50" s="1138"/>
    </row>
    <row r="51" spans="3:27">
      <c r="C51" s="1236">
        <v>6.1</v>
      </c>
      <c r="D51" s="1237"/>
      <c r="E51" s="1238" t="s">
        <v>1142</v>
      </c>
      <c r="F51" s="1087"/>
      <c r="G51" s="1238"/>
      <c r="H51" s="1238"/>
      <c r="I51" s="1239">
        <v>77691848</v>
      </c>
      <c r="J51" s="1240">
        <v>77691848</v>
      </c>
      <c r="K51" s="1210"/>
      <c r="L51" s="1210"/>
      <c r="M51" s="1105"/>
      <c r="N51" s="1214"/>
      <c r="O51" s="1215"/>
      <c r="P51" s="1235"/>
      <c r="Q51" s="1227"/>
      <c r="R51" s="1227"/>
      <c r="S51" s="1227"/>
      <c r="T51" s="1241"/>
      <c r="U51" s="1242"/>
      <c r="V51" s="1109"/>
      <c r="W51" s="1110"/>
      <c r="Z51" s="1138"/>
    </row>
    <row r="52" spans="3:27">
      <c r="C52" s="1243">
        <v>6.2</v>
      </c>
      <c r="D52" s="1244" t="s">
        <v>226</v>
      </c>
      <c r="E52" s="1178" t="s">
        <v>118</v>
      </c>
      <c r="F52" s="1102"/>
      <c r="G52" s="1234"/>
      <c r="H52" s="1234"/>
      <c r="I52" s="1245">
        <f>197526847+1159452</f>
        <v>198686299</v>
      </c>
      <c r="J52" s="1246">
        <v>197526847</v>
      </c>
      <c r="K52" s="1210"/>
      <c r="L52" s="1210"/>
      <c r="M52" s="1105"/>
      <c r="N52" s="1224"/>
      <c r="O52" s="1225"/>
      <c r="P52" s="1205" t="s">
        <v>1136</v>
      </c>
      <c r="Q52" s="1204"/>
      <c r="R52" s="1204"/>
      <c r="S52" s="1204"/>
      <c r="T52" s="1136">
        <f>SUM(T41:T50)</f>
        <v>125851584.58000001</v>
      </c>
      <c r="U52" s="1137">
        <f>SUM(U41:U50)</f>
        <v>127741603.90000001</v>
      </c>
      <c r="V52" s="1247"/>
      <c r="W52" s="1248"/>
      <c r="Y52" s="1060"/>
      <c r="Z52" s="1060"/>
      <c r="AA52" s="1060"/>
    </row>
    <row r="53" spans="3:27">
      <c r="C53" s="1224"/>
      <c r="D53" s="1249"/>
      <c r="E53" s="1205" t="s">
        <v>1101</v>
      </c>
      <c r="F53" s="1225"/>
      <c r="G53" s="1225"/>
      <c r="H53" s="1225"/>
      <c r="I53" s="1250">
        <f>SUM(I50:I52,I49,I43,I37)</f>
        <v>276941200</v>
      </c>
      <c r="J53" s="1251">
        <f>SUM(J50:J52,J49,J43,J37)</f>
        <v>275922511</v>
      </c>
      <c r="K53" s="1080"/>
      <c r="L53" s="1080"/>
      <c r="M53" s="1080"/>
      <c r="N53" s="1177"/>
      <c r="O53" s="1094"/>
      <c r="P53" s="1094"/>
      <c r="Q53" s="1094"/>
      <c r="R53" s="1094"/>
      <c r="S53" s="1094"/>
      <c r="T53" s="1140"/>
      <c r="U53" s="1141"/>
      <c r="V53" s="1109"/>
      <c r="W53" s="1110"/>
      <c r="Y53" s="1060"/>
      <c r="Z53" s="1060"/>
      <c r="AA53" s="1060"/>
    </row>
    <row r="54" spans="3:27" ht="18" customHeight="1" thickBot="1">
      <c r="C54" s="1252"/>
      <c r="D54" s="1253"/>
      <c r="E54" s="1113"/>
      <c r="F54" s="1102"/>
      <c r="G54" s="1102"/>
      <c r="H54" s="1102"/>
      <c r="I54" s="1103"/>
      <c r="J54" s="1104"/>
      <c r="K54" s="1210"/>
      <c r="L54" s="1210"/>
      <c r="M54" s="1105"/>
      <c r="N54" s="1177"/>
      <c r="O54" s="1094"/>
      <c r="P54" s="1094"/>
      <c r="Q54" s="1094"/>
      <c r="R54" s="1094"/>
      <c r="S54" s="1094"/>
      <c r="T54" s="1140"/>
      <c r="U54" s="1141"/>
      <c r="V54" s="1254"/>
      <c r="W54" s="1153"/>
      <c r="Y54" s="1060"/>
      <c r="Z54" s="1060"/>
      <c r="AA54" s="1060"/>
    </row>
    <row r="55" spans="3:27" ht="18.75" customHeight="1" thickBot="1">
      <c r="C55" s="1255"/>
      <c r="D55" s="1256"/>
      <c r="E55" s="1257" t="s">
        <v>1138</v>
      </c>
      <c r="F55" s="1257" t="s">
        <v>119</v>
      </c>
      <c r="G55" s="1258"/>
      <c r="H55" s="1257"/>
      <c r="I55" s="1259">
        <f>+I53+I29</f>
        <v>306637317</v>
      </c>
      <c r="J55" s="1260">
        <f>+J53+J29</f>
        <v>301408122</v>
      </c>
      <c r="K55" s="1223"/>
      <c r="L55" s="1223"/>
      <c r="M55" s="1080"/>
      <c r="N55" s="1261"/>
      <c r="O55" s="1262"/>
      <c r="P55" s="1257" t="s">
        <v>1137</v>
      </c>
      <c r="Q55" s="1257"/>
      <c r="R55" s="1258"/>
      <c r="S55" s="1257"/>
      <c r="T55" s="1263">
        <f>+T52+T37</f>
        <v>306637316.58000004</v>
      </c>
      <c r="U55" s="1264">
        <f>+U52+U37</f>
        <v>301408122</v>
      </c>
    </row>
    <row r="58" spans="3:27">
      <c r="E58" s="1265" t="s">
        <v>464</v>
      </c>
      <c r="I58" s="1267">
        <f>+I55-T55</f>
        <v>0.41999995708465576</v>
      </c>
      <c r="J58" s="1267">
        <f>+J55-U55</f>
        <v>0</v>
      </c>
      <c r="K58" s="1268"/>
      <c r="L58" s="1268"/>
      <c r="M58" s="1268"/>
    </row>
    <row r="61" spans="3:27">
      <c r="I61" s="1269"/>
      <c r="J61" s="1269"/>
    </row>
  </sheetData>
  <mergeCells count="16">
    <mergeCell ref="V5:V6"/>
    <mergeCell ref="T5:U5"/>
    <mergeCell ref="Q5:Q6"/>
    <mergeCell ref="I5:J5"/>
    <mergeCell ref="F5:F6"/>
    <mergeCell ref="H5:H6"/>
    <mergeCell ref="N5:N6"/>
    <mergeCell ref="P5:P6"/>
    <mergeCell ref="S5:S6"/>
    <mergeCell ref="C5:C6"/>
    <mergeCell ref="E5:E6"/>
    <mergeCell ref="G39:G41"/>
    <mergeCell ref="G9:G11"/>
    <mergeCell ref="G13:G15"/>
    <mergeCell ref="G16:G17"/>
    <mergeCell ref="G19:G21"/>
  </mergeCells>
  <phoneticPr fontId="0" type="noConversion"/>
  <pageMargins left="0.19" right="0.17" top="0.72" bottom="0.85" header="0.51" footer="0.5"/>
  <pageSetup scale="65" orientation="portrait" horizontalDpi="300" verticalDpi="300" r:id="rId1"/>
  <headerFooter alignWithMargins="0"/>
  <colBreaks count="1" manualBreakCount="1">
    <brk id="12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B3:L41"/>
  <sheetViews>
    <sheetView showGridLines="0" defaultGridColor="0" topLeftCell="A7" colorId="18" workbookViewId="0">
      <selection activeCell="D28" sqref="D28"/>
    </sheetView>
  </sheetViews>
  <sheetFormatPr defaultColWidth="9.109375" defaultRowHeight="15.6"/>
  <cols>
    <col min="1" max="1" width="2.5546875" style="1271" customWidth="1"/>
    <col min="2" max="2" width="5" style="1270" customWidth="1"/>
    <col min="3" max="3" width="0.6640625" style="1270" hidden="1" customWidth="1"/>
    <col min="4" max="4" width="61" style="1271" customWidth="1"/>
    <col min="5" max="5" width="39" style="1271" hidden="1" customWidth="1"/>
    <col min="6" max="7" width="17.6640625" style="1271" bestFit="1" customWidth="1"/>
    <col min="8" max="8" width="3.109375" style="1270" customWidth="1"/>
    <col min="9" max="9" width="16" style="1271" bestFit="1" customWidth="1"/>
    <col min="10" max="10" width="38" style="1271" bestFit="1" customWidth="1"/>
    <col min="11" max="11" width="35" style="1271" hidden="1" customWidth="1"/>
    <col min="12" max="12" width="17.88671875" style="1271" bestFit="1" customWidth="1"/>
    <col min="13" max="13" width="18.5546875" style="1271" bestFit="1" customWidth="1"/>
    <col min="14" max="14" width="2.33203125" style="1271" customWidth="1"/>
    <col min="15" max="15" width="9.109375" style="1271"/>
    <col min="16" max="16" width="10.33203125" style="1271" bestFit="1" customWidth="1"/>
    <col min="17" max="16384" width="9.109375" style="1271"/>
  </cols>
  <sheetData>
    <row r="3" spans="2:11" ht="21">
      <c r="B3" s="1322" t="s">
        <v>1225</v>
      </c>
    </row>
    <row r="4" spans="2:11" ht="16.2" thickBot="1"/>
    <row r="5" spans="2:11" ht="22.2" customHeight="1">
      <c r="B5" s="1352" t="s">
        <v>756</v>
      </c>
      <c r="C5" s="1272"/>
      <c r="D5" s="1358" t="s">
        <v>974</v>
      </c>
      <c r="E5" s="1354" t="s">
        <v>759</v>
      </c>
      <c r="F5" s="1356" t="s">
        <v>758</v>
      </c>
      <c r="G5" s="1357"/>
      <c r="H5" s="1273"/>
    </row>
    <row r="6" spans="2:11" ht="28.8" customHeight="1" thickBot="1">
      <c r="B6" s="1353"/>
      <c r="C6" s="1274"/>
      <c r="D6" s="1359"/>
      <c r="E6" s="1355"/>
      <c r="F6" s="1275" t="s">
        <v>1157</v>
      </c>
      <c r="G6" s="1327" t="s">
        <v>1140</v>
      </c>
      <c r="H6" s="1271"/>
      <c r="K6" s="1276"/>
    </row>
    <row r="7" spans="2:11">
      <c r="B7" s="1277">
        <v>1</v>
      </c>
      <c r="C7" s="1278" t="s">
        <v>311</v>
      </c>
      <c r="D7" s="1279" t="s">
        <v>1139</v>
      </c>
      <c r="E7" s="1280"/>
      <c r="F7" s="1281">
        <v>966210</v>
      </c>
      <c r="G7" s="1328">
        <f>139585600+8389565</f>
        <v>147975165</v>
      </c>
      <c r="H7" s="1271"/>
      <c r="K7" s="1276"/>
    </row>
    <row r="8" spans="2:11">
      <c r="B8" s="1277">
        <v>2</v>
      </c>
      <c r="C8" s="1282" t="s">
        <v>256</v>
      </c>
      <c r="D8" s="1283" t="s">
        <v>0</v>
      </c>
      <c r="E8" s="1280"/>
      <c r="F8" s="1281"/>
      <c r="G8" s="1328"/>
      <c r="H8" s="1271"/>
      <c r="K8" s="1276"/>
    </row>
    <row r="9" spans="2:11">
      <c r="B9" s="1284">
        <v>3</v>
      </c>
      <c r="C9" s="1285" t="s">
        <v>257</v>
      </c>
      <c r="D9" s="1283" t="s">
        <v>312</v>
      </c>
      <c r="E9" s="1286" t="s">
        <v>770</v>
      </c>
      <c r="F9" s="1054"/>
      <c r="G9" s="1051"/>
      <c r="H9" s="1271"/>
      <c r="K9" s="1276"/>
    </row>
    <row r="10" spans="2:11">
      <c r="B10" s="1277">
        <v>4</v>
      </c>
      <c r="C10" s="1282" t="s">
        <v>258</v>
      </c>
      <c r="D10" s="1283" t="s">
        <v>1</v>
      </c>
      <c r="E10" s="1287" t="s">
        <v>775</v>
      </c>
      <c r="F10" s="1054"/>
      <c r="G10" s="1051"/>
      <c r="H10" s="1271"/>
      <c r="K10" s="1276"/>
    </row>
    <row r="11" spans="2:11">
      <c r="B11" s="1284">
        <v>5</v>
      </c>
      <c r="C11" s="1285" t="s">
        <v>259</v>
      </c>
      <c r="D11" s="1283" t="s">
        <v>2</v>
      </c>
      <c r="E11" s="1287" t="s">
        <v>780</v>
      </c>
      <c r="F11" s="1054">
        <f>-(299880+110833+408771)</f>
        <v>-819484</v>
      </c>
      <c r="G11" s="1051">
        <f>-(6056192+93858036+419760+973360)</f>
        <v>-101307348</v>
      </c>
      <c r="H11" s="1271"/>
      <c r="K11" s="1276"/>
    </row>
    <row r="12" spans="2:11">
      <c r="B12" s="1277">
        <v>6</v>
      </c>
      <c r="C12" s="1282" t="s">
        <v>260</v>
      </c>
      <c r="D12" s="1283" t="s">
        <v>3</v>
      </c>
      <c r="E12" s="1287" t="s">
        <v>783</v>
      </c>
      <c r="F12" s="1054">
        <v>-779738</v>
      </c>
      <c r="G12" s="1051">
        <f>-(400000+400961+8780+39620+840791)</f>
        <v>-1690152</v>
      </c>
      <c r="H12" s="1271"/>
      <c r="K12" s="1276"/>
    </row>
    <row r="13" spans="2:11">
      <c r="B13" s="1284">
        <v>7</v>
      </c>
      <c r="C13" s="1285" t="s">
        <v>261</v>
      </c>
      <c r="D13" s="1288" t="s">
        <v>4</v>
      </c>
      <c r="E13" s="1289" t="s">
        <v>787</v>
      </c>
      <c r="F13" s="1054">
        <f>SUM(F14:F16)</f>
        <v>-1428408</v>
      </c>
      <c r="G13" s="1051">
        <f>SUM(G14:G16)</f>
        <v>-1453095</v>
      </c>
      <c r="H13" s="1271"/>
      <c r="K13" s="1276"/>
    </row>
    <row r="14" spans="2:11">
      <c r="B14" s="1290" t="s">
        <v>1078</v>
      </c>
      <c r="C14" s="1291" t="s">
        <v>262</v>
      </c>
      <c r="D14" s="1292" t="s">
        <v>191</v>
      </c>
      <c r="E14" s="1287" t="s">
        <v>791</v>
      </c>
      <c r="F14" s="1045">
        <v>-1224000</v>
      </c>
      <c r="G14" s="1046">
        <v>-1245154</v>
      </c>
      <c r="H14" s="1271"/>
      <c r="K14" s="1276"/>
    </row>
    <row r="15" spans="2:11">
      <c r="B15" s="1293" t="s">
        <v>1079</v>
      </c>
      <c r="C15" s="1294" t="s">
        <v>263</v>
      </c>
      <c r="D15" s="1292" t="s">
        <v>192</v>
      </c>
      <c r="E15" s="1295" t="s">
        <v>1048</v>
      </c>
      <c r="F15" s="1045">
        <v>-204408</v>
      </c>
      <c r="G15" s="1046">
        <v>-207941</v>
      </c>
      <c r="H15" s="1271"/>
      <c r="K15" s="1276"/>
    </row>
    <row r="16" spans="2:11">
      <c r="B16" s="1290"/>
      <c r="C16" s="1291"/>
      <c r="D16" s="1296"/>
      <c r="E16" s="1287"/>
      <c r="F16" s="1045"/>
      <c r="G16" s="1046"/>
      <c r="H16" s="1271"/>
      <c r="K16" s="1276"/>
    </row>
    <row r="17" spans="2:12">
      <c r="B17" s="1297">
        <v>8</v>
      </c>
      <c r="C17" s="1298" t="s">
        <v>264</v>
      </c>
      <c r="D17" s="1299" t="s">
        <v>193</v>
      </c>
      <c r="E17" s="1300" t="s">
        <v>800</v>
      </c>
      <c r="F17" s="1301">
        <v>-140763</v>
      </c>
      <c r="G17" s="1329">
        <v>-175954</v>
      </c>
      <c r="H17" s="1271"/>
      <c r="K17" s="1276"/>
    </row>
    <row r="18" spans="2:12">
      <c r="B18" s="1302">
        <v>9</v>
      </c>
      <c r="C18" s="1303"/>
      <c r="D18" s="1304" t="s">
        <v>22</v>
      </c>
      <c r="E18" s="1305"/>
      <c r="F18" s="1306">
        <f>SUM(F17,F7:F13)</f>
        <v>-2202183</v>
      </c>
      <c r="G18" s="1330">
        <f>SUM(G17,G7:G13)</f>
        <v>43348616</v>
      </c>
      <c r="H18" s="1271"/>
      <c r="K18" s="1276"/>
    </row>
    <row r="19" spans="2:12">
      <c r="B19" s="1307">
        <v>10</v>
      </c>
      <c r="C19" s="1308" t="s">
        <v>265</v>
      </c>
      <c r="D19" s="1286" t="s">
        <v>9</v>
      </c>
      <c r="E19" s="1309" t="s">
        <v>805</v>
      </c>
      <c r="F19" s="1049">
        <v>0</v>
      </c>
      <c r="G19" s="1050">
        <v>0</v>
      </c>
      <c r="H19" s="1271"/>
      <c r="K19" s="1276"/>
    </row>
    <row r="20" spans="2:12">
      <c r="B20" s="1284">
        <v>11</v>
      </c>
      <c r="C20" s="1285" t="s">
        <v>266</v>
      </c>
      <c r="D20" s="1310" t="s">
        <v>10</v>
      </c>
      <c r="E20" s="1287" t="s">
        <v>810</v>
      </c>
      <c r="F20" s="1045">
        <v>0</v>
      </c>
      <c r="G20" s="1046">
        <v>0</v>
      </c>
      <c r="H20" s="1271"/>
      <c r="K20" s="1276"/>
    </row>
    <row r="21" spans="2:12">
      <c r="B21" s="1284">
        <v>12</v>
      </c>
      <c r="C21" s="1285" t="s">
        <v>267</v>
      </c>
      <c r="D21" s="1283" t="s">
        <v>11</v>
      </c>
      <c r="E21" s="1287" t="s">
        <v>814</v>
      </c>
      <c r="F21" s="1054">
        <f>SUM(F22:F25)</f>
        <v>312163.68</v>
      </c>
      <c r="G21" s="1051">
        <f>SUM(G22:G25)</f>
        <v>1519</v>
      </c>
      <c r="H21" s="1271"/>
      <c r="K21" s="1276"/>
    </row>
    <row r="22" spans="2:12">
      <c r="B22" s="1284" t="s">
        <v>5</v>
      </c>
      <c r="C22" s="1285" t="s">
        <v>268</v>
      </c>
      <c r="D22" s="1310" t="s">
        <v>21</v>
      </c>
      <c r="E22" s="1287" t="s">
        <v>818</v>
      </c>
      <c r="F22" s="1045"/>
      <c r="G22" s="1046"/>
      <c r="H22" s="1271"/>
      <c r="K22" s="1276"/>
    </row>
    <row r="23" spans="2:12">
      <c r="B23" s="1284" t="s">
        <v>6</v>
      </c>
      <c r="C23" s="1285" t="s">
        <v>269</v>
      </c>
      <c r="D23" s="1310" t="s">
        <v>12</v>
      </c>
      <c r="E23" s="1287" t="s">
        <v>823</v>
      </c>
      <c r="F23" s="1045">
        <f>108904.39+0.29</f>
        <v>108904.68</v>
      </c>
      <c r="G23" s="1046">
        <v>214</v>
      </c>
      <c r="H23" s="1271"/>
      <c r="K23" s="1276"/>
    </row>
    <row r="24" spans="2:12">
      <c r="B24" s="1284" t="s">
        <v>7</v>
      </c>
      <c r="C24" s="1285" t="s">
        <v>270</v>
      </c>
      <c r="D24" s="1310" t="s">
        <v>13</v>
      </c>
      <c r="E24" s="1287" t="s">
        <v>828</v>
      </c>
      <c r="F24" s="1045">
        <f>203275-16</f>
        <v>203259</v>
      </c>
      <c r="G24" s="1046">
        <f>5663-4358</f>
        <v>1305</v>
      </c>
      <c r="H24" s="1271"/>
      <c r="K24" s="1276"/>
    </row>
    <row r="25" spans="2:12">
      <c r="B25" s="1284" t="s">
        <v>8</v>
      </c>
      <c r="C25" s="1285" t="s">
        <v>271</v>
      </c>
      <c r="D25" s="1310" t="s">
        <v>14</v>
      </c>
      <c r="E25" s="1287"/>
      <c r="F25" s="1045"/>
      <c r="G25" s="1046"/>
      <c r="H25" s="1271"/>
      <c r="K25" s="1276"/>
    </row>
    <row r="26" spans="2:12">
      <c r="B26" s="1284">
        <v>13</v>
      </c>
      <c r="C26" s="1285"/>
      <c r="D26" s="1283" t="s">
        <v>20</v>
      </c>
      <c r="E26" s="1287" t="s">
        <v>835</v>
      </c>
      <c r="F26" s="1054">
        <f>F19+F20+F21</f>
        <v>312163.68</v>
      </c>
      <c r="G26" s="1051">
        <f>G19+G20+G21</f>
        <v>1519</v>
      </c>
      <c r="H26" s="1271"/>
      <c r="J26" s="1044"/>
      <c r="K26" s="1044"/>
      <c r="L26" s="1044"/>
    </row>
    <row r="27" spans="2:12">
      <c r="B27" s="1284"/>
      <c r="C27" s="1285"/>
      <c r="D27" s="1311"/>
      <c r="E27" s="1287" t="s">
        <v>840</v>
      </c>
      <c r="F27" s="1047"/>
      <c r="G27" s="1048"/>
      <c r="H27" s="1271"/>
      <c r="J27" s="1044"/>
      <c r="K27" s="1044"/>
      <c r="L27" s="1044"/>
    </row>
    <row r="28" spans="2:12">
      <c r="B28" s="1284">
        <v>14</v>
      </c>
      <c r="C28" s="1285"/>
      <c r="D28" s="1283" t="s">
        <v>15</v>
      </c>
      <c r="E28" s="1287" t="s">
        <v>845</v>
      </c>
      <c r="F28" s="1052">
        <f>F18+F26</f>
        <v>-1890019.32</v>
      </c>
      <c r="G28" s="1053">
        <f>G18+G26</f>
        <v>43350135</v>
      </c>
      <c r="H28" s="1271"/>
      <c r="I28" s="1044"/>
      <c r="J28" s="1312"/>
      <c r="K28" s="1276"/>
    </row>
    <row r="29" spans="2:12">
      <c r="B29" s="1313">
        <v>15</v>
      </c>
      <c r="C29" s="1314"/>
      <c r="D29" s="1310" t="s">
        <v>16</v>
      </c>
      <c r="E29" s="1287" t="s">
        <v>1049</v>
      </c>
      <c r="F29" s="1055"/>
      <c r="G29" s="1056">
        <f>-(G28+840791-5663+4358-1460600)*10%</f>
        <v>-4272902.1000000006</v>
      </c>
      <c r="H29" s="1271"/>
      <c r="K29" s="1276"/>
    </row>
    <row r="30" spans="2:12">
      <c r="B30" s="1315">
        <v>16</v>
      </c>
      <c r="C30" s="1285"/>
      <c r="D30" s="1283" t="s">
        <v>17</v>
      </c>
      <c r="E30" s="1287" t="s">
        <v>854</v>
      </c>
      <c r="F30" s="1052">
        <f>+F28+F29</f>
        <v>-1890019.32</v>
      </c>
      <c r="G30" s="1053">
        <f>+G28+G29</f>
        <v>39077232.899999999</v>
      </c>
      <c r="H30" s="1271"/>
      <c r="K30" s="1276"/>
    </row>
    <row r="31" spans="2:12">
      <c r="B31" s="1315"/>
      <c r="C31" s="1285"/>
      <c r="D31" s="1310" t="s">
        <v>18</v>
      </c>
      <c r="E31" s="1287"/>
      <c r="F31" s="1049"/>
      <c r="G31" s="1050"/>
      <c r="H31" s="1271"/>
      <c r="K31" s="1276"/>
    </row>
    <row r="32" spans="2:12">
      <c r="B32" s="1315"/>
      <c r="C32" s="1285"/>
      <c r="D32" s="1310" t="s">
        <v>19</v>
      </c>
      <c r="E32" s="1287" t="s">
        <v>861</v>
      </c>
      <c r="F32" s="1045"/>
      <c r="G32" s="1046"/>
      <c r="H32" s="1271"/>
      <c r="K32" s="1276"/>
    </row>
    <row r="33" spans="2:11" ht="16.2" thickBot="1">
      <c r="B33" s="1315"/>
      <c r="C33" s="1285"/>
      <c r="D33" s="1283"/>
      <c r="E33" s="1287"/>
      <c r="F33" s="1045"/>
      <c r="G33" s="1046"/>
      <c r="H33" s="1271"/>
      <c r="K33" s="1276"/>
    </row>
    <row r="34" spans="2:11" ht="16.2" thickBot="1">
      <c r="B34" s="1316"/>
      <c r="C34" s="1317"/>
      <c r="D34" s="1318"/>
      <c r="E34" s="1319" t="s">
        <v>1037</v>
      </c>
      <c r="F34" s="1320"/>
      <c r="G34" s="1331"/>
      <c r="H34" s="1271"/>
      <c r="K34" s="1276"/>
    </row>
    <row r="35" spans="2:11">
      <c r="H35" s="1271"/>
      <c r="K35" s="1276"/>
    </row>
    <row r="37" spans="2:11">
      <c r="F37" s="1321"/>
      <c r="G37" s="1321"/>
    </row>
    <row r="38" spans="2:11">
      <c r="F38" s="1044"/>
      <c r="G38" s="1044"/>
    </row>
    <row r="39" spans="2:11">
      <c r="F39" s="1321"/>
      <c r="G39" s="1321"/>
    </row>
    <row r="41" spans="2:11">
      <c r="F41" s="1321"/>
      <c r="G41" s="1321"/>
    </row>
  </sheetData>
  <mergeCells count="4">
    <mergeCell ref="B5:B6"/>
    <mergeCell ref="E5:E6"/>
    <mergeCell ref="F5:G5"/>
    <mergeCell ref="D5:D6"/>
  </mergeCells>
  <phoneticPr fontId="0" type="noConversion"/>
  <printOptions horizontalCentered="1"/>
  <pageMargins left="0.41" right="0.83" top="1" bottom="1" header="0.5" footer="0.5"/>
  <pageSetup paperSize="9" scale="83" fitToWidth="2" orientation="portrait" horizontalDpi="4294967292" verticalDpi="300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R34"/>
  <sheetViews>
    <sheetView showGridLines="0" defaultGridColor="0" colorId="12" workbookViewId="0">
      <selection activeCell="C5" sqref="C5"/>
    </sheetView>
  </sheetViews>
  <sheetFormatPr defaultColWidth="9.109375" defaultRowHeight="13.8"/>
  <cols>
    <col min="1" max="1" width="3.6640625" style="689" customWidth="1"/>
    <col min="2" max="2" width="4.109375" style="689" customWidth="1"/>
    <col min="3" max="3" width="77.5546875" style="689" customWidth="1"/>
    <col min="4" max="4" width="2.5546875" style="237" customWidth="1"/>
    <col min="5" max="5" width="20.6640625" style="689" bestFit="1" customWidth="1"/>
    <col min="6" max="6" width="13" style="689" customWidth="1"/>
    <col min="7" max="7" width="13.33203125" style="689" customWidth="1"/>
    <col min="8" max="8" width="10.88671875" style="689" customWidth="1"/>
    <col min="9" max="9" width="17.5546875" style="689" customWidth="1"/>
    <col min="10" max="11" width="16" style="689" customWidth="1"/>
    <col min="12" max="12" width="12.5546875" style="689" customWidth="1"/>
    <col min="13" max="14" width="17.5546875" style="689" hidden="1" customWidth="1"/>
    <col min="15" max="15" width="2.5546875" style="689" customWidth="1"/>
    <col min="16" max="16" width="14" style="689" customWidth="1"/>
    <col min="17" max="17" width="1" style="717" customWidth="1"/>
    <col min="18" max="18" width="14" style="689" customWidth="1"/>
    <col min="19" max="19" width="2.5546875" style="689" customWidth="1"/>
    <col min="20" max="20" width="13.44140625" style="689" bestFit="1" customWidth="1"/>
    <col min="21" max="21" width="2.5546875" style="689" customWidth="1"/>
    <col min="22" max="22" width="12.44140625" style="689" bestFit="1" customWidth="1"/>
    <col min="23" max="23" width="1.44140625" style="689" customWidth="1"/>
    <col min="24" max="25" width="16.33203125" style="689" customWidth="1"/>
    <col min="26" max="26" width="1" style="689" customWidth="1"/>
    <col min="27" max="27" width="25.88671875" style="689" bestFit="1" customWidth="1"/>
    <col min="28" max="28" width="10.6640625" style="689" bestFit="1" customWidth="1"/>
    <col min="29" max="29" width="1.6640625" style="689" customWidth="1"/>
    <col min="30" max="30" width="9.109375" style="689"/>
    <col min="31" max="31" width="1.109375" style="689" customWidth="1"/>
    <col min="32" max="32" width="9.109375" style="689"/>
    <col min="33" max="33" width="1.109375" style="689" customWidth="1"/>
    <col min="34" max="34" width="9.109375" style="689"/>
    <col min="35" max="35" width="1.5546875" style="689" customWidth="1"/>
    <col min="36" max="36" width="9.109375" style="689"/>
    <col min="37" max="37" width="1.44140625" style="689" customWidth="1"/>
    <col min="38" max="16384" width="9.109375" style="689"/>
  </cols>
  <sheetData>
    <row r="1" spans="1:18">
      <c r="A1" s="688"/>
      <c r="Q1" s="689"/>
    </row>
    <row r="2" spans="1:18">
      <c r="A2" s="688"/>
      <c r="Q2" s="689"/>
    </row>
    <row r="3" spans="1:18">
      <c r="A3" s="705"/>
      <c r="Q3" s="689"/>
    </row>
    <row r="4" spans="1:18">
      <c r="Q4" s="689"/>
      <c r="R4" s="717"/>
    </row>
    <row r="5" spans="1:18" ht="18">
      <c r="C5" s="1486" t="s">
        <v>1225</v>
      </c>
      <c r="Q5" s="689"/>
      <c r="R5" s="717"/>
    </row>
    <row r="6" spans="1:18">
      <c r="E6" s="240"/>
      <c r="F6" s="240"/>
      <c r="G6" s="718"/>
      <c r="H6" s="240"/>
      <c r="I6" s="240"/>
      <c r="J6" s="240"/>
      <c r="K6" s="240"/>
      <c r="L6" s="240"/>
      <c r="M6" s="240"/>
      <c r="Q6" s="689"/>
      <c r="R6" s="717"/>
    </row>
    <row r="7" spans="1:18" ht="14.4" thickBot="1">
      <c r="E7" s="240"/>
      <c r="F7" s="240"/>
      <c r="G7" s="719"/>
      <c r="H7" s="240"/>
      <c r="I7" s="240"/>
      <c r="J7" s="240"/>
      <c r="K7" s="240"/>
      <c r="L7" s="240"/>
      <c r="M7" s="240"/>
      <c r="Q7" s="689"/>
      <c r="R7" s="717"/>
    </row>
    <row r="8" spans="1:18" ht="16.5" customHeight="1">
      <c r="B8" s="770"/>
      <c r="C8" s="770"/>
      <c r="E8" s="1360" t="s">
        <v>148</v>
      </c>
      <c r="F8" s="1361"/>
      <c r="G8" s="1361"/>
      <c r="H8" s="1361"/>
      <c r="I8" s="1361"/>
      <c r="J8" s="1361"/>
      <c r="K8" s="1361"/>
      <c r="L8" s="1362"/>
      <c r="M8" s="771"/>
      <c r="N8" s="772"/>
    </row>
    <row r="9" spans="1:18">
      <c r="B9" s="686"/>
      <c r="C9" s="686"/>
      <c r="E9" s="773" t="s">
        <v>931</v>
      </c>
      <c r="F9" s="774" t="s">
        <v>150</v>
      </c>
      <c r="G9" s="774" t="s">
        <v>164</v>
      </c>
      <c r="H9" s="774" t="s">
        <v>932</v>
      </c>
      <c r="I9" s="774" t="s">
        <v>156</v>
      </c>
      <c r="J9" s="774" t="s">
        <v>160</v>
      </c>
      <c r="K9" s="774" t="s">
        <v>1144</v>
      </c>
      <c r="L9" s="1363" t="s">
        <v>1077</v>
      </c>
      <c r="M9" s="774" t="s">
        <v>161</v>
      </c>
      <c r="N9" s="1366" t="s">
        <v>1077</v>
      </c>
    </row>
    <row r="10" spans="1:18">
      <c r="B10" s="686"/>
      <c r="C10" s="686"/>
      <c r="E10" s="775" t="s">
        <v>149</v>
      </c>
      <c r="F10" s="776" t="s">
        <v>151</v>
      </c>
      <c r="G10" s="776" t="s">
        <v>152</v>
      </c>
      <c r="H10" s="776" t="s">
        <v>153</v>
      </c>
      <c r="I10" s="776" t="s">
        <v>294</v>
      </c>
      <c r="J10" s="776" t="s">
        <v>181</v>
      </c>
      <c r="K10" s="776" t="s">
        <v>1143</v>
      </c>
      <c r="L10" s="1364"/>
      <c r="M10" s="776" t="s">
        <v>162</v>
      </c>
      <c r="N10" s="1367"/>
    </row>
    <row r="11" spans="1:18">
      <c r="B11" s="686"/>
      <c r="C11" s="686"/>
      <c r="E11" s="775"/>
      <c r="F11" s="776"/>
      <c r="G11" s="776"/>
      <c r="H11" s="776" t="s">
        <v>154</v>
      </c>
      <c r="I11" s="776"/>
      <c r="J11" s="776"/>
      <c r="K11" s="776"/>
      <c r="L11" s="1364"/>
      <c r="M11" s="776" t="s">
        <v>163</v>
      </c>
      <c r="N11" s="1367"/>
    </row>
    <row r="12" spans="1:18" ht="14.4" thickBot="1">
      <c r="B12" s="777"/>
      <c r="C12" s="777"/>
      <c r="E12" s="778"/>
      <c r="F12" s="779"/>
      <c r="G12" s="779"/>
      <c r="H12" s="779" t="s">
        <v>155</v>
      </c>
      <c r="I12" s="779"/>
      <c r="J12" s="779"/>
      <c r="K12" s="779"/>
      <c r="L12" s="1365"/>
      <c r="M12" s="779"/>
      <c r="N12" s="1368"/>
    </row>
    <row r="13" spans="1:18" hidden="1">
      <c r="B13" s="686"/>
      <c r="C13" s="686"/>
      <c r="E13" s="775"/>
      <c r="F13" s="776"/>
      <c r="G13" s="776"/>
      <c r="H13" s="776"/>
      <c r="I13" s="776"/>
      <c r="J13" s="776"/>
      <c r="K13" s="776"/>
      <c r="L13" s="780"/>
      <c r="M13" s="776"/>
      <c r="N13" s="781"/>
    </row>
    <row r="14" spans="1:18" hidden="1">
      <c r="B14" s="782"/>
      <c r="C14" s="683" t="s">
        <v>171</v>
      </c>
      <c r="E14" s="840">
        <v>0</v>
      </c>
      <c r="F14" s="841">
        <v>0</v>
      </c>
      <c r="G14" s="841">
        <v>0</v>
      </c>
      <c r="H14" s="841">
        <v>0</v>
      </c>
      <c r="I14" s="841">
        <v>0</v>
      </c>
      <c r="J14" s="841"/>
      <c r="K14" s="841"/>
      <c r="L14" s="842">
        <f>SUM(E14:J14)</f>
        <v>0</v>
      </c>
      <c r="M14" s="783"/>
      <c r="N14" s="784"/>
    </row>
    <row r="15" spans="1:18" hidden="1">
      <c r="B15" s="684"/>
      <c r="C15" s="684" t="s">
        <v>165</v>
      </c>
      <c r="E15" s="843"/>
      <c r="F15" s="844"/>
      <c r="G15" s="844"/>
      <c r="H15" s="844"/>
      <c r="I15" s="844"/>
      <c r="J15" s="845"/>
      <c r="K15" s="845"/>
      <c r="L15" s="846">
        <f>SUM(E15:J15)</f>
        <v>0</v>
      </c>
      <c r="M15" s="785"/>
      <c r="N15" s="786"/>
    </row>
    <row r="16" spans="1:18" hidden="1">
      <c r="B16" s="685"/>
      <c r="C16" s="685"/>
      <c r="E16" s="847"/>
      <c r="F16" s="848"/>
      <c r="G16" s="848"/>
      <c r="H16" s="848"/>
      <c r="I16" s="848"/>
      <c r="J16" s="848"/>
      <c r="K16" s="848"/>
      <c r="L16" s="849">
        <f>SUM(E16:J16)</f>
        <v>0</v>
      </c>
      <c r="M16" s="787"/>
      <c r="N16" s="788"/>
    </row>
    <row r="17" spans="2:14" hidden="1">
      <c r="B17" s="782" t="s">
        <v>760</v>
      </c>
      <c r="C17" s="683" t="s">
        <v>166</v>
      </c>
      <c r="E17" s="840">
        <f t="shared" ref="E17:J17" si="0">+E14+E15+E16</f>
        <v>0</v>
      </c>
      <c r="F17" s="841">
        <f t="shared" si="0"/>
        <v>0</v>
      </c>
      <c r="G17" s="841">
        <f t="shared" si="0"/>
        <v>0</v>
      </c>
      <c r="H17" s="841">
        <f t="shared" si="0"/>
        <v>0</v>
      </c>
      <c r="I17" s="841">
        <f t="shared" si="0"/>
        <v>0</v>
      </c>
      <c r="J17" s="841">
        <f t="shared" si="0"/>
        <v>0</v>
      </c>
      <c r="K17" s="841"/>
      <c r="L17" s="842">
        <f>SUM(L14:L16)</f>
        <v>0</v>
      </c>
      <c r="M17" s="783"/>
      <c r="N17" s="784"/>
    </row>
    <row r="18" spans="2:14" hidden="1">
      <c r="B18" s="789" t="s">
        <v>174</v>
      </c>
      <c r="C18" s="686" t="s">
        <v>315</v>
      </c>
      <c r="E18" s="850"/>
      <c r="F18" s="851"/>
      <c r="G18" s="851"/>
      <c r="H18" s="851"/>
      <c r="I18" s="852"/>
      <c r="J18" s="851"/>
      <c r="K18" s="851"/>
      <c r="L18" s="853">
        <f t="shared" ref="L18:L23" si="1">SUM(E18:J18)</f>
        <v>0</v>
      </c>
      <c r="M18" s="776"/>
      <c r="N18" s="781"/>
    </row>
    <row r="19" spans="2:14" hidden="1">
      <c r="B19" s="685" t="s">
        <v>175</v>
      </c>
      <c r="C19" s="685" t="s">
        <v>318</v>
      </c>
      <c r="E19" s="847"/>
      <c r="F19" s="848"/>
      <c r="G19" s="848"/>
      <c r="H19" s="848"/>
      <c r="I19" s="848"/>
      <c r="J19" s="848"/>
      <c r="K19" s="848"/>
      <c r="L19" s="849">
        <f t="shared" si="1"/>
        <v>0</v>
      </c>
      <c r="M19" s="787"/>
      <c r="N19" s="788"/>
    </row>
    <row r="20" spans="2:14" hidden="1">
      <c r="B20" s="687" t="s">
        <v>176</v>
      </c>
      <c r="C20" s="687" t="s">
        <v>172</v>
      </c>
      <c r="E20" s="854"/>
      <c r="F20" s="855"/>
      <c r="G20" s="855"/>
      <c r="H20" s="855"/>
      <c r="I20" s="855"/>
      <c r="J20" s="855"/>
      <c r="K20" s="855"/>
      <c r="L20" s="856">
        <f t="shared" si="1"/>
        <v>0</v>
      </c>
      <c r="M20" s="790"/>
      <c r="N20" s="791"/>
    </row>
    <row r="21" spans="2:14" hidden="1">
      <c r="B21" s="687" t="s">
        <v>177</v>
      </c>
      <c r="C21" s="687" t="s">
        <v>144</v>
      </c>
      <c r="E21" s="854"/>
      <c r="F21" s="855"/>
      <c r="G21" s="855"/>
      <c r="H21" s="855"/>
      <c r="I21" s="855"/>
      <c r="J21" s="855"/>
      <c r="K21" s="855"/>
      <c r="L21" s="856">
        <f t="shared" si="1"/>
        <v>0</v>
      </c>
      <c r="M21" s="790"/>
      <c r="N21" s="791"/>
    </row>
    <row r="22" spans="2:14" hidden="1">
      <c r="B22" s="685" t="s">
        <v>178</v>
      </c>
      <c r="C22" s="685" t="s">
        <v>317</v>
      </c>
      <c r="E22" s="847"/>
      <c r="F22" s="848"/>
      <c r="G22" s="848"/>
      <c r="H22" s="848"/>
      <c r="I22" s="848"/>
      <c r="J22" s="848"/>
      <c r="K22" s="848"/>
      <c r="L22" s="849">
        <f t="shared" si="1"/>
        <v>0</v>
      </c>
      <c r="M22" s="787"/>
      <c r="N22" s="788"/>
    </row>
    <row r="23" spans="2:14" hidden="1">
      <c r="B23" s="687" t="s">
        <v>179</v>
      </c>
      <c r="C23" s="687" t="s">
        <v>167</v>
      </c>
      <c r="E23" s="854"/>
      <c r="F23" s="855"/>
      <c r="G23" s="855"/>
      <c r="H23" s="855"/>
      <c r="I23" s="855"/>
      <c r="J23" s="855"/>
      <c r="K23" s="855"/>
      <c r="L23" s="856">
        <f t="shared" si="1"/>
        <v>0</v>
      </c>
      <c r="M23" s="790"/>
      <c r="N23" s="791"/>
    </row>
    <row r="24" spans="2:14" hidden="1">
      <c r="B24" s="685" t="s">
        <v>180</v>
      </c>
      <c r="C24" s="686" t="s">
        <v>170</v>
      </c>
      <c r="E24" s="850"/>
      <c r="F24" s="851"/>
      <c r="G24" s="851"/>
      <c r="H24" s="851"/>
      <c r="I24" s="851"/>
      <c r="J24" s="851"/>
      <c r="K24" s="851"/>
      <c r="L24" s="853"/>
      <c r="M24" s="776"/>
      <c r="N24" s="781"/>
    </row>
    <row r="25" spans="2:14">
      <c r="B25" s="782" t="s">
        <v>765</v>
      </c>
      <c r="C25" s="981" t="s">
        <v>1150</v>
      </c>
      <c r="E25" s="840">
        <f>B_Sheet14!U43</f>
        <v>100000</v>
      </c>
      <c r="F25" s="841">
        <f>SUM(F17:F24)</f>
        <v>0</v>
      </c>
      <c r="G25" s="841">
        <f>SUM(G17:G24)</f>
        <v>0</v>
      </c>
      <c r="H25" s="841">
        <f>B_Sheet14!U47</f>
        <v>463437</v>
      </c>
      <c r="I25" s="841">
        <f>B_Sheet14!U48</f>
        <v>89561534</v>
      </c>
      <c r="J25" s="841">
        <f>+B_Sheet14!U50</f>
        <v>39077232.899999999</v>
      </c>
      <c r="K25" s="841">
        <f>B_Sheet14!U49</f>
        <v>-1460600</v>
      </c>
      <c r="L25" s="842">
        <f>SUM(E25:K25)</f>
        <v>127741603.90000001</v>
      </c>
      <c r="M25" s="792">
        <f>SUM(M17:M23)</f>
        <v>0</v>
      </c>
      <c r="N25" s="793">
        <f>SUM(N17:N23)</f>
        <v>0</v>
      </c>
    </row>
    <row r="26" spans="2:14">
      <c r="B26" s="861"/>
      <c r="C26" s="861" t="s">
        <v>465</v>
      </c>
      <c r="E26" s="862"/>
      <c r="F26" s="863"/>
      <c r="G26" s="863"/>
      <c r="H26" s="863"/>
      <c r="I26" s="863"/>
      <c r="J26" s="863"/>
      <c r="K26" s="863"/>
      <c r="L26" s="864">
        <f t="shared" ref="L26:L33" si="2">SUM(E26:K26)</f>
        <v>0</v>
      </c>
      <c r="M26" s="865"/>
      <c r="N26" s="794"/>
    </row>
    <row r="27" spans="2:14">
      <c r="B27" s="686" t="s">
        <v>174</v>
      </c>
      <c r="C27" s="686" t="s">
        <v>315</v>
      </c>
      <c r="E27" s="850"/>
      <c r="F27" s="851"/>
      <c r="G27" s="851"/>
      <c r="H27" s="851"/>
      <c r="I27" s="851"/>
      <c r="J27" s="851"/>
      <c r="K27" s="851"/>
      <c r="L27" s="853">
        <f t="shared" si="2"/>
        <v>0</v>
      </c>
      <c r="M27" s="776"/>
      <c r="N27" s="794"/>
    </row>
    <row r="28" spans="2:14">
      <c r="B28" s="685" t="s">
        <v>175</v>
      </c>
      <c r="C28" s="685" t="s">
        <v>428</v>
      </c>
      <c r="E28" s="854"/>
      <c r="F28" s="855"/>
      <c r="G28" s="855"/>
      <c r="H28" s="855"/>
      <c r="I28" s="855"/>
      <c r="J28" s="855"/>
      <c r="K28" s="855"/>
      <c r="L28" s="856">
        <f t="shared" si="2"/>
        <v>0</v>
      </c>
      <c r="M28" s="790"/>
      <c r="N28" s="791"/>
    </row>
    <row r="29" spans="2:14">
      <c r="B29" s="687" t="s">
        <v>176</v>
      </c>
      <c r="C29" s="687" t="s">
        <v>172</v>
      </c>
      <c r="E29" s="854"/>
      <c r="F29" s="855"/>
      <c r="G29" s="855"/>
      <c r="H29" s="855"/>
      <c r="I29" s="855"/>
      <c r="J29" s="855">
        <f>+B_Sheet14!T50</f>
        <v>-1890019.32</v>
      </c>
      <c r="K29" s="855"/>
      <c r="L29" s="856">
        <f t="shared" si="2"/>
        <v>-1890019.32</v>
      </c>
      <c r="M29" s="790"/>
      <c r="N29" s="791"/>
    </row>
    <row r="30" spans="2:14">
      <c r="B30" s="687" t="s">
        <v>177</v>
      </c>
      <c r="C30" s="687" t="s">
        <v>144</v>
      </c>
      <c r="E30" s="854"/>
      <c r="F30" s="855"/>
      <c r="G30" s="855"/>
      <c r="H30" s="855"/>
      <c r="I30" s="855"/>
      <c r="J30" s="855"/>
      <c r="K30" s="855"/>
      <c r="L30" s="856">
        <f t="shared" si="2"/>
        <v>0</v>
      </c>
      <c r="M30" s="790"/>
      <c r="N30" s="791"/>
    </row>
    <row r="31" spans="2:14">
      <c r="B31" s="685" t="s">
        <v>178</v>
      </c>
      <c r="C31" s="685" t="s">
        <v>295</v>
      </c>
      <c r="E31" s="854"/>
      <c r="F31" s="855"/>
      <c r="G31" s="855"/>
      <c r="H31" s="855"/>
      <c r="I31" s="855">
        <f>+B_Sheet14!U50+B_Sheet14!U49</f>
        <v>37616632.899999999</v>
      </c>
      <c r="J31" s="855">
        <f>-B_Sheet14!U50</f>
        <v>-39077232.899999999</v>
      </c>
      <c r="K31" s="855">
        <v>1460600</v>
      </c>
      <c r="L31" s="856">
        <f t="shared" si="2"/>
        <v>0</v>
      </c>
      <c r="M31" s="790"/>
      <c r="N31" s="791"/>
    </row>
    <row r="32" spans="2:14">
      <c r="B32" s="687" t="s">
        <v>179</v>
      </c>
      <c r="C32" s="687" t="s">
        <v>167</v>
      </c>
      <c r="E32" s="854"/>
      <c r="F32" s="855"/>
      <c r="G32" s="855"/>
      <c r="H32" s="855"/>
      <c r="I32" s="855"/>
      <c r="J32" s="855"/>
      <c r="K32" s="855"/>
      <c r="L32" s="856">
        <f t="shared" si="2"/>
        <v>0</v>
      </c>
      <c r="M32" s="790"/>
      <c r="N32" s="791"/>
    </row>
    <row r="33" spans="2:14">
      <c r="B33" s="685" t="s">
        <v>180</v>
      </c>
      <c r="C33" s="686" t="s">
        <v>170</v>
      </c>
      <c r="E33" s="857"/>
      <c r="F33" s="858"/>
      <c r="G33" s="855"/>
      <c r="H33" s="855"/>
      <c r="I33" s="855"/>
      <c r="J33" s="855"/>
      <c r="K33" s="855"/>
      <c r="L33" s="856">
        <f t="shared" si="2"/>
        <v>0</v>
      </c>
      <c r="M33" s="790"/>
      <c r="N33" s="791"/>
    </row>
    <row r="34" spans="2:14" ht="25.5" customHeight="1" thickBot="1">
      <c r="B34" s="795" t="s">
        <v>863</v>
      </c>
      <c r="C34" s="982" t="s">
        <v>1151</v>
      </c>
      <c r="D34" s="239"/>
      <c r="E34" s="859">
        <f t="shared" ref="E34:K34" si="3">SUM(E25:E33)</f>
        <v>100000</v>
      </c>
      <c r="F34" s="860">
        <f t="shared" si="3"/>
        <v>0</v>
      </c>
      <c r="G34" s="860">
        <f t="shared" si="3"/>
        <v>0</v>
      </c>
      <c r="H34" s="860">
        <f t="shared" si="3"/>
        <v>463437</v>
      </c>
      <c r="I34" s="860">
        <f t="shared" si="3"/>
        <v>127178166.90000001</v>
      </c>
      <c r="J34" s="860">
        <f t="shared" si="3"/>
        <v>-1890019.3200000003</v>
      </c>
      <c r="K34" s="860">
        <f t="shared" si="3"/>
        <v>0</v>
      </c>
      <c r="L34" s="860">
        <f>SUM(L25:L33)</f>
        <v>125851584.58000001</v>
      </c>
      <c r="M34" s="796">
        <f>SUM(M25)</f>
        <v>0</v>
      </c>
      <c r="N34" s="797">
        <f>SUM(N25)</f>
        <v>0</v>
      </c>
    </row>
  </sheetData>
  <mergeCells count="3">
    <mergeCell ref="E8:L8"/>
    <mergeCell ref="L9:L12"/>
    <mergeCell ref="N9:N12"/>
  </mergeCells>
  <phoneticPr fontId="8" type="noConversion"/>
  <pageMargins left="0.17" right="0.25" top="0.72" bottom="0.64" header="0.5" footer="0.28999999999999998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G77"/>
  <sheetViews>
    <sheetView showGridLines="0" topLeftCell="A33" workbookViewId="0">
      <selection activeCell="C33" sqref="C33"/>
    </sheetView>
  </sheetViews>
  <sheetFormatPr defaultColWidth="9.109375" defaultRowHeight="13.8" outlineLevelRow="1"/>
  <cols>
    <col min="1" max="1" width="2" style="244" customWidth="1"/>
    <col min="2" max="2" width="3" style="812" customWidth="1"/>
    <col min="3" max="3" width="51.5546875" style="244" customWidth="1"/>
    <col min="4" max="4" width="2.109375" style="244" customWidth="1"/>
    <col min="5" max="5" width="15.6640625" style="669" customWidth="1"/>
    <col min="6" max="6" width="2.6640625" style="833" customWidth="1"/>
    <col min="7" max="7" width="12.6640625" style="669" customWidth="1"/>
    <col min="8" max="8" width="1.33203125" style="244" customWidth="1"/>
    <col min="9" max="16384" width="9.109375" style="244"/>
  </cols>
  <sheetData>
    <row r="1" spans="2:7" ht="15" hidden="1" customHeight="1"/>
    <row r="2" spans="2:7" hidden="1">
      <c r="C2" s="244" t="s">
        <v>115</v>
      </c>
    </row>
    <row r="3" spans="2:7" ht="15" hidden="1" customHeight="1"/>
    <row r="4" spans="2:7" hidden="1" outlineLevel="1">
      <c r="C4" s="244" t="s">
        <v>89</v>
      </c>
      <c r="E4" s="669" t="s">
        <v>108</v>
      </c>
      <c r="G4" s="669" t="s">
        <v>109</v>
      </c>
    </row>
    <row r="5" spans="2:7" hidden="1" outlineLevel="1"/>
    <row r="6" spans="2:7" ht="15" hidden="1" customHeight="1" outlineLevel="1">
      <c r="B6" s="812" t="s">
        <v>526</v>
      </c>
      <c r="C6" s="244" t="s">
        <v>90</v>
      </c>
    </row>
    <row r="7" spans="2:7" ht="15" hidden="1" customHeight="1" outlineLevel="1">
      <c r="B7" s="812">
        <v>1</v>
      </c>
      <c r="C7" s="244" t="s">
        <v>91</v>
      </c>
    </row>
    <row r="8" spans="2:7" ht="15" hidden="1" customHeight="1" outlineLevel="1">
      <c r="B8" s="812">
        <v>2</v>
      </c>
      <c r="C8" s="244" t="s">
        <v>92</v>
      </c>
      <c r="E8" s="669" t="e">
        <f>-'[1]P&amp;L08'!E13</f>
        <v>#VALUE!</v>
      </c>
    </row>
    <row r="9" spans="2:7" ht="15" hidden="1" customHeight="1" outlineLevel="1">
      <c r="B9" s="812">
        <v>3</v>
      </c>
      <c r="C9" s="244" t="s">
        <v>93</v>
      </c>
    </row>
    <row r="10" spans="2:7" ht="15" hidden="1" customHeight="1" outlineLevel="1">
      <c r="B10" s="812">
        <v>4</v>
      </c>
      <c r="C10" s="244" t="s">
        <v>110</v>
      </c>
      <c r="E10" s="669" t="e">
        <f>-'[1]P&amp;L08'!E31</f>
        <v>#VALUE!</v>
      </c>
    </row>
    <row r="11" spans="2:7" ht="15" hidden="1" customHeight="1" outlineLevel="1">
      <c r="B11" s="812">
        <v>5</v>
      </c>
      <c r="C11" s="244" t="s">
        <v>111</v>
      </c>
    </row>
    <row r="12" spans="2:7" ht="15" hidden="1" customHeight="1" outlineLevel="1">
      <c r="C12" s="244" t="s">
        <v>95</v>
      </c>
      <c r="E12" s="669" t="e">
        <f>SUM(E7:E11)</f>
        <v>#VALUE!</v>
      </c>
      <c r="G12" s="669">
        <f>SUM(G7:G11)</f>
        <v>0</v>
      </c>
    </row>
    <row r="13" spans="2:7" ht="15" hidden="1" customHeight="1" outlineLevel="1"/>
    <row r="14" spans="2:7" ht="15" hidden="1" customHeight="1" outlineLevel="1">
      <c r="B14" s="812" t="s">
        <v>633</v>
      </c>
      <c r="C14" s="244" t="s">
        <v>112</v>
      </c>
    </row>
    <row r="15" spans="2:7" ht="15" hidden="1" customHeight="1" outlineLevel="1">
      <c r="B15" s="812">
        <v>1</v>
      </c>
      <c r="C15" s="244" t="s">
        <v>96</v>
      </c>
      <c r="E15" s="669">
        <v>0</v>
      </c>
    </row>
    <row r="16" spans="2:7" ht="15" hidden="1" customHeight="1" outlineLevel="1">
      <c r="B16" s="812">
        <v>2</v>
      </c>
      <c r="C16" s="244" t="s">
        <v>97</v>
      </c>
    </row>
    <row r="17" spans="2:7" ht="15" hidden="1" customHeight="1" outlineLevel="1">
      <c r="B17" s="812">
        <v>3</v>
      </c>
      <c r="C17" s="244" t="s">
        <v>98</v>
      </c>
      <c r="E17" s="669" t="str">
        <f>+'[1]P&amp;L08'!K18</f>
        <v xml:space="preserve">      Sales of fixed assets</v>
      </c>
    </row>
    <row r="18" spans="2:7" ht="15" hidden="1" customHeight="1" outlineLevel="1">
      <c r="B18" s="812">
        <v>4</v>
      </c>
      <c r="C18" s="244" t="s">
        <v>182</v>
      </c>
      <c r="E18" s="669">
        <v>0</v>
      </c>
    </row>
    <row r="19" spans="2:7" ht="15" hidden="1" customHeight="1" outlineLevel="1">
      <c r="B19" s="812">
        <v>5</v>
      </c>
      <c r="C19" s="244" t="s">
        <v>99</v>
      </c>
      <c r="E19" s="669">
        <v>0</v>
      </c>
    </row>
    <row r="20" spans="2:7" ht="15" hidden="1" customHeight="1" outlineLevel="1">
      <c r="C20" s="244" t="s">
        <v>100</v>
      </c>
      <c r="E20" s="669">
        <f>SUM(E15:E19)</f>
        <v>0</v>
      </c>
      <c r="G20" s="669">
        <f>SUM(G15:G19)</f>
        <v>0</v>
      </c>
    </row>
    <row r="21" spans="2:7" ht="15" hidden="1" customHeight="1" outlineLevel="1"/>
    <row r="22" spans="2:7" ht="15" hidden="1" customHeight="1" outlineLevel="1">
      <c r="B22" s="812" t="s">
        <v>630</v>
      </c>
      <c r="C22" s="244" t="s">
        <v>113</v>
      </c>
    </row>
    <row r="23" spans="2:7" ht="15" hidden="1" customHeight="1" outlineLevel="1">
      <c r="B23" s="812">
        <v>1</v>
      </c>
      <c r="C23" s="244" t="s">
        <v>114</v>
      </c>
      <c r="E23" s="669">
        <v>0</v>
      </c>
    </row>
    <row r="24" spans="2:7" ht="15" hidden="1" customHeight="1" outlineLevel="1">
      <c r="B24" s="812">
        <v>2</v>
      </c>
      <c r="C24" s="244" t="s">
        <v>101</v>
      </c>
      <c r="E24" s="669">
        <v>0</v>
      </c>
    </row>
    <row r="25" spans="2:7" ht="15" hidden="1" customHeight="1" outlineLevel="1">
      <c r="B25" s="812">
        <v>3</v>
      </c>
      <c r="C25" s="244" t="s">
        <v>102</v>
      </c>
      <c r="E25" s="669">
        <v>0</v>
      </c>
    </row>
    <row r="26" spans="2:7" ht="15" hidden="1" customHeight="1" outlineLevel="1">
      <c r="B26" s="812">
        <v>4</v>
      </c>
      <c r="C26" s="244" t="s">
        <v>103</v>
      </c>
      <c r="E26" s="669">
        <v>0</v>
      </c>
    </row>
    <row r="27" spans="2:7" ht="15" hidden="1" customHeight="1" outlineLevel="1">
      <c r="C27" s="244" t="s">
        <v>104</v>
      </c>
      <c r="E27" s="669">
        <f>SUM(E23:E26)</f>
        <v>0</v>
      </c>
      <c r="G27" s="669">
        <f>SUM(G20,G23:G26)</f>
        <v>0</v>
      </c>
    </row>
    <row r="28" spans="2:7" ht="15" hidden="1" customHeight="1" outlineLevel="1"/>
    <row r="29" spans="2:7" ht="15" hidden="1" customHeight="1" outlineLevel="1">
      <c r="C29" s="244" t="s">
        <v>105</v>
      </c>
      <c r="E29" s="669">
        <f>+[1]B_Sheet08!H43</f>
        <v>1188574.8</v>
      </c>
    </row>
    <row r="30" spans="2:7" ht="15" hidden="1" customHeight="1" outlineLevel="1">
      <c r="C30" s="244" t="s">
        <v>106</v>
      </c>
      <c r="E30" s="669">
        <f>+[1]B_Sheet08!G43</f>
        <v>1414948.9791999997</v>
      </c>
    </row>
    <row r="31" spans="2:7" ht="15" hidden="1" customHeight="1" outlineLevel="1"/>
    <row r="32" spans="2:7" ht="16.5" hidden="1" customHeight="1" outlineLevel="1">
      <c r="C32" s="244" t="s">
        <v>107</v>
      </c>
      <c r="E32" s="669" t="e">
        <f>SUM(E29:E30,E27,E20,E12)</f>
        <v>#VALUE!</v>
      </c>
      <c r="G32" s="669">
        <f>SUM(G29:G30,G27,G20,G12)</f>
        <v>0</v>
      </c>
    </row>
    <row r="33" spans="2:7" ht="15.6" collapsed="1">
      <c r="C33" s="873" t="s">
        <v>1225</v>
      </c>
    </row>
    <row r="35" spans="2:7">
      <c r="C35" s="832" t="s">
        <v>121</v>
      </c>
    </row>
    <row r="37" spans="2:7" s="914" customFormat="1" ht="27.6">
      <c r="B37" s="926"/>
      <c r="C37" s="927" t="s">
        <v>89</v>
      </c>
      <c r="E37" s="928" t="s">
        <v>108</v>
      </c>
      <c r="F37" s="929"/>
      <c r="G37" s="928" t="s">
        <v>109</v>
      </c>
    </row>
    <row r="39" spans="2:7" s="247" customFormat="1">
      <c r="B39" s="831" t="s">
        <v>526</v>
      </c>
      <c r="C39" s="247" t="s">
        <v>122</v>
      </c>
      <c r="E39" s="670"/>
      <c r="F39" s="834"/>
      <c r="G39" s="670"/>
    </row>
    <row r="40" spans="2:7">
      <c r="C40" s="244" t="s">
        <v>123</v>
      </c>
      <c r="E40" s="669">
        <f>'P&amp;L14'!F28</f>
        <v>-1890019.32</v>
      </c>
      <c r="G40" s="833">
        <v>43350135</v>
      </c>
    </row>
    <row r="41" spans="2:7">
      <c r="C41" s="244" t="s">
        <v>124</v>
      </c>
    </row>
    <row r="42" spans="2:7">
      <c r="C42" s="244" t="s">
        <v>458</v>
      </c>
      <c r="E42" s="669">
        <v>0</v>
      </c>
      <c r="G42" s="669">
        <v>0</v>
      </c>
    </row>
    <row r="43" spans="2:7">
      <c r="C43" s="244" t="s">
        <v>459</v>
      </c>
      <c r="E43" s="669">
        <v>0</v>
      </c>
      <c r="G43" s="669">
        <v>0</v>
      </c>
    </row>
    <row r="44" spans="2:7">
      <c r="C44" s="244" t="s">
        <v>460</v>
      </c>
    </row>
    <row r="45" spans="2:7">
      <c r="C45" s="244" t="s">
        <v>461</v>
      </c>
    </row>
    <row r="46" spans="2:7" ht="27.6">
      <c r="B46" s="812" t="s">
        <v>633</v>
      </c>
      <c r="C46" s="811" t="s">
        <v>183</v>
      </c>
      <c r="E46" s="193">
        <f>-(B_Sheet14!I18-B_Sheet14!J18)</f>
        <v>-710549</v>
      </c>
      <c r="F46" s="193"/>
      <c r="G46" s="193">
        <v>-238092.20000000019</v>
      </c>
    </row>
    <row r="47" spans="2:7">
      <c r="B47" s="812" t="s">
        <v>630</v>
      </c>
      <c r="C47" s="244" t="s">
        <v>125</v>
      </c>
      <c r="E47" s="669">
        <f>(B_Sheet14!J25-B_Sheet14!I25)</f>
        <v>-426982</v>
      </c>
      <c r="G47" s="669">
        <v>3289988</v>
      </c>
    </row>
    <row r="48" spans="2:7">
      <c r="B48" s="812" t="s">
        <v>740</v>
      </c>
      <c r="C48" s="244" t="s">
        <v>133</v>
      </c>
      <c r="E48" s="882">
        <f>(B_Sheet14!T21-B_Sheet14!U21)</f>
        <v>7119213.900000006</v>
      </c>
      <c r="G48" s="882">
        <v>-121022434.90000001</v>
      </c>
    </row>
    <row r="49" spans="2:7" s="247" customFormat="1">
      <c r="B49" s="831" t="s">
        <v>184</v>
      </c>
      <c r="C49" s="247" t="s">
        <v>126</v>
      </c>
      <c r="E49" s="670">
        <f>SUM(E40:E48)</f>
        <v>4091663.5800000057</v>
      </c>
      <c r="F49" s="834"/>
      <c r="G49" s="670">
        <v>-74620404.100000009</v>
      </c>
    </row>
    <row r="50" spans="2:7">
      <c r="B50" s="812" t="s">
        <v>185</v>
      </c>
      <c r="C50" s="244" t="s">
        <v>110</v>
      </c>
    </row>
    <row r="51" spans="2:7">
      <c r="B51" s="812" t="s">
        <v>186</v>
      </c>
      <c r="C51" s="244" t="s">
        <v>127</v>
      </c>
      <c r="E51" s="882">
        <f>'P&amp;L14'!F29</f>
        <v>0</v>
      </c>
      <c r="G51" s="882">
        <v>-4272902.1000000006</v>
      </c>
    </row>
    <row r="52" spans="2:7" s="247" customFormat="1">
      <c r="B52" s="831"/>
      <c r="C52" s="247" t="s">
        <v>128</v>
      </c>
      <c r="E52" s="670">
        <f>SUM(E49:E51)</f>
        <v>4091663.5800000057</v>
      </c>
      <c r="F52" s="834"/>
      <c r="G52" s="670">
        <v>-78893306.200000003</v>
      </c>
    </row>
    <row r="53" spans="2:7" ht="12.75" customHeight="1"/>
    <row r="54" spans="2:7" s="247" customFormat="1">
      <c r="B54" s="831" t="s">
        <v>187</v>
      </c>
      <c r="C54" s="247" t="s">
        <v>134</v>
      </c>
      <c r="E54" s="670"/>
      <c r="F54" s="834"/>
      <c r="G54" s="670"/>
    </row>
    <row r="55" spans="2:7">
      <c r="C55" s="244" t="s">
        <v>1146</v>
      </c>
      <c r="E55" s="669">
        <f>-(B_Sheet14!I28-B_Sheet14!J28)-B_Sheet14!I37+B_Sheet14!J37</f>
        <v>-3301720</v>
      </c>
      <c r="G55" s="669">
        <v>5179247</v>
      </c>
    </row>
    <row r="56" spans="2:7">
      <c r="C56" s="244" t="s">
        <v>1145</v>
      </c>
      <c r="E56" s="669">
        <f>B_Sheet14!J53-B_Sheet14!I53</f>
        <v>-1018689</v>
      </c>
      <c r="G56" s="669">
        <v>75378553</v>
      </c>
    </row>
    <row r="57" spans="2:7">
      <c r="C57" s="244" t="s">
        <v>136</v>
      </c>
    </row>
    <row r="58" spans="2:7">
      <c r="B58" s="812" t="s">
        <v>760</v>
      </c>
      <c r="C58" s="244" t="s">
        <v>137</v>
      </c>
    </row>
    <row r="59" spans="2:7">
      <c r="B59" s="812" t="s">
        <v>188</v>
      </c>
      <c r="C59" s="244" t="s">
        <v>138</v>
      </c>
      <c r="E59" s="882"/>
      <c r="G59" s="882"/>
    </row>
    <row r="60" spans="2:7" s="247" customFormat="1">
      <c r="B60" s="831"/>
      <c r="C60" s="247" t="s">
        <v>139</v>
      </c>
      <c r="E60" s="670">
        <f>SUM(E55:E59)</f>
        <v>-4320409</v>
      </c>
      <c r="F60" s="834"/>
      <c r="G60" s="670">
        <v>80557800</v>
      </c>
    </row>
    <row r="61" spans="2:7" ht="8.25" customHeight="1"/>
    <row r="62" spans="2:7" s="247" customFormat="1">
      <c r="B62" s="831" t="s">
        <v>189</v>
      </c>
      <c r="C62" s="247" t="s">
        <v>140</v>
      </c>
      <c r="E62" s="670"/>
      <c r="F62" s="834"/>
      <c r="G62" s="670"/>
    </row>
    <row r="63" spans="2:7">
      <c r="C63" s="244" t="s">
        <v>141</v>
      </c>
    </row>
    <row r="64" spans="2:7">
      <c r="C64" s="244" t="s">
        <v>142</v>
      </c>
    </row>
    <row r="65" spans="2:7">
      <c r="C65" s="244" t="s">
        <v>143</v>
      </c>
    </row>
    <row r="66" spans="2:7">
      <c r="C66" s="244" t="s">
        <v>144</v>
      </c>
      <c r="E66" s="882"/>
      <c r="G66" s="882"/>
    </row>
    <row r="67" spans="2:7" s="247" customFormat="1">
      <c r="B67" s="831"/>
      <c r="C67" s="247" t="s">
        <v>145</v>
      </c>
      <c r="E67" s="670">
        <f>SUM(E63:E66)</f>
        <v>0</v>
      </c>
      <c r="F67" s="834"/>
      <c r="G67" s="670">
        <v>0</v>
      </c>
    </row>
    <row r="68" spans="2:7" ht="12.75" customHeight="1"/>
    <row r="69" spans="2:7" s="247" customFormat="1">
      <c r="B69" s="831"/>
      <c r="C69" s="247" t="s">
        <v>190</v>
      </c>
      <c r="E69" s="670">
        <f>+E67+E60+E52</f>
        <v>-228745.41999999434</v>
      </c>
      <c r="F69" s="834"/>
      <c r="G69" s="670">
        <v>1664493.799999997</v>
      </c>
    </row>
    <row r="70" spans="2:7">
      <c r="C70" s="244" t="s">
        <v>146</v>
      </c>
      <c r="E70" s="669">
        <f>B_Sheet14!J8</f>
        <v>2040303</v>
      </c>
      <c r="G70" s="669">
        <v>375809</v>
      </c>
    </row>
    <row r="71" spans="2:7" s="247" customFormat="1">
      <c r="B71" s="831"/>
      <c r="C71" s="247" t="s">
        <v>147</v>
      </c>
      <c r="E71" s="670">
        <f>B_Sheet14!I8</f>
        <v>1811558</v>
      </c>
      <c r="F71" s="834"/>
      <c r="G71" s="670">
        <f>B_Sheet14!J8</f>
        <v>2040303</v>
      </c>
    </row>
    <row r="72" spans="2:7">
      <c r="E72" s="883">
        <f>+B_Sheet14!I8</f>
        <v>1811558</v>
      </c>
    </row>
    <row r="73" spans="2:7">
      <c r="C73" s="875" t="s">
        <v>959</v>
      </c>
      <c r="D73" s="525"/>
      <c r="E73" s="919">
        <f>B_Sheet14!I8-E71</f>
        <v>0</v>
      </c>
      <c r="F73" s="920"/>
      <c r="G73" s="921">
        <f>B_Sheet14!J8-G71</f>
        <v>0</v>
      </c>
    </row>
    <row r="76" spans="2:7">
      <c r="E76" s="669">
        <f>E71-E70</f>
        <v>-228745</v>
      </c>
      <c r="F76" s="669"/>
      <c r="G76" s="669">
        <f>G71-G70</f>
        <v>1664494</v>
      </c>
    </row>
    <row r="77" spans="2:7">
      <c r="E77" s="669">
        <f>E76-E69</f>
        <v>0.41999999433755875</v>
      </c>
      <c r="F77" s="669">
        <f>F76-F69</f>
        <v>0</v>
      </c>
      <c r="G77" s="669">
        <f>G76-G69</f>
        <v>0.20000000298023224</v>
      </c>
    </row>
  </sheetData>
  <phoneticPr fontId="86" type="noConversion"/>
  <pageMargins left="0.28000000000000003" right="0.18" top="0.36" bottom="0.56999999999999995" header="0.16" footer="0.21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3"/>
  </sheetPr>
  <dimension ref="C1:O24"/>
  <sheetViews>
    <sheetView showGridLines="0" defaultGridColor="0" colorId="62" workbookViewId="0">
      <selection activeCell="H13" sqref="H13"/>
    </sheetView>
  </sheetViews>
  <sheetFormatPr defaultRowHeight="13.2"/>
  <cols>
    <col min="1" max="1" width="3.6640625" customWidth="1"/>
    <col min="2" max="2" width="3.33203125" customWidth="1"/>
    <col min="3" max="3" width="19" customWidth="1"/>
    <col min="5" max="5" width="12.88671875" customWidth="1"/>
    <col min="6" max="6" width="8.5546875" customWidth="1"/>
    <col min="7" max="7" width="17.33203125" bestFit="1" customWidth="1"/>
    <col min="8" max="8" width="17" customWidth="1"/>
    <col min="9" max="9" width="1.88671875" customWidth="1"/>
    <col min="10" max="10" width="17.33203125" style="1" customWidth="1"/>
    <col min="11" max="11" width="8" style="1" bestFit="1" customWidth="1"/>
    <col min="12" max="12" width="10.5546875" bestFit="1" customWidth="1"/>
    <col min="14" max="14" width="10.44140625" customWidth="1"/>
    <col min="15" max="15" width="9.6640625" customWidth="1"/>
  </cols>
  <sheetData>
    <row r="1" spans="3:15">
      <c r="L1" s="1372" t="s">
        <v>1055</v>
      </c>
      <c r="M1" s="1372"/>
      <c r="N1" s="101" t="s">
        <v>1056</v>
      </c>
      <c r="O1" s="101">
        <v>121.78</v>
      </c>
    </row>
    <row r="2" spans="3:15">
      <c r="L2" s="1372"/>
      <c r="M2" s="1372"/>
      <c r="N2" s="101" t="s">
        <v>1057</v>
      </c>
      <c r="O2" s="101">
        <v>73.59</v>
      </c>
    </row>
    <row r="3" spans="3:15">
      <c r="L3" s="1372"/>
      <c r="M3" s="1372"/>
      <c r="N3" s="101" t="s">
        <v>1058</v>
      </c>
      <c r="O3" s="102">
        <f>O2/O1</f>
        <v>0.60428641813105599</v>
      </c>
    </row>
    <row r="5" spans="3:15" s="2" customFormat="1">
      <c r="C5" s="103"/>
      <c r="E5" s="104"/>
      <c r="F5" s="104"/>
      <c r="G5" s="105"/>
      <c r="H5" s="106"/>
      <c r="J5" s="107"/>
      <c r="K5" s="107"/>
    </row>
    <row r="6" spans="3:15" s="2" customFormat="1" ht="15">
      <c r="C6" s="1373" t="s">
        <v>1059</v>
      </c>
      <c r="D6" s="1373"/>
      <c r="E6" s="1373"/>
      <c r="F6" s="1373"/>
      <c r="G6" s="1373"/>
      <c r="H6" s="1373"/>
      <c r="J6" s="108"/>
      <c r="K6" s="108"/>
    </row>
    <row r="7" spans="3:15" s="2" customFormat="1" ht="15">
      <c r="C7" s="109"/>
      <c r="D7" s="110"/>
      <c r="E7" s="111"/>
      <c r="F7" s="111"/>
      <c r="G7" s="105"/>
      <c r="H7" s="105"/>
      <c r="J7" s="112"/>
      <c r="K7" s="112"/>
    </row>
    <row r="8" spans="3:15" s="2" customFormat="1" ht="13.8" thickBot="1">
      <c r="C8" s="113"/>
      <c r="D8" s="110"/>
      <c r="E8" s="111"/>
      <c r="F8" s="111"/>
      <c r="G8" s="105"/>
      <c r="H8" s="105"/>
      <c r="J8" s="112"/>
      <c r="K8" s="112"/>
    </row>
    <row r="9" spans="3:15" s="2" customFormat="1" ht="12.75" customHeight="1">
      <c r="C9" s="1374" t="s">
        <v>1060</v>
      </c>
      <c r="D9" s="1376" t="s">
        <v>1061</v>
      </c>
      <c r="E9" s="1378" t="s">
        <v>1062</v>
      </c>
      <c r="F9" s="1380" t="s">
        <v>1063</v>
      </c>
      <c r="G9" s="1382" t="s">
        <v>1064</v>
      </c>
      <c r="H9" s="1380" t="s">
        <v>1065</v>
      </c>
      <c r="I9" s="114"/>
      <c r="J9" s="115"/>
      <c r="K9" s="115"/>
    </row>
    <row r="10" spans="3:15" s="2" customFormat="1" ht="13.8" thickBot="1">
      <c r="C10" s="1375"/>
      <c r="D10" s="1377"/>
      <c r="E10" s="1379"/>
      <c r="F10" s="1381"/>
      <c r="G10" s="1383"/>
      <c r="H10" s="1381"/>
      <c r="I10" s="114"/>
      <c r="J10" s="115"/>
      <c r="K10" s="115"/>
    </row>
    <row r="11" spans="3:15" s="2" customFormat="1" ht="6.9" customHeight="1" thickBot="1">
      <c r="C11" s="113"/>
      <c r="D11" s="110"/>
      <c r="E11" s="111"/>
      <c r="F11" s="111"/>
      <c r="G11" s="105"/>
      <c r="H11" s="105"/>
      <c r="I11" s="105"/>
      <c r="J11" s="115"/>
      <c r="K11" s="115"/>
    </row>
    <row r="12" spans="3:15" s="2" customFormat="1">
      <c r="C12" s="154" t="s">
        <v>1068</v>
      </c>
      <c r="D12" s="116" t="s">
        <v>1066</v>
      </c>
      <c r="E12" s="117">
        <v>116433.29</v>
      </c>
      <c r="F12" s="118">
        <f>O1</f>
        <v>121.78</v>
      </c>
      <c r="G12" s="119">
        <f>E12</f>
        <v>116433.29</v>
      </c>
      <c r="H12" s="120">
        <f>E12*F12</f>
        <v>14179246.0562</v>
      </c>
      <c r="I12" s="121"/>
      <c r="J12" s="115"/>
      <c r="K12" s="115"/>
      <c r="M12" s="122"/>
    </row>
    <row r="13" spans="3:15" s="2" customFormat="1">
      <c r="C13" s="155"/>
      <c r="D13" s="149" t="s">
        <v>1006</v>
      </c>
      <c r="E13" s="150">
        <v>0</v>
      </c>
      <c r="F13" s="151"/>
      <c r="G13" s="152"/>
      <c r="H13" s="153"/>
      <c r="I13" s="121"/>
      <c r="J13" s="115"/>
      <c r="K13" s="115"/>
      <c r="M13" s="122"/>
    </row>
    <row r="14" spans="3:15" s="2" customFormat="1" ht="13.8" thickBot="1">
      <c r="C14" s="156"/>
      <c r="D14" s="123" t="s">
        <v>1069</v>
      </c>
      <c r="E14" s="124">
        <v>0</v>
      </c>
      <c r="F14" s="125">
        <v>1</v>
      </c>
      <c r="G14" s="126">
        <f>E14*F14</f>
        <v>0</v>
      </c>
      <c r="H14" s="127">
        <f>E14*O1</f>
        <v>0</v>
      </c>
      <c r="I14" s="121"/>
      <c r="J14" s="115"/>
      <c r="K14" s="115"/>
      <c r="M14" s="122"/>
    </row>
    <row r="15" spans="3:15" s="2" customFormat="1" ht="6.9" customHeight="1" thickBot="1">
      <c r="C15" s="128"/>
      <c r="D15" s="129"/>
      <c r="E15" s="130"/>
      <c r="F15" s="130"/>
      <c r="G15" s="131"/>
      <c r="H15" s="121"/>
      <c r="I15" s="121"/>
      <c r="J15" s="115"/>
      <c r="K15" s="115"/>
    </row>
    <row r="16" spans="3:15" s="2" customFormat="1" ht="17.25" customHeight="1" thickBot="1">
      <c r="C16" s="128"/>
      <c r="D16" s="129"/>
      <c r="E16" s="132"/>
      <c r="F16" s="132"/>
      <c r="G16" s="133">
        <f>SUM(G12:G15)</f>
        <v>116433.29</v>
      </c>
      <c r="H16" s="134">
        <f>SUM(H12:H15)</f>
        <v>14179246.0562</v>
      </c>
      <c r="I16" s="135"/>
      <c r="J16" s="115"/>
      <c r="K16" s="115"/>
    </row>
    <row r="17" spans="3:11" s="2" customFormat="1" ht="13.8" thickBot="1">
      <c r="C17" s="136"/>
      <c r="D17" s="129"/>
      <c r="E17" s="130"/>
      <c r="F17" s="130"/>
      <c r="G17" s="121"/>
      <c r="H17" s="121"/>
      <c r="I17" s="121"/>
      <c r="J17" s="115"/>
      <c r="K17" s="115"/>
    </row>
    <row r="18" spans="3:11" s="2" customFormat="1">
      <c r="C18" s="1369" t="s">
        <v>1067</v>
      </c>
      <c r="D18" s="116"/>
      <c r="E18" s="137"/>
      <c r="F18" s="138"/>
      <c r="G18" s="139"/>
      <c r="H18" s="120"/>
      <c r="I18" s="121"/>
      <c r="J18" s="115"/>
      <c r="K18" s="115"/>
    </row>
    <row r="19" spans="3:11" s="2" customFormat="1">
      <c r="C19" s="1370"/>
      <c r="D19" s="140" t="s">
        <v>1006</v>
      </c>
      <c r="E19" s="141"/>
      <c r="F19" s="142">
        <f>O1</f>
        <v>121.78</v>
      </c>
      <c r="G19" s="143">
        <f>E19/F19</f>
        <v>0</v>
      </c>
      <c r="H19" s="142">
        <f>E19</f>
        <v>0</v>
      </c>
      <c r="I19" s="121"/>
      <c r="J19" s="144">
        <f>E19-H19</f>
        <v>0</v>
      </c>
      <c r="K19" s="115"/>
    </row>
    <row r="20" spans="3:11" s="2" customFormat="1" ht="13.8" thickBot="1">
      <c r="C20" s="1371"/>
      <c r="D20" s="123"/>
      <c r="E20" s="145"/>
      <c r="F20" s="146"/>
      <c r="G20" s="147"/>
      <c r="H20" s="127"/>
      <c r="I20" s="121"/>
      <c r="J20" s="115"/>
      <c r="K20" s="115"/>
    </row>
    <row r="21" spans="3:11" s="2" customFormat="1" ht="6.9" customHeight="1" thickBot="1">
      <c r="C21" s="103"/>
      <c r="D21" s="110"/>
      <c r="E21" s="111"/>
      <c r="F21" s="111"/>
      <c r="G21" s="105"/>
      <c r="H21" s="121"/>
      <c r="I21" s="121"/>
      <c r="J21" s="115"/>
      <c r="K21" s="115"/>
    </row>
    <row r="22" spans="3:11" s="2" customFormat="1" ht="15" customHeight="1" thickBot="1">
      <c r="C22" s="113"/>
      <c r="D22" s="110"/>
      <c r="E22" s="132"/>
      <c r="F22" s="132"/>
      <c r="G22" s="133">
        <f>SUM(G18:G21)</f>
        <v>0</v>
      </c>
      <c r="H22" s="134">
        <f>SUM(H18:H21)</f>
        <v>0</v>
      </c>
      <c r="I22" s="135"/>
      <c r="J22" s="115"/>
      <c r="K22" s="115"/>
    </row>
    <row r="23" spans="3:11" s="2" customFormat="1" ht="6.9" customHeight="1" thickBot="1">
      <c r="C23" s="113"/>
      <c r="D23" s="110"/>
      <c r="E23" s="111"/>
      <c r="F23" s="111"/>
      <c r="G23" s="135"/>
      <c r="H23" s="135"/>
      <c r="I23" s="135"/>
      <c r="J23" s="115"/>
      <c r="K23" s="115"/>
    </row>
    <row r="24" spans="3:11" s="2" customFormat="1" ht="17.25" customHeight="1" thickBot="1">
      <c r="C24" s="113"/>
      <c r="D24" s="148"/>
      <c r="E24" s="132"/>
      <c r="F24" s="132"/>
      <c r="G24" s="133">
        <f>SUM(G22,G16)</f>
        <v>116433.29</v>
      </c>
      <c r="H24" s="134">
        <f>SUM(H22,H16)</f>
        <v>14179246.0562</v>
      </c>
      <c r="I24" s="135"/>
      <c r="J24" s="115"/>
      <c r="K24" s="115"/>
    </row>
  </sheetData>
  <mergeCells count="9">
    <mergeCell ref="C18:C20"/>
    <mergeCell ref="L1:M3"/>
    <mergeCell ref="C6:H6"/>
    <mergeCell ref="C9:C10"/>
    <mergeCell ref="D9:D10"/>
    <mergeCell ref="E9:E10"/>
    <mergeCell ref="F9:F10"/>
    <mergeCell ref="G9:G10"/>
    <mergeCell ref="H9:H10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B1:E33"/>
  <sheetViews>
    <sheetView showGridLines="0" defaultGridColor="0" colorId="18" zoomScale="145" zoomScaleNormal="145" zoomScaleSheetLayoutView="145" workbookViewId="0">
      <selection activeCell="H17" sqref="H17"/>
    </sheetView>
  </sheetViews>
  <sheetFormatPr defaultRowHeight="13.2"/>
  <cols>
    <col min="1" max="1" width="6" customWidth="1"/>
    <col min="2" max="2" width="4.44140625" customWidth="1"/>
    <col min="3" max="3" width="46.5546875" customWidth="1"/>
    <col min="4" max="4" width="19" customWidth="1"/>
    <col min="5" max="5" width="16.33203125" customWidth="1"/>
    <col min="6" max="6" width="3" customWidth="1"/>
  </cols>
  <sheetData>
    <row r="1" spans="3:5" s="63" customFormat="1" ht="15"/>
    <row r="2" spans="3:5" s="63" customFormat="1" ht="15"/>
    <row r="3" spans="3:5" s="63" customFormat="1" ht="15.6">
      <c r="C3" s="1384" t="s">
        <v>1007</v>
      </c>
      <c r="D3" s="1384"/>
      <c r="E3" s="1384"/>
    </row>
    <row r="4" spans="3:5" s="63" customFormat="1" ht="15.6">
      <c r="C4" s="64"/>
      <c r="D4" s="64"/>
      <c r="E4" s="64"/>
    </row>
    <row r="5" spans="3:5" s="63" customFormat="1" ht="16.2" thickBot="1">
      <c r="C5" s="62" t="s">
        <v>1008</v>
      </c>
      <c r="D5" s="65" t="s">
        <v>1011</v>
      </c>
      <c r="E5" s="65" t="s">
        <v>1012</v>
      </c>
    </row>
    <row r="6" spans="3:5" s="63" customFormat="1" ht="16.5" customHeight="1">
      <c r="C6" s="66" t="s">
        <v>1013</v>
      </c>
      <c r="D6" s="67" t="e">
        <f>'P&amp;L14'!#REF!</f>
        <v>#REF!</v>
      </c>
      <c r="E6" s="68" t="e">
        <f>'P&amp;L14'!#REF!</f>
        <v>#REF!</v>
      </c>
    </row>
    <row r="7" spans="3:5" s="63" customFormat="1" ht="16.5" customHeight="1">
      <c r="C7" s="66" t="s">
        <v>1014</v>
      </c>
      <c r="D7" s="69" t="e">
        <f>'P&amp;L14'!#REF!</f>
        <v>#REF!</v>
      </c>
      <c r="E7" s="70" t="e">
        <f>'P&amp;L14'!#REF!</f>
        <v>#REF!</v>
      </c>
    </row>
    <row r="8" spans="3:5" s="63" customFormat="1" ht="16.5" customHeight="1" thickBot="1">
      <c r="C8" s="66" t="s">
        <v>1015</v>
      </c>
      <c r="D8" s="71"/>
      <c r="E8" s="72">
        <v>5</v>
      </c>
    </row>
    <row r="9" spans="3:5" s="75" customFormat="1" ht="16.5" customHeight="1">
      <c r="C9" s="73"/>
      <c r="D9" s="74"/>
      <c r="E9" s="74"/>
    </row>
    <row r="10" spans="3:5" s="63" customFormat="1" ht="16.5" customHeight="1">
      <c r="C10" s="76" t="s">
        <v>915</v>
      </c>
      <c r="D10" s="77"/>
      <c r="E10" s="77"/>
    </row>
    <row r="11" spans="3:5" s="63" customFormat="1" ht="16.5" customHeight="1" thickBot="1">
      <c r="C11" s="78"/>
      <c r="D11" s="79"/>
      <c r="E11" s="79"/>
    </row>
    <row r="12" spans="3:5" s="63" customFormat="1" ht="16.5" customHeight="1">
      <c r="C12" s="66" t="s">
        <v>1016</v>
      </c>
      <c r="D12" s="67" t="e">
        <f>IF(D7&gt;D6,D7-D6,0)</f>
        <v>#REF!</v>
      </c>
      <c r="E12" s="68" t="e">
        <f>IF(E7&gt;E6,(E7-E6)-E8,0)</f>
        <v>#REF!</v>
      </c>
    </row>
    <row r="13" spans="3:5" s="63" customFormat="1" ht="16.5" customHeight="1" thickBot="1">
      <c r="C13" s="66" t="s">
        <v>1017</v>
      </c>
      <c r="D13" s="80" t="e">
        <f>IF(D6&gt;D7,D6-D7,0)</f>
        <v>#REF!</v>
      </c>
      <c r="E13" s="81" t="e">
        <f>IF(E6&gt;E7,E6-E7,0)</f>
        <v>#REF!</v>
      </c>
    </row>
    <row r="14" spans="3:5" s="63" customFormat="1" ht="16.5" customHeight="1">
      <c r="C14" s="62" t="s">
        <v>1018</v>
      </c>
      <c r="D14" s="82"/>
      <c r="E14" s="83"/>
    </row>
    <row r="15" spans="3:5" s="63" customFormat="1" ht="16.5" customHeight="1" thickBot="1">
      <c r="C15" s="62" t="s">
        <v>1019</v>
      </c>
      <c r="D15" s="84"/>
      <c r="E15" s="85" t="e">
        <f>IF((E13+E14)&gt;0,(E13+E14),0)</f>
        <v>#REF!</v>
      </c>
    </row>
    <row r="16" spans="3:5" s="63" customFormat="1" ht="16.5" customHeight="1" thickBot="1">
      <c r="C16" s="1384" t="s">
        <v>1020</v>
      </c>
      <c r="D16" s="1384"/>
      <c r="E16" s="1385"/>
    </row>
    <row r="17" spans="2:5" s="63" customFormat="1" ht="16.5" customHeight="1">
      <c r="C17" s="62" t="s">
        <v>1031</v>
      </c>
      <c r="D17" s="86"/>
      <c r="E17" s="87" t="e">
        <f>E15*23%</f>
        <v>#REF!</v>
      </c>
    </row>
    <row r="18" spans="2:5" s="63" customFormat="1" ht="16.5" customHeight="1">
      <c r="C18" s="62" t="s">
        <v>1021</v>
      </c>
      <c r="D18" s="86"/>
      <c r="E18" s="88"/>
    </row>
    <row r="19" spans="2:5" s="63" customFormat="1" ht="16.5" customHeight="1" thickBot="1">
      <c r="C19" s="62" t="s">
        <v>1022</v>
      </c>
      <c r="D19" s="89"/>
      <c r="E19" s="90" t="e">
        <f>E17+E18</f>
        <v>#REF!</v>
      </c>
    </row>
    <row r="20" spans="2:5" s="63" customFormat="1" ht="16.5" customHeight="1" thickBot="1">
      <c r="C20" s="66" t="s">
        <v>1023</v>
      </c>
      <c r="D20" s="91"/>
      <c r="E20" s="92"/>
    </row>
    <row r="21" spans="2:5" s="63" customFormat="1" ht="16.5" customHeight="1">
      <c r="C21" s="66" t="s">
        <v>1042</v>
      </c>
      <c r="D21" s="93"/>
      <c r="E21" s="94"/>
    </row>
    <row r="22" spans="2:5" s="63" customFormat="1" ht="16.5" customHeight="1" thickBot="1">
      <c r="C22" s="66" t="s">
        <v>1024</v>
      </c>
      <c r="D22" s="95"/>
      <c r="E22" s="96"/>
    </row>
    <row r="23" spans="2:5" s="63" customFormat="1" ht="16.5" customHeight="1">
      <c r="C23" s="62" t="s">
        <v>1025</v>
      </c>
      <c r="D23" s="97"/>
      <c r="E23" s="91">
        <v>0</v>
      </c>
    </row>
    <row r="24" spans="2:5" s="63" customFormat="1" ht="16.5" customHeight="1">
      <c r="C24" s="62" t="s">
        <v>1026</v>
      </c>
      <c r="D24" s="86"/>
      <c r="E24" s="98">
        <v>0</v>
      </c>
    </row>
    <row r="25" spans="2:5" s="63" customFormat="1" ht="16.5" customHeight="1" thickBot="1">
      <c r="C25" s="62" t="s">
        <v>1027</v>
      </c>
      <c r="D25" s="86"/>
      <c r="E25" s="99">
        <v>0</v>
      </c>
    </row>
    <row r="26" spans="2:5" s="63" customFormat="1" ht="15"/>
    <row r="27" spans="2:5" s="63" customFormat="1" ht="15"/>
    <row r="28" spans="2:5" s="63" customFormat="1" ht="15"/>
    <row r="29" spans="2:5" s="63" customFormat="1" ht="15"/>
    <row r="30" spans="2:5" s="63" customFormat="1" ht="15"/>
    <row r="31" spans="2:5">
      <c r="B31" s="52"/>
      <c r="C31" t="s">
        <v>1028</v>
      </c>
    </row>
    <row r="32" spans="2:5">
      <c r="B32" s="53"/>
      <c r="C32" t="s">
        <v>1029</v>
      </c>
    </row>
    <row r="33" spans="2:3">
      <c r="B33" s="54"/>
      <c r="C33" t="s">
        <v>1030</v>
      </c>
    </row>
  </sheetData>
  <mergeCells count="2">
    <mergeCell ref="C3:E3"/>
    <mergeCell ref="C16:E16"/>
  </mergeCells>
  <phoneticPr fontId="0" type="noConversion"/>
  <pageMargins left="0.75" right="0.75" top="1" bottom="1" header="0.5" footer="0.5"/>
  <pageSetup scale="97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B1:P23"/>
  <sheetViews>
    <sheetView showGridLines="0" defaultGridColor="0" colorId="12" workbookViewId="0">
      <selection activeCell="H38" sqref="H38"/>
    </sheetView>
  </sheetViews>
  <sheetFormatPr defaultRowHeight="13.2"/>
  <cols>
    <col min="1" max="1" width="2.109375" customWidth="1"/>
    <col min="2" max="2" width="4.109375" customWidth="1"/>
    <col min="3" max="3" width="12.44140625" customWidth="1"/>
    <col min="4" max="4" width="11.6640625" bestFit="1" customWidth="1"/>
    <col min="5" max="5" width="8.6640625" bestFit="1" customWidth="1"/>
    <col min="6" max="6" width="13.109375" customWidth="1"/>
    <col min="7" max="7" width="9.44140625" customWidth="1"/>
    <col min="8" max="8" width="13.33203125" customWidth="1"/>
    <col min="9" max="9" width="13.5546875" bestFit="1" customWidth="1"/>
    <col min="10" max="11" width="11.33203125" bestFit="1" customWidth="1"/>
    <col min="12" max="12" width="11.88671875" bestFit="1" customWidth="1"/>
    <col min="13" max="13" width="13.6640625" bestFit="1" customWidth="1"/>
    <col min="14" max="14" width="14.109375" bestFit="1" customWidth="1"/>
    <col min="15" max="15" width="11.6640625" customWidth="1"/>
    <col min="16" max="16" width="0" hidden="1" customWidth="1"/>
  </cols>
  <sheetData>
    <row r="1" spans="2:16" ht="15.6">
      <c r="B1" s="3"/>
      <c r="C1" s="61" t="s">
        <v>1052</v>
      </c>
      <c r="D1" s="100" t="s">
        <v>1053</v>
      </c>
    </row>
    <row r="4" spans="2:16">
      <c r="D4" s="4"/>
      <c r="E4" s="5"/>
      <c r="F4" s="6"/>
      <c r="G4" s="7"/>
      <c r="H4" s="7"/>
      <c r="I4" s="8" t="s">
        <v>1054</v>
      </c>
      <c r="J4" s="4"/>
      <c r="K4" s="4"/>
      <c r="L4" s="4"/>
      <c r="M4" s="4"/>
      <c r="N4" s="4"/>
      <c r="O4" s="4"/>
      <c r="P4" s="4"/>
    </row>
    <row r="5" spans="2:16" ht="13.8" thickBot="1">
      <c r="D5" s="4"/>
      <c r="E5" s="5"/>
      <c r="F5" s="4"/>
      <c r="G5" s="4"/>
      <c r="H5" s="4"/>
      <c r="I5" s="5"/>
      <c r="J5" s="4"/>
      <c r="K5" s="4"/>
      <c r="L5" s="4"/>
      <c r="M5" s="4"/>
      <c r="N5" s="4"/>
      <c r="O5" s="4"/>
      <c r="P5" s="4"/>
    </row>
    <row r="6" spans="2:16" ht="13.8" thickTop="1">
      <c r="B6" s="1386" t="s">
        <v>943</v>
      </c>
      <c r="C6" s="1388" t="s">
        <v>944</v>
      </c>
      <c r="D6" s="1390" t="s">
        <v>945</v>
      </c>
      <c r="E6" s="1391"/>
      <c r="F6" s="1392"/>
      <c r="G6" s="1393" t="s">
        <v>946</v>
      </c>
      <c r="H6" s="1391"/>
      <c r="I6" s="1394"/>
      <c r="J6" s="1390" t="s">
        <v>947</v>
      </c>
      <c r="K6" s="1391"/>
      <c r="L6" s="1392"/>
      <c r="M6" s="1397" t="s">
        <v>948</v>
      </c>
      <c r="N6" s="1399" t="s">
        <v>949</v>
      </c>
      <c r="O6" s="1401" t="s">
        <v>950</v>
      </c>
      <c r="P6" s="1395"/>
    </row>
    <row r="7" spans="2:16" ht="13.8" thickBot="1">
      <c r="B7" s="1387"/>
      <c r="C7" s="1389"/>
      <c r="D7" s="55" t="s">
        <v>951</v>
      </c>
      <c r="E7" s="56" t="s">
        <v>952</v>
      </c>
      <c r="F7" s="57" t="s">
        <v>953</v>
      </c>
      <c r="G7" s="58" t="s">
        <v>954</v>
      </c>
      <c r="H7" s="56" t="s">
        <v>955</v>
      </c>
      <c r="I7" s="59" t="s">
        <v>956</v>
      </c>
      <c r="J7" s="55" t="s">
        <v>957</v>
      </c>
      <c r="K7" s="56" t="s">
        <v>958</v>
      </c>
      <c r="L7" s="57" t="s">
        <v>959</v>
      </c>
      <c r="M7" s="1398"/>
      <c r="N7" s="1400"/>
      <c r="O7" s="1402"/>
      <c r="P7" s="1396"/>
    </row>
    <row r="8" spans="2:16" ht="13.8" thickTop="1">
      <c r="B8" s="9">
        <v>1</v>
      </c>
      <c r="C8" s="10" t="s">
        <v>960</v>
      </c>
      <c r="D8" s="11"/>
      <c r="E8" s="12"/>
      <c r="F8" s="13"/>
      <c r="G8" s="14"/>
      <c r="H8" s="12"/>
      <c r="I8" s="15"/>
      <c r="J8" s="11"/>
      <c r="K8" s="12"/>
      <c r="L8" s="13">
        <f t="shared" ref="L8:L21" si="0">J8-K8</f>
        <v>0</v>
      </c>
      <c r="M8" s="16">
        <f>L8</f>
        <v>0</v>
      </c>
      <c r="N8" s="12"/>
      <c r="O8" s="14"/>
      <c r="P8" s="13"/>
    </row>
    <row r="9" spans="2:16">
      <c r="B9" s="17">
        <f t="shared" ref="B9:B21" si="1">B8+1</f>
        <v>2</v>
      </c>
      <c r="C9" s="18" t="s">
        <v>961</v>
      </c>
      <c r="D9" s="19">
        <v>0</v>
      </c>
      <c r="E9" s="20">
        <v>0</v>
      </c>
      <c r="F9" s="21"/>
      <c r="G9" s="22"/>
      <c r="H9" s="20"/>
      <c r="I9" s="23"/>
      <c r="J9" s="24">
        <f t="shared" ref="J9:J21" si="2">(F9*0.2)</f>
        <v>0</v>
      </c>
      <c r="K9" s="25">
        <f t="shared" ref="K9:K21" si="3">(H9+I9)*0.2</f>
        <v>0</v>
      </c>
      <c r="L9" s="26">
        <f t="shared" si="0"/>
        <v>0</v>
      </c>
      <c r="M9" s="27">
        <f t="shared" ref="M9:M21" si="4">M8+L9-N8</f>
        <v>0</v>
      </c>
      <c r="N9" s="20">
        <f t="shared" ref="N9:N17" si="5">M9</f>
        <v>0</v>
      </c>
      <c r="O9" s="28">
        <f t="shared" ref="O9:O17" si="6">M9-N9</f>
        <v>0</v>
      </c>
      <c r="P9" s="21"/>
    </row>
    <row r="10" spans="2:16">
      <c r="B10" s="29">
        <f t="shared" si="1"/>
        <v>3</v>
      </c>
      <c r="C10" s="30" t="s">
        <v>962</v>
      </c>
      <c r="D10" s="24"/>
      <c r="E10" s="25"/>
      <c r="F10" s="26"/>
      <c r="G10" s="28"/>
      <c r="H10" s="25"/>
      <c r="I10" s="31"/>
      <c r="J10" s="24">
        <f t="shared" si="2"/>
        <v>0</v>
      </c>
      <c r="K10" s="25">
        <f t="shared" si="3"/>
        <v>0</v>
      </c>
      <c r="L10" s="26">
        <f t="shared" si="0"/>
        <v>0</v>
      </c>
      <c r="M10" s="32">
        <f t="shared" si="4"/>
        <v>0</v>
      </c>
      <c r="N10" s="25">
        <f t="shared" si="5"/>
        <v>0</v>
      </c>
      <c r="O10" s="28">
        <f t="shared" si="6"/>
        <v>0</v>
      </c>
      <c r="P10" s="26"/>
    </row>
    <row r="11" spans="2:16">
      <c r="B11" s="17">
        <f t="shared" si="1"/>
        <v>4</v>
      </c>
      <c r="C11" s="30" t="s">
        <v>963</v>
      </c>
      <c r="D11" s="24"/>
      <c r="E11" s="25"/>
      <c r="F11" s="26"/>
      <c r="G11" s="28"/>
      <c r="H11" s="25"/>
      <c r="I11" s="31"/>
      <c r="J11" s="24">
        <f t="shared" si="2"/>
        <v>0</v>
      </c>
      <c r="K11" s="25">
        <f t="shared" si="3"/>
        <v>0</v>
      </c>
      <c r="L11" s="26">
        <f t="shared" si="0"/>
        <v>0</v>
      </c>
      <c r="M11" s="27">
        <f t="shared" si="4"/>
        <v>0</v>
      </c>
      <c r="N11" s="25">
        <f t="shared" si="5"/>
        <v>0</v>
      </c>
      <c r="O11" s="28">
        <f t="shared" si="6"/>
        <v>0</v>
      </c>
      <c r="P11" s="26"/>
    </row>
    <row r="12" spans="2:16">
      <c r="B12" s="29">
        <f t="shared" si="1"/>
        <v>5</v>
      </c>
      <c r="C12" s="30" t="s">
        <v>964</v>
      </c>
      <c r="D12" s="24"/>
      <c r="E12" s="25"/>
      <c r="F12" s="26"/>
      <c r="G12" s="28"/>
      <c r="H12" s="25"/>
      <c r="I12" s="31"/>
      <c r="J12" s="24">
        <f t="shared" si="2"/>
        <v>0</v>
      </c>
      <c r="K12" s="25">
        <f t="shared" si="3"/>
        <v>0</v>
      </c>
      <c r="L12" s="26">
        <f t="shared" si="0"/>
        <v>0</v>
      </c>
      <c r="M12" s="27">
        <f t="shared" si="4"/>
        <v>0</v>
      </c>
      <c r="N12" s="25">
        <f t="shared" si="5"/>
        <v>0</v>
      </c>
      <c r="O12" s="28">
        <f t="shared" si="6"/>
        <v>0</v>
      </c>
      <c r="P12" s="26"/>
    </row>
    <row r="13" spans="2:16">
      <c r="B13" s="17">
        <f t="shared" si="1"/>
        <v>6</v>
      </c>
      <c r="C13" s="30" t="s">
        <v>965</v>
      </c>
      <c r="D13" s="24"/>
      <c r="E13" s="25"/>
      <c r="F13" s="33"/>
      <c r="G13" s="28"/>
      <c r="H13" s="25"/>
      <c r="I13" s="31"/>
      <c r="J13" s="24">
        <f t="shared" si="2"/>
        <v>0</v>
      </c>
      <c r="K13" s="25">
        <f t="shared" si="3"/>
        <v>0</v>
      </c>
      <c r="L13" s="26">
        <f t="shared" si="0"/>
        <v>0</v>
      </c>
      <c r="M13" s="27">
        <f t="shared" si="4"/>
        <v>0</v>
      </c>
      <c r="N13" s="25">
        <f t="shared" si="5"/>
        <v>0</v>
      </c>
      <c r="O13" s="28">
        <f t="shared" si="6"/>
        <v>0</v>
      </c>
      <c r="P13" s="26"/>
    </row>
    <row r="14" spans="2:16">
      <c r="B14" s="29">
        <f t="shared" si="1"/>
        <v>7</v>
      </c>
      <c r="C14" s="30" t="s">
        <v>966</v>
      </c>
      <c r="D14" s="24"/>
      <c r="E14" s="25"/>
      <c r="F14" s="26"/>
      <c r="G14" s="28"/>
      <c r="H14" s="25"/>
      <c r="I14" s="31"/>
      <c r="J14" s="24">
        <f t="shared" si="2"/>
        <v>0</v>
      </c>
      <c r="K14" s="25">
        <f t="shared" si="3"/>
        <v>0</v>
      </c>
      <c r="L14" s="26">
        <f t="shared" si="0"/>
        <v>0</v>
      </c>
      <c r="M14" s="27">
        <f t="shared" si="4"/>
        <v>0</v>
      </c>
      <c r="N14" s="25">
        <f t="shared" si="5"/>
        <v>0</v>
      </c>
      <c r="O14" s="28">
        <f t="shared" si="6"/>
        <v>0</v>
      </c>
      <c r="P14" s="26"/>
    </row>
    <row r="15" spans="2:16">
      <c r="B15" s="17">
        <f t="shared" si="1"/>
        <v>8</v>
      </c>
      <c r="C15" s="30" t="s">
        <v>967</v>
      </c>
      <c r="D15" s="24"/>
      <c r="E15" s="25"/>
      <c r="F15" s="26"/>
      <c r="G15" s="28"/>
      <c r="H15" s="25"/>
      <c r="I15" s="31"/>
      <c r="J15" s="24">
        <f t="shared" si="2"/>
        <v>0</v>
      </c>
      <c r="K15" s="25">
        <f t="shared" si="3"/>
        <v>0</v>
      </c>
      <c r="L15" s="26">
        <f t="shared" si="0"/>
        <v>0</v>
      </c>
      <c r="M15" s="27">
        <f t="shared" si="4"/>
        <v>0</v>
      </c>
      <c r="N15" s="25">
        <f t="shared" si="5"/>
        <v>0</v>
      </c>
      <c r="O15" s="28">
        <f t="shared" si="6"/>
        <v>0</v>
      </c>
      <c r="P15" s="26"/>
    </row>
    <row r="16" spans="2:16">
      <c r="B16" s="29">
        <f t="shared" si="1"/>
        <v>9</v>
      </c>
      <c r="C16" s="30" t="s">
        <v>968</v>
      </c>
      <c r="D16" s="24"/>
      <c r="E16" s="34"/>
      <c r="F16" s="26"/>
      <c r="G16" s="28"/>
      <c r="H16" s="25"/>
      <c r="I16" s="31"/>
      <c r="J16" s="24">
        <f t="shared" si="2"/>
        <v>0</v>
      </c>
      <c r="K16" s="25">
        <f t="shared" si="3"/>
        <v>0</v>
      </c>
      <c r="L16" s="26">
        <f t="shared" si="0"/>
        <v>0</v>
      </c>
      <c r="M16" s="27">
        <f t="shared" si="4"/>
        <v>0</v>
      </c>
      <c r="N16" s="25">
        <f t="shared" si="5"/>
        <v>0</v>
      </c>
      <c r="O16" s="28">
        <f t="shared" si="6"/>
        <v>0</v>
      </c>
      <c r="P16" s="26"/>
    </row>
    <row r="17" spans="2:16">
      <c r="B17" s="17">
        <f t="shared" si="1"/>
        <v>10</v>
      </c>
      <c r="C17" s="30" t="s">
        <v>969</v>
      </c>
      <c r="D17" s="24"/>
      <c r="E17" s="25"/>
      <c r="F17" s="26"/>
      <c r="G17" s="28"/>
      <c r="H17" s="25"/>
      <c r="I17" s="31"/>
      <c r="J17" s="24">
        <f t="shared" si="2"/>
        <v>0</v>
      </c>
      <c r="K17" s="25">
        <f t="shared" si="3"/>
        <v>0</v>
      </c>
      <c r="L17" s="26">
        <f t="shared" si="0"/>
        <v>0</v>
      </c>
      <c r="M17" s="24">
        <f t="shared" si="4"/>
        <v>0</v>
      </c>
      <c r="N17" s="25">
        <f t="shared" si="5"/>
        <v>0</v>
      </c>
      <c r="O17" s="28">
        <f t="shared" si="6"/>
        <v>0</v>
      </c>
      <c r="P17" s="26"/>
    </row>
    <row r="18" spans="2:16">
      <c r="B18" s="17">
        <f t="shared" si="1"/>
        <v>11</v>
      </c>
      <c r="C18" s="30" t="s">
        <v>970</v>
      </c>
      <c r="D18" s="24"/>
      <c r="E18" s="25"/>
      <c r="F18" s="26"/>
      <c r="G18" s="28"/>
      <c r="H18" s="25"/>
      <c r="I18" s="31"/>
      <c r="J18" s="24">
        <f t="shared" si="2"/>
        <v>0</v>
      </c>
      <c r="K18" s="25">
        <f t="shared" si="3"/>
        <v>0</v>
      </c>
      <c r="L18" s="26">
        <f t="shared" si="0"/>
        <v>0</v>
      </c>
      <c r="M18" s="19">
        <f t="shared" si="4"/>
        <v>0</v>
      </c>
      <c r="N18" s="25"/>
      <c r="O18" s="28">
        <f>M18</f>
        <v>0</v>
      </c>
      <c r="P18" s="26"/>
    </row>
    <row r="19" spans="2:16">
      <c r="B19" s="29">
        <f t="shared" si="1"/>
        <v>12</v>
      </c>
      <c r="C19" s="30" t="s">
        <v>971</v>
      </c>
      <c r="D19" s="24"/>
      <c r="E19" s="25"/>
      <c r="F19" s="26"/>
      <c r="G19" s="28"/>
      <c r="H19" s="25"/>
      <c r="I19" s="31"/>
      <c r="J19" s="24">
        <f t="shared" si="2"/>
        <v>0</v>
      </c>
      <c r="K19" s="25">
        <f t="shared" si="3"/>
        <v>0</v>
      </c>
      <c r="L19" s="26">
        <f t="shared" si="0"/>
        <v>0</v>
      </c>
      <c r="M19" s="19">
        <f t="shared" si="4"/>
        <v>0</v>
      </c>
      <c r="N19" s="25">
        <f>M19</f>
        <v>0</v>
      </c>
      <c r="O19" s="28">
        <f>M19-N19</f>
        <v>0</v>
      </c>
      <c r="P19" s="26"/>
    </row>
    <row r="20" spans="2:16">
      <c r="B20" s="29">
        <f t="shared" si="1"/>
        <v>13</v>
      </c>
      <c r="C20" s="30" t="s">
        <v>972</v>
      </c>
      <c r="D20" s="24"/>
      <c r="E20" s="25"/>
      <c r="F20" s="26"/>
      <c r="G20" s="28"/>
      <c r="H20" s="25"/>
      <c r="I20" s="31"/>
      <c r="J20" s="24">
        <f t="shared" si="2"/>
        <v>0</v>
      </c>
      <c r="K20" s="25">
        <f t="shared" si="3"/>
        <v>0</v>
      </c>
      <c r="L20" s="26">
        <f t="shared" si="0"/>
        <v>0</v>
      </c>
      <c r="M20" s="19">
        <f t="shared" si="4"/>
        <v>0</v>
      </c>
      <c r="N20" s="25">
        <f>M20</f>
        <v>0</v>
      </c>
      <c r="O20" s="28">
        <f>M20-N20</f>
        <v>0</v>
      </c>
      <c r="P20" s="26"/>
    </row>
    <row r="21" spans="2:16" ht="13.8" thickBot="1">
      <c r="B21" s="29">
        <f t="shared" si="1"/>
        <v>14</v>
      </c>
      <c r="C21" s="35" t="s">
        <v>973</v>
      </c>
      <c r="D21" s="36"/>
      <c r="E21" s="37"/>
      <c r="F21" s="38"/>
      <c r="G21" s="39"/>
      <c r="H21" s="37"/>
      <c r="I21" s="40"/>
      <c r="J21" s="36">
        <f t="shared" si="2"/>
        <v>0</v>
      </c>
      <c r="K21" s="37">
        <f t="shared" si="3"/>
        <v>0</v>
      </c>
      <c r="L21" s="38">
        <f t="shared" si="0"/>
        <v>0</v>
      </c>
      <c r="M21" s="60">
        <f t="shared" si="4"/>
        <v>0</v>
      </c>
      <c r="N21" s="37"/>
      <c r="O21" s="39"/>
      <c r="P21" s="38"/>
    </row>
    <row r="22" spans="2:16" ht="14.4" thickTop="1" thickBot="1">
      <c r="B22" s="41"/>
      <c r="C22" s="42"/>
      <c r="D22" s="43"/>
      <c r="E22" s="43">
        <f>SUM(E8:E21)</f>
        <v>0</v>
      </c>
      <c r="F22" s="44">
        <f>SUM(F8:F21)</f>
        <v>0</v>
      </c>
      <c r="G22" s="45"/>
      <c r="H22" s="43">
        <f>SUM(H8:H21)</f>
        <v>0</v>
      </c>
      <c r="I22" s="46">
        <f>SUM(I8:I21)</f>
        <v>0</v>
      </c>
      <c r="J22" s="47">
        <f>SUM(J8:J21)</f>
        <v>0</v>
      </c>
      <c r="K22" s="48">
        <f>SUM(K8:K21)</f>
        <v>0</v>
      </c>
      <c r="L22" s="49"/>
      <c r="M22" s="50"/>
      <c r="N22" s="48">
        <f>SUM(N8:N21)</f>
        <v>0</v>
      </c>
      <c r="O22" s="51"/>
      <c r="P22" s="49"/>
    </row>
    <row r="23" spans="2:16" ht="13.8" thickTop="1"/>
  </sheetData>
  <mergeCells count="9">
    <mergeCell ref="B6:B7"/>
    <mergeCell ref="C6:C7"/>
    <mergeCell ref="D6:F6"/>
    <mergeCell ref="G6:I6"/>
    <mergeCell ref="P6:P7"/>
    <mergeCell ref="J6:L6"/>
    <mergeCell ref="M6:M7"/>
    <mergeCell ref="N6:N7"/>
    <mergeCell ref="O6:O7"/>
  </mergeCells>
  <phoneticPr fontId="8" type="noConversion"/>
  <pageMargins left="0.75" right="0.75" top="1" bottom="1" header="0.5" footer="0.5"/>
  <pageSetup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B1:J84"/>
  <sheetViews>
    <sheetView showGridLines="0" topLeftCell="A13" zoomScale="85" zoomScaleNormal="85" workbookViewId="0">
      <selection activeCell="H12" sqref="H12"/>
    </sheetView>
  </sheetViews>
  <sheetFormatPr defaultColWidth="9.109375" defaultRowHeight="13.8"/>
  <cols>
    <col min="1" max="1" width="9.109375" style="244"/>
    <col min="2" max="2" width="49.109375" style="244" customWidth="1"/>
    <col min="3" max="3" width="4.6640625" style="245" customWidth="1"/>
    <col min="4" max="4" width="9.6640625" style="244" customWidth="1"/>
    <col min="5" max="5" width="1.88671875" style="245" customWidth="1"/>
    <col min="6" max="6" width="13.88671875" style="244" customWidth="1"/>
    <col min="7" max="7" width="3" style="245" customWidth="1"/>
    <col min="8" max="8" width="13.88671875" style="244" customWidth="1"/>
    <col min="9" max="9" width="15" style="244" customWidth="1"/>
    <col min="10" max="11" width="13.88671875" style="244" bestFit="1" customWidth="1"/>
    <col min="12" max="16384" width="9.109375" style="244"/>
  </cols>
  <sheetData>
    <row r="1" spans="2:9">
      <c r="B1" s="658"/>
      <c r="D1" s="658"/>
      <c r="F1" s="658"/>
      <c r="H1" s="658"/>
      <c r="I1" s="658"/>
    </row>
    <row r="2" spans="2:9">
      <c r="B2" s="245"/>
      <c r="D2" s="245"/>
      <c r="F2" s="245"/>
      <c r="H2" s="245"/>
      <c r="I2" s="245"/>
    </row>
    <row r="3" spans="2:9">
      <c r="B3" s="659" t="s">
        <v>371</v>
      </c>
      <c r="C3" s="839"/>
      <c r="D3" s="660"/>
      <c r="E3" s="660"/>
      <c r="F3" s="661"/>
      <c r="G3" s="661"/>
      <c r="I3" s="245"/>
    </row>
    <row r="4" spans="2:9">
      <c r="B4" s="659" t="s">
        <v>372</v>
      </c>
      <c r="C4" s="839"/>
      <c r="D4" s="660"/>
      <c r="E4" s="660"/>
      <c r="F4" s="661"/>
      <c r="G4" s="661"/>
      <c r="I4" s="245"/>
    </row>
    <row r="5" spans="2:9">
      <c r="B5" s="662"/>
      <c r="C5" s="680"/>
      <c r="D5" s="660"/>
      <c r="E5" s="660"/>
      <c r="F5" s="663" t="s">
        <v>373</v>
      </c>
      <c r="G5" s="838"/>
      <c r="I5" s="245"/>
    </row>
    <row r="6" spans="2:9" ht="14.4" thickBot="1">
      <c r="B6" s="664"/>
      <c r="C6" s="667"/>
      <c r="D6" s="664" t="s">
        <v>88</v>
      </c>
      <c r="E6" s="667"/>
      <c r="F6" s="665" t="s">
        <v>374</v>
      </c>
      <c r="G6" s="668"/>
      <c r="H6" s="665" t="s">
        <v>375</v>
      </c>
      <c r="I6" s="245"/>
    </row>
    <row r="7" spans="2:9" ht="14.4" thickTop="1">
      <c r="B7" s="666" t="s">
        <v>376</v>
      </c>
      <c r="C7" s="666"/>
      <c r="D7" s="667"/>
      <c r="E7" s="667"/>
      <c r="F7" s="668"/>
      <c r="G7" s="668"/>
      <c r="I7" s="669"/>
    </row>
    <row r="8" spans="2:9">
      <c r="B8" s="667"/>
      <c r="C8" s="667"/>
      <c r="D8" s="667"/>
      <c r="E8" s="667"/>
      <c r="F8" s="668"/>
      <c r="G8" s="668"/>
      <c r="I8" s="669"/>
    </row>
    <row r="9" spans="2:9">
      <c r="B9" s="666" t="s">
        <v>123</v>
      </c>
      <c r="C9" s="666"/>
      <c r="D9" s="667"/>
      <c r="E9" s="667"/>
      <c r="F9" s="668">
        <f>'[2]P&amp;L08'!E108</f>
        <v>2477646</v>
      </c>
      <c r="G9" s="668"/>
      <c r="H9" s="670"/>
      <c r="I9" s="669"/>
    </row>
    <row r="10" spans="2:9">
      <c r="B10" s="671" t="s">
        <v>377</v>
      </c>
      <c r="C10" s="671"/>
      <c r="D10" s="672"/>
      <c r="E10" s="672"/>
      <c r="F10" s="673"/>
      <c r="G10" s="673"/>
      <c r="H10" s="669"/>
      <c r="I10" s="669"/>
    </row>
    <row r="11" spans="2:9">
      <c r="B11" s="671" t="s">
        <v>378</v>
      </c>
      <c r="C11" s="671"/>
      <c r="D11" s="672"/>
      <c r="E11" s="672"/>
      <c r="F11" s="673">
        <f>-'[2]P&amp;L08'!E109</f>
        <v>-261513.2</v>
      </c>
      <c r="G11" s="673"/>
      <c r="H11" s="669"/>
      <c r="I11" s="669"/>
    </row>
    <row r="12" spans="2:9">
      <c r="B12" s="671" t="s">
        <v>379</v>
      </c>
      <c r="C12" s="671"/>
      <c r="D12" s="672"/>
      <c r="E12" s="672"/>
      <c r="F12" s="673"/>
      <c r="G12" s="673"/>
      <c r="H12" s="669"/>
      <c r="I12" s="669"/>
    </row>
    <row r="13" spans="2:9">
      <c r="B13" s="671" t="s">
        <v>380</v>
      </c>
      <c r="C13" s="671"/>
      <c r="D13" s="672"/>
      <c r="E13" s="672"/>
      <c r="F13" s="673"/>
      <c r="G13" s="673"/>
      <c r="H13" s="669"/>
      <c r="I13" s="669"/>
    </row>
    <row r="14" spans="2:9">
      <c r="B14" s="1403" t="s">
        <v>381</v>
      </c>
      <c r="C14" s="674"/>
      <c r="D14" s="672"/>
      <c r="E14" s="672"/>
      <c r="F14" s="673"/>
      <c r="G14" s="673"/>
      <c r="H14" s="669"/>
      <c r="I14" s="669"/>
    </row>
    <row r="15" spans="2:9">
      <c r="B15" s="1403"/>
      <c r="C15" s="674"/>
      <c r="D15" s="672"/>
      <c r="E15" s="672"/>
      <c r="F15" s="673"/>
      <c r="G15" s="673"/>
      <c r="H15" s="669"/>
      <c r="I15" s="669"/>
    </row>
    <row r="16" spans="2:9">
      <c r="B16" s="671" t="s">
        <v>382</v>
      </c>
      <c r="C16" s="671"/>
      <c r="D16" s="672"/>
      <c r="E16" s="672"/>
      <c r="F16" s="673"/>
      <c r="G16" s="673"/>
      <c r="H16" s="669"/>
      <c r="I16" s="669"/>
    </row>
    <row r="17" spans="2:9">
      <c r="B17" s="671" t="s">
        <v>383</v>
      </c>
      <c r="C17" s="671"/>
      <c r="D17" s="672"/>
      <c r="E17" s="672"/>
      <c r="F17" s="673"/>
      <c r="G17" s="673"/>
      <c r="H17" s="669"/>
      <c r="I17" s="669"/>
    </row>
    <row r="18" spans="2:9">
      <c r="B18" s="671" t="s">
        <v>384</v>
      </c>
      <c r="C18" s="671"/>
      <c r="D18" s="672"/>
      <c r="E18" s="672"/>
      <c r="F18" s="673"/>
      <c r="G18" s="673"/>
      <c r="H18" s="669"/>
      <c r="I18" s="669"/>
    </row>
    <row r="19" spans="2:9">
      <c r="B19" s="671" t="s">
        <v>385</v>
      </c>
      <c r="C19" s="671"/>
      <c r="D19" s="672"/>
      <c r="E19" s="672"/>
      <c r="F19" s="673"/>
      <c r="G19" s="673"/>
      <c r="H19" s="669"/>
      <c r="I19" s="669"/>
    </row>
    <row r="20" spans="2:9">
      <c r="B20" s="1403" t="s">
        <v>386</v>
      </c>
      <c r="C20" s="674"/>
      <c r="D20" s="672"/>
      <c r="E20" s="672"/>
      <c r="F20" s="673"/>
      <c r="G20" s="673"/>
      <c r="H20" s="669"/>
      <c r="I20" s="669"/>
    </row>
    <row r="21" spans="2:9">
      <c r="B21" s="1403"/>
      <c r="C21" s="674"/>
      <c r="D21" s="672"/>
      <c r="E21" s="672"/>
      <c r="F21" s="673"/>
      <c r="G21" s="673"/>
      <c r="H21" s="669"/>
      <c r="I21" s="669"/>
    </row>
    <row r="22" spans="2:9">
      <c r="B22" s="671" t="s">
        <v>387</v>
      </c>
      <c r="C22" s="671"/>
      <c r="D22" s="672"/>
      <c r="E22" s="672"/>
      <c r="F22" s="673">
        <f>-'[2]P&amp;L08'!E97</f>
        <v>4830</v>
      </c>
      <c r="G22" s="673"/>
      <c r="H22" s="669"/>
      <c r="I22" s="669"/>
    </row>
    <row r="23" spans="2:9">
      <c r="B23" s="671" t="s">
        <v>388</v>
      </c>
      <c r="C23" s="671"/>
      <c r="D23" s="672"/>
      <c r="E23" s="672"/>
      <c r="F23" s="673"/>
      <c r="G23" s="673"/>
      <c r="H23" s="669"/>
      <c r="I23" s="669"/>
    </row>
    <row r="24" spans="2:9">
      <c r="B24" s="671"/>
      <c r="C24" s="671"/>
      <c r="D24" s="672"/>
      <c r="E24" s="672"/>
      <c r="F24" s="673"/>
      <c r="G24" s="673"/>
      <c r="H24" s="669"/>
      <c r="I24" s="669"/>
    </row>
    <row r="25" spans="2:9">
      <c r="B25" s="666" t="s">
        <v>389</v>
      </c>
      <c r="C25" s="666"/>
      <c r="D25" s="672"/>
      <c r="E25" s="672"/>
      <c r="F25" s="668">
        <f>F9+F11+F22</f>
        <v>2220962.7999999998</v>
      </c>
      <c r="G25" s="668"/>
      <c r="H25" s="675"/>
      <c r="I25" s="669"/>
    </row>
    <row r="26" spans="2:9">
      <c r="B26" s="671" t="s">
        <v>390</v>
      </c>
      <c r="C26" s="671"/>
      <c r="D26" s="672"/>
      <c r="E26" s="672"/>
      <c r="F26" s="673">
        <f>[2]B_Sheet08!G72-[2]B_Sheet08!F72</f>
        <v>-2738032</v>
      </c>
      <c r="G26" s="673"/>
      <c r="H26" s="669"/>
      <c r="I26" s="669"/>
    </row>
    <row r="27" spans="2:9">
      <c r="B27" s="671" t="s">
        <v>391</v>
      </c>
      <c r="C27" s="671"/>
      <c r="D27" s="672"/>
      <c r="E27" s="672"/>
      <c r="F27" s="673"/>
      <c r="G27" s="673"/>
      <c r="H27" s="669"/>
      <c r="I27" s="669"/>
    </row>
    <row r="28" spans="2:9">
      <c r="B28" s="671" t="s">
        <v>392</v>
      </c>
      <c r="C28" s="671"/>
      <c r="D28" s="672"/>
      <c r="E28" s="672"/>
      <c r="F28" s="673"/>
      <c r="G28" s="673"/>
      <c r="H28" s="669"/>
      <c r="I28" s="669"/>
    </row>
    <row r="29" spans="2:9">
      <c r="B29" s="671" t="s">
        <v>393</v>
      </c>
      <c r="C29" s="671"/>
      <c r="D29" s="672"/>
      <c r="E29" s="672"/>
      <c r="F29" s="673">
        <f>[2]B_Sheet08!L73-[2]B_Sheet08!M73</f>
        <v>10182579</v>
      </c>
      <c r="G29" s="673"/>
      <c r="H29" s="669"/>
      <c r="I29" s="669"/>
    </row>
    <row r="30" spans="2:9">
      <c r="B30" s="671" t="s">
        <v>394</v>
      </c>
      <c r="C30" s="671"/>
      <c r="D30" s="672"/>
      <c r="E30" s="672"/>
      <c r="F30" s="673">
        <f>[2]B_Sheet08!L74+[2]B_Sheet08!L75-[2]B_Sheet08!M75</f>
        <v>-2272943</v>
      </c>
      <c r="G30" s="673"/>
      <c r="H30" s="669"/>
      <c r="I30" s="669"/>
    </row>
    <row r="31" spans="2:9">
      <c r="B31" s="671" t="s">
        <v>395</v>
      </c>
      <c r="C31" s="671"/>
      <c r="D31" s="672"/>
      <c r="E31" s="672"/>
      <c r="F31" s="673">
        <f>[2]B_Sheet08!L79-[2]B_Sheet08!M79</f>
        <v>-1767139</v>
      </c>
      <c r="G31" s="673"/>
      <c r="H31" s="669"/>
      <c r="I31" s="669"/>
    </row>
    <row r="32" spans="2:9" s="247" customFormat="1">
      <c r="B32" s="671" t="s">
        <v>396</v>
      </c>
      <c r="C32" s="671"/>
      <c r="D32" s="672"/>
      <c r="E32" s="672"/>
      <c r="F32" s="676"/>
      <c r="G32" s="676"/>
      <c r="H32" s="669"/>
      <c r="I32" s="670"/>
    </row>
    <row r="33" spans="2:9" s="247" customFormat="1">
      <c r="B33" s="671" t="s">
        <v>397</v>
      </c>
      <c r="C33" s="671"/>
      <c r="D33" s="672"/>
      <c r="E33" s="672"/>
      <c r="F33" s="676">
        <f>[2]B_Sheet08!G73-[2]B_Sheet08!F73</f>
        <v>-806486.8</v>
      </c>
      <c r="G33" s="676"/>
      <c r="H33" s="669"/>
      <c r="I33" s="670"/>
    </row>
    <row r="34" spans="2:9" s="247" customFormat="1">
      <c r="B34" s="666" t="s">
        <v>398</v>
      </c>
      <c r="C34" s="666"/>
      <c r="D34" s="672"/>
      <c r="E34" s="672"/>
      <c r="F34" s="677">
        <f>F26+F27+F28+F29+F30+F31+F33</f>
        <v>2597978.2000000002</v>
      </c>
      <c r="G34" s="677"/>
      <c r="H34" s="675"/>
      <c r="I34" s="670"/>
    </row>
    <row r="35" spans="2:9" s="247" customFormat="1">
      <c r="B35" s="666" t="s">
        <v>399</v>
      </c>
      <c r="C35" s="666"/>
      <c r="D35" s="672"/>
      <c r="E35" s="672"/>
      <c r="F35" s="676">
        <f>SUM(F36:F41)</f>
        <v>-57950</v>
      </c>
      <c r="G35" s="676"/>
      <c r="H35" s="669"/>
      <c r="I35" s="670"/>
    </row>
    <row r="36" spans="2:9" s="247" customFormat="1">
      <c r="B36" s="671" t="s">
        <v>400</v>
      </c>
      <c r="C36" s="671"/>
      <c r="D36" s="672"/>
      <c r="E36" s="672"/>
      <c r="F36" s="676"/>
      <c r="G36" s="676"/>
      <c r="H36" s="669"/>
      <c r="I36" s="670"/>
    </row>
    <row r="37" spans="2:9" s="247" customFormat="1">
      <c r="B37" s="671" t="s">
        <v>401</v>
      </c>
      <c r="C37" s="671"/>
      <c r="D37" s="672"/>
      <c r="E37" s="672"/>
      <c r="F37" s="676"/>
      <c r="G37" s="676"/>
      <c r="H37" s="669"/>
      <c r="I37" s="670"/>
    </row>
    <row r="38" spans="2:9" s="247" customFormat="1">
      <c r="B38" s="671" t="s">
        <v>402</v>
      </c>
      <c r="C38" s="671"/>
      <c r="D38" s="672"/>
      <c r="E38" s="672"/>
      <c r="F38" s="676"/>
      <c r="G38" s="676"/>
      <c r="H38" s="669"/>
      <c r="I38" s="670"/>
    </row>
    <row r="39" spans="2:9" s="247" customFormat="1">
      <c r="B39" s="671" t="s">
        <v>403</v>
      </c>
      <c r="C39" s="671"/>
      <c r="D39" s="672"/>
      <c r="E39" s="672"/>
      <c r="F39" s="676"/>
      <c r="G39" s="676"/>
      <c r="H39" s="669"/>
      <c r="I39" s="670"/>
    </row>
    <row r="40" spans="2:9" s="247" customFormat="1">
      <c r="B40" s="671" t="s">
        <v>404</v>
      </c>
      <c r="C40" s="671"/>
      <c r="D40" s="672"/>
      <c r="E40" s="672"/>
      <c r="F40" s="676">
        <f>-([2]B_Sheet08!F100-'[2]P&amp;L08'!E97)</f>
        <v>-57950</v>
      </c>
      <c r="G40" s="676"/>
      <c r="H40" s="669"/>
      <c r="I40" s="670"/>
    </row>
    <row r="41" spans="2:9" s="247" customFormat="1">
      <c r="B41" s="671" t="s">
        <v>405</v>
      </c>
      <c r="C41" s="671"/>
      <c r="D41" s="672"/>
      <c r="E41" s="672"/>
      <c r="F41" s="676"/>
      <c r="G41" s="676"/>
      <c r="H41" s="669"/>
      <c r="I41" s="670"/>
    </row>
    <row r="42" spans="2:9" s="247" customFormat="1">
      <c r="B42" s="666" t="s">
        <v>406</v>
      </c>
      <c r="C42" s="666"/>
      <c r="D42" s="672"/>
      <c r="E42" s="672"/>
      <c r="F42" s="676"/>
      <c r="G42" s="676"/>
      <c r="H42" s="669"/>
      <c r="I42" s="670"/>
    </row>
    <row r="43" spans="2:9" s="247" customFormat="1">
      <c r="B43" s="671"/>
      <c r="C43" s="671"/>
      <c r="D43" s="672"/>
      <c r="E43" s="672"/>
      <c r="F43" s="676"/>
      <c r="G43" s="676"/>
      <c r="H43" s="669"/>
      <c r="I43" s="670"/>
    </row>
    <row r="44" spans="2:9" s="247" customFormat="1">
      <c r="B44" s="666" t="s">
        <v>407</v>
      </c>
      <c r="C44" s="666"/>
      <c r="D44" s="672"/>
      <c r="E44" s="672"/>
      <c r="F44" s="677">
        <f>F50+F55</f>
        <v>4025700</v>
      </c>
      <c r="G44" s="677"/>
      <c r="H44" s="669"/>
      <c r="I44" s="670"/>
    </row>
    <row r="45" spans="2:9" s="247" customFormat="1">
      <c r="B45" s="671" t="s">
        <v>408</v>
      </c>
      <c r="C45" s="671"/>
      <c r="D45" s="672"/>
      <c r="E45" s="672"/>
      <c r="F45" s="676"/>
      <c r="G45" s="676"/>
      <c r="H45" s="669"/>
      <c r="I45" s="670"/>
    </row>
    <row r="46" spans="2:9" s="247" customFormat="1">
      <c r="B46" s="671" t="s">
        <v>409</v>
      </c>
      <c r="C46" s="671"/>
      <c r="D46" s="672"/>
      <c r="E46" s="672"/>
      <c r="F46" s="676"/>
      <c r="G46" s="676"/>
      <c r="H46" s="669"/>
      <c r="I46" s="670"/>
    </row>
    <row r="47" spans="2:9" s="247" customFormat="1">
      <c r="B47" s="671" t="s">
        <v>410</v>
      </c>
      <c r="C47" s="671"/>
      <c r="D47" s="672"/>
      <c r="E47" s="672"/>
      <c r="F47" s="676"/>
      <c r="G47" s="676"/>
      <c r="H47" s="669"/>
      <c r="I47" s="670"/>
    </row>
    <row r="48" spans="2:9" s="247" customFormat="1">
      <c r="B48" s="671" t="s">
        <v>411</v>
      </c>
      <c r="C48" s="671"/>
      <c r="D48" s="672"/>
      <c r="E48" s="672"/>
      <c r="F48" s="676"/>
      <c r="G48" s="676"/>
      <c r="H48" s="669"/>
      <c r="I48" s="670"/>
    </row>
    <row r="49" spans="2:10" s="247" customFormat="1">
      <c r="B49" s="671" t="s">
        <v>412</v>
      </c>
      <c r="C49" s="671"/>
      <c r="D49" s="672"/>
      <c r="E49" s="672"/>
      <c r="F49" s="676"/>
      <c r="G49" s="676"/>
      <c r="H49" s="669"/>
      <c r="I49" s="670"/>
    </row>
    <row r="50" spans="2:10" s="247" customFormat="1">
      <c r="B50" s="671" t="s">
        <v>413</v>
      </c>
      <c r="C50" s="671"/>
      <c r="D50" s="672"/>
      <c r="E50" s="672"/>
      <c r="F50" s="676">
        <f>[2]B_Sheet08!L76-[2]B_Sheet08!M76</f>
        <v>4025700</v>
      </c>
      <c r="G50" s="676"/>
      <c r="H50" s="669"/>
      <c r="I50" s="670"/>
    </row>
    <row r="51" spans="2:10" s="247" customFormat="1">
      <c r="B51" s="671" t="s">
        <v>414</v>
      </c>
      <c r="C51" s="671"/>
      <c r="D51" s="672"/>
      <c r="E51" s="672"/>
      <c r="F51" s="676"/>
      <c r="G51" s="676"/>
      <c r="H51" s="669"/>
      <c r="I51" s="670"/>
    </row>
    <row r="52" spans="2:10" s="247" customFormat="1">
      <c r="B52" s="671" t="s">
        <v>415</v>
      </c>
      <c r="C52" s="671"/>
      <c r="D52" s="672"/>
      <c r="E52" s="672"/>
      <c r="F52" s="676"/>
      <c r="G52" s="676"/>
      <c r="H52" s="669"/>
      <c r="I52" s="670"/>
    </row>
    <row r="53" spans="2:10" s="247" customFormat="1">
      <c r="B53" s="671" t="s">
        <v>416</v>
      </c>
      <c r="C53" s="671"/>
      <c r="D53" s="672"/>
      <c r="E53" s="672"/>
      <c r="F53" s="676"/>
      <c r="G53" s="676"/>
      <c r="H53" s="669"/>
      <c r="I53" s="670"/>
    </row>
    <row r="54" spans="2:10" s="247" customFormat="1">
      <c r="B54" s="671" t="s">
        <v>417</v>
      </c>
      <c r="C54" s="671"/>
      <c r="D54" s="672"/>
      <c r="E54" s="672"/>
      <c r="F54" s="676"/>
      <c r="G54" s="676"/>
      <c r="H54" s="669"/>
      <c r="I54" s="670"/>
    </row>
    <row r="55" spans="2:10" s="247" customFormat="1">
      <c r="B55" s="671" t="s">
        <v>418</v>
      </c>
      <c r="C55" s="671"/>
      <c r="D55" s="672"/>
      <c r="E55" s="672"/>
      <c r="F55" s="676"/>
      <c r="G55" s="676"/>
      <c r="H55" s="669"/>
      <c r="I55" s="670"/>
    </row>
    <row r="56" spans="2:10" s="247" customFormat="1">
      <c r="B56" s="666" t="s">
        <v>419</v>
      </c>
      <c r="C56" s="666"/>
      <c r="D56" s="672"/>
      <c r="E56" s="672"/>
      <c r="F56" s="676"/>
      <c r="G56" s="676"/>
      <c r="H56" s="669"/>
      <c r="I56" s="670"/>
    </row>
    <row r="57" spans="2:10" s="247" customFormat="1">
      <c r="B57" s="671" t="s">
        <v>420</v>
      </c>
      <c r="C57" s="671"/>
      <c r="D57" s="672"/>
      <c r="E57" s="672"/>
      <c r="F57" s="676">
        <f>-([2]B_Sheet08!M108-[2]B_Sheet08!L107)</f>
        <v>-191168</v>
      </c>
      <c r="G57" s="676"/>
      <c r="H57" s="669"/>
      <c r="I57" s="670"/>
    </row>
    <row r="58" spans="2:10" s="247" customFormat="1">
      <c r="B58" s="666" t="s">
        <v>421</v>
      </c>
      <c r="C58" s="666"/>
      <c r="D58" s="672"/>
      <c r="E58" s="672"/>
      <c r="F58" s="677">
        <f>F57+F44+F34+F25+F35</f>
        <v>8595523</v>
      </c>
      <c r="G58" s="677"/>
      <c r="H58" s="669"/>
      <c r="I58" s="670"/>
    </row>
    <row r="59" spans="2:10" s="247" customFormat="1">
      <c r="B59" s="671" t="s">
        <v>422</v>
      </c>
      <c r="C59" s="671"/>
      <c r="D59" s="672"/>
      <c r="E59" s="672"/>
      <c r="F59" s="676">
        <f>[2]B_Sheet08!G66</f>
        <v>602747</v>
      </c>
      <c r="G59" s="676"/>
      <c r="H59" s="669"/>
      <c r="I59" s="670"/>
    </row>
    <row r="60" spans="2:10" s="247" customFormat="1">
      <c r="B60" s="666" t="s">
        <v>423</v>
      </c>
      <c r="C60" s="666"/>
      <c r="D60" s="672"/>
      <c r="E60" s="672"/>
      <c r="F60" s="677">
        <f>F59+F58</f>
        <v>9198270</v>
      </c>
      <c r="G60" s="677"/>
      <c r="H60" s="669"/>
      <c r="I60" s="670"/>
    </row>
    <row r="61" spans="2:10" s="247" customFormat="1">
      <c r="B61" s="671"/>
      <c r="C61" s="671"/>
      <c r="D61" s="672"/>
      <c r="E61" s="672"/>
      <c r="F61" s="676"/>
      <c r="G61" s="676"/>
      <c r="H61" s="669"/>
      <c r="I61" s="670"/>
    </row>
    <row r="62" spans="2:10">
      <c r="B62" s="666"/>
      <c r="C62" s="666"/>
      <c r="D62" s="667"/>
      <c r="E62" s="667"/>
      <c r="F62" s="668"/>
      <c r="G62" s="668"/>
      <c r="H62" s="669"/>
      <c r="I62" s="678"/>
    </row>
    <row r="63" spans="2:10">
      <c r="B63" s="679"/>
      <c r="C63" s="679"/>
      <c r="D63" s="672"/>
      <c r="E63" s="672"/>
      <c r="F63" s="673"/>
      <c r="G63" s="673"/>
    </row>
    <row r="64" spans="2:10">
      <c r="B64" s="666"/>
      <c r="C64" s="666"/>
      <c r="D64" s="667"/>
      <c r="E64" s="667"/>
      <c r="F64" s="668"/>
      <c r="G64" s="668"/>
      <c r="I64" s="675"/>
      <c r="J64" s="675"/>
    </row>
    <row r="65" spans="2:9">
      <c r="B65" s="680"/>
      <c r="C65" s="680"/>
      <c r="D65" s="672"/>
      <c r="E65" s="672"/>
      <c r="F65" s="673"/>
      <c r="G65" s="673"/>
      <c r="H65" s="670"/>
    </row>
    <row r="66" spans="2:9">
      <c r="B66" s="680"/>
      <c r="C66" s="680"/>
      <c r="D66" s="672"/>
      <c r="E66" s="672"/>
      <c r="F66" s="673"/>
      <c r="G66" s="673"/>
      <c r="H66" s="669"/>
    </row>
    <row r="67" spans="2:9">
      <c r="B67" s="680"/>
      <c r="C67" s="680"/>
      <c r="D67" s="672"/>
      <c r="E67" s="672"/>
      <c r="F67" s="673"/>
      <c r="G67" s="673"/>
      <c r="H67" s="247"/>
    </row>
    <row r="68" spans="2:9">
      <c r="B68" s="666"/>
      <c r="C68" s="666"/>
      <c r="D68" s="672"/>
      <c r="E68" s="672"/>
      <c r="F68" s="668"/>
      <c r="G68" s="668"/>
    </row>
    <row r="69" spans="2:9">
      <c r="B69" s="679"/>
      <c r="C69" s="679"/>
      <c r="D69" s="672"/>
      <c r="E69" s="672"/>
      <c r="F69" s="673"/>
      <c r="G69" s="673"/>
    </row>
    <row r="70" spans="2:9">
      <c r="B70" s="666"/>
      <c r="C70" s="666"/>
      <c r="D70" s="672"/>
      <c r="E70" s="672"/>
      <c r="F70" s="673"/>
      <c r="G70" s="673"/>
    </row>
    <row r="71" spans="2:9">
      <c r="B71" s="680"/>
      <c r="C71" s="680"/>
      <c r="D71" s="672"/>
      <c r="E71" s="672"/>
      <c r="F71" s="673"/>
      <c r="G71" s="673"/>
    </row>
    <row r="72" spans="2:9">
      <c r="B72" s="680"/>
      <c r="C72" s="680"/>
      <c r="D72" s="672"/>
      <c r="E72" s="672"/>
      <c r="F72" s="673"/>
      <c r="G72" s="673"/>
      <c r="I72" s="669"/>
    </row>
    <row r="73" spans="2:9">
      <c r="B73" s="680"/>
      <c r="C73" s="680"/>
      <c r="D73" s="672"/>
      <c r="E73" s="672"/>
      <c r="F73" s="673"/>
      <c r="G73" s="673"/>
    </row>
    <row r="74" spans="2:9">
      <c r="B74" s="666"/>
      <c r="C74" s="666"/>
      <c r="D74" s="672"/>
      <c r="E74" s="672"/>
      <c r="F74" s="668"/>
      <c r="G74" s="668"/>
    </row>
    <row r="75" spans="2:9">
      <c r="B75" s="666"/>
      <c r="C75" s="666"/>
      <c r="D75" s="672"/>
      <c r="E75" s="672"/>
      <c r="F75" s="673"/>
      <c r="G75" s="673"/>
    </row>
    <row r="76" spans="2:9">
      <c r="B76" s="666"/>
      <c r="C76" s="666"/>
      <c r="D76" s="672"/>
      <c r="E76" s="672"/>
      <c r="F76" s="673"/>
      <c r="G76" s="673"/>
    </row>
    <row r="77" spans="2:9">
      <c r="B77" s="681"/>
      <c r="C77" s="681"/>
      <c r="D77" s="672"/>
      <c r="E77" s="672"/>
      <c r="F77" s="673"/>
      <c r="G77" s="673"/>
    </row>
    <row r="78" spans="2:9">
      <c r="B78" s="680"/>
      <c r="C78" s="680"/>
      <c r="D78" s="672"/>
      <c r="E78" s="672"/>
      <c r="F78" s="673"/>
      <c r="G78" s="673"/>
    </row>
    <row r="79" spans="2:9">
      <c r="B79" s="680"/>
      <c r="C79" s="680"/>
      <c r="D79" s="672"/>
      <c r="E79" s="672"/>
      <c r="F79" s="673"/>
      <c r="G79" s="673"/>
    </row>
    <row r="80" spans="2:9">
      <c r="B80" s="666"/>
      <c r="C80" s="666"/>
      <c r="D80" s="672"/>
      <c r="E80" s="672"/>
      <c r="F80" s="668"/>
      <c r="G80" s="668"/>
    </row>
    <row r="81" spans="2:8">
      <c r="B81" s="679"/>
      <c r="C81" s="679"/>
      <c r="D81" s="672"/>
      <c r="E81" s="672"/>
      <c r="F81" s="673"/>
      <c r="G81" s="673"/>
    </row>
    <row r="82" spans="2:8">
      <c r="B82" s="666"/>
      <c r="C82" s="666"/>
      <c r="D82" s="667"/>
      <c r="E82" s="667"/>
      <c r="F82" s="668"/>
      <c r="G82" s="668"/>
    </row>
    <row r="83" spans="2:8">
      <c r="B83" s="671"/>
      <c r="C83" s="671"/>
      <c r="D83" s="672"/>
      <c r="E83" s="672"/>
      <c r="F83" s="673"/>
      <c r="G83" s="673"/>
    </row>
    <row r="84" spans="2:8">
      <c r="B84" s="666"/>
      <c r="C84" s="666"/>
      <c r="D84" s="667"/>
      <c r="E84" s="667"/>
      <c r="F84" s="668"/>
      <c r="G84" s="668"/>
      <c r="H84" s="682"/>
    </row>
  </sheetData>
  <mergeCells count="2">
    <mergeCell ref="B14:B15"/>
    <mergeCell ref="B20:B21"/>
  </mergeCells>
  <phoneticPr fontId="86" type="noConversion"/>
  <pageMargins left="0.3" right="0.37" top="1.17" bottom="1" header="0.4" footer="0.5"/>
  <pageSetup orientation="portrait" r:id="rId1"/>
  <headerFooter alignWithMargins="0">
    <oddHeader xml:space="preserve">&amp;C&amp;"Arial,Bold"&amp;12PROGRES METAL G sh.p.k.Shkoder
Shenime per pasqyrat financiare
per vitin ushtrimor që mbyllet me 31 Dhjetor 2008&amp;"Arial,Regular"&amp;10
</oddHeader>
    <oddFooter>&amp;R5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_Docs_" ma:contentTypeID="0x0066ADBF2F56270A4A9B428DE2D67C393E" ma:contentTypeVersion="" ma:contentTypeDescription="" ma:contentTypeScope="" ma:versionID="d205cca449ff943901c6be584c69317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3e5d9eca856144ce6ca1da655f95619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AutoVersionDisabled" minOccurs="0"/>
                <xsd:element ref="ns1:ItemType" minOccurs="0"/>
                <xsd:element ref="ns1:Descript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D" ma:index="0" nillable="true" ma:displayName="ID" ma:internalName="ID" ma:readOnly="true">
      <xsd:simpleType>
        <xsd:restriction base="dms:Unknown"/>
      </xsd:simpleType>
    </xsd:element>
    <xsd:element name="ContentTypeId" ma:index="1" nillable="true" ma:displayName="Content Type ID" ma:hidden="true" ma:internalName="ContentTypeId" ma:readOnly="true">
      <xsd:simpleType>
        <xsd:restriction base="dms:Unknown"/>
      </xsd:simpleType>
    </xsd:element>
    <xsd:element name="Author" ma:index="4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8" nillable="true" ma:displayName="Copy Source" ma:internalName="_CopySource" ma:readOnly="true">
      <xsd:simpleType>
        <xsd:restriction base="dms:Text"/>
      </xsd:simpleType>
    </xsd:element>
    <xsd:element name="_ModerationStatus" ma:index="9" nillable="true" ma:displayName="Approval Status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Approver Comments" ma:hidden="true" ma:internalName="_ModerationComments" ma:readOnly="true">
      <xsd:simpleType>
        <xsd:restriction base="dms:Note"/>
      </xsd:simpleType>
    </xsd:element>
    <xsd:element name="FileRef" ma:index="11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CheckedOutUserId" ma:index="18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19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0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2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ProgId" ma:index="23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4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5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6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7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1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32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33" nillable="true" ma:displayName="Source Url" ma:hidden="true" ma:internalName="_SourceUrl">
      <xsd:simpleType>
        <xsd:restriction base="dms:Text"/>
      </xsd:simpleType>
    </xsd:element>
    <xsd:element name="_SharedFileIndex" ma:index="34" nillable="true" ma:displayName="Shared File Index" ma:hidden="true" ma:internalName="_SharedFileIndex">
      <xsd:simpleType>
        <xsd:restriction base="dms:Text"/>
      </xsd:simpleType>
    </xsd:element>
    <xsd:element name="MetaInfo" ma:index="44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45" nillable="true" ma:displayName="Level" ma:hidden="true" ma:internalName="_Level" ma:readOnly="true">
      <xsd:simpleType>
        <xsd:restriction base="dms:Unknown"/>
      </xsd:simpleType>
    </xsd:element>
    <xsd:element name="_IsCurrentVersion" ma:index="46" nillable="true" ma:displayName="Is Current Version" ma:hidden="true" ma:internalName="_IsCurrentVersion" ma:readOnly="true">
      <xsd:simpleType>
        <xsd:restriction base="dms:Boolean"/>
      </xsd:simpleType>
    </xsd:element>
    <xsd:element name="owshiddenversion" ma:index="50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1" nillable="true" ma:displayName="UI Version" ma:hidden="true" ma:internalName="_UIVersion" ma:readOnly="true">
      <xsd:simpleType>
        <xsd:restriction base="dms:Unknown"/>
      </xsd:simpleType>
    </xsd:element>
    <xsd:element name="_UIVersionString" ma:index="52" nillable="true" ma:displayName="Version" ma:internalName="_UIVersionString" ma:readOnly="true">
      <xsd:simpleType>
        <xsd:restriction base="dms:Text"/>
      </xsd:simpleType>
    </xsd:element>
    <xsd:element name="InstanceID" ma:index="53" nillable="true" ma:displayName="Instance ID" ma:hidden="true" ma:internalName="InstanceID" ma:readOnly="true">
      <xsd:simpleType>
        <xsd:restriction base="dms:Unknown"/>
      </xsd:simpleType>
    </xsd:element>
    <xsd:element name="Order" ma:index="54" nillable="true" ma:displayName="Order" ma:hidden="true" ma:internalName="Order">
      <xsd:simpleType>
        <xsd:restriction base="dms:Number"/>
      </xsd:simpleType>
    </xsd:element>
    <xsd:element name="GUID" ma:index="55" nillable="true" ma:displayName="GUID" ma:hidden="true" ma:internalName="GUID" ma:readOnly="true">
      <xsd:simpleType>
        <xsd:restriction base="dms:Unknown"/>
      </xsd:simpleType>
    </xsd:element>
    <xsd:element name="WorkflowVersion" ma:index="56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57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58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59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AutoVersionDisabled" ma:index="60" nillable="true" ma:displayName="AutoVersionDisabled" ma:default="FALSE" ma:hidden="true" ma:internalName="AutoVersionDisabled">
      <xsd:simpleType>
        <xsd:restriction base="dms:Boolean"/>
      </xsd:simpleType>
    </xsd:element>
    <xsd:element name="ItemType" ma:index="61" nillable="true" ma:displayName="ItemType" ma:default="1" ma:hidden="true" ma:internalName="ItemType">
      <xsd:simpleType>
        <xsd:restriction base="dms:Unknown"/>
      </xsd:simpleType>
    </xsd:element>
    <xsd:element name="Description" ma:index="62" nillable="true" ma:displayName="Description" ma:hidden="true" ma:internalName="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 ma:readOnly="tru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SourceUrl xmlns="http://schemas.microsoft.com/sharepoint/v3" xsi:nil="true"/>
    <AutoVersionDisabled xmlns="http://schemas.microsoft.com/sharepoint/v3">false</AutoVersionDisabled>
    <ItemType xmlns="http://schemas.microsoft.com/sharepoint/v3">1</ItemType>
    <Order xmlns="http://schemas.microsoft.com/sharepoint/v3" xsi:nil="true"/>
    <_SharedFileIndex xmlns="http://schemas.microsoft.com/sharepoint/v3" xsi:nil="true"/>
    <MetaInfo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EA8CA4-3221-4603-98DE-FD56C3871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5267B17-8E6A-40A6-B907-52A8EDB40051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Kapaku </vt:lpstr>
      <vt:lpstr>B_Sheet14</vt:lpstr>
      <vt:lpstr>P&amp;L14</vt:lpstr>
      <vt:lpstr>Equity</vt:lpstr>
      <vt:lpstr>Fluksi </vt:lpstr>
      <vt:lpstr>Cash</vt:lpstr>
      <vt:lpstr>FD T Fitimit</vt:lpstr>
      <vt:lpstr>TVSH</vt:lpstr>
      <vt:lpstr>cash Fl  (2)</vt:lpstr>
      <vt:lpstr>Shenime P&amp;L</vt:lpstr>
      <vt:lpstr>AQT</vt:lpstr>
      <vt:lpstr>Shenime </vt:lpstr>
      <vt:lpstr>LLOG TVSH</vt:lpstr>
      <vt:lpstr>AAM</vt:lpstr>
      <vt:lpstr>FD T Fitimit (2)</vt:lpstr>
      <vt:lpstr>B BSh</vt:lpstr>
      <vt:lpstr>B P&amp;L08</vt:lpstr>
      <vt:lpstr>B_Fluksi</vt:lpstr>
      <vt:lpstr>B_Equity </vt:lpstr>
      <vt:lpstr>AQT!Print_Area</vt:lpstr>
      <vt:lpstr>'B BSh'!Print_Area</vt:lpstr>
      <vt:lpstr>'B P&amp;L08'!Print_Area</vt:lpstr>
      <vt:lpstr>B_Fluksi!Print_Area</vt:lpstr>
      <vt:lpstr>B_Sheet14!Print_Area</vt:lpstr>
      <vt:lpstr>Equity!Print_Area</vt:lpstr>
      <vt:lpstr>'FD T Fitimit'!Print_Area</vt:lpstr>
      <vt:lpstr>'FD T Fitimit (2)'!Print_Area</vt:lpstr>
      <vt:lpstr>'Fluksi '!Print_Area</vt:lpstr>
      <vt:lpstr>'Shenime '!Print_Area</vt:lpstr>
      <vt:lpstr>'Shenime P&amp;L'!Print_Area</vt:lpstr>
    </vt:vector>
  </TitlesOfParts>
  <Company>Consulting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Zisi</dc:creator>
  <cp:lastModifiedBy>User</cp:lastModifiedBy>
  <cp:lastPrinted>2015-03-30T13:36:38Z</cp:lastPrinted>
  <dcterms:created xsi:type="dcterms:W3CDTF">2006-03-16T09:44:06Z</dcterms:created>
  <dcterms:modified xsi:type="dcterms:W3CDTF">2015-03-30T13:39:10Z</dcterms:modified>
  <cp:contentType>_Docs_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ourceUrl">
    <vt:lpwstr/>
  </property>
  <property fmtid="{D5CDD505-2E9C-101B-9397-08002B2CF9AE}" pid="3" name="AutoVersionDisabled">
    <vt:lpwstr>0</vt:lpwstr>
  </property>
  <property fmtid="{D5CDD505-2E9C-101B-9397-08002B2CF9AE}" pid="4" name="ItemType">
    <vt:lpwstr>1</vt:lpwstr>
  </property>
  <property fmtid="{D5CDD505-2E9C-101B-9397-08002B2CF9AE}" pid="5" name="Order">
    <vt:lpwstr/>
  </property>
  <property fmtid="{D5CDD505-2E9C-101B-9397-08002B2CF9AE}" pid="6" name="MetaInfo">
    <vt:lpwstr/>
  </property>
  <property fmtid="{D5CDD505-2E9C-101B-9397-08002B2CF9AE}" pid="7" name="Description">
    <vt:lpwstr/>
  </property>
</Properties>
</file>