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80" yWindow="7470" windowWidth="15195" windowHeight="11640" tabRatio="964" firstSheet="1" activeTab="4"/>
  </bookViews>
  <sheets>
    <sheet name="Kopertina " sheetId="20" r:id="rId1"/>
    <sheet name="AKTIVI " sheetId="19" r:id="rId2"/>
    <sheet name="PASIVI " sheetId="18" r:id="rId3"/>
    <sheet name="Ardh e shp - natyres" sheetId="16" r:id="rId4"/>
    <sheet name=" Fluksit mon - direkte" sheetId="14" r:id="rId5"/>
    <sheet name="Pasq e ndrysh te kap 2" sheetId="11" r:id="rId6"/>
    <sheet name="Shenit Shpjeguse" sheetId="10" r:id="rId7"/>
    <sheet name="Shenimet Shpjeg" sheetId="9" r:id="rId8"/>
    <sheet name="A1" sheetId="8" r:id="rId9"/>
    <sheet name="A2" sheetId="7" r:id="rId10"/>
    <sheet name="C1" sheetId="5" r:id="rId11"/>
    <sheet name="C2" sheetId="4" r:id="rId12"/>
    <sheet name="C3" sheetId="1" r:id="rId13"/>
    <sheet name="D1" sheetId="47" r:id="rId14"/>
    <sheet name="D2" sheetId="45" r:id="rId15"/>
    <sheet name="D3" sheetId="44" r:id="rId16"/>
    <sheet name="D4" sheetId="43" r:id="rId17"/>
    <sheet name="D4-" sheetId="106" r:id="rId18"/>
    <sheet name="D5-" sheetId="42" r:id="rId19"/>
    <sheet name="D6" sheetId="107" r:id="rId20"/>
    <sheet name="L  1" sheetId="83" r:id="rId21"/>
    <sheet name="L  2" sheetId="84" r:id="rId22"/>
    <sheet name="L4" sheetId="104" r:id="rId23"/>
    <sheet name="E2" sheetId="40" r:id="rId24"/>
    <sheet name="M1" sheetId="27" r:id="rId25"/>
    <sheet name="Liber Shit- Blerje " sheetId="85" r:id="rId26"/>
    <sheet name="P -Ardh Analiz " sheetId="51" r:id="rId27"/>
    <sheet name="S" sheetId="75" r:id="rId28"/>
    <sheet name="U" sheetId="73" r:id="rId29"/>
    <sheet name="V" sheetId="72" r:id="rId30"/>
    <sheet name="T" sheetId="74" r:id="rId31"/>
    <sheet name="Inventar" sheetId="102" r:id="rId32"/>
    <sheet name="Bilanci mater I" sheetId="86" r:id="rId33"/>
    <sheet name="Nenkontraktoret I" sheetId="92" r:id="rId34"/>
    <sheet name="Sig per  Ndertimin I" sheetId="91" r:id="rId35"/>
    <sheet name="Pas E Shitjes Ndertiimi I" sheetId="78" r:id="rId36"/>
    <sheet name="U - statist" sheetId="79" r:id="rId37"/>
    <sheet name="Stat - te ardhur" sheetId="80" r:id="rId38"/>
    <sheet name="Stat - Kostot " sheetId="81" r:id="rId39"/>
    <sheet name="Stat - te ardh  anal" sheetId="82" r:id="rId40"/>
    <sheet name="Sheet1" sheetId="105" r:id="rId41"/>
    <sheet name="Sheet2" sheetId="108" r:id="rId42"/>
  </sheets>
  <externalReferences>
    <externalReference r:id="rId43"/>
  </externalReferences>
  <definedNames>
    <definedName name="_xlnm.Print_Area" localSheetId="25">'Liber Shit- Blerje '!$A$1:$AZ$456</definedName>
  </definedNames>
  <calcPr calcId="125725"/>
</workbook>
</file>

<file path=xl/calcChain.xml><?xml version="1.0" encoding="utf-8"?>
<calcChain xmlns="http://schemas.openxmlformats.org/spreadsheetml/2006/main">
  <c r="E288" i="9"/>
  <c r="F288"/>
  <c r="G288"/>
  <c r="H288"/>
  <c r="I288"/>
  <c r="E289"/>
  <c r="F289"/>
  <c r="G289"/>
  <c r="H289"/>
  <c r="I289"/>
  <c r="E290"/>
  <c r="F290"/>
  <c r="G290"/>
  <c r="H290"/>
  <c r="I290"/>
  <c r="E291"/>
  <c r="F291"/>
  <c r="G291"/>
  <c r="H291"/>
  <c r="I291"/>
  <c r="E292"/>
  <c r="F292"/>
  <c r="G292"/>
  <c r="H292"/>
  <c r="I292"/>
  <c r="E293"/>
  <c r="F293"/>
  <c r="G293"/>
  <c r="H293"/>
  <c r="I293"/>
  <c r="E294"/>
  <c r="F294"/>
  <c r="G294"/>
  <c r="H294"/>
  <c r="I294"/>
  <c r="E295"/>
  <c r="F295"/>
  <c r="G295"/>
  <c r="H295"/>
  <c r="I295"/>
  <c r="E296"/>
  <c r="F296"/>
  <c r="G296"/>
  <c r="H296"/>
  <c r="I296"/>
  <c r="E297"/>
  <c r="F297"/>
  <c r="G297"/>
  <c r="H297"/>
  <c r="I297"/>
  <c r="E298"/>
  <c r="F298"/>
  <c r="G298"/>
  <c r="H298"/>
  <c r="I298"/>
  <c r="E299"/>
  <c r="F299"/>
  <c r="G299"/>
  <c r="H299"/>
  <c r="I299"/>
  <c r="E300"/>
  <c r="F300"/>
  <c r="G300"/>
  <c r="H300"/>
  <c r="I300"/>
  <c r="D300"/>
  <c r="D299"/>
  <c r="D298"/>
  <c r="D297"/>
  <c r="D296"/>
  <c r="D295"/>
  <c r="D294"/>
  <c r="D293"/>
  <c r="D292"/>
  <c r="D291"/>
  <c r="D290"/>
  <c r="D289"/>
  <c r="D288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C187"/>
  <c r="D187"/>
  <c r="E187"/>
  <c r="F187"/>
  <c r="G187"/>
  <c r="H187"/>
  <c r="C188"/>
  <c r="D188"/>
  <c r="E188"/>
  <c r="F188"/>
  <c r="G188"/>
  <c r="H188"/>
  <c r="C189"/>
  <c r="D189"/>
  <c r="E189"/>
  <c r="F189"/>
  <c r="G189"/>
  <c r="H189"/>
  <c r="C190"/>
  <c r="D190"/>
  <c r="E190"/>
  <c r="F190"/>
  <c r="G190"/>
  <c r="H190"/>
  <c r="C191"/>
  <c r="D191"/>
  <c r="E191"/>
  <c r="F191"/>
  <c r="G191"/>
  <c r="H191"/>
  <c r="C192"/>
  <c r="D192"/>
  <c r="E192"/>
  <c r="F192"/>
  <c r="G192"/>
  <c r="H192"/>
  <c r="C193"/>
  <c r="D193"/>
  <c r="E193"/>
  <c r="F193"/>
  <c r="G193"/>
  <c r="H193"/>
  <c r="C194"/>
  <c r="D194"/>
  <c r="E194"/>
  <c r="F194"/>
  <c r="G194"/>
  <c r="H194"/>
  <c r="C195"/>
  <c r="D195"/>
  <c r="E195"/>
  <c r="F195"/>
  <c r="G195"/>
  <c r="H195"/>
  <c r="C196"/>
  <c r="D196"/>
  <c r="E196"/>
  <c r="F196"/>
  <c r="G196"/>
  <c r="H196"/>
  <c r="C197"/>
  <c r="D197"/>
  <c r="E197"/>
  <c r="F197"/>
  <c r="G197"/>
  <c r="H197"/>
  <c r="C198"/>
  <c r="D198"/>
  <c r="E198"/>
  <c r="F198"/>
  <c r="G198"/>
  <c r="H198"/>
  <c r="C199"/>
  <c r="D199"/>
  <c r="E199"/>
  <c r="F199"/>
  <c r="G199"/>
  <c r="H199"/>
  <c r="C181"/>
  <c r="D181"/>
  <c r="E181"/>
  <c r="F181"/>
  <c r="G181"/>
  <c r="H181"/>
  <c r="C182"/>
  <c r="D182"/>
  <c r="E182"/>
  <c r="F182"/>
  <c r="G182"/>
  <c r="H182"/>
  <c r="C183"/>
  <c r="D183"/>
  <c r="E183"/>
  <c r="F183"/>
  <c r="G183"/>
  <c r="H183"/>
  <c r="C184"/>
  <c r="D184"/>
  <c r="E184"/>
  <c r="F184"/>
  <c r="G184"/>
  <c r="H184"/>
  <c r="C185"/>
  <c r="D185"/>
  <c r="E185"/>
  <c r="F185"/>
  <c r="G185"/>
  <c r="H185"/>
  <c r="C186"/>
  <c r="D186"/>
  <c r="E186"/>
  <c r="F186"/>
  <c r="G186"/>
  <c r="H186"/>
  <c r="C165"/>
  <c r="D165"/>
  <c r="E165"/>
  <c r="F165"/>
  <c r="G165"/>
  <c r="H165"/>
  <c r="C166"/>
  <c r="D166"/>
  <c r="E166"/>
  <c r="F166"/>
  <c r="G166"/>
  <c r="H166"/>
  <c r="C167"/>
  <c r="D167"/>
  <c r="E167"/>
  <c r="F167"/>
  <c r="G167"/>
  <c r="H167"/>
  <c r="C168"/>
  <c r="D168"/>
  <c r="E168"/>
  <c r="F168"/>
  <c r="G168"/>
  <c r="H168"/>
  <c r="C169"/>
  <c r="D169"/>
  <c r="E169"/>
  <c r="F169"/>
  <c r="G169"/>
  <c r="H169"/>
  <c r="C170"/>
  <c r="D170"/>
  <c r="E170"/>
  <c r="F170"/>
  <c r="G170"/>
  <c r="H170"/>
  <c r="C171"/>
  <c r="D171"/>
  <c r="E171"/>
  <c r="F171"/>
  <c r="G171"/>
  <c r="H171"/>
  <c r="C172"/>
  <c r="D172"/>
  <c r="E172"/>
  <c r="F172"/>
  <c r="G172"/>
  <c r="H172"/>
  <c r="C173"/>
  <c r="D173"/>
  <c r="E173"/>
  <c r="F173"/>
  <c r="G173"/>
  <c r="H173"/>
  <c r="C174"/>
  <c r="D174"/>
  <c r="E174"/>
  <c r="F174"/>
  <c r="G174"/>
  <c r="H174"/>
  <c r="C175"/>
  <c r="D175"/>
  <c r="E175"/>
  <c r="F175"/>
  <c r="G175"/>
  <c r="H175"/>
  <c r="C176"/>
  <c r="D176"/>
  <c r="E176"/>
  <c r="F176"/>
  <c r="G176"/>
  <c r="H176"/>
  <c r="C177"/>
  <c r="D177"/>
  <c r="E177"/>
  <c r="F177"/>
  <c r="G177"/>
  <c r="H177"/>
  <c r="C178"/>
  <c r="D178"/>
  <c r="E178"/>
  <c r="F178"/>
  <c r="G178"/>
  <c r="H178"/>
  <c r="C179"/>
  <c r="D179"/>
  <c r="E179"/>
  <c r="F179"/>
  <c r="G179"/>
  <c r="H179"/>
  <c r="C180"/>
  <c r="D180"/>
  <c r="E180"/>
  <c r="F180"/>
  <c r="G180"/>
  <c r="H180"/>
  <c r="C154"/>
  <c r="D154"/>
  <c r="E154"/>
  <c r="F154"/>
  <c r="G154"/>
  <c r="H154"/>
  <c r="C155"/>
  <c r="D155"/>
  <c r="E155"/>
  <c r="F155"/>
  <c r="G155"/>
  <c r="H155"/>
  <c r="C156"/>
  <c r="D156"/>
  <c r="E156"/>
  <c r="F156"/>
  <c r="G156"/>
  <c r="H156"/>
  <c r="C157"/>
  <c r="D157"/>
  <c r="E157"/>
  <c r="F157"/>
  <c r="G157"/>
  <c r="H157"/>
  <c r="C158"/>
  <c r="D158"/>
  <c r="E158"/>
  <c r="F158"/>
  <c r="G158"/>
  <c r="H158"/>
  <c r="C159"/>
  <c r="D159"/>
  <c r="E159"/>
  <c r="F159"/>
  <c r="G159"/>
  <c r="H159"/>
  <c r="C160"/>
  <c r="D160"/>
  <c r="E160"/>
  <c r="F160"/>
  <c r="G160"/>
  <c r="H160"/>
  <c r="C161"/>
  <c r="D161"/>
  <c r="E161"/>
  <c r="F161"/>
  <c r="G161"/>
  <c r="H161"/>
  <c r="C162"/>
  <c r="D162"/>
  <c r="E162"/>
  <c r="F162"/>
  <c r="G162"/>
  <c r="H162"/>
  <c r="C163"/>
  <c r="D163"/>
  <c r="E163"/>
  <c r="F163"/>
  <c r="G163"/>
  <c r="H163"/>
  <c r="C164"/>
  <c r="D164"/>
  <c r="E164"/>
  <c r="F164"/>
  <c r="G164"/>
  <c r="H164"/>
  <c r="C125"/>
  <c r="D125"/>
  <c r="E125"/>
  <c r="F125"/>
  <c r="G125"/>
  <c r="H125"/>
  <c r="C126"/>
  <c r="D126"/>
  <c r="E126"/>
  <c r="F126"/>
  <c r="G126"/>
  <c r="H126"/>
  <c r="C127"/>
  <c r="D127"/>
  <c r="E127"/>
  <c r="F127"/>
  <c r="G127"/>
  <c r="H127"/>
  <c r="C128"/>
  <c r="D128"/>
  <c r="E128"/>
  <c r="F128"/>
  <c r="G128"/>
  <c r="H128"/>
  <c r="C129"/>
  <c r="D129"/>
  <c r="E129"/>
  <c r="F129"/>
  <c r="G129"/>
  <c r="H129"/>
  <c r="C130"/>
  <c r="D130"/>
  <c r="E130"/>
  <c r="F130"/>
  <c r="G130"/>
  <c r="H130"/>
  <c r="C131"/>
  <c r="D131"/>
  <c r="E131"/>
  <c r="F131"/>
  <c r="G131"/>
  <c r="H131"/>
  <c r="C132"/>
  <c r="D132"/>
  <c r="E132"/>
  <c r="F132"/>
  <c r="G132"/>
  <c r="H132"/>
  <c r="C133"/>
  <c r="D133"/>
  <c r="E133"/>
  <c r="F133"/>
  <c r="G133"/>
  <c r="H133"/>
  <c r="C134"/>
  <c r="D134"/>
  <c r="E134"/>
  <c r="F134"/>
  <c r="G134"/>
  <c r="H134"/>
  <c r="C135"/>
  <c r="D135"/>
  <c r="E135"/>
  <c r="F135"/>
  <c r="G135"/>
  <c r="H135"/>
  <c r="C136"/>
  <c r="D136"/>
  <c r="E136"/>
  <c r="F136"/>
  <c r="G136"/>
  <c r="H136"/>
  <c r="C137"/>
  <c r="D137"/>
  <c r="E137"/>
  <c r="F137"/>
  <c r="G137"/>
  <c r="H137"/>
  <c r="C138"/>
  <c r="D138"/>
  <c r="E138"/>
  <c r="F138"/>
  <c r="G138"/>
  <c r="H138"/>
  <c r="C139"/>
  <c r="D139"/>
  <c r="E139"/>
  <c r="F139"/>
  <c r="G139"/>
  <c r="H139"/>
  <c r="C140"/>
  <c r="D140"/>
  <c r="E140"/>
  <c r="F140"/>
  <c r="G140"/>
  <c r="H140"/>
  <c r="C141"/>
  <c r="D141"/>
  <c r="E141"/>
  <c r="F141"/>
  <c r="G141"/>
  <c r="H141"/>
  <c r="C142"/>
  <c r="D142"/>
  <c r="E142"/>
  <c r="F142"/>
  <c r="G142"/>
  <c r="H142"/>
  <c r="C143"/>
  <c r="D143"/>
  <c r="E143"/>
  <c r="F143"/>
  <c r="G143"/>
  <c r="H143"/>
  <c r="C144"/>
  <c r="D144"/>
  <c r="E144"/>
  <c r="F144"/>
  <c r="G144"/>
  <c r="H144"/>
  <c r="C145"/>
  <c r="D145"/>
  <c r="E145"/>
  <c r="F145"/>
  <c r="G145"/>
  <c r="H145"/>
  <c r="C146"/>
  <c r="D146"/>
  <c r="E146"/>
  <c r="F146"/>
  <c r="G146"/>
  <c r="H146"/>
  <c r="C147"/>
  <c r="D147"/>
  <c r="E147"/>
  <c r="F147"/>
  <c r="G147"/>
  <c r="H147"/>
  <c r="C148"/>
  <c r="D148"/>
  <c r="E148"/>
  <c r="F148"/>
  <c r="G148"/>
  <c r="H148"/>
  <c r="C149"/>
  <c r="D149"/>
  <c r="E149"/>
  <c r="F149"/>
  <c r="G149"/>
  <c r="H149"/>
  <c r="C150"/>
  <c r="D150"/>
  <c r="E150"/>
  <c r="F150"/>
  <c r="G150"/>
  <c r="H150"/>
  <c r="C151"/>
  <c r="D151"/>
  <c r="E151"/>
  <c r="F151"/>
  <c r="G151"/>
  <c r="H151"/>
  <c r="C152"/>
  <c r="D152"/>
  <c r="E152"/>
  <c r="F152"/>
  <c r="G152"/>
  <c r="H152"/>
  <c r="C153"/>
  <c r="D153"/>
  <c r="E153"/>
  <c r="F153"/>
  <c r="G153"/>
  <c r="H153"/>
  <c r="D124"/>
  <c r="D200" s="1"/>
  <c r="E124"/>
  <c r="E200" s="1"/>
  <c r="F124"/>
  <c r="F200" s="1"/>
  <c r="G124"/>
  <c r="G200" s="1"/>
  <c r="H124"/>
  <c r="H200" s="1"/>
  <c r="C124"/>
  <c r="G103"/>
  <c r="G95"/>
  <c r="C60"/>
  <c r="D60"/>
  <c r="E60"/>
  <c r="F60"/>
  <c r="G60"/>
  <c r="C61"/>
  <c r="D61"/>
  <c r="E61"/>
  <c r="F61"/>
  <c r="G61"/>
  <c r="C62"/>
  <c r="D62"/>
  <c r="E62"/>
  <c r="F62"/>
  <c r="G62"/>
  <c r="C63"/>
  <c r="D63"/>
  <c r="E63"/>
  <c r="F63"/>
  <c r="G63"/>
  <c r="C64"/>
  <c r="D64"/>
  <c r="E64"/>
  <c r="F64"/>
  <c r="G64"/>
  <c r="C65"/>
  <c r="D65"/>
  <c r="E65"/>
  <c r="F65"/>
  <c r="G65"/>
  <c r="C66"/>
  <c r="D66"/>
  <c r="E66"/>
  <c r="F66"/>
  <c r="G66"/>
  <c r="C67"/>
  <c r="D67"/>
  <c r="E67"/>
  <c r="F67"/>
  <c r="G67"/>
  <c r="C68"/>
  <c r="D68"/>
  <c r="E68"/>
  <c r="F68"/>
  <c r="G68"/>
  <c r="C69"/>
  <c r="D69"/>
  <c r="E69"/>
  <c r="F69"/>
  <c r="G69"/>
  <c r="C70"/>
  <c r="D70"/>
  <c r="E70"/>
  <c r="F70"/>
  <c r="G70"/>
  <c r="C71"/>
  <c r="D71"/>
  <c r="E71"/>
  <c r="F71"/>
  <c r="G71"/>
  <c r="C72"/>
  <c r="D72"/>
  <c r="E72"/>
  <c r="F72"/>
  <c r="G72"/>
  <c r="C73"/>
  <c r="D73"/>
  <c r="E73"/>
  <c r="F73"/>
  <c r="G73"/>
  <c r="C74"/>
  <c r="D74"/>
  <c r="E74"/>
  <c r="F74"/>
  <c r="G74"/>
  <c r="C75"/>
  <c r="D75"/>
  <c r="E75"/>
  <c r="F75"/>
  <c r="G75"/>
  <c r="C76"/>
  <c r="D76"/>
  <c r="E76"/>
  <c r="F76"/>
  <c r="G76"/>
  <c r="C77"/>
  <c r="D77"/>
  <c r="E77"/>
  <c r="F77"/>
  <c r="G77"/>
  <c r="C78"/>
  <c r="D78"/>
  <c r="E78"/>
  <c r="F78"/>
  <c r="G78"/>
  <c r="C79"/>
  <c r="D79"/>
  <c r="E79"/>
  <c r="F79"/>
  <c r="G79"/>
  <c r="C80"/>
  <c r="D80"/>
  <c r="E80"/>
  <c r="F80"/>
  <c r="G80"/>
  <c r="C81"/>
  <c r="D81"/>
  <c r="E81"/>
  <c r="F81"/>
  <c r="G81"/>
  <c r="C82"/>
  <c r="D82"/>
  <c r="E82"/>
  <c r="F82"/>
  <c r="G82"/>
  <c r="C83"/>
  <c r="D83"/>
  <c r="E83"/>
  <c r="F83"/>
  <c r="G83"/>
  <c r="C84"/>
  <c r="D84"/>
  <c r="E84"/>
  <c r="F84"/>
  <c r="G84"/>
  <c r="C85"/>
  <c r="D85"/>
  <c r="E85"/>
  <c r="F85"/>
  <c r="G85"/>
  <c r="C86"/>
  <c r="D86"/>
  <c r="E86"/>
  <c r="F86"/>
  <c r="G86"/>
  <c r="C87"/>
  <c r="D87"/>
  <c r="E87"/>
  <c r="F87"/>
  <c r="G87"/>
  <c r="C88"/>
  <c r="D88"/>
  <c r="E88"/>
  <c r="F88"/>
  <c r="G88"/>
  <c r="C89"/>
  <c r="D89"/>
  <c r="E89"/>
  <c r="F89"/>
  <c r="G89"/>
  <c r="C90"/>
  <c r="D90"/>
  <c r="E90"/>
  <c r="F90"/>
  <c r="G90"/>
  <c r="C91"/>
  <c r="D91"/>
  <c r="E91"/>
  <c r="F91"/>
  <c r="G91"/>
  <c r="C92"/>
  <c r="D92"/>
  <c r="E92"/>
  <c r="F92"/>
  <c r="G92"/>
  <c r="C93"/>
  <c r="D93"/>
  <c r="E93"/>
  <c r="F93"/>
  <c r="G93"/>
  <c r="C94"/>
  <c r="D94"/>
  <c r="E94"/>
  <c r="F94"/>
  <c r="G94"/>
  <c r="C95"/>
  <c r="E95"/>
  <c r="F95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D55"/>
  <c r="E55"/>
  <c r="F55"/>
  <c r="G55"/>
  <c r="C55"/>
  <c r="E8" i="80"/>
  <c r="F35" i="79"/>
  <c r="F36"/>
  <c r="F37"/>
  <c r="F38"/>
  <c r="F39"/>
  <c r="F34"/>
  <c r="I18" i="11"/>
  <c r="G52" i="5"/>
  <c r="G50"/>
  <c r="F50"/>
  <c r="E50"/>
  <c r="D50"/>
  <c r="E45"/>
  <c r="F45"/>
  <c r="G45"/>
  <c r="D45"/>
  <c r="E30"/>
  <c r="F30"/>
  <c r="G30"/>
  <c r="D30"/>
  <c r="F27" i="104"/>
  <c r="I83" i="27"/>
  <c r="F19" i="51"/>
  <c r="F40" i="73"/>
  <c r="G40"/>
  <c r="H40"/>
  <c r="I40"/>
  <c r="J40"/>
  <c r="K40"/>
  <c r="L40"/>
  <c r="M40"/>
  <c r="N40"/>
  <c r="O40"/>
  <c r="E40"/>
  <c r="F38"/>
  <c r="G38"/>
  <c r="H38"/>
  <c r="J38"/>
  <c r="K38"/>
  <c r="L38"/>
  <c r="M38"/>
  <c r="N38"/>
  <c r="O38"/>
  <c r="E38"/>
  <c r="F25"/>
  <c r="G25"/>
  <c r="H25"/>
  <c r="J25"/>
  <c r="K25"/>
  <c r="L25"/>
  <c r="M25"/>
  <c r="N25"/>
  <c r="O25"/>
  <c r="E25"/>
  <c r="G34" i="72"/>
  <c r="H15"/>
  <c r="H16"/>
  <c r="H18"/>
  <c r="H20"/>
  <c r="H22"/>
  <c r="H23"/>
  <c r="H24"/>
  <c r="H25"/>
  <c r="H31"/>
  <c r="H32"/>
  <c r="H33"/>
  <c r="H14"/>
  <c r="D12" i="14"/>
  <c r="F50" i="78"/>
  <c r="F51"/>
  <c r="F52"/>
  <c r="F53"/>
  <c r="F54"/>
  <c r="F55"/>
  <c r="F29" i="5"/>
  <c r="G26" i="27"/>
  <c r="G23"/>
  <c r="E47" i="5"/>
  <c r="G14" i="19"/>
  <c r="E8" i="18"/>
  <c r="E7" i="19"/>
  <c r="E9" i="18"/>
  <c r="D17" i="14"/>
  <c r="AJ28" i="85"/>
  <c r="AK28"/>
  <c r="AL28"/>
  <c r="AM28"/>
  <c r="AN28"/>
  <c r="AO28"/>
  <c r="AP28"/>
  <c r="AQ28"/>
  <c r="AR28"/>
  <c r="AS28"/>
  <c r="AT28"/>
  <c r="AU28"/>
  <c r="AV28"/>
  <c r="AW28"/>
  <c r="AX28"/>
  <c r="AY28"/>
  <c r="AZ28"/>
  <c r="AI28"/>
  <c r="AZ30"/>
  <c r="V32" i="51"/>
  <c r="V29"/>
  <c r="M35" i="1"/>
  <c r="F26"/>
  <c r="M30"/>
  <c r="E23" i="18"/>
  <c r="I20" i="107"/>
  <c r="J7"/>
  <c r="C4"/>
  <c r="H56" i="106"/>
  <c r="E29" i="19" s="1"/>
  <c r="E21" s="1"/>
  <c r="H7" i="106"/>
  <c r="C4"/>
  <c r="Y34" i="75" l="1"/>
  <c r="I9" i="16"/>
  <c r="F13" i="72"/>
  <c r="J34" i="78"/>
  <c r="I36" i="16"/>
  <c r="F30" i="72"/>
  <c r="H30" s="1"/>
  <c r="F28"/>
  <c r="H28" s="1"/>
  <c r="F27"/>
  <c r="H27" s="1"/>
  <c r="J41" i="78"/>
  <c r="G39" i="40"/>
  <c r="G40"/>
  <c r="G41"/>
  <c r="G42"/>
  <c r="G43"/>
  <c r="G44"/>
  <c r="G38"/>
  <c r="F17" i="72"/>
  <c r="E17" i="16"/>
  <c r="P30" i="75"/>
  <c r="Z26" i="51"/>
  <c r="AB26" s="1"/>
  <c r="F26"/>
  <c r="G50" i="27"/>
  <c r="E47" i="18"/>
  <c r="E15"/>
  <c r="E18" i="16"/>
  <c r="G24" i="40"/>
  <c r="F21" i="72"/>
  <c r="H21" s="1"/>
  <c r="E34"/>
  <c r="AL29" i="74"/>
  <c r="AM29"/>
  <c r="AN29"/>
  <c r="AO29"/>
  <c r="AP29"/>
  <c r="AQ29"/>
  <c r="AR29"/>
  <c r="AK29"/>
  <c r="I8" i="27"/>
  <c r="I9"/>
  <c r="I10"/>
  <c r="I11"/>
  <c r="I12"/>
  <c r="I1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1"/>
  <c r="I72"/>
  <c r="I73"/>
  <c r="I75"/>
  <c r="I76"/>
  <c r="I77"/>
  <c r="I78"/>
  <c r="I79"/>
  <c r="I80"/>
  <c r="I81"/>
  <c r="I82"/>
  <c r="I7"/>
  <c r="H83"/>
  <c r="E83"/>
  <c r="F70"/>
  <c r="I70" s="1"/>
  <c r="G39"/>
  <c r="I39" s="1"/>
  <c r="E85"/>
  <c r="E86" s="1"/>
  <c r="G74"/>
  <c r="I74" s="1"/>
  <c r="G11" i="40"/>
  <c r="M26" i="104"/>
  <c r="F13"/>
  <c r="F19" s="1"/>
  <c r="E20" i="18" s="1"/>
  <c r="D24" i="14" s="1"/>
  <c r="J15" i="104"/>
  <c r="K15"/>
  <c r="L15"/>
  <c r="I15"/>
  <c r="I16" i="7"/>
  <c r="I11"/>
  <c r="G12" i="5"/>
  <c r="G13"/>
  <c r="G14"/>
  <c r="G15"/>
  <c r="G16"/>
  <c r="G17"/>
  <c r="G18"/>
  <c r="G19"/>
  <c r="G20"/>
  <c r="G21"/>
  <c r="G22"/>
  <c r="G23"/>
  <c r="G24"/>
  <c r="G25"/>
  <c r="G26"/>
  <c r="G27"/>
  <c r="G28"/>
  <c r="G29"/>
  <c r="G11"/>
  <c r="G10"/>
  <c r="G33"/>
  <c r="G34"/>
  <c r="G35"/>
  <c r="G36"/>
  <c r="G37"/>
  <c r="G38"/>
  <c r="G39"/>
  <c r="G40"/>
  <c r="G41"/>
  <c r="G42"/>
  <c r="G43"/>
  <c r="G44"/>
  <c r="Q8" i="75"/>
  <c r="Q9"/>
  <c r="Q10"/>
  <c r="Q11"/>
  <c r="Q12"/>
  <c r="Q13"/>
  <c r="Q14"/>
  <c r="Q15"/>
  <c r="Q16"/>
  <c r="Q17"/>
  <c r="Q18"/>
  <c r="Q19"/>
  <c r="Q20"/>
  <c r="G83" i="27" l="1"/>
  <c r="F83"/>
  <c r="G30" i="40"/>
  <c r="G45" s="1"/>
  <c r="H17" i="72"/>
  <c r="H13"/>
  <c r="F19"/>
  <c r="H19" s="1"/>
  <c r="E13" i="18"/>
  <c r="D10" i="14" s="1"/>
  <c r="G46" i="40"/>
  <c r="J40" i="78"/>
  <c r="F29" i="72" s="1"/>
  <c r="H29" s="1"/>
  <c r="L41" i="78"/>
  <c r="L18" i="104"/>
  <c r="J18"/>
  <c r="G14" i="83"/>
  <c r="AL28" i="74" l="1"/>
  <c r="D31" i="51"/>
  <c r="G31"/>
  <c r="H31"/>
  <c r="I31"/>
  <c r="J31"/>
  <c r="K31"/>
  <c r="L31"/>
  <c r="M31"/>
  <c r="N31"/>
  <c r="O31"/>
  <c r="P31"/>
  <c r="Q31"/>
  <c r="R31"/>
  <c r="S31"/>
  <c r="C31"/>
  <c r="D18" i="78"/>
  <c r="D55"/>
  <c r="A55"/>
  <c r="D52"/>
  <c r="A52"/>
  <c r="D51"/>
  <c r="A51"/>
  <c r="D50"/>
  <c r="A50"/>
  <c r="A49"/>
  <c r="E43"/>
  <c r="E42"/>
  <c r="E41"/>
  <c r="E40"/>
  <c r="E39"/>
  <c r="E38"/>
  <c r="E37"/>
  <c r="H30"/>
  <c r="F30"/>
  <c r="C30"/>
  <c r="E29"/>
  <c r="D29"/>
  <c r="G28"/>
  <c r="D28"/>
  <c r="G27"/>
  <c r="G30" s="1"/>
  <c r="E27"/>
  <c r="D27"/>
  <c r="E26"/>
  <c r="D26"/>
  <c r="H20"/>
  <c r="E20"/>
  <c r="F20" s="1"/>
  <c r="H18"/>
  <c r="I17"/>
  <c r="C52" s="1"/>
  <c r="H17"/>
  <c r="J17" s="1"/>
  <c r="F17"/>
  <c r="I16"/>
  <c r="C51" s="1"/>
  <c r="H16"/>
  <c r="J16" s="1"/>
  <c r="F16"/>
  <c r="E16"/>
  <c r="H15"/>
  <c r="F15"/>
  <c r="I14"/>
  <c r="C49" s="1"/>
  <c r="H14"/>
  <c r="J14" s="1"/>
  <c r="F14"/>
  <c r="G7"/>
  <c r="G46" i="5"/>
  <c r="G47"/>
  <c r="G49"/>
  <c r="F544" i="102"/>
  <c r="E537"/>
  <c r="E538"/>
  <c r="F536"/>
  <c r="D536"/>
  <c r="E521"/>
  <c r="E523"/>
  <c r="E524"/>
  <c r="E525"/>
  <c r="E526"/>
  <c r="E528"/>
  <c r="E529"/>
  <c r="E535"/>
  <c r="E540"/>
  <c r="E520"/>
  <c r="E519"/>
  <c r="D30" i="78" l="1"/>
  <c r="F49"/>
  <c r="I18"/>
  <c r="C53" s="1"/>
  <c r="E7"/>
  <c r="I15"/>
  <c r="C50" s="1"/>
  <c r="F18"/>
  <c r="D19"/>
  <c r="I20"/>
  <c r="C55" s="1"/>
  <c r="E28"/>
  <c r="J54"/>
  <c r="G8"/>
  <c r="J38" s="1"/>
  <c r="E536" i="102"/>
  <c r="F534"/>
  <c r="D534"/>
  <c r="F531"/>
  <c r="F532"/>
  <c r="F533"/>
  <c r="D532"/>
  <c r="F530"/>
  <c r="D530"/>
  <c r="F527"/>
  <c r="F522"/>
  <c r="F541" s="1"/>
  <c r="D522"/>
  <c r="J544"/>
  <c r="I544"/>
  <c r="H544"/>
  <c r="J541"/>
  <c r="J546" s="1"/>
  <c r="I541"/>
  <c r="I546" s="1"/>
  <c r="H541"/>
  <c r="H546" s="1"/>
  <c r="G541"/>
  <c r="G546" s="1"/>
  <c r="Q24" i="105"/>
  <c r="N150"/>
  <c r="N72"/>
  <c r="N201"/>
  <c r="N138"/>
  <c r="N137"/>
  <c r="E484" i="102"/>
  <c r="E485"/>
  <c r="E487"/>
  <c r="E488"/>
  <c r="E489"/>
  <c r="E490"/>
  <c r="E491"/>
  <c r="E492"/>
  <c r="E493"/>
  <c r="E494"/>
  <c r="E495"/>
  <c r="E481"/>
  <c r="E480"/>
  <c r="F497"/>
  <c r="D497"/>
  <c r="F504"/>
  <c r="F496"/>
  <c r="D496"/>
  <c r="F486"/>
  <c r="D486"/>
  <c r="G505"/>
  <c r="J501"/>
  <c r="I501"/>
  <c r="H501"/>
  <c r="F501"/>
  <c r="J498"/>
  <c r="J503" s="1"/>
  <c r="I498"/>
  <c r="I503" s="1"/>
  <c r="H498"/>
  <c r="H503" s="1"/>
  <c r="G498"/>
  <c r="G503" s="1"/>
  <c r="Y7" i="51"/>
  <c r="E22" i="16"/>
  <c r="F32" i="73"/>
  <c r="G32"/>
  <c r="H32"/>
  <c r="J32"/>
  <c r="K32"/>
  <c r="L32"/>
  <c r="M32"/>
  <c r="N32"/>
  <c r="O32"/>
  <c r="E32"/>
  <c r="F13"/>
  <c r="G13"/>
  <c r="H13"/>
  <c r="J13"/>
  <c r="K13"/>
  <c r="L13"/>
  <c r="M13"/>
  <c r="N13"/>
  <c r="O13"/>
  <c r="E13"/>
  <c r="H49" i="92"/>
  <c r="K367" i="105"/>
  <c r="K319"/>
  <c r="K277"/>
  <c r="K257"/>
  <c r="K250"/>
  <c r="K244"/>
  <c r="K238"/>
  <c r="K228"/>
  <c r="K222"/>
  <c r="K212"/>
  <c r="K197"/>
  <c r="K190"/>
  <c r="K181"/>
  <c r="K171"/>
  <c r="K151"/>
  <c r="K135"/>
  <c r="K114"/>
  <c r="K107"/>
  <c r="K98"/>
  <c r="K92"/>
  <c r="K71"/>
  <c r="K60"/>
  <c r="K43"/>
  <c r="K34"/>
  <c r="K20"/>
  <c r="K14"/>
  <c r="K6"/>
  <c r="Q29" i="92"/>
  <c r="F24" i="91" s="1"/>
  <c r="H57" i="92"/>
  <c r="E24" i="91" s="1"/>
  <c r="Z210" i="92"/>
  <c r="AC17" s="1"/>
  <c r="U19" i="75"/>
  <c r="P19"/>
  <c r="R19"/>
  <c r="S19"/>
  <c r="T19"/>
  <c r="O19"/>
  <c r="F214"/>
  <c r="G214"/>
  <c r="H214"/>
  <c r="I214"/>
  <c r="J214"/>
  <c r="K214"/>
  <c r="L214"/>
  <c r="E214"/>
  <c r="M73" i="86"/>
  <c r="G108"/>
  <c r="G109"/>
  <c r="G110"/>
  <c r="G111"/>
  <c r="G112"/>
  <c r="G113"/>
  <c r="G114"/>
  <c r="G208" i="75"/>
  <c r="H208"/>
  <c r="I208"/>
  <c r="K208"/>
  <c r="E208"/>
  <c r="F161" i="86"/>
  <c r="F160"/>
  <c r="G834"/>
  <c r="I834"/>
  <c r="K834"/>
  <c r="J834" s="1"/>
  <c r="G835"/>
  <c r="I835"/>
  <c r="K835"/>
  <c r="J835" s="1"/>
  <c r="G836"/>
  <c r="I836"/>
  <c r="K836"/>
  <c r="J836" s="1"/>
  <c r="G837"/>
  <c r="I837"/>
  <c r="K837"/>
  <c r="J837" s="1"/>
  <c r="G838"/>
  <c r="I838"/>
  <c r="K838"/>
  <c r="J838" s="1"/>
  <c r="G839"/>
  <c r="I839"/>
  <c r="K839"/>
  <c r="J839" s="1"/>
  <c r="G840"/>
  <c r="I840"/>
  <c r="K840"/>
  <c r="J840" s="1"/>
  <c r="G841"/>
  <c r="I841"/>
  <c r="K841"/>
  <c r="J841" s="1"/>
  <c r="G842"/>
  <c r="I842"/>
  <c r="N73" s="1"/>
  <c r="K842"/>
  <c r="J842" s="1"/>
  <c r="O73" s="1"/>
  <c r="G844"/>
  <c r="I844"/>
  <c r="K844"/>
  <c r="J844" s="1"/>
  <c r="G845"/>
  <c r="I845"/>
  <c r="K845"/>
  <c r="J845" s="1"/>
  <c r="G846"/>
  <c r="I846"/>
  <c r="K846"/>
  <c r="J846" s="1"/>
  <c r="G847"/>
  <c r="I847"/>
  <c r="K847"/>
  <c r="J847" s="1"/>
  <c r="G848"/>
  <c r="I848"/>
  <c r="K848"/>
  <c r="J848" s="1"/>
  <c r="G849"/>
  <c r="I849"/>
  <c r="K849"/>
  <c r="J849" s="1"/>
  <c r="G850"/>
  <c r="I850"/>
  <c r="K850"/>
  <c r="J850" s="1"/>
  <c r="G851"/>
  <c r="I851"/>
  <c r="K851"/>
  <c r="J851" s="1"/>
  <c r="G852"/>
  <c r="I852"/>
  <c r="K852"/>
  <c r="J852" s="1"/>
  <c r="G854"/>
  <c r="I854"/>
  <c r="K854"/>
  <c r="J854" s="1"/>
  <c r="G855"/>
  <c r="I855"/>
  <c r="K855"/>
  <c r="J855" s="1"/>
  <c r="G856"/>
  <c r="I856"/>
  <c r="K856"/>
  <c r="J856" s="1"/>
  <c r="G857"/>
  <c r="I857"/>
  <c r="K857"/>
  <c r="J857" s="1"/>
  <c r="G858"/>
  <c r="I858"/>
  <c r="K858"/>
  <c r="J858" s="1"/>
  <c r="G859"/>
  <c r="I859"/>
  <c r="K859"/>
  <c r="J859" s="1"/>
  <c r="G860"/>
  <c r="I860"/>
  <c r="K860"/>
  <c r="J860" s="1"/>
  <c r="G861"/>
  <c r="I861"/>
  <c r="K861"/>
  <c r="J861" s="1"/>
  <c r="G862"/>
  <c r="I862"/>
  <c r="K862"/>
  <c r="J862" s="1"/>
  <c r="G864"/>
  <c r="I864"/>
  <c r="K864"/>
  <c r="J864" s="1"/>
  <c r="G865"/>
  <c r="I865"/>
  <c r="K865"/>
  <c r="J865" s="1"/>
  <c r="G866"/>
  <c r="I866"/>
  <c r="K866"/>
  <c r="J866" s="1"/>
  <c r="G867"/>
  <c r="I867"/>
  <c r="K867"/>
  <c r="J867" s="1"/>
  <c r="G868"/>
  <c r="I868"/>
  <c r="K868"/>
  <c r="J868" s="1"/>
  <c r="G869"/>
  <c r="I869"/>
  <c r="K869"/>
  <c r="J869" s="1"/>
  <c r="G870"/>
  <c r="I870"/>
  <c r="K870"/>
  <c r="J870" s="1"/>
  <c r="G871"/>
  <c r="I871"/>
  <c r="K871"/>
  <c r="J871" s="1"/>
  <c r="G872"/>
  <c r="I872"/>
  <c r="K872"/>
  <c r="J872" s="1"/>
  <c r="G874"/>
  <c r="I874"/>
  <c r="K874"/>
  <c r="J874" s="1"/>
  <c r="G875"/>
  <c r="I875"/>
  <c r="K875"/>
  <c r="J875" s="1"/>
  <c r="G876"/>
  <c r="I876"/>
  <c r="K876"/>
  <c r="J876" s="1"/>
  <c r="G877"/>
  <c r="I877"/>
  <c r="K877"/>
  <c r="J877" s="1"/>
  <c r="G878"/>
  <c r="I878"/>
  <c r="K878"/>
  <c r="J878" s="1"/>
  <c r="G879"/>
  <c r="I879"/>
  <c r="K879"/>
  <c r="J879" s="1"/>
  <c r="G880"/>
  <c r="I880"/>
  <c r="K880"/>
  <c r="J880" s="1"/>
  <c r="G881"/>
  <c r="I881"/>
  <c r="K881"/>
  <c r="J881" s="1"/>
  <c r="G882"/>
  <c r="I882"/>
  <c r="K882"/>
  <c r="J882" s="1"/>
  <c r="G884"/>
  <c r="I884"/>
  <c r="K884"/>
  <c r="J884" s="1"/>
  <c r="G885"/>
  <c r="I885"/>
  <c r="K885"/>
  <c r="J885" s="1"/>
  <c r="G886"/>
  <c r="I886"/>
  <c r="K886"/>
  <c r="J886" s="1"/>
  <c r="G887"/>
  <c r="I887"/>
  <c r="K887"/>
  <c r="J887" s="1"/>
  <c r="G888"/>
  <c r="I888"/>
  <c r="K888"/>
  <c r="J888" s="1"/>
  <c r="G889"/>
  <c r="I889"/>
  <c r="K889"/>
  <c r="J889" s="1"/>
  <c r="G890"/>
  <c r="I890"/>
  <c r="K890"/>
  <c r="J890" s="1"/>
  <c r="G891"/>
  <c r="I891"/>
  <c r="K891"/>
  <c r="J891" s="1"/>
  <c r="G892"/>
  <c r="I892"/>
  <c r="K892"/>
  <c r="J892" s="1"/>
  <c r="G894"/>
  <c r="I894"/>
  <c r="K894"/>
  <c r="J894" s="1"/>
  <c r="G895"/>
  <c r="I895"/>
  <c r="K895"/>
  <c r="J895" s="1"/>
  <c r="G896"/>
  <c r="I896"/>
  <c r="K896"/>
  <c r="J896" s="1"/>
  <c r="G897"/>
  <c r="I897"/>
  <c r="K897"/>
  <c r="J897" s="1"/>
  <c r="G898"/>
  <c r="I898"/>
  <c r="K898"/>
  <c r="J898" s="1"/>
  <c r="G899"/>
  <c r="I899"/>
  <c r="K899"/>
  <c r="J899" s="1"/>
  <c r="G900"/>
  <c r="I900"/>
  <c r="K900"/>
  <c r="J900" s="1"/>
  <c r="G901"/>
  <c r="I901"/>
  <c r="K901"/>
  <c r="J901" s="1"/>
  <c r="G902"/>
  <c r="I902"/>
  <c r="K902"/>
  <c r="J902" s="1"/>
  <c r="G904"/>
  <c r="I904"/>
  <c r="K904"/>
  <c r="J904" s="1"/>
  <c r="G905"/>
  <c r="I905"/>
  <c r="K905"/>
  <c r="J905" s="1"/>
  <c r="G906"/>
  <c r="I906"/>
  <c r="K906"/>
  <c r="J906" s="1"/>
  <c r="G907"/>
  <c r="I907"/>
  <c r="K907"/>
  <c r="J907" s="1"/>
  <c r="G908"/>
  <c r="I908"/>
  <c r="K908"/>
  <c r="J908" s="1"/>
  <c r="G909"/>
  <c r="I909"/>
  <c r="K909"/>
  <c r="J909" s="1"/>
  <c r="G910"/>
  <c r="I910"/>
  <c r="K910"/>
  <c r="J910" s="1"/>
  <c r="G911"/>
  <c r="I911"/>
  <c r="K911"/>
  <c r="J911" s="1"/>
  <c r="G912"/>
  <c r="I912"/>
  <c r="K912"/>
  <c r="J912" s="1"/>
  <c r="G914"/>
  <c r="I914"/>
  <c r="K914"/>
  <c r="J914" s="1"/>
  <c r="G915"/>
  <c r="I915"/>
  <c r="K915"/>
  <c r="J915" s="1"/>
  <c r="G916"/>
  <c r="I916"/>
  <c r="K916"/>
  <c r="J916" s="1"/>
  <c r="G917"/>
  <c r="I917"/>
  <c r="K917"/>
  <c r="J917" s="1"/>
  <c r="G918"/>
  <c r="I918"/>
  <c r="K918"/>
  <c r="J918" s="1"/>
  <c r="G919"/>
  <c r="I919"/>
  <c r="K919"/>
  <c r="J919" s="1"/>
  <c r="G920"/>
  <c r="I920"/>
  <c r="K920"/>
  <c r="J920" s="1"/>
  <c r="G921"/>
  <c r="I921"/>
  <c r="K921"/>
  <c r="J921" s="1"/>
  <c r="G922"/>
  <c r="I922"/>
  <c r="K922"/>
  <c r="J922" s="1"/>
  <c r="G924"/>
  <c r="I924"/>
  <c r="K924"/>
  <c r="J924" s="1"/>
  <c r="G925"/>
  <c r="I925"/>
  <c r="K925"/>
  <c r="J925" s="1"/>
  <c r="G926"/>
  <c r="I926"/>
  <c r="K926"/>
  <c r="J926" s="1"/>
  <c r="G927"/>
  <c r="I927"/>
  <c r="K927"/>
  <c r="J927" s="1"/>
  <c r="G928"/>
  <c r="I928"/>
  <c r="K928"/>
  <c r="J928" s="1"/>
  <c r="G929"/>
  <c r="I929"/>
  <c r="K929"/>
  <c r="J929" s="1"/>
  <c r="G930"/>
  <c r="I930"/>
  <c r="K930"/>
  <c r="J930" s="1"/>
  <c r="G931"/>
  <c r="I931"/>
  <c r="K931"/>
  <c r="J931" s="1"/>
  <c r="G932"/>
  <c r="I932"/>
  <c r="K932"/>
  <c r="J932" s="1"/>
  <c r="G934"/>
  <c r="I934"/>
  <c r="K934"/>
  <c r="J934" s="1"/>
  <c r="G935"/>
  <c r="I935"/>
  <c r="K935"/>
  <c r="J935" s="1"/>
  <c r="G936"/>
  <c r="I936"/>
  <c r="K936"/>
  <c r="J936" s="1"/>
  <c r="G937"/>
  <c r="I937"/>
  <c r="K937"/>
  <c r="J937" s="1"/>
  <c r="G938"/>
  <c r="I938"/>
  <c r="K938"/>
  <c r="J938" s="1"/>
  <c r="G939"/>
  <c r="I939"/>
  <c r="K939"/>
  <c r="J939" s="1"/>
  <c r="Z205" i="92"/>
  <c r="Q27"/>
  <c r="F23" i="91" s="1"/>
  <c r="H55" i="92"/>
  <c r="AC16" s="1"/>
  <c r="Z184"/>
  <c r="H53"/>
  <c r="E22" i="91" s="1"/>
  <c r="Q25" i="92"/>
  <c r="F22" i="91" s="1"/>
  <c r="Z186" i="92"/>
  <c r="Z185"/>
  <c r="Z183"/>
  <c r="Z182"/>
  <c r="Z197" s="1"/>
  <c r="AC15" s="1"/>
  <c r="M72" i="86"/>
  <c r="H795"/>
  <c r="H774"/>
  <c r="H430"/>
  <c r="G157"/>
  <c r="G159"/>
  <c r="G160"/>
  <c r="G161"/>
  <c r="G162"/>
  <c r="G163"/>
  <c r="G164"/>
  <c r="G165"/>
  <c r="G166"/>
  <c r="G167"/>
  <c r="G168"/>
  <c r="G169"/>
  <c r="G170"/>
  <c r="G171"/>
  <c r="G172"/>
  <c r="G173"/>
  <c r="G174"/>
  <c r="H158"/>
  <c r="F158"/>
  <c r="F362"/>
  <c r="H155"/>
  <c r="H154"/>
  <c r="H153"/>
  <c r="G153"/>
  <c r="G154"/>
  <c r="G155"/>
  <c r="G156"/>
  <c r="H804"/>
  <c r="F804"/>
  <c r="H152"/>
  <c r="G152" s="1"/>
  <c r="H431"/>
  <c r="H794"/>
  <c r="H784"/>
  <c r="F784"/>
  <c r="H151"/>
  <c r="G151" s="1"/>
  <c r="H150"/>
  <c r="G150" s="1"/>
  <c r="H149"/>
  <c r="G199" i="75"/>
  <c r="H199"/>
  <c r="R17" s="1"/>
  <c r="I199"/>
  <c r="S17" s="1"/>
  <c r="K199"/>
  <c r="F198"/>
  <c r="J198"/>
  <c r="L198"/>
  <c r="F200"/>
  <c r="F208" s="1"/>
  <c r="P18" s="1"/>
  <c r="J200"/>
  <c r="J208" s="1"/>
  <c r="T18" s="1"/>
  <c r="L200"/>
  <c r="L208" s="1"/>
  <c r="F201"/>
  <c r="J201"/>
  <c r="L201"/>
  <c r="F202"/>
  <c r="J202"/>
  <c r="L202"/>
  <c r="F203"/>
  <c r="J203"/>
  <c r="L203"/>
  <c r="F204"/>
  <c r="J204"/>
  <c r="L204"/>
  <c r="F205"/>
  <c r="J205"/>
  <c r="L205"/>
  <c r="F206"/>
  <c r="J206"/>
  <c r="L206"/>
  <c r="F207"/>
  <c r="J207"/>
  <c r="L207"/>
  <c r="F209"/>
  <c r="J209"/>
  <c r="L209"/>
  <c r="F210"/>
  <c r="J210"/>
  <c r="L210"/>
  <c r="F211"/>
  <c r="J211"/>
  <c r="L211"/>
  <c r="F212"/>
  <c r="J212"/>
  <c r="L212"/>
  <c r="F213"/>
  <c r="J213"/>
  <c r="L213"/>
  <c r="F188"/>
  <c r="E188"/>
  <c r="F187"/>
  <c r="E187"/>
  <c r="F186"/>
  <c r="E186"/>
  <c r="F185"/>
  <c r="E185"/>
  <c r="F184"/>
  <c r="E184"/>
  <c r="E199" s="1"/>
  <c r="O17" s="1"/>
  <c r="Q23" i="92"/>
  <c r="F21" i="91" s="1"/>
  <c r="H51" i="92"/>
  <c r="E21" i="91" s="1"/>
  <c r="Z181" i="92"/>
  <c r="AC14" s="1"/>
  <c r="G229" i="86"/>
  <c r="G230"/>
  <c r="G231"/>
  <c r="G232"/>
  <c r="G233"/>
  <c r="G235"/>
  <c r="G236"/>
  <c r="G237"/>
  <c r="G238"/>
  <c r="G239"/>
  <c r="G240"/>
  <c r="G241"/>
  <c r="G242"/>
  <c r="G243"/>
  <c r="G244"/>
  <c r="G245"/>
  <c r="G246"/>
  <c r="G247"/>
  <c r="G248"/>
  <c r="G249"/>
  <c r="G250"/>
  <c r="F535"/>
  <c r="G534"/>
  <c r="G535"/>
  <c r="G536"/>
  <c r="G537"/>
  <c r="G538"/>
  <c r="G539"/>
  <c r="G540"/>
  <c r="G541"/>
  <c r="M71"/>
  <c r="M70"/>
  <c r="M69"/>
  <c r="M68"/>
  <c r="M67"/>
  <c r="M66"/>
  <c r="M65"/>
  <c r="M64"/>
  <c r="M63"/>
  <c r="E183" i="75"/>
  <c r="O16"/>
  <c r="G183"/>
  <c r="H183"/>
  <c r="R16" s="1"/>
  <c r="I183"/>
  <c r="S16" s="1"/>
  <c r="K183"/>
  <c r="F168"/>
  <c r="Z165" i="92"/>
  <c r="Q21"/>
  <c r="F20" i="91" s="1"/>
  <c r="E20"/>
  <c r="M62" i="86"/>
  <c r="M61"/>
  <c r="M60"/>
  <c r="G257"/>
  <c r="G258"/>
  <c r="G259"/>
  <c r="G260"/>
  <c r="G261"/>
  <c r="G262"/>
  <c r="G263"/>
  <c r="G264"/>
  <c r="G265"/>
  <c r="G266"/>
  <c r="G267"/>
  <c r="G328"/>
  <c r="G329"/>
  <c r="G330"/>
  <c r="G331"/>
  <c r="G332"/>
  <c r="G333"/>
  <c r="G334"/>
  <c r="G335"/>
  <c r="G336"/>
  <c r="G337"/>
  <c r="M59"/>
  <c r="M58"/>
  <c r="F533"/>
  <c r="G533" s="1"/>
  <c r="M57"/>
  <c r="AC4"/>
  <c r="F532"/>
  <c r="F531"/>
  <c r="G80"/>
  <c r="G81"/>
  <c r="G82"/>
  <c r="G83"/>
  <c r="G84"/>
  <c r="G86"/>
  <c r="G87"/>
  <c r="G88"/>
  <c r="G89"/>
  <c r="G90"/>
  <c r="G91"/>
  <c r="G92"/>
  <c r="G93"/>
  <c r="G94"/>
  <c r="G95"/>
  <c r="G96"/>
  <c r="G97"/>
  <c r="G98"/>
  <c r="G99"/>
  <c r="G100"/>
  <c r="G166" i="75"/>
  <c r="H166"/>
  <c r="I166"/>
  <c r="K166"/>
  <c r="E166"/>
  <c r="O15" s="1"/>
  <c r="R15"/>
  <c r="S15"/>
  <c r="K14" i="91"/>
  <c r="K15"/>
  <c r="K16"/>
  <c r="K17"/>
  <c r="K18"/>
  <c r="K19"/>
  <c r="K20"/>
  <c r="K21"/>
  <c r="K22"/>
  <c r="K23"/>
  <c r="K24"/>
  <c r="K13"/>
  <c r="AK13" i="74"/>
  <c r="AL13"/>
  <c r="AM13"/>
  <c r="AN13"/>
  <c r="AO13"/>
  <c r="AP13"/>
  <c r="AQ13"/>
  <c r="AR13"/>
  <c r="AK14"/>
  <c r="AL14"/>
  <c r="AM14"/>
  <c r="AN14"/>
  <c r="AO14"/>
  <c r="AP14"/>
  <c r="AQ14"/>
  <c r="AR14"/>
  <c r="AK15"/>
  <c r="AL15"/>
  <c r="AM15"/>
  <c r="AN15"/>
  <c r="AO15"/>
  <c r="AP15"/>
  <c r="AQ15"/>
  <c r="AR15"/>
  <c r="AK16"/>
  <c r="AL16"/>
  <c r="AM16"/>
  <c r="AN16"/>
  <c r="AO16"/>
  <c r="AP16"/>
  <c r="AQ16"/>
  <c r="AR16"/>
  <c r="AK17"/>
  <c r="AL17"/>
  <c r="AM17"/>
  <c r="AN17"/>
  <c r="AO17"/>
  <c r="AP17"/>
  <c r="AQ17"/>
  <c r="AR17"/>
  <c r="AK18"/>
  <c r="AL18"/>
  <c r="AM18"/>
  <c r="AN18"/>
  <c r="AO18"/>
  <c r="AP18"/>
  <c r="AQ18"/>
  <c r="AR18"/>
  <c r="AK19"/>
  <c r="AL19"/>
  <c r="AM19"/>
  <c r="AN19"/>
  <c r="AO19"/>
  <c r="AP19"/>
  <c r="AQ19"/>
  <c r="AR19"/>
  <c r="AK20"/>
  <c r="AL20"/>
  <c r="AM20"/>
  <c r="AN20"/>
  <c r="AO20"/>
  <c r="AP20"/>
  <c r="AQ20"/>
  <c r="AR20"/>
  <c r="AK21"/>
  <c r="AL21"/>
  <c r="AM21"/>
  <c r="AN21"/>
  <c r="AO21"/>
  <c r="AP21"/>
  <c r="AQ21"/>
  <c r="AR21"/>
  <c r="AK22"/>
  <c r="AL22"/>
  <c r="AM22"/>
  <c r="AN22"/>
  <c r="AO22"/>
  <c r="AP22"/>
  <c r="AQ22"/>
  <c r="AR22"/>
  <c r="AK23"/>
  <c r="AL23"/>
  <c r="AM23"/>
  <c r="AN23"/>
  <c r="AO23"/>
  <c r="AP23"/>
  <c r="AQ23"/>
  <c r="AR23"/>
  <c r="AK24"/>
  <c r="AL24"/>
  <c r="AM24"/>
  <c r="AN24"/>
  <c r="AO24"/>
  <c r="AP24"/>
  <c r="AQ24"/>
  <c r="AR24"/>
  <c r="AJ24"/>
  <c r="AJ23"/>
  <c r="AJ22"/>
  <c r="AH14" i="85"/>
  <c r="AI14"/>
  <c r="AJ14"/>
  <c r="AK14"/>
  <c r="AL14"/>
  <c r="AK19"/>
  <c r="AL19"/>
  <c r="AH20"/>
  <c r="AI20"/>
  <c r="AJ20"/>
  <c r="AK20"/>
  <c r="AL20"/>
  <c r="AE432"/>
  <c r="AW24" s="1"/>
  <c r="AD432"/>
  <c r="AV24" s="1"/>
  <c r="AC432"/>
  <c r="AU24" s="1"/>
  <c r="AB432"/>
  <c r="AT24" s="1"/>
  <c r="Z432"/>
  <c r="AR24" s="1"/>
  <c r="Y432"/>
  <c r="AQ24" s="1"/>
  <c r="X432"/>
  <c r="AP24" s="1"/>
  <c r="W432"/>
  <c r="AO24" s="1"/>
  <c r="V432"/>
  <c r="AN24" s="1"/>
  <c r="U432"/>
  <c r="AM24" s="1"/>
  <c r="AA431"/>
  <c r="T431"/>
  <c r="AA430"/>
  <c r="T430"/>
  <c r="AA429"/>
  <c r="T429"/>
  <c r="AA428"/>
  <c r="T428"/>
  <c r="M428"/>
  <c r="AL24" s="1"/>
  <c r="L428"/>
  <c r="AK24" s="1"/>
  <c r="J428"/>
  <c r="AI24" s="1"/>
  <c r="I428"/>
  <c r="AH24" s="1"/>
  <c r="H428"/>
  <c r="AG24" s="1"/>
  <c r="AA427"/>
  <c r="AA432" s="1"/>
  <c r="AS24" s="1"/>
  <c r="K427"/>
  <c r="K428" s="1"/>
  <c r="AJ24" s="1"/>
  <c r="AE400"/>
  <c r="AW23" s="1"/>
  <c r="AD400"/>
  <c r="AV23" s="1"/>
  <c r="AC400"/>
  <c r="AU23" s="1"/>
  <c r="AB400"/>
  <c r="AT23" s="1"/>
  <c r="Z400"/>
  <c r="AR23" s="1"/>
  <c r="Y400"/>
  <c r="AQ23" s="1"/>
  <c r="X400"/>
  <c r="AP23" s="1"/>
  <c r="V400"/>
  <c r="AN23" s="1"/>
  <c r="U400"/>
  <c r="AM23" s="1"/>
  <c r="AA399"/>
  <c r="W399"/>
  <c r="T399" s="1"/>
  <c r="AA398"/>
  <c r="W398"/>
  <c r="T398"/>
  <c r="AA397"/>
  <c r="W397"/>
  <c r="T397" s="1"/>
  <c r="AA396"/>
  <c r="W396"/>
  <c r="T396"/>
  <c r="AA395"/>
  <c r="W395"/>
  <c r="T395" s="1"/>
  <c r="AA394"/>
  <c r="W394"/>
  <c r="T394"/>
  <c r="AA393"/>
  <c r="W393"/>
  <c r="T393" s="1"/>
  <c r="M393"/>
  <c r="AL23" s="1"/>
  <c r="L393"/>
  <c r="AK23" s="1"/>
  <c r="J393"/>
  <c r="AI23" s="1"/>
  <c r="I393"/>
  <c r="AH23" s="1"/>
  <c r="H393"/>
  <c r="AG23" s="1"/>
  <c r="AA392"/>
  <c r="W392"/>
  <c r="W400" s="1"/>
  <c r="AO23" s="1"/>
  <c r="K392"/>
  <c r="K393" s="1"/>
  <c r="AJ23" s="1"/>
  <c r="AE378"/>
  <c r="AW22" s="1"/>
  <c r="AD378"/>
  <c r="AV22" s="1"/>
  <c r="AC378"/>
  <c r="AU22" s="1"/>
  <c r="AB378"/>
  <c r="AT22" s="1"/>
  <c r="Z378"/>
  <c r="AR22" s="1"/>
  <c r="Y378"/>
  <c r="AQ22" s="1"/>
  <c r="X378"/>
  <c r="AP22" s="1"/>
  <c r="U378"/>
  <c r="AM22" s="1"/>
  <c r="AA377"/>
  <c r="W377"/>
  <c r="T377"/>
  <c r="AA376"/>
  <c r="W376"/>
  <c r="T376" s="1"/>
  <c r="AA375"/>
  <c r="W375"/>
  <c r="T375"/>
  <c r="AA374"/>
  <c r="W374"/>
  <c r="T374" s="1"/>
  <c r="AA373"/>
  <c r="W373"/>
  <c r="T373"/>
  <c r="AA372"/>
  <c r="W372"/>
  <c r="T372" s="1"/>
  <c r="AA371"/>
  <c r="W371"/>
  <c r="T371"/>
  <c r="AA370"/>
  <c r="W370"/>
  <c r="T370" s="1"/>
  <c r="AA369"/>
  <c r="W369"/>
  <c r="T369"/>
  <c r="AA368"/>
  <c r="W368"/>
  <c r="T368" s="1"/>
  <c r="AA367"/>
  <c r="V367"/>
  <c r="W367" s="1"/>
  <c r="AA366"/>
  <c r="W366"/>
  <c r="T366"/>
  <c r="AA365"/>
  <c r="V365"/>
  <c r="W365" s="1"/>
  <c r="T365" s="1"/>
  <c r="AA364"/>
  <c r="W364"/>
  <c r="T364" s="1"/>
  <c r="AA363"/>
  <c r="V363"/>
  <c r="W363" s="1"/>
  <c r="AA362"/>
  <c r="W362"/>
  <c r="T362"/>
  <c r="AA361"/>
  <c r="W361"/>
  <c r="T361" s="1"/>
  <c r="AA360"/>
  <c r="W360"/>
  <c r="T360"/>
  <c r="AA359"/>
  <c r="V359"/>
  <c r="V378" s="1"/>
  <c r="AN22" s="1"/>
  <c r="M359"/>
  <c r="AL22" s="1"/>
  <c r="L359"/>
  <c r="AK22" s="1"/>
  <c r="J359"/>
  <c r="AI22" s="1"/>
  <c r="I359"/>
  <c r="AH22" s="1"/>
  <c r="H359"/>
  <c r="AG22" s="1"/>
  <c r="AA358"/>
  <c r="AA378" s="1"/>
  <c r="AS22" s="1"/>
  <c r="W358"/>
  <c r="T358"/>
  <c r="K358"/>
  <c r="K359" s="1"/>
  <c r="AJ22" s="1"/>
  <c r="G358"/>
  <c r="G359" s="1"/>
  <c r="M584" i="74"/>
  <c r="M586" s="1"/>
  <c r="H584"/>
  <c r="H586" s="1"/>
  <c r="O575"/>
  <c r="I575"/>
  <c r="N575" s="1"/>
  <c r="O574"/>
  <c r="I574"/>
  <c r="N574" s="1"/>
  <c r="O573"/>
  <c r="I573"/>
  <c r="N573" s="1"/>
  <c r="O572"/>
  <c r="I572"/>
  <c r="N572" s="1"/>
  <c r="O571"/>
  <c r="I571"/>
  <c r="N571" s="1"/>
  <c r="O570"/>
  <c r="I570"/>
  <c r="N570" s="1"/>
  <c r="O569"/>
  <c r="I569"/>
  <c r="N569" s="1"/>
  <c r="O568"/>
  <c r="I568"/>
  <c r="N568" s="1"/>
  <c r="O567"/>
  <c r="I567"/>
  <c r="N567" s="1"/>
  <c r="O566"/>
  <c r="I566"/>
  <c r="N566" s="1"/>
  <c r="O565"/>
  <c r="I565"/>
  <c r="N565" s="1"/>
  <c r="O564"/>
  <c r="I564"/>
  <c r="I584" s="1"/>
  <c r="I586" s="1"/>
  <c r="P563"/>
  <c r="P584" s="1"/>
  <c r="P586" s="1"/>
  <c r="O563"/>
  <c r="O584" s="1"/>
  <c r="O586" s="1"/>
  <c r="N563"/>
  <c r="L563"/>
  <c r="K563"/>
  <c r="J563"/>
  <c r="M540"/>
  <c r="M542" s="1"/>
  <c r="H540"/>
  <c r="H542" s="1"/>
  <c r="O533"/>
  <c r="I533"/>
  <c r="N533" s="1"/>
  <c r="O532"/>
  <c r="I532"/>
  <c r="N532" s="1"/>
  <c r="O531"/>
  <c r="I531"/>
  <c r="N531" s="1"/>
  <c r="O530"/>
  <c r="I530"/>
  <c r="N530" s="1"/>
  <c r="O529"/>
  <c r="I529"/>
  <c r="N529" s="1"/>
  <c r="O528"/>
  <c r="I528"/>
  <c r="N528" s="1"/>
  <c r="O527"/>
  <c r="I527"/>
  <c r="N527" s="1"/>
  <c r="O526"/>
  <c r="I526"/>
  <c r="N526" s="1"/>
  <c r="O525"/>
  <c r="I525"/>
  <c r="N525" s="1"/>
  <c r="O524"/>
  <c r="I524"/>
  <c r="N524" s="1"/>
  <c r="O523"/>
  <c r="I523"/>
  <c r="N523" s="1"/>
  <c r="O522"/>
  <c r="I522"/>
  <c r="I540" s="1"/>
  <c r="I542" s="1"/>
  <c r="P521"/>
  <c r="P540" s="1"/>
  <c r="P542" s="1"/>
  <c r="O521"/>
  <c r="O540" s="1"/>
  <c r="O542" s="1"/>
  <c r="N521"/>
  <c r="L521"/>
  <c r="K521"/>
  <c r="J521"/>
  <c r="M499"/>
  <c r="M501" s="1"/>
  <c r="H499"/>
  <c r="H501" s="1"/>
  <c r="O487"/>
  <c r="I487"/>
  <c r="N487" s="1"/>
  <c r="O486"/>
  <c r="I486"/>
  <c r="N486" s="1"/>
  <c r="O485"/>
  <c r="I485"/>
  <c r="N485" s="1"/>
  <c r="O484"/>
  <c r="I484"/>
  <c r="N484" s="1"/>
  <c r="O483"/>
  <c r="I483"/>
  <c r="N483" s="1"/>
  <c r="O482"/>
  <c r="I482"/>
  <c r="N482" s="1"/>
  <c r="O481"/>
  <c r="I481"/>
  <c r="N481" s="1"/>
  <c r="O480"/>
  <c r="I480"/>
  <c r="I499" s="1"/>
  <c r="I501" s="1"/>
  <c r="P479"/>
  <c r="P499" s="1"/>
  <c r="P501" s="1"/>
  <c r="O479"/>
  <c r="O499" s="1"/>
  <c r="O501" s="1"/>
  <c r="N479"/>
  <c r="L479"/>
  <c r="K479"/>
  <c r="J479"/>
  <c r="M457"/>
  <c r="M459" s="1"/>
  <c r="H457"/>
  <c r="H459" s="1"/>
  <c r="O445"/>
  <c r="I445"/>
  <c r="N445" s="1"/>
  <c r="O444"/>
  <c r="I444"/>
  <c r="N444" s="1"/>
  <c r="O443"/>
  <c r="I443"/>
  <c r="N443" s="1"/>
  <c r="O442"/>
  <c r="I442"/>
  <c r="N442" s="1"/>
  <c r="O441"/>
  <c r="I441"/>
  <c r="N441" s="1"/>
  <c r="O440"/>
  <c r="I440"/>
  <c r="N440" s="1"/>
  <c r="O439"/>
  <c r="I439"/>
  <c r="N439" s="1"/>
  <c r="O438"/>
  <c r="I438"/>
  <c r="I457" s="1"/>
  <c r="I459" s="1"/>
  <c r="P437"/>
  <c r="P457" s="1"/>
  <c r="P459" s="1"/>
  <c r="O437"/>
  <c r="O457" s="1"/>
  <c r="O459" s="1"/>
  <c r="N437"/>
  <c r="L437"/>
  <c r="K437"/>
  <c r="J437"/>
  <c r="G451" i="102"/>
  <c r="F439"/>
  <c r="F440"/>
  <c r="J447"/>
  <c r="I447"/>
  <c r="H447"/>
  <c r="F447"/>
  <c r="J444"/>
  <c r="J449" s="1"/>
  <c r="I444"/>
  <c r="I449" s="1"/>
  <c r="H444"/>
  <c r="H449" s="1"/>
  <c r="G444"/>
  <c r="G449" s="1"/>
  <c r="F444"/>
  <c r="F452" s="1"/>
  <c r="E420"/>
  <c r="E422"/>
  <c r="F421"/>
  <c r="D421"/>
  <c r="D419"/>
  <c r="E419" s="1"/>
  <c r="F424"/>
  <c r="G432"/>
  <c r="J428"/>
  <c r="I428"/>
  <c r="H428"/>
  <c r="G428"/>
  <c r="F428"/>
  <c r="J425"/>
  <c r="J430" s="1"/>
  <c r="I425"/>
  <c r="I430" s="1"/>
  <c r="H425"/>
  <c r="H430" s="1"/>
  <c r="G425"/>
  <c r="G430" s="1"/>
  <c r="F425"/>
  <c r="G413"/>
  <c r="J409"/>
  <c r="I409"/>
  <c r="H409"/>
  <c r="G409"/>
  <c r="F409"/>
  <c r="J406"/>
  <c r="J411" s="1"/>
  <c r="I406"/>
  <c r="I411" s="1"/>
  <c r="H406"/>
  <c r="H411" s="1"/>
  <c r="G406"/>
  <c r="G411" s="1"/>
  <c r="E405"/>
  <c r="E404"/>
  <c r="E403"/>
  <c r="F402"/>
  <c r="F401"/>
  <c r="F406" s="1"/>
  <c r="D401"/>
  <c r="E401" s="1"/>
  <c r="F387"/>
  <c r="F379"/>
  <c r="G391"/>
  <c r="D379"/>
  <c r="F380"/>
  <c r="E377"/>
  <c r="E378"/>
  <c r="E379"/>
  <c r="E381"/>
  <c r="E382"/>
  <c r="E383"/>
  <c r="E376"/>
  <c r="D370"/>
  <c r="E371"/>
  <c r="F368"/>
  <c r="F384" s="1"/>
  <c r="F392" s="1"/>
  <c r="D368"/>
  <c r="E365"/>
  <c r="D364"/>
  <c r="D363"/>
  <c r="E363" s="1"/>
  <c r="J387"/>
  <c r="I387"/>
  <c r="H387"/>
  <c r="G387"/>
  <c r="J384"/>
  <c r="J389" s="1"/>
  <c r="I384"/>
  <c r="I389" s="1"/>
  <c r="H384"/>
  <c r="H389" s="1"/>
  <c r="G384"/>
  <c r="G389" s="1"/>
  <c r="E362"/>
  <c r="E361"/>
  <c r="E359"/>
  <c r="AJ21" i="74"/>
  <c r="K225" i="85"/>
  <c r="G225" s="1"/>
  <c r="G226" s="1"/>
  <c r="H226"/>
  <c r="I226"/>
  <c r="AH18" s="1"/>
  <c r="J226"/>
  <c r="AI18" s="1"/>
  <c r="K226"/>
  <c r="AJ18" s="1"/>
  <c r="L226"/>
  <c r="AK18" s="1"/>
  <c r="M226"/>
  <c r="AL18" s="1"/>
  <c r="AG20"/>
  <c r="M415" i="74"/>
  <c r="M417" s="1"/>
  <c r="H415"/>
  <c r="H417" s="1"/>
  <c r="O399"/>
  <c r="I399"/>
  <c r="N399" s="1"/>
  <c r="O398"/>
  <c r="I398"/>
  <c r="N398" s="1"/>
  <c r="O397"/>
  <c r="I397"/>
  <c r="N397" s="1"/>
  <c r="O396"/>
  <c r="I396"/>
  <c r="N396" s="1"/>
  <c r="O395"/>
  <c r="I395"/>
  <c r="N395" s="1"/>
  <c r="O394"/>
  <c r="I394"/>
  <c r="N394" s="1"/>
  <c r="O393"/>
  <c r="I393"/>
  <c r="N393" s="1"/>
  <c r="O392"/>
  <c r="I392"/>
  <c r="I415" s="1"/>
  <c r="I417" s="1"/>
  <c r="P391"/>
  <c r="P415" s="1"/>
  <c r="P417" s="1"/>
  <c r="O391"/>
  <c r="O415" s="1"/>
  <c r="O417" s="1"/>
  <c r="N391"/>
  <c r="L391"/>
  <c r="K391"/>
  <c r="J391"/>
  <c r="U342" i="85"/>
  <c r="AM21" s="1"/>
  <c r="V342"/>
  <c r="AN21" s="1"/>
  <c r="W342"/>
  <c r="AO21" s="1"/>
  <c r="X342"/>
  <c r="AP21" s="1"/>
  <c r="Y342"/>
  <c r="AQ21" s="1"/>
  <c r="Z342"/>
  <c r="AR21" s="1"/>
  <c r="AB342"/>
  <c r="AT21" s="1"/>
  <c r="AC342"/>
  <c r="AU21" s="1"/>
  <c r="AD342"/>
  <c r="AV21" s="1"/>
  <c r="AE342"/>
  <c r="AW21" s="1"/>
  <c r="T328"/>
  <c r="T330"/>
  <c r="T332"/>
  <c r="T334"/>
  <c r="T336"/>
  <c r="T338"/>
  <c r="T340"/>
  <c r="AA328"/>
  <c r="AA329"/>
  <c r="T329" s="1"/>
  <c r="AA330"/>
  <c r="AA331"/>
  <c r="T331" s="1"/>
  <c r="AA332"/>
  <c r="AA333"/>
  <c r="T333" s="1"/>
  <c r="AA334"/>
  <c r="AA335"/>
  <c r="T335" s="1"/>
  <c r="AA336"/>
  <c r="AA337"/>
  <c r="T337" s="1"/>
  <c r="AA338"/>
  <c r="AA339"/>
  <c r="T339" s="1"/>
  <c r="AA340"/>
  <c r="AA341"/>
  <c r="T341" s="1"/>
  <c r="AA327"/>
  <c r="T327" s="1"/>
  <c r="AA326"/>
  <c r="AA342" s="1"/>
  <c r="AS21" s="1"/>
  <c r="M327"/>
  <c r="AL21" s="1"/>
  <c r="L327"/>
  <c r="AK21" s="1"/>
  <c r="J327"/>
  <c r="AI21" s="1"/>
  <c r="I327"/>
  <c r="AH21" s="1"/>
  <c r="H327"/>
  <c r="AG21" s="1"/>
  <c r="K326"/>
  <c r="K327" s="1"/>
  <c r="AJ21" s="1"/>
  <c r="E322" i="102"/>
  <c r="E324"/>
  <c r="E325"/>
  <c r="E326"/>
  <c r="E319"/>
  <c r="F328"/>
  <c r="D328"/>
  <c r="F327"/>
  <c r="D327"/>
  <c r="D321"/>
  <c r="E321" s="1"/>
  <c r="J332"/>
  <c r="I332"/>
  <c r="H332"/>
  <c r="G332"/>
  <c r="F332"/>
  <c r="J329"/>
  <c r="J334" s="1"/>
  <c r="I329"/>
  <c r="I334" s="1"/>
  <c r="H329"/>
  <c r="H334" s="1"/>
  <c r="G329"/>
  <c r="G334" s="1"/>
  <c r="F10" i="84"/>
  <c r="F30" s="1"/>
  <c r="E29" i="18" s="1"/>
  <c r="AJ20" i="74"/>
  <c r="I370"/>
  <c r="J370"/>
  <c r="K370"/>
  <c r="L370"/>
  <c r="M370"/>
  <c r="N370"/>
  <c r="O370"/>
  <c r="P370"/>
  <c r="H370"/>
  <c r="I368"/>
  <c r="J368"/>
  <c r="K368"/>
  <c r="L368"/>
  <c r="M368"/>
  <c r="N368"/>
  <c r="O368"/>
  <c r="P368"/>
  <c r="Q368"/>
  <c r="H368"/>
  <c r="O352"/>
  <c r="I352"/>
  <c r="N352" s="1"/>
  <c r="O351"/>
  <c r="I351"/>
  <c r="N351" s="1"/>
  <c r="O350"/>
  <c r="I350"/>
  <c r="N350" s="1"/>
  <c r="O349"/>
  <c r="I349"/>
  <c r="N349" s="1"/>
  <c r="O348"/>
  <c r="I348"/>
  <c r="N348" s="1"/>
  <c r="O347"/>
  <c r="I347"/>
  <c r="N347" s="1"/>
  <c r="O346"/>
  <c r="I346"/>
  <c r="N346" s="1"/>
  <c r="O345"/>
  <c r="I345"/>
  <c r="P344"/>
  <c r="O344"/>
  <c r="N344"/>
  <c r="L344"/>
  <c r="K344"/>
  <c r="J344"/>
  <c r="AE310" i="85"/>
  <c r="AW20" s="1"/>
  <c r="AD310"/>
  <c r="AV20" s="1"/>
  <c r="AC310"/>
  <c r="AU20" s="1"/>
  <c r="AB310"/>
  <c r="AT20" s="1"/>
  <c r="Z310"/>
  <c r="AR20" s="1"/>
  <c r="Y310"/>
  <c r="AQ20" s="1"/>
  <c r="X310"/>
  <c r="AP20" s="1"/>
  <c r="V310"/>
  <c r="AN20" s="1"/>
  <c r="U310"/>
  <c r="AM20" s="1"/>
  <c r="AA309"/>
  <c r="W309"/>
  <c r="T309"/>
  <c r="AA308"/>
  <c r="W308"/>
  <c r="T308" s="1"/>
  <c r="AA307"/>
  <c r="W307"/>
  <c r="T307"/>
  <c r="AA306"/>
  <c r="W306"/>
  <c r="T306" s="1"/>
  <c r="AA305"/>
  <c r="W305"/>
  <c r="T305"/>
  <c r="AA304"/>
  <c r="W304"/>
  <c r="T304" s="1"/>
  <c r="AA303"/>
  <c r="W303"/>
  <c r="T303"/>
  <c r="AA302"/>
  <c r="W302"/>
  <c r="T302" s="1"/>
  <c r="AA301"/>
  <c r="W301"/>
  <c r="T301"/>
  <c r="AA300"/>
  <c r="W300"/>
  <c r="T300" s="1"/>
  <c r="AA299"/>
  <c r="W299"/>
  <c r="T299"/>
  <c r="AA298"/>
  <c r="W298"/>
  <c r="T298" s="1"/>
  <c r="AA297"/>
  <c r="W297"/>
  <c r="T297"/>
  <c r="AA296"/>
  <c r="W296"/>
  <c r="T296" s="1"/>
  <c r="AA295"/>
  <c r="W295"/>
  <c r="T295"/>
  <c r="AA294"/>
  <c r="W294"/>
  <c r="T294" s="1"/>
  <c r="AA293"/>
  <c r="W293"/>
  <c r="T293"/>
  <c r="AA292"/>
  <c r="W292"/>
  <c r="T292" s="1"/>
  <c r="AA291"/>
  <c r="W291"/>
  <c r="T291"/>
  <c r="AA290"/>
  <c r="W290"/>
  <c r="W310" s="1"/>
  <c r="AO20" s="1"/>
  <c r="F289" i="102"/>
  <c r="F286"/>
  <c r="E282"/>
  <c r="E283"/>
  <c r="E284"/>
  <c r="E288"/>
  <c r="E291"/>
  <c r="E292"/>
  <c r="E293"/>
  <c r="E294"/>
  <c r="E295"/>
  <c r="E297"/>
  <c r="E281"/>
  <c r="E280"/>
  <c r="F296"/>
  <c r="D296"/>
  <c r="D289"/>
  <c r="E289" s="1"/>
  <c r="D287"/>
  <c r="E287" s="1"/>
  <c r="D286"/>
  <c r="E286" s="1"/>
  <c r="D285"/>
  <c r="E285" s="1"/>
  <c r="J301"/>
  <c r="I301"/>
  <c r="H301"/>
  <c r="G301"/>
  <c r="F301"/>
  <c r="J298"/>
  <c r="J303" s="1"/>
  <c r="I298"/>
  <c r="I303" s="1"/>
  <c r="H298"/>
  <c r="H303" s="1"/>
  <c r="G298"/>
  <c r="G303" s="1"/>
  <c r="J256"/>
  <c r="I256"/>
  <c r="H256"/>
  <c r="G256"/>
  <c r="F256"/>
  <c r="J253"/>
  <c r="J258" s="1"/>
  <c r="I253"/>
  <c r="I258" s="1"/>
  <c r="H253"/>
  <c r="H258" s="1"/>
  <c r="G253"/>
  <c r="G258" s="1"/>
  <c r="F252"/>
  <c r="D252"/>
  <c r="E252" s="1"/>
  <c r="F251"/>
  <c r="D251"/>
  <c r="E251" s="1"/>
  <c r="F250"/>
  <c r="D250"/>
  <c r="E250" s="1"/>
  <c r="F249"/>
  <c r="D249"/>
  <c r="E249" s="1"/>
  <c r="D248"/>
  <c r="E248" s="1"/>
  <c r="E247"/>
  <c r="E246"/>
  <c r="F245"/>
  <c r="D245"/>
  <c r="E245" s="1"/>
  <c r="E244"/>
  <c r="F243"/>
  <c r="F253" s="1"/>
  <c r="D243"/>
  <c r="E243" s="1"/>
  <c r="E242"/>
  <c r="E241"/>
  <c r="E240"/>
  <c r="J222"/>
  <c r="I222"/>
  <c r="H222"/>
  <c r="G222"/>
  <c r="F222"/>
  <c r="J219"/>
  <c r="J224" s="1"/>
  <c r="I219"/>
  <c r="I224" s="1"/>
  <c r="H219"/>
  <c r="H224" s="1"/>
  <c r="G219"/>
  <c r="G224" s="1"/>
  <c r="F218"/>
  <c r="F217"/>
  <c r="F215"/>
  <c r="F214"/>
  <c r="F213"/>
  <c r="D213"/>
  <c r="E213" s="1"/>
  <c r="F212"/>
  <c r="D212"/>
  <c r="E212" s="1"/>
  <c r="F211"/>
  <c r="D211"/>
  <c r="E211" s="1"/>
  <c r="F210"/>
  <c r="D210"/>
  <c r="E210" s="1"/>
  <c r="D209"/>
  <c r="F209" s="1"/>
  <c r="D208"/>
  <c r="E208" s="1"/>
  <c r="F208" s="1"/>
  <c r="D207"/>
  <c r="E207" s="1"/>
  <c r="F207" s="1"/>
  <c r="F206"/>
  <c r="D205"/>
  <c r="E205" s="1"/>
  <c r="F205" s="1"/>
  <c r="F204"/>
  <c r="F203"/>
  <c r="F202"/>
  <c r="F201"/>
  <c r="F200"/>
  <c r="F219" s="1"/>
  <c r="H186"/>
  <c r="F170"/>
  <c r="D170"/>
  <c r="E170" s="1"/>
  <c r="E169"/>
  <c r="E168"/>
  <c r="E167"/>
  <c r="E166"/>
  <c r="E165"/>
  <c r="E164"/>
  <c r="I163"/>
  <c r="J163" s="1"/>
  <c r="E163"/>
  <c r="I162"/>
  <c r="J162" s="1"/>
  <c r="F162"/>
  <c r="D162"/>
  <c r="E162" s="1"/>
  <c r="I161"/>
  <c r="J161" s="1"/>
  <c r="F161"/>
  <c r="F181" s="1"/>
  <c r="F186" s="1"/>
  <c r="F193" s="1"/>
  <c r="E161"/>
  <c r="H148"/>
  <c r="F146"/>
  <c r="E139"/>
  <c r="E138"/>
  <c r="E137"/>
  <c r="E136"/>
  <c r="F135"/>
  <c r="E135"/>
  <c r="E134"/>
  <c r="E133"/>
  <c r="F132"/>
  <c r="D132"/>
  <c r="E132" s="1"/>
  <c r="E131"/>
  <c r="E130"/>
  <c r="E129"/>
  <c r="F128"/>
  <c r="D128"/>
  <c r="E128" s="1"/>
  <c r="E127"/>
  <c r="F126"/>
  <c r="D126"/>
  <c r="E126" s="1"/>
  <c r="I125"/>
  <c r="J125" s="1"/>
  <c r="F125"/>
  <c r="D125"/>
  <c r="E125" s="1"/>
  <c r="I124"/>
  <c r="J124" s="1"/>
  <c r="F124"/>
  <c r="E124"/>
  <c r="I123"/>
  <c r="J123" s="1"/>
  <c r="F123"/>
  <c r="F143" s="1"/>
  <c r="F148" s="1"/>
  <c r="E123"/>
  <c r="H109"/>
  <c r="E100"/>
  <c r="E99"/>
  <c r="E98"/>
  <c r="E97"/>
  <c r="E96"/>
  <c r="E95"/>
  <c r="E94"/>
  <c r="E93"/>
  <c r="F92"/>
  <c r="D92"/>
  <c r="E92" s="1"/>
  <c r="D91"/>
  <c r="E91" s="1"/>
  <c r="F90"/>
  <c r="E90"/>
  <c r="D89"/>
  <c r="E89" s="1"/>
  <c r="F88"/>
  <c r="D88"/>
  <c r="E88" s="1"/>
  <c r="E87"/>
  <c r="I86"/>
  <c r="J86" s="1"/>
  <c r="I85"/>
  <c r="J85" s="1"/>
  <c r="F85"/>
  <c r="F104" s="1"/>
  <c r="F109" s="1"/>
  <c r="F116" s="1"/>
  <c r="I84"/>
  <c r="J84" s="1"/>
  <c r="E84"/>
  <c r="H69"/>
  <c r="E60"/>
  <c r="E59"/>
  <c r="E58"/>
  <c r="E57"/>
  <c r="E56"/>
  <c r="F55"/>
  <c r="E54"/>
  <c r="E53"/>
  <c r="E52"/>
  <c r="E51"/>
  <c r="E50"/>
  <c r="E49"/>
  <c r="E48"/>
  <c r="E47"/>
  <c r="I46"/>
  <c r="J46" s="1"/>
  <c r="F46"/>
  <c r="F64" s="1"/>
  <c r="F69" s="1"/>
  <c r="F76" s="1"/>
  <c r="D46"/>
  <c r="E46" s="1"/>
  <c r="I45"/>
  <c r="J45" s="1"/>
  <c r="E45"/>
  <c r="I44"/>
  <c r="J44" s="1"/>
  <c r="E44"/>
  <c r="F35"/>
  <c r="H31"/>
  <c r="E22"/>
  <c r="E21"/>
  <c r="E20"/>
  <c r="D19"/>
  <c r="E19" s="1"/>
  <c r="F18"/>
  <c r="E18"/>
  <c r="E17"/>
  <c r="E15"/>
  <c r="E14"/>
  <c r="E13"/>
  <c r="E12"/>
  <c r="E11"/>
  <c r="F10"/>
  <c r="D10"/>
  <c r="E10" s="1"/>
  <c r="F9"/>
  <c r="D9"/>
  <c r="E9" s="1"/>
  <c r="I8"/>
  <c r="J8" s="1"/>
  <c r="F8"/>
  <c r="E8"/>
  <c r="I7"/>
  <c r="J7" s="1"/>
  <c r="F7"/>
  <c r="D7"/>
  <c r="E7" s="1"/>
  <c r="I6"/>
  <c r="J6" s="1"/>
  <c r="F6"/>
  <c r="F26" s="1"/>
  <c r="F31" s="1"/>
  <c r="F38" s="1"/>
  <c r="D6"/>
  <c r="E6" s="1"/>
  <c r="AJ19" i="74"/>
  <c r="G104" i="86"/>
  <c r="G105"/>
  <c r="G106"/>
  <c r="G107"/>
  <c r="G145" i="75"/>
  <c r="H145"/>
  <c r="R14" s="1"/>
  <c r="I145"/>
  <c r="S14" s="1"/>
  <c r="K145"/>
  <c r="E145"/>
  <c r="O14" s="1"/>
  <c r="M56" i="86"/>
  <c r="M55"/>
  <c r="M54"/>
  <c r="M53"/>
  <c r="M52"/>
  <c r="M51"/>
  <c r="M50"/>
  <c r="M49"/>
  <c r="M48"/>
  <c r="M47"/>
  <c r="M46"/>
  <c r="M45"/>
  <c r="M44"/>
  <c r="M43"/>
  <c r="M42"/>
  <c r="M41"/>
  <c r="M40"/>
  <c r="M39"/>
  <c r="G664"/>
  <c r="G655"/>
  <c r="G645"/>
  <c r="G644"/>
  <c r="G617"/>
  <c r="G627"/>
  <c r="G626"/>
  <c r="G625"/>
  <c r="G624"/>
  <c r="G614"/>
  <c r="G605"/>
  <c r="G604"/>
  <c r="G596"/>
  <c r="G595"/>
  <c r="G594"/>
  <c r="G584"/>
  <c r="G272"/>
  <c r="G574"/>
  <c r="G564"/>
  <c r="G554"/>
  <c r="G544"/>
  <c r="G530"/>
  <c r="G529"/>
  <c r="G519"/>
  <c r="G510"/>
  <c r="G509"/>
  <c r="F500"/>
  <c r="G500" s="1"/>
  <c r="G499"/>
  <c r="G491"/>
  <c r="G490"/>
  <c r="G489"/>
  <c r="I604"/>
  <c r="K604"/>
  <c r="J604" s="1"/>
  <c r="I605"/>
  <c r="K605"/>
  <c r="J605" s="1"/>
  <c r="G606"/>
  <c r="I606"/>
  <c r="K606"/>
  <c r="J606" s="1"/>
  <c r="G607"/>
  <c r="I607"/>
  <c r="K607"/>
  <c r="J607" s="1"/>
  <c r="G608"/>
  <c r="I608"/>
  <c r="K608"/>
  <c r="J608" s="1"/>
  <c r="G609"/>
  <c r="I609"/>
  <c r="K609"/>
  <c r="J609" s="1"/>
  <c r="G610"/>
  <c r="I610"/>
  <c r="K610"/>
  <c r="J610" s="1"/>
  <c r="G611"/>
  <c r="I611"/>
  <c r="K611"/>
  <c r="J611" s="1"/>
  <c r="G612"/>
  <c r="I612"/>
  <c r="N50" s="1"/>
  <c r="AD50" s="1"/>
  <c r="K612"/>
  <c r="J612" s="1"/>
  <c r="O50" s="1"/>
  <c r="I614"/>
  <c r="K614"/>
  <c r="J614" s="1"/>
  <c r="I615"/>
  <c r="K615"/>
  <c r="J615" s="1"/>
  <c r="I616"/>
  <c r="K616"/>
  <c r="J616" s="1"/>
  <c r="I617"/>
  <c r="K617"/>
  <c r="J617" s="1"/>
  <c r="I618"/>
  <c r="K618"/>
  <c r="J618" s="1"/>
  <c r="G619"/>
  <c r="I619"/>
  <c r="K619"/>
  <c r="J619" s="1"/>
  <c r="G620"/>
  <c r="I620"/>
  <c r="K620"/>
  <c r="J620" s="1"/>
  <c r="G621"/>
  <c r="I621"/>
  <c r="K621"/>
  <c r="J621" s="1"/>
  <c r="G622"/>
  <c r="I622"/>
  <c r="N51" s="1"/>
  <c r="AD51" s="1"/>
  <c r="K622"/>
  <c r="J622" s="1"/>
  <c r="O51" s="1"/>
  <c r="I624"/>
  <c r="K624"/>
  <c r="J624" s="1"/>
  <c r="I625"/>
  <c r="K625"/>
  <c r="J625" s="1"/>
  <c r="I626"/>
  <c r="K626"/>
  <c r="J626" s="1"/>
  <c r="I627"/>
  <c r="K627"/>
  <c r="J627" s="1"/>
  <c r="G628"/>
  <c r="I628"/>
  <c r="K628"/>
  <c r="J628" s="1"/>
  <c r="G629"/>
  <c r="I629"/>
  <c r="K629"/>
  <c r="J629" s="1"/>
  <c r="G630"/>
  <c r="I630"/>
  <c r="K630"/>
  <c r="J630" s="1"/>
  <c r="G631"/>
  <c r="I631"/>
  <c r="K631"/>
  <c r="J631" s="1"/>
  <c r="G632"/>
  <c r="I632"/>
  <c r="N52" s="1"/>
  <c r="AD52" s="1"/>
  <c r="K632"/>
  <c r="J632" s="1"/>
  <c r="O52" s="1"/>
  <c r="I634"/>
  <c r="K634"/>
  <c r="J634" s="1"/>
  <c r="I635"/>
  <c r="K635"/>
  <c r="J635" s="1"/>
  <c r="I636"/>
  <c r="K636"/>
  <c r="J636" s="1"/>
  <c r="G637"/>
  <c r="I637"/>
  <c r="K637"/>
  <c r="J637" s="1"/>
  <c r="G638"/>
  <c r="I638"/>
  <c r="K638"/>
  <c r="J638" s="1"/>
  <c r="G639"/>
  <c r="I639"/>
  <c r="K639"/>
  <c r="J639" s="1"/>
  <c r="G640"/>
  <c r="I640"/>
  <c r="K640"/>
  <c r="J640" s="1"/>
  <c r="G641"/>
  <c r="I641"/>
  <c r="K641"/>
  <c r="J641" s="1"/>
  <c r="G642"/>
  <c r="I642"/>
  <c r="N53" s="1"/>
  <c r="AD53" s="1"/>
  <c r="K642"/>
  <c r="J642" s="1"/>
  <c r="O53" s="1"/>
  <c r="I644"/>
  <c r="K644"/>
  <c r="J644" s="1"/>
  <c r="I645"/>
  <c r="K645"/>
  <c r="J645" s="1"/>
  <c r="G646"/>
  <c r="I646"/>
  <c r="I647" s="1"/>
  <c r="I648" s="1"/>
  <c r="I649" s="1"/>
  <c r="I650" s="1"/>
  <c r="I651" s="1"/>
  <c r="I652" s="1"/>
  <c r="N54" s="1"/>
  <c r="AD54" s="1"/>
  <c r="K646"/>
  <c r="G647"/>
  <c r="K647"/>
  <c r="G648"/>
  <c r="K648"/>
  <c r="G649"/>
  <c r="K649"/>
  <c r="G650"/>
  <c r="K650"/>
  <c r="G651"/>
  <c r="K651"/>
  <c r="G652"/>
  <c r="K652"/>
  <c r="P54" s="1"/>
  <c r="I654"/>
  <c r="K654"/>
  <c r="J654" s="1"/>
  <c r="I655"/>
  <c r="K655"/>
  <c r="J655" s="1"/>
  <c r="G656"/>
  <c r="I656"/>
  <c r="K656"/>
  <c r="J656" s="1"/>
  <c r="G657"/>
  <c r="I657"/>
  <c r="K657"/>
  <c r="J657" s="1"/>
  <c r="G658"/>
  <c r="I658"/>
  <c r="K658"/>
  <c r="J658" s="1"/>
  <c r="G659"/>
  <c r="I659"/>
  <c r="K659"/>
  <c r="J659" s="1"/>
  <c r="G660"/>
  <c r="I660"/>
  <c r="K660"/>
  <c r="J660" s="1"/>
  <c r="G661"/>
  <c r="I661"/>
  <c r="K661"/>
  <c r="J661" s="1"/>
  <c r="G662"/>
  <c r="I662"/>
  <c r="N55" s="1"/>
  <c r="AD55" s="1"/>
  <c r="K662"/>
  <c r="J662" s="1"/>
  <c r="O55" s="1"/>
  <c r="I664"/>
  <c r="K664"/>
  <c r="J664" s="1"/>
  <c r="I665"/>
  <c r="K665"/>
  <c r="J665" s="1"/>
  <c r="G666"/>
  <c r="I666"/>
  <c r="K666"/>
  <c r="J666" s="1"/>
  <c r="G667"/>
  <c r="I667"/>
  <c r="K667"/>
  <c r="J667" s="1"/>
  <c r="G668"/>
  <c r="I668"/>
  <c r="K668"/>
  <c r="J668" s="1"/>
  <c r="G669"/>
  <c r="I669"/>
  <c r="K669"/>
  <c r="J669" s="1"/>
  <c r="G670"/>
  <c r="I670"/>
  <c r="K670"/>
  <c r="J670" s="1"/>
  <c r="G671"/>
  <c r="I671"/>
  <c r="K671"/>
  <c r="J671" s="1"/>
  <c r="G672"/>
  <c r="I672"/>
  <c r="N56" s="1"/>
  <c r="AD56" s="1"/>
  <c r="K672"/>
  <c r="J672" s="1"/>
  <c r="O56" s="1"/>
  <c r="G674"/>
  <c r="I674"/>
  <c r="K674"/>
  <c r="J674" s="1"/>
  <c r="G675"/>
  <c r="I675"/>
  <c r="I676" s="1"/>
  <c r="I677" s="1"/>
  <c r="I678" s="1"/>
  <c r="I679" s="1"/>
  <c r="I680" s="1"/>
  <c r="I681" s="1"/>
  <c r="I682" s="1"/>
  <c r="N57" s="1"/>
  <c r="AD57" s="1"/>
  <c r="G676"/>
  <c r="G677"/>
  <c r="G678"/>
  <c r="G679"/>
  <c r="G680"/>
  <c r="G681"/>
  <c r="G682"/>
  <c r="G684"/>
  <c r="I684"/>
  <c r="K684"/>
  <c r="J684" s="1"/>
  <c r="G685"/>
  <c r="I685"/>
  <c r="K685"/>
  <c r="J685" s="1"/>
  <c r="G686"/>
  <c r="I686"/>
  <c r="K686"/>
  <c r="J686" s="1"/>
  <c r="G687"/>
  <c r="I687"/>
  <c r="K687"/>
  <c r="J687" s="1"/>
  <c r="G688"/>
  <c r="I688"/>
  <c r="K688"/>
  <c r="J688" s="1"/>
  <c r="G689"/>
  <c r="I689"/>
  <c r="K689"/>
  <c r="J689" s="1"/>
  <c r="G690"/>
  <c r="I690"/>
  <c r="K690"/>
  <c r="J690" s="1"/>
  <c r="G691"/>
  <c r="I691"/>
  <c r="K691"/>
  <c r="J691" s="1"/>
  <c r="G692"/>
  <c r="I692"/>
  <c r="N58" s="1"/>
  <c r="AD58" s="1"/>
  <c r="K692"/>
  <c r="J692" s="1"/>
  <c r="O58" s="1"/>
  <c r="G694"/>
  <c r="I694"/>
  <c r="K694"/>
  <c r="J694" s="1"/>
  <c r="G695"/>
  <c r="I695"/>
  <c r="K695"/>
  <c r="J695" s="1"/>
  <c r="G696"/>
  <c r="I696"/>
  <c r="K696"/>
  <c r="J696" s="1"/>
  <c r="G697"/>
  <c r="I697"/>
  <c r="K697"/>
  <c r="J697" s="1"/>
  <c r="G698"/>
  <c r="I698"/>
  <c r="K698"/>
  <c r="J698" s="1"/>
  <c r="G699"/>
  <c r="I699"/>
  <c r="K699"/>
  <c r="J699" s="1"/>
  <c r="G700"/>
  <c r="I700"/>
  <c r="K700"/>
  <c r="J700" s="1"/>
  <c r="G701"/>
  <c r="I701"/>
  <c r="K701"/>
  <c r="J701" s="1"/>
  <c r="G702"/>
  <c r="I702"/>
  <c r="N59" s="1"/>
  <c r="AD59" s="1"/>
  <c r="K702"/>
  <c r="J702" s="1"/>
  <c r="O59" s="1"/>
  <c r="G704"/>
  <c r="I704"/>
  <c r="K704"/>
  <c r="J704" s="1"/>
  <c r="G705"/>
  <c r="I705"/>
  <c r="K705"/>
  <c r="J705" s="1"/>
  <c r="G706"/>
  <c r="I706"/>
  <c r="K706"/>
  <c r="J706" s="1"/>
  <c r="G707"/>
  <c r="I707"/>
  <c r="K707"/>
  <c r="J707" s="1"/>
  <c r="G708"/>
  <c r="I708"/>
  <c r="K708"/>
  <c r="J708" s="1"/>
  <c r="G709"/>
  <c r="I709"/>
  <c r="K709"/>
  <c r="J709" s="1"/>
  <c r="G710"/>
  <c r="I710"/>
  <c r="K710"/>
  <c r="J710" s="1"/>
  <c r="G711"/>
  <c r="I711"/>
  <c r="K711"/>
  <c r="J711" s="1"/>
  <c r="G712"/>
  <c r="I712"/>
  <c r="N60" s="1"/>
  <c r="AD60" s="1"/>
  <c r="K712"/>
  <c r="J712" s="1"/>
  <c r="O60" s="1"/>
  <c r="G714"/>
  <c r="I714"/>
  <c r="K714"/>
  <c r="J714" s="1"/>
  <c r="G715"/>
  <c r="I715"/>
  <c r="K715"/>
  <c r="J715" s="1"/>
  <c r="G716"/>
  <c r="I716"/>
  <c r="K716"/>
  <c r="J716" s="1"/>
  <c r="G717"/>
  <c r="I717"/>
  <c r="K717"/>
  <c r="J717" s="1"/>
  <c r="G718"/>
  <c r="I718"/>
  <c r="K718"/>
  <c r="J718" s="1"/>
  <c r="G719"/>
  <c r="I719"/>
  <c r="K719"/>
  <c r="J719" s="1"/>
  <c r="G720"/>
  <c r="I720"/>
  <c r="K720"/>
  <c r="J720" s="1"/>
  <c r="G721"/>
  <c r="I721"/>
  <c r="K721"/>
  <c r="J721" s="1"/>
  <c r="G722"/>
  <c r="I722"/>
  <c r="N61" s="1"/>
  <c r="AD61" s="1"/>
  <c r="K722"/>
  <c r="J722" s="1"/>
  <c r="O61" s="1"/>
  <c r="G724"/>
  <c r="I724"/>
  <c r="K724"/>
  <c r="J724" s="1"/>
  <c r="G725"/>
  <c r="I725"/>
  <c r="K725"/>
  <c r="J725" s="1"/>
  <c r="G726"/>
  <c r="I726"/>
  <c r="K726"/>
  <c r="J726" s="1"/>
  <c r="G727"/>
  <c r="I727"/>
  <c r="K727"/>
  <c r="J727" s="1"/>
  <c r="G728"/>
  <c r="I728"/>
  <c r="K728"/>
  <c r="J728" s="1"/>
  <c r="G729"/>
  <c r="I729"/>
  <c r="K729"/>
  <c r="J729" s="1"/>
  <c r="G730"/>
  <c r="I730"/>
  <c r="K730"/>
  <c r="J730" s="1"/>
  <c r="G731"/>
  <c r="I731"/>
  <c r="K731"/>
  <c r="J731" s="1"/>
  <c r="G732"/>
  <c r="I732"/>
  <c r="N62" s="1"/>
  <c r="AD62" s="1"/>
  <c r="K732"/>
  <c r="J732" s="1"/>
  <c r="O62" s="1"/>
  <c r="G734"/>
  <c r="I734"/>
  <c r="K734"/>
  <c r="J734" s="1"/>
  <c r="G735"/>
  <c r="I735"/>
  <c r="K735"/>
  <c r="J735" s="1"/>
  <c r="G736"/>
  <c r="I736"/>
  <c r="K736"/>
  <c r="J736" s="1"/>
  <c r="G737"/>
  <c r="I737"/>
  <c r="K737"/>
  <c r="J737" s="1"/>
  <c r="G738"/>
  <c r="I738"/>
  <c r="K738"/>
  <c r="J738" s="1"/>
  <c r="G739"/>
  <c r="I739"/>
  <c r="K739"/>
  <c r="J739" s="1"/>
  <c r="G740"/>
  <c r="I740"/>
  <c r="K740"/>
  <c r="J740" s="1"/>
  <c r="G741"/>
  <c r="I741"/>
  <c r="K741"/>
  <c r="J741" s="1"/>
  <c r="G742"/>
  <c r="I742"/>
  <c r="N63" s="1"/>
  <c r="K742"/>
  <c r="J742" s="1"/>
  <c r="O63" s="1"/>
  <c r="G744"/>
  <c r="I744"/>
  <c r="K744"/>
  <c r="J744" s="1"/>
  <c r="G745"/>
  <c r="I745"/>
  <c r="K745"/>
  <c r="J745" s="1"/>
  <c r="G746"/>
  <c r="I746"/>
  <c r="K746"/>
  <c r="J746" s="1"/>
  <c r="G747"/>
  <c r="I747"/>
  <c r="K747"/>
  <c r="J747" s="1"/>
  <c r="G748"/>
  <c r="I748"/>
  <c r="K748"/>
  <c r="J748" s="1"/>
  <c r="G749"/>
  <c r="I749"/>
  <c r="K749"/>
  <c r="J749" s="1"/>
  <c r="G750"/>
  <c r="I750"/>
  <c r="K750"/>
  <c r="J750" s="1"/>
  <c r="G751"/>
  <c r="I751"/>
  <c r="K751"/>
  <c r="J751" s="1"/>
  <c r="G752"/>
  <c r="I752"/>
  <c r="N64" s="1"/>
  <c r="K752"/>
  <c r="J752" s="1"/>
  <c r="O64" s="1"/>
  <c r="G754"/>
  <c r="I754"/>
  <c r="K754"/>
  <c r="J754" s="1"/>
  <c r="G755"/>
  <c r="I755"/>
  <c r="K755"/>
  <c r="J755" s="1"/>
  <c r="G756"/>
  <c r="I756"/>
  <c r="K756"/>
  <c r="J756" s="1"/>
  <c r="G757"/>
  <c r="I757"/>
  <c r="K757"/>
  <c r="J757" s="1"/>
  <c r="G758"/>
  <c r="I758"/>
  <c r="K758"/>
  <c r="J758" s="1"/>
  <c r="G759"/>
  <c r="I759"/>
  <c r="K759"/>
  <c r="J759" s="1"/>
  <c r="G760"/>
  <c r="I760"/>
  <c r="K760"/>
  <c r="J760" s="1"/>
  <c r="G761"/>
  <c r="I761"/>
  <c r="K761"/>
  <c r="J761" s="1"/>
  <c r="G762"/>
  <c r="I762"/>
  <c r="N65" s="1"/>
  <c r="K762"/>
  <c r="J762" s="1"/>
  <c r="O65" s="1"/>
  <c r="G764"/>
  <c r="I764"/>
  <c r="K764"/>
  <c r="J764" s="1"/>
  <c r="G765"/>
  <c r="I765"/>
  <c r="K765"/>
  <c r="J765" s="1"/>
  <c r="G766"/>
  <c r="I766"/>
  <c r="K766"/>
  <c r="J766" s="1"/>
  <c r="G767"/>
  <c r="I767"/>
  <c r="K767"/>
  <c r="J767" s="1"/>
  <c r="G768"/>
  <c r="I768"/>
  <c r="K768"/>
  <c r="J768" s="1"/>
  <c r="G769"/>
  <c r="I769"/>
  <c r="K769"/>
  <c r="J769" s="1"/>
  <c r="G770"/>
  <c r="I770"/>
  <c r="K770"/>
  <c r="J770" s="1"/>
  <c r="G771"/>
  <c r="I771"/>
  <c r="K771"/>
  <c r="J771" s="1"/>
  <c r="G772"/>
  <c r="I772"/>
  <c r="N66" s="1"/>
  <c r="K772"/>
  <c r="J772" s="1"/>
  <c r="O66" s="1"/>
  <c r="G774"/>
  <c r="I774"/>
  <c r="K774"/>
  <c r="J774" s="1"/>
  <c r="G775"/>
  <c r="I775"/>
  <c r="K775"/>
  <c r="J775" s="1"/>
  <c r="G776"/>
  <c r="I776"/>
  <c r="K776"/>
  <c r="J776" s="1"/>
  <c r="G777"/>
  <c r="I777"/>
  <c r="K777"/>
  <c r="J777" s="1"/>
  <c r="G778"/>
  <c r="I778"/>
  <c r="K778"/>
  <c r="J778" s="1"/>
  <c r="G779"/>
  <c r="I779"/>
  <c r="K779"/>
  <c r="J779" s="1"/>
  <c r="G780"/>
  <c r="I780"/>
  <c r="K780"/>
  <c r="J780" s="1"/>
  <c r="G781"/>
  <c r="I781"/>
  <c r="K781"/>
  <c r="J781" s="1"/>
  <c r="G782"/>
  <c r="I782"/>
  <c r="N67" s="1"/>
  <c r="K782"/>
  <c r="J782" s="1"/>
  <c r="O67" s="1"/>
  <c r="G784"/>
  <c r="I784"/>
  <c r="K784"/>
  <c r="J784" s="1"/>
  <c r="G785"/>
  <c r="I785"/>
  <c r="I786" s="1"/>
  <c r="I787" s="1"/>
  <c r="I788" s="1"/>
  <c r="I789" s="1"/>
  <c r="I790" s="1"/>
  <c r="I791" s="1"/>
  <c r="I792" s="1"/>
  <c r="N72" s="1"/>
  <c r="AD72" s="1"/>
  <c r="K785"/>
  <c r="J785" s="1"/>
  <c r="G786"/>
  <c r="G787"/>
  <c r="G788"/>
  <c r="G789"/>
  <c r="G790"/>
  <c r="G791"/>
  <c r="G792"/>
  <c r="G794"/>
  <c r="I794"/>
  <c r="K794"/>
  <c r="J794" s="1"/>
  <c r="G795"/>
  <c r="I795"/>
  <c r="I796" s="1"/>
  <c r="I797" s="1"/>
  <c r="I798" s="1"/>
  <c r="I799" s="1"/>
  <c r="I800" s="1"/>
  <c r="I801" s="1"/>
  <c r="I802" s="1"/>
  <c r="N68" s="1"/>
  <c r="K795"/>
  <c r="J795" s="1"/>
  <c r="G796"/>
  <c r="G797"/>
  <c r="G798"/>
  <c r="G799"/>
  <c r="G800"/>
  <c r="G801"/>
  <c r="G802"/>
  <c r="G804"/>
  <c r="I804"/>
  <c r="K804"/>
  <c r="J804" s="1"/>
  <c r="G805"/>
  <c r="I805"/>
  <c r="I806" s="1"/>
  <c r="I807" s="1"/>
  <c r="I808" s="1"/>
  <c r="I809" s="1"/>
  <c r="I810" s="1"/>
  <c r="I811" s="1"/>
  <c r="I812" s="1"/>
  <c r="N69" s="1"/>
  <c r="K805"/>
  <c r="J805" s="1"/>
  <c r="G806"/>
  <c r="G807"/>
  <c r="G808"/>
  <c r="G809"/>
  <c r="G810"/>
  <c r="G811"/>
  <c r="G812"/>
  <c r="G814"/>
  <c r="I814"/>
  <c r="K814"/>
  <c r="J814" s="1"/>
  <c r="G815"/>
  <c r="I815"/>
  <c r="I816" s="1"/>
  <c r="I817" s="1"/>
  <c r="I818" s="1"/>
  <c r="I819" s="1"/>
  <c r="I820" s="1"/>
  <c r="I821" s="1"/>
  <c r="I822" s="1"/>
  <c r="N70" s="1"/>
  <c r="K815"/>
  <c r="J815" s="1"/>
  <c r="G816"/>
  <c r="G817"/>
  <c r="G818"/>
  <c r="G819"/>
  <c r="G820"/>
  <c r="G821"/>
  <c r="G822"/>
  <c r="G824"/>
  <c r="I824"/>
  <c r="K824"/>
  <c r="J824" s="1"/>
  <c r="G825"/>
  <c r="I825"/>
  <c r="K825"/>
  <c r="J825" s="1"/>
  <c r="G826"/>
  <c r="I826"/>
  <c r="K826"/>
  <c r="J826" s="1"/>
  <c r="G827"/>
  <c r="I827"/>
  <c r="K827"/>
  <c r="J827" s="1"/>
  <c r="G828"/>
  <c r="I828"/>
  <c r="K828"/>
  <c r="J828" s="1"/>
  <c r="G829"/>
  <c r="I829"/>
  <c r="K829"/>
  <c r="J829" s="1"/>
  <c r="G830"/>
  <c r="I830"/>
  <c r="K830"/>
  <c r="J830" s="1"/>
  <c r="G831"/>
  <c r="I831"/>
  <c r="K831"/>
  <c r="J831" s="1"/>
  <c r="G832"/>
  <c r="I832"/>
  <c r="N71" s="1"/>
  <c r="AD71" s="1"/>
  <c r="K832"/>
  <c r="J832" s="1"/>
  <c r="O71" s="1"/>
  <c r="G460"/>
  <c r="G410"/>
  <c r="G401"/>
  <c r="G341"/>
  <c r="G340"/>
  <c r="G309"/>
  <c r="G308"/>
  <c r="G307"/>
  <c r="G306"/>
  <c r="G305"/>
  <c r="G310"/>
  <c r="G311"/>
  <c r="G312"/>
  <c r="G313"/>
  <c r="G314"/>
  <c r="G315"/>
  <c r="G316"/>
  <c r="G317"/>
  <c r="G318"/>
  <c r="G319"/>
  <c r="G320"/>
  <c r="G321"/>
  <c r="G322"/>
  <c r="G323"/>
  <c r="G294"/>
  <c r="G293"/>
  <c r="G292"/>
  <c r="G291"/>
  <c r="F234"/>
  <c r="G234" s="1"/>
  <c r="G228"/>
  <c r="G227"/>
  <c r="G226"/>
  <c r="G222"/>
  <c r="G223"/>
  <c r="G224"/>
  <c r="G225"/>
  <c r="G251"/>
  <c r="G17"/>
  <c r="G16"/>
  <c r="Z145" i="92"/>
  <c r="Q19"/>
  <c r="F19" i="91" s="1"/>
  <c r="Q17" i="92"/>
  <c r="F18" i="91" s="1"/>
  <c r="H44" i="92"/>
  <c r="E19" i="91" s="1"/>
  <c r="Z118" i="92"/>
  <c r="H41"/>
  <c r="E18" i="91" s="1"/>
  <c r="E30" i="78" l="1"/>
  <c r="E9" i="16"/>
  <c r="J35" i="78"/>
  <c r="J37"/>
  <c r="G6"/>
  <c r="C25"/>
  <c r="E8"/>
  <c r="E9" s="1"/>
  <c r="J20"/>
  <c r="G9"/>
  <c r="F19"/>
  <c r="H19"/>
  <c r="J15"/>
  <c r="J18"/>
  <c r="F549" i="102"/>
  <c r="F546"/>
  <c r="E522"/>
  <c r="E530"/>
  <c r="E532"/>
  <c r="E534"/>
  <c r="E486"/>
  <c r="E496"/>
  <c r="E497"/>
  <c r="F498"/>
  <c r="F506" s="1"/>
  <c r="E421"/>
  <c r="E23" i="91"/>
  <c r="O18" i="75"/>
  <c r="U18"/>
  <c r="S18"/>
  <c r="R18"/>
  <c r="P73" i="86"/>
  <c r="G158"/>
  <c r="P67"/>
  <c r="P66"/>
  <c r="P65"/>
  <c r="P63"/>
  <c r="P62"/>
  <c r="P61"/>
  <c r="P60"/>
  <c r="P59"/>
  <c r="P58"/>
  <c r="P56"/>
  <c r="P55"/>
  <c r="P53"/>
  <c r="P52"/>
  <c r="P51"/>
  <c r="P50"/>
  <c r="P64"/>
  <c r="P71"/>
  <c r="AC13" i="92"/>
  <c r="K816" i="86"/>
  <c r="K806"/>
  <c r="K786"/>
  <c r="K796"/>
  <c r="AC12" i="92"/>
  <c r="J652" i="86"/>
  <c r="O54" s="1"/>
  <c r="J650"/>
  <c r="J648"/>
  <c r="J646"/>
  <c r="J651"/>
  <c r="J649"/>
  <c r="J647"/>
  <c r="K675"/>
  <c r="K676" s="1"/>
  <c r="K677" s="1"/>
  <c r="K678" s="1"/>
  <c r="K679" s="1"/>
  <c r="K680" s="1"/>
  <c r="K681" s="1"/>
  <c r="K682" s="1"/>
  <c r="P57" s="1"/>
  <c r="J680"/>
  <c r="J678"/>
  <c r="J676"/>
  <c r="J681"/>
  <c r="J679"/>
  <c r="J677"/>
  <c r="J675"/>
  <c r="AX21" i="85"/>
  <c r="AX24"/>
  <c r="T326"/>
  <c r="T342" s="1"/>
  <c r="T290"/>
  <c r="T310" s="1"/>
  <c r="AA310"/>
  <c r="AS20" s="1"/>
  <c r="AX20" s="1"/>
  <c r="G326"/>
  <c r="G327" s="1"/>
  <c r="T363"/>
  <c r="T367"/>
  <c r="G392"/>
  <c r="G393" s="1"/>
  <c r="T392"/>
  <c r="T400" s="1"/>
  <c r="AA400"/>
  <c r="AS23" s="1"/>
  <c r="AX23" s="1"/>
  <c r="G427"/>
  <c r="G428" s="1"/>
  <c r="T427"/>
  <c r="T432" s="1"/>
  <c r="W359"/>
  <c r="T359" s="1"/>
  <c r="T378" s="1"/>
  <c r="K438" i="74"/>
  <c r="L438"/>
  <c r="L457" s="1"/>
  <c r="L459" s="1"/>
  <c r="N438"/>
  <c r="N457" s="1"/>
  <c r="N459" s="1"/>
  <c r="K439"/>
  <c r="L439"/>
  <c r="K440"/>
  <c r="L440"/>
  <c r="K441"/>
  <c r="L441"/>
  <c r="K442"/>
  <c r="L442"/>
  <c r="K443"/>
  <c r="L443"/>
  <c r="K444"/>
  <c r="L444"/>
  <c r="K445"/>
  <c r="L445"/>
  <c r="K480"/>
  <c r="L480"/>
  <c r="L499" s="1"/>
  <c r="L501" s="1"/>
  <c r="N480"/>
  <c r="N499" s="1"/>
  <c r="N501" s="1"/>
  <c r="K481"/>
  <c r="L481"/>
  <c r="K482"/>
  <c r="L482"/>
  <c r="K483"/>
  <c r="L483"/>
  <c r="K484"/>
  <c r="L484"/>
  <c r="K485"/>
  <c r="L485"/>
  <c r="K486"/>
  <c r="L486"/>
  <c r="K487"/>
  <c r="L487"/>
  <c r="K522"/>
  <c r="L522"/>
  <c r="L540" s="1"/>
  <c r="L542" s="1"/>
  <c r="N522"/>
  <c r="N540" s="1"/>
  <c r="N542" s="1"/>
  <c r="K523"/>
  <c r="L523"/>
  <c r="K524"/>
  <c r="L524"/>
  <c r="K525"/>
  <c r="L525"/>
  <c r="K526"/>
  <c r="L526"/>
  <c r="K527"/>
  <c r="L527"/>
  <c r="K528"/>
  <c r="L528"/>
  <c r="K529"/>
  <c r="L529"/>
  <c r="K530"/>
  <c r="L530"/>
  <c r="K531"/>
  <c r="L531"/>
  <c r="K532"/>
  <c r="L532"/>
  <c r="K533"/>
  <c r="L533"/>
  <c r="K564"/>
  <c r="L564"/>
  <c r="L584" s="1"/>
  <c r="L586" s="1"/>
  <c r="N564"/>
  <c r="N584" s="1"/>
  <c r="N586" s="1"/>
  <c r="K565"/>
  <c r="L565"/>
  <c r="K566"/>
  <c r="L566"/>
  <c r="K567"/>
  <c r="L567"/>
  <c r="K568"/>
  <c r="L568"/>
  <c r="K569"/>
  <c r="L569"/>
  <c r="K570"/>
  <c r="L570"/>
  <c r="K571"/>
  <c r="L571"/>
  <c r="K572"/>
  <c r="L572"/>
  <c r="K573"/>
  <c r="L573"/>
  <c r="K574"/>
  <c r="L574"/>
  <c r="K575"/>
  <c r="L575"/>
  <c r="F449" i="102"/>
  <c r="F433"/>
  <c r="F430"/>
  <c r="F389"/>
  <c r="F414"/>
  <c r="F411"/>
  <c r="E327"/>
  <c r="E328"/>
  <c r="F329"/>
  <c r="F344" s="1"/>
  <c r="K392" i="74"/>
  <c r="L392"/>
  <c r="L415" s="1"/>
  <c r="L417" s="1"/>
  <c r="N392"/>
  <c r="N415" s="1"/>
  <c r="N417" s="1"/>
  <c r="K393"/>
  <c r="L393"/>
  <c r="K394"/>
  <c r="L394"/>
  <c r="K395"/>
  <c r="L395"/>
  <c r="K396"/>
  <c r="L396"/>
  <c r="K397"/>
  <c r="L397"/>
  <c r="K398"/>
  <c r="L398"/>
  <c r="K399"/>
  <c r="L399"/>
  <c r="E296" i="102"/>
  <c r="F298"/>
  <c r="F313" s="1"/>
  <c r="F334"/>
  <c r="K345" i="74"/>
  <c r="L345"/>
  <c r="N345"/>
  <c r="K346"/>
  <c r="L346"/>
  <c r="K347"/>
  <c r="L347"/>
  <c r="K348"/>
  <c r="L348"/>
  <c r="K349"/>
  <c r="L349"/>
  <c r="K350"/>
  <c r="L350"/>
  <c r="K351"/>
  <c r="L351"/>
  <c r="K352"/>
  <c r="L352"/>
  <c r="F303" i="102"/>
  <c r="F226"/>
  <c r="F224"/>
  <c r="F263"/>
  <c r="F260"/>
  <c r="F258"/>
  <c r="F155"/>
  <c r="AC11" i="92"/>
  <c r="AE274" i="85"/>
  <c r="AW19" s="1"/>
  <c r="AD274"/>
  <c r="AV19" s="1"/>
  <c r="AC274"/>
  <c r="AU19" s="1"/>
  <c r="AB274"/>
  <c r="AT19" s="1"/>
  <c r="Z274"/>
  <c r="AR19" s="1"/>
  <c r="Y274"/>
  <c r="AQ19" s="1"/>
  <c r="X274"/>
  <c r="AP19" s="1"/>
  <c r="V274"/>
  <c r="AN19" s="1"/>
  <c r="U274"/>
  <c r="AA273"/>
  <c r="W273"/>
  <c r="T273" s="1"/>
  <c r="AA272"/>
  <c r="W272"/>
  <c r="T272"/>
  <c r="AA271"/>
  <c r="W271"/>
  <c r="T271" s="1"/>
  <c r="AA270"/>
  <c r="W270"/>
  <c r="T270"/>
  <c r="AA269"/>
  <c r="W269"/>
  <c r="T269" s="1"/>
  <c r="AA268"/>
  <c r="W268"/>
  <c r="T268"/>
  <c r="AA267"/>
  <c r="W267"/>
  <c r="T267" s="1"/>
  <c r="AA266"/>
  <c r="W266"/>
  <c r="T266"/>
  <c r="AA265"/>
  <c r="W265"/>
  <c r="T265" s="1"/>
  <c r="AA264"/>
  <c r="W264"/>
  <c r="T264"/>
  <c r="AA263"/>
  <c r="W263"/>
  <c r="T263" s="1"/>
  <c r="AA262"/>
  <c r="W262"/>
  <c r="T262"/>
  <c r="AA261"/>
  <c r="W261"/>
  <c r="W274" s="1"/>
  <c r="AO19" s="1"/>
  <c r="AM19"/>
  <c r="J262"/>
  <c r="AI19" s="1"/>
  <c r="I262"/>
  <c r="AH19" s="1"/>
  <c r="H262"/>
  <c r="AG19" s="1"/>
  <c r="K261"/>
  <c r="K262" s="1"/>
  <c r="AJ19" s="1"/>
  <c r="I324" i="74"/>
  <c r="J324"/>
  <c r="K324"/>
  <c r="L324"/>
  <c r="M324"/>
  <c r="N324"/>
  <c r="O324"/>
  <c r="H324"/>
  <c r="I322"/>
  <c r="J322"/>
  <c r="K322"/>
  <c r="L322"/>
  <c r="M322"/>
  <c r="N322"/>
  <c r="O322"/>
  <c r="P322"/>
  <c r="P324" s="1"/>
  <c r="Q322"/>
  <c r="H322"/>
  <c r="O306"/>
  <c r="I306"/>
  <c r="N306" s="1"/>
  <c r="O305"/>
  <c r="I305"/>
  <c r="N305" s="1"/>
  <c r="O304"/>
  <c r="I304"/>
  <c r="N304" s="1"/>
  <c r="O303"/>
  <c r="I303"/>
  <c r="N303" s="1"/>
  <c r="O302"/>
  <c r="I302"/>
  <c r="N302" s="1"/>
  <c r="O301"/>
  <c r="I301"/>
  <c r="N301" s="1"/>
  <c r="O300"/>
  <c r="I300"/>
  <c r="N300" s="1"/>
  <c r="O299"/>
  <c r="I299"/>
  <c r="P298"/>
  <c r="O298"/>
  <c r="N298"/>
  <c r="L298"/>
  <c r="K298"/>
  <c r="J298"/>
  <c r="AK27"/>
  <c r="AL27"/>
  <c r="AM27"/>
  <c r="AN27"/>
  <c r="AO27"/>
  <c r="AP27"/>
  <c r="AQ27"/>
  <c r="AR27"/>
  <c r="AT27"/>
  <c r="AJ27"/>
  <c r="AJ18"/>
  <c r="M273"/>
  <c r="M275" s="1"/>
  <c r="H273"/>
  <c r="H275" s="1"/>
  <c r="O257"/>
  <c r="I257"/>
  <c r="N257" s="1"/>
  <c r="O256"/>
  <c r="I256"/>
  <c r="N256" s="1"/>
  <c r="O255"/>
  <c r="I255"/>
  <c r="N255" s="1"/>
  <c r="O254"/>
  <c r="I254"/>
  <c r="N254" s="1"/>
  <c r="O253"/>
  <c r="I253"/>
  <c r="N253" s="1"/>
  <c r="O252"/>
  <c r="I252"/>
  <c r="N252" s="1"/>
  <c r="O251"/>
  <c r="I251"/>
  <c r="N251" s="1"/>
  <c r="O250"/>
  <c r="I250"/>
  <c r="I273" s="1"/>
  <c r="I275" s="1"/>
  <c r="P249"/>
  <c r="P273" s="1"/>
  <c r="P275" s="1"/>
  <c r="O249"/>
  <c r="O273" s="1"/>
  <c r="O275" s="1"/>
  <c r="N249"/>
  <c r="L249"/>
  <c r="K249"/>
  <c r="J249"/>
  <c r="G131" i="75"/>
  <c r="H131"/>
  <c r="R13" s="1"/>
  <c r="I131"/>
  <c r="S13" s="1"/>
  <c r="K131"/>
  <c r="E131"/>
  <c r="O13" s="1"/>
  <c r="J36" i="78" l="1"/>
  <c r="F26" i="72"/>
  <c r="E10" i="78"/>
  <c r="E11" s="1"/>
  <c r="G25"/>
  <c r="E35" s="1"/>
  <c r="D25"/>
  <c r="E25" s="1"/>
  <c r="J43"/>
  <c r="J50" s="1"/>
  <c r="I19"/>
  <c r="C54" s="1"/>
  <c r="J19"/>
  <c r="G10"/>
  <c r="G11" s="1"/>
  <c r="J786" i="86"/>
  <c r="K787"/>
  <c r="J806"/>
  <c r="K807"/>
  <c r="J816"/>
  <c r="K817"/>
  <c r="J796"/>
  <c r="K797"/>
  <c r="J682"/>
  <c r="O57" s="1"/>
  <c r="G261" i="85"/>
  <c r="G262" s="1"/>
  <c r="T261"/>
  <c r="T274" s="1"/>
  <c r="AA274"/>
  <c r="AS19" s="1"/>
  <c r="AX19"/>
  <c r="W378"/>
  <c r="AO22" s="1"/>
  <c r="AX22" s="1"/>
  <c r="J575" i="74"/>
  <c r="J574"/>
  <c r="J573"/>
  <c r="J572"/>
  <c r="J571"/>
  <c r="J570"/>
  <c r="J569"/>
  <c r="J568"/>
  <c r="J567"/>
  <c r="J566"/>
  <c r="J565"/>
  <c r="J564"/>
  <c r="J584" s="1"/>
  <c r="J586" s="1"/>
  <c r="J533"/>
  <c r="J532"/>
  <c r="J531"/>
  <c r="J530"/>
  <c r="J529"/>
  <c r="J528"/>
  <c r="J527"/>
  <c r="J526"/>
  <c r="J525"/>
  <c r="J524"/>
  <c r="J523"/>
  <c r="J522"/>
  <c r="J540" s="1"/>
  <c r="J542" s="1"/>
  <c r="J487"/>
  <c r="J486"/>
  <c r="J485"/>
  <c r="J484"/>
  <c r="J483"/>
  <c r="J482"/>
  <c r="J481"/>
  <c r="J480"/>
  <c r="J499" s="1"/>
  <c r="J501" s="1"/>
  <c r="J445"/>
  <c r="J444"/>
  <c r="J443"/>
  <c r="J442"/>
  <c r="J441"/>
  <c r="J440"/>
  <c r="J439"/>
  <c r="J438"/>
  <c r="J457" s="1"/>
  <c r="J459" s="1"/>
  <c r="K584"/>
  <c r="K586" s="1"/>
  <c r="K540"/>
  <c r="K542" s="1"/>
  <c r="K499"/>
  <c r="K501" s="1"/>
  <c r="K457"/>
  <c r="K459" s="1"/>
  <c r="J399"/>
  <c r="J398"/>
  <c r="J397"/>
  <c r="J396"/>
  <c r="J395"/>
  <c r="J394"/>
  <c r="J393"/>
  <c r="J392"/>
  <c r="J415" s="1"/>
  <c r="J417" s="1"/>
  <c r="K415"/>
  <c r="K417" s="1"/>
  <c r="J352"/>
  <c r="J351"/>
  <c r="J350"/>
  <c r="J349"/>
  <c r="J348"/>
  <c r="J347"/>
  <c r="J346"/>
  <c r="J345"/>
  <c r="K299"/>
  <c r="L299"/>
  <c r="N299"/>
  <c r="K300"/>
  <c r="L300"/>
  <c r="K301"/>
  <c r="L301"/>
  <c r="K302"/>
  <c r="L302"/>
  <c r="K303"/>
  <c r="L303"/>
  <c r="K304"/>
  <c r="L304"/>
  <c r="K305"/>
  <c r="L305"/>
  <c r="K306"/>
  <c r="L306"/>
  <c r="K250"/>
  <c r="L250"/>
  <c r="L273" s="1"/>
  <c r="L275" s="1"/>
  <c r="N250"/>
  <c r="N273" s="1"/>
  <c r="N275" s="1"/>
  <c r="K251"/>
  <c r="L251"/>
  <c r="K252"/>
  <c r="L252"/>
  <c r="K253"/>
  <c r="L253"/>
  <c r="K254"/>
  <c r="L254"/>
  <c r="K255"/>
  <c r="L255"/>
  <c r="K256"/>
  <c r="L256"/>
  <c r="K257"/>
  <c r="L257"/>
  <c r="AE244" i="85"/>
  <c r="AW18" s="1"/>
  <c r="AD244"/>
  <c r="AV18" s="1"/>
  <c r="AC244"/>
  <c r="AU18" s="1"/>
  <c r="AB244"/>
  <c r="AT18" s="1"/>
  <c r="Z244"/>
  <c r="AR18" s="1"/>
  <c r="Y244"/>
  <c r="AQ18" s="1"/>
  <c r="X244"/>
  <c r="AP18" s="1"/>
  <c r="V244"/>
  <c r="AN18" s="1"/>
  <c r="U244"/>
  <c r="AM18" s="1"/>
  <c r="AA243"/>
  <c r="W243"/>
  <c r="T243" s="1"/>
  <c r="AA242"/>
  <c r="W242"/>
  <c r="T242"/>
  <c r="AA241"/>
  <c r="W241"/>
  <c r="T241" s="1"/>
  <c r="AA240"/>
  <c r="W240"/>
  <c r="T240"/>
  <c r="AA239"/>
  <c r="W239"/>
  <c r="T239" s="1"/>
  <c r="AA238"/>
  <c r="W238"/>
  <c r="T238"/>
  <c r="AA237"/>
  <c r="W237"/>
  <c r="T237" s="1"/>
  <c r="AA236"/>
  <c r="W236"/>
  <c r="T236"/>
  <c r="AA235"/>
  <c r="W235"/>
  <c r="T235" s="1"/>
  <c r="AA234"/>
  <c r="W234"/>
  <c r="T234"/>
  <c r="AA233"/>
  <c r="W233"/>
  <c r="T233" s="1"/>
  <c r="AA232"/>
  <c r="W232"/>
  <c r="T232"/>
  <c r="AA231"/>
  <c r="W231"/>
  <c r="T231" s="1"/>
  <c r="AA230"/>
  <c r="W230"/>
  <c r="T230"/>
  <c r="AA229"/>
  <c r="W229"/>
  <c r="T229" s="1"/>
  <c r="AA228"/>
  <c r="W228"/>
  <c r="T228"/>
  <c r="AA227"/>
  <c r="W227"/>
  <c r="T227" s="1"/>
  <c r="AA226"/>
  <c r="W226"/>
  <c r="T226"/>
  <c r="AA225"/>
  <c r="W225"/>
  <c r="W244" s="1"/>
  <c r="AO18" s="1"/>
  <c r="H26" i="72" l="1"/>
  <c r="F34"/>
  <c r="F56" i="78"/>
  <c r="C56"/>
  <c r="J817" i="86"/>
  <c r="K818"/>
  <c r="J807"/>
  <c r="K808"/>
  <c r="J787"/>
  <c r="K788"/>
  <c r="J797"/>
  <c r="K798"/>
  <c r="T225" i="85"/>
  <c r="T244" s="1"/>
  <c r="AA244"/>
  <c r="AS18" s="1"/>
  <c r="AX18" s="1"/>
  <c r="J306" i="74"/>
  <c r="J305"/>
  <c r="J304"/>
  <c r="J303"/>
  <c r="J302"/>
  <c r="J301"/>
  <c r="J300"/>
  <c r="J299"/>
  <c r="J257"/>
  <c r="J256"/>
  <c r="J255"/>
  <c r="J254"/>
  <c r="J253"/>
  <c r="J252"/>
  <c r="J251"/>
  <c r="J250"/>
  <c r="J273" s="1"/>
  <c r="J275" s="1"/>
  <c r="K273"/>
  <c r="K275" s="1"/>
  <c r="H19" i="51"/>
  <c r="G19"/>
  <c r="E19"/>
  <c r="D19"/>
  <c r="AG18" i="85"/>
  <c r="C19" i="51" s="1"/>
  <c r="H9" i="92"/>
  <c r="H14"/>
  <c r="H22"/>
  <c r="H34"/>
  <c r="H39"/>
  <c r="Z45"/>
  <c r="AG14" i="85"/>
  <c r="C15" i="51"/>
  <c r="D15"/>
  <c r="E15"/>
  <c r="F15"/>
  <c r="G15"/>
  <c r="H15"/>
  <c r="U15"/>
  <c r="U16"/>
  <c r="U17"/>
  <c r="U18"/>
  <c r="I19"/>
  <c r="J19"/>
  <c r="K19"/>
  <c r="L19"/>
  <c r="M19"/>
  <c r="N19"/>
  <c r="AD11" i="92" s="1"/>
  <c r="O19" i="51"/>
  <c r="P19"/>
  <c r="Q19"/>
  <c r="R19"/>
  <c r="S19"/>
  <c r="U19"/>
  <c r="C20"/>
  <c r="D20"/>
  <c r="E20"/>
  <c r="F20"/>
  <c r="G20"/>
  <c r="H20"/>
  <c r="I20"/>
  <c r="J20"/>
  <c r="K20"/>
  <c r="L20"/>
  <c r="M20"/>
  <c r="N20"/>
  <c r="AD12" i="92" s="1"/>
  <c r="O20" i="51"/>
  <c r="P20"/>
  <c r="Q20"/>
  <c r="R20"/>
  <c r="S20"/>
  <c r="U20"/>
  <c r="C21"/>
  <c r="D21"/>
  <c r="E21"/>
  <c r="F21"/>
  <c r="G21"/>
  <c r="H21"/>
  <c r="I21"/>
  <c r="J21"/>
  <c r="K21"/>
  <c r="L21"/>
  <c r="M21"/>
  <c r="N21"/>
  <c r="AD13" i="92" s="1"/>
  <c r="O21" i="51"/>
  <c r="P21"/>
  <c r="Q21"/>
  <c r="R21"/>
  <c r="S21"/>
  <c r="U21"/>
  <c r="C22"/>
  <c r="D22"/>
  <c r="E22"/>
  <c r="F22"/>
  <c r="G22"/>
  <c r="H22"/>
  <c r="I22"/>
  <c r="J22"/>
  <c r="K22"/>
  <c r="L22"/>
  <c r="M22"/>
  <c r="N22"/>
  <c r="AD14" i="92" s="1"/>
  <c r="O22" i="51"/>
  <c r="P22"/>
  <c r="Q22"/>
  <c r="R22"/>
  <c r="S22"/>
  <c r="U22"/>
  <c r="C23"/>
  <c r="D23"/>
  <c r="E23"/>
  <c r="F23"/>
  <c r="G23"/>
  <c r="H23"/>
  <c r="I23"/>
  <c r="J23"/>
  <c r="K23"/>
  <c r="L23"/>
  <c r="M23"/>
  <c r="N23"/>
  <c r="AD15" i="92" s="1"/>
  <c r="O23" i="51"/>
  <c r="P23"/>
  <c r="Q23"/>
  <c r="R23"/>
  <c r="S23"/>
  <c r="U23"/>
  <c r="C24"/>
  <c r="D24"/>
  <c r="E24"/>
  <c r="F24"/>
  <c r="G24"/>
  <c r="H24"/>
  <c r="I24"/>
  <c r="J24"/>
  <c r="K24"/>
  <c r="L24"/>
  <c r="M24"/>
  <c r="N24"/>
  <c r="AD16" i="92" s="1"/>
  <c r="O24" i="51"/>
  <c r="P24"/>
  <c r="Q24"/>
  <c r="R24"/>
  <c r="S24"/>
  <c r="U24"/>
  <c r="C25"/>
  <c r="D25"/>
  <c r="E25"/>
  <c r="F25"/>
  <c r="G25"/>
  <c r="H25"/>
  <c r="I25"/>
  <c r="J25"/>
  <c r="K25"/>
  <c r="L25"/>
  <c r="M25"/>
  <c r="N25"/>
  <c r="AD17" i="92" s="1"/>
  <c r="O25" i="51"/>
  <c r="P25"/>
  <c r="Q25"/>
  <c r="R25"/>
  <c r="S25"/>
  <c r="U25"/>
  <c r="U14"/>
  <c r="V13" i="75"/>
  <c r="W13" s="1"/>
  <c r="V14"/>
  <c r="W14" s="1"/>
  <c r="V15"/>
  <c r="W15" s="1"/>
  <c r="V16"/>
  <c r="W16" s="1"/>
  <c r="V17"/>
  <c r="W17" s="1"/>
  <c r="V18"/>
  <c r="W18" s="1"/>
  <c r="V19"/>
  <c r="W19" s="1"/>
  <c r="J197"/>
  <c r="F197"/>
  <c r="L197" s="1"/>
  <c r="J196"/>
  <c r="F196"/>
  <c r="L196" s="1"/>
  <c r="J195"/>
  <c r="F195"/>
  <c r="L195" s="1"/>
  <c r="J194"/>
  <c r="F194"/>
  <c r="L194" s="1"/>
  <c r="J193"/>
  <c r="F193"/>
  <c r="L193" s="1"/>
  <c r="J192"/>
  <c r="F192"/>
  <c r="L192" s="1"/>
  <c r="J191"/>
  <c r="F191"/>
  <c r="L191" s="1"/>
  <c r="J190"/>
  <c r="F190"/>
  <c r="L190" s="1"/>
  <c r="J189"/>
  <c r="F189"/>
  <c r="J188"/>
  <c r="L188"/>
  <c r="J187"/>
  <c r="L187"/>
  <c r="J186"/>
  <c r="L186"/>
  <c r="J185"/>
  <c r="L185"/>
  <c r="J184"/>
  <c r="J199" s="1"/>
  <c r="T17" s="1"/>
  <c r="L184"/>
  <c r="J182"/>
  <c r="F182"/>
  <c r="L182" s="1"/>
  <c r="J181"/>
  <c r="F181"/>
  <c r="L181" s="1"/>
  <c r="J180"/>
  <c r="F180"/>
  <c r="L180" s="1"/>
  <c r="J179"/>
  <c r="F179"/>
  <c r="L179" s="1"/>
  <c r="J178"/>
  <c r="F178"/>
  <c r="L178" s="1"/>
  <c r="J177"/>
  <c r="F177"/>
  <c r="L177" s="1"/>
  <c r="J176"/>
  <c r="F176"/>
  <c r="L176" s="1"/>
  <c r="J175"/>
  <c r="F175"/>
  <c r="L175" s="1"/>
  <c r="J174"/>
  <c r="F174"/>
  <c r="L174" s="1"/>
  <c r="J173"/>
  <c r="F173"/>
  <c r="L173" s="1"/>
  <c r="J172"/>
  <c r="F172"/>
  <c r="J171"/>
  <c r="F171"/>
  <c r="L171" s="1"/>
  <c r="J170"/>
  <c r="F170"/>
  <c r="L170" s="1"/>
  <c r="J169"/>
  <c r="F169"/>
  <c r="L169" s="1"/>
  <c r="J168"/>
  <c r="L168"/>
  <c r="J167"/>
  <c r="F167"/>
  <c r="L167" s="1"/>
  <c r="J165"/>
  <c r="F165"/>
  <c r="L165" s="1"/>
  <c r="J164"/>
  <c r="F164"/>
  <c r="L164" s="1"/>
  <c r="J163"/>
  <c r="F163"/>
  <c r="L163" s="1"/>
  <c r="J162"/>
  <c r="F162"/>
  <c r="L162" s="1"/>
  <c r="J161"/>
  <c r="F161"/>
  <c r="L161" s="1"/>
  <c r="J160"/>
  <c r="F160"/>
  <c r="L160" s="1"/>
  <c r="J159"/>
  <c r="F159"/>
  <c r="L159" s="1"/>
  <c r="J158"/>
  <c r="F158"/>
  <c r="L158" s="1"/>
  <c r="J157"/>
  <c r="F157"/>
  <c r="L157" s="1"/>
  <c r="J156"/>
  <c r="F156"/>
  <c r="L156" s="1"/>
  <c r="J155"/>
  <c r="F155"/>
  <c r="L155" s="1"/>
  <c r="J154"/>
  <c r="F154"/>
  <c r="L154" s="1"/>
  <c r="J153"/>
  <c r="F153"/>
  <c r="L153" s="1"/>
  <c r="J152"/>
  <c r="F152"/>
  <c r="L152" s="1"/>
  <c r="J151"/>
  <c r="F151"/>
  <c r="L151" s="1"/>
  <c r="J150"/>
  <c r="F150"/>
  <c r="L150" s="1"/>
  <c r="J149"/>
  <c r="F149"/>
  <c r="L149" s="1"/>
  <c r="J148"/>
  <c r="F148"/>
  <c r="L148" s="1"/>
  <c r="J147"/>
  <c r="F147"/>
  <c r="L147" s="1"/>
  <c r="J146"/>
  <c r="J166" s="1"/>
  <c r="T15" s="1"/>
  <c r="F146"/>
  <c r="J144"/>
  <c r="F144"/>
  <c r="L144" s="1"/>
  <c r="J143"/>
  <c r="F143"/>
  <c r="L143" s="1"/>
  <c r="J142"/>
  <c r="F142"/>
  <c r="L142" s="1"/>
  <c r="J141"/>
  <c r="F141"/>
  <c r="L141" s="1"/>
  <c r="J140"/>
  <c r="F140"/>
  <c r="L140" s="1"/>
  <c r="J139"/>
  <c r="F139"/>
  <c r="L139" s="1"/>
  <c r="J138"/>
  <c r="F138"/>
  <c r="L138" s="1"/>
  <c r="J137"/>
  <c r="F137"/>
  <c r="L137" s="1"/>
  <c r="J136"/>
  <c r="F136"/>
  <c r="L136" s="1"/>
  <c r="J135"/>
  <c r="F135"/>
  <c r="L135" s="1"/>
  <c r="J134"/>
  <c r="F134"/>
  <c r="L134" s="1"/>
  <c r="J133"/>
  <c r="F133"/>
  <c r="L133" s="1"/>
  <c r="J132"/>
  <c r="J145" s="1"/>
  <c r="T14" s="1"/>
  <c r="F132"/>
  <c r="J130"/>
  <c r="F130"/>
  <c r="L130" s="1"/>
  <c r="J129"/>
  <c r="F129"/>
  <c r="L129" s="1"/>
  <c r="J128"/>
  <c r="F128"/>
  <c r="L128" s="1"/>
  <c r="J127"/>
  <c r="F127"/>
  <c r="L127" s="1"/>
  <c r="J126"/>
  <c r="F126"/>
  <c r="L126" s="1"/>
  <c r="J125"/>
  <c r="F125"/>
  <c r="L125" s="1"/>
  <c r="J124"/>
  <c r="F124"/>
  <c r="L124" s="1"/>
  <c r="J123"/>
  <c r="F123"/>
  <c r="L123" s="1"/>
  <c r="J122"/>
  <c r="F122"/>
  <c r="L122" s="1"/>
  <c r="J121"/>
  <c r="F121"/>
  <c r="L121" s="1"/>
  <c r="J120"/>
  <c r="F120"/>
  <c r="L120" s="1"/>
  <c r="J119"/>
  <c r="F119"/>
  <c r="L119" s="1"/>
  <c r="J118"/>
  <c r="F118"/>
  <c r="L118" s="1"/>
  <c r="J117"/>
  <c r="F117"/>
  <c r="L117" s="1"/>
  <c r="J116"/>
  <c r="F116"/>
  <c r="L116" s="1"/>
  <c r="J115"/>
  <c r="F115"/>
  <c r="L115" s="1"/>
  <c r="J114"/>
  <c r="F114"/>
  <c r="L114" s="1"/>
  <c r="J113"/>
  <c r="F113"/>
  <c r="L113" s="1"/>
  <c r="J112"/>
  <c r="J131" s="1"/>
  <c r="T13" s="1"/>
  <c r="F112"/>
  <c r="K111"/>
  <c r="I111"/>
  <c r="S12" s="1"/>
  <c r="H111"/>
  <c r="R12" s="1"/>
  <c r="G111"/>
  <c r="E111"/>
  <c r="O12" s="1"/>
  <c r="J110"/>
  <c r="F110"/>
  <c r="L110" s="1"/>
  <c r="J109"/>
  <c r="F109"/>
  <c r="L109" s="1"/>
  <c r="J108"/>
  <c r="F108"/>
  <c r="L108" s="1"/>
  <c r="J107"/>
  <c r="F107"/>
  <c r="L107" s="1"/>
  <c r="J106"/>
  <c r="F106"/>
  <c r="L106" s="1"/>
  <c r="J105"/>
  <c r="F105"/>
  <c r="L105" s="1"/>
  <c r="J104"/>
  <c r="F104"/>
  <c r="L104" s="1"/>
  <c r="J103"/>
  <c r="F103"/>
  <c r="L103" s="1"/>
  <c r="J102"/>
  <c r="F102"/>
  <c r="L102" s="1"/>
  <c r="J101"/>
  <c r="F101"/>
  <c r="L101" s="1"/>
  <c r="J100"/>
  <c r="F100"/>
  <c r="L100" s="1"/>
  <c r="J99"/>
  <c r="F99"/>
  <c r="L99" s="1"/>
  <c r="J98"/>
  <c r="F98"/>
  <c r="L98" s="1"/>
  <c r="J97"/>
  <c r="F97"/>
  <c r="L97" s="1"/>
  <c r="J96"/>
  <c r="F96"/>
  <c r="L96" s="1"/>
  <c r="J95"/>
  <c r="F95"/>
  <c r="L95" s="1"/>
  <c r="J94"/>
  <c r="F94"/>
  <c r="L94" s="1"/>
  <c r="J93"/>
  <c r="F93"/>
  <c r="L93" s="1"/>
  <c r="J92"/>
  <c r="F92"/>
  <c r="L92" s="1"/>
  <c r="J91"/>
  <c r="F91"/>
  <c r="L91" s="1"/>
  <c r="J90"/>
  <c r="F90"/>
  <c r="L90" s="1"/>
  <c r="J89"/>
  <c r="F89"/>
  <c r="L89" s="1"/>
  <c r="J88"/>
  <c r="F88"/>
  <c r="L88" s="1"/>
  <c r="J87"/>
  <c r="F87"/>
  <c r="L87" s="1"/>
  <c r="J86"/>
  <c r="F86"/>
  <c r="L86" s="1"/>
  <c r="J85"/>
  <c r="F85"/>
  <c r="L85" s="1"/>
  <c r="J84"/>
  <c r="F84"/>
  <c r="L84" s="1"/>
  <c r="J83"/>
  <c r="F83"/>
  <c r="L83" s="1"/>
  <c r="J82"/>
  <c r="F82"/>
  <c r="L82" s="1"/>
  <c r="J81"/>
  <c r="F81"/>
  <c r="L81" s="1"/>
  <c r="J80"/>
  <c r="F80"/>
  <c r="L80" s="1"/>
  <c r="J79"/>
  <c r="F79"/>
  <c r="L79" s="1"/>
  <c r="J78"/>
  <c r="F78"/>
  <c r="L78" s="1"/>
  <c r="J77"/>
  <c r="F77"/>
  <c r="L77" s="1"/>
  <c r="J76"/>
  <c r="J111" s="1"/>
  <c r="T12" s="1"/>
  <c r="F76"/>
  <c r="F111" s="1"/>
  <c r="P12" s="1"/>
  <c r="K75"/>
  <c r="I75"/>
  <c r="S11" s="1"/>
  <c r="H75"/>
  <c r="R11" s="1"/>
  <c r="G75"/>
  <c r="E75"/>
  <c r="O11" s="1"/>
  <c r="J74"/>
  <c r="F74"/>
  <c r="L74" s="1"/>
  <c r="J73"/>
  <c r="F73"/>
  <c r="L73" s="1"/>
  <c r="J72"/>
  <c r="F72"/>
  <c r="L72" s="1"/>
  <c r="J71"/>
  <c r="F71"/>
  <c r="L71" s="1"/>
  <c r="J70"/>
  <c r="F70"/>
  <c r="L70" s="1"/>
  <c r="J69"/>
  <c r="F69"/>
  <c r="L69" s="1"/>
  <c r="J68"/>
  <c r="F68"/>
  <c r="L68" s="1"/>
  <c r="J67"/>
  <c r="F67"/>
  <c r="L67" s="1"/>
  <c r="J66"/>
  <c r="F66"/>
  <c r="L66" s="1"/>
  <c r="J65"/>
  <c r="F65"/>
  <c r="L65" s="1"/>
  <c r="J64"/>
  <c r="F64"/>
  <c r="L64" s="1"/>
  <c r="J63"/>
  <c r="F63"/>
  <c r="L63" s="1"/>
  <c r="J62"/>
  <c r="F62"/>
  <c r="L62" s="1"/>
  <c r="J61"/>
  <c r="F61"/>
  <c r="L61" s="1"/>
  <c r="J60"/>
  <c r="F60"/>
  <c r="L60" s="1"/>
  <c r="J59"/>
  <c r="F59"/>
  <c r="L59" s="1"/>
  <c r="J58"/>
  <c r="F58"/>
  <c r="L58" s="1"/>
  <c r="J57"/>
  <c r="J75" s="1"/>
  <c r="T11" s="1"/>
  <c r="F57"/>
  <c r="F75" s="1"/>
  <c r="P11" s="1"/>
  <c r="K56"/>
  <c r="I56"/>
  <c r="S10" s="1"/>
  <c r="H56"/>
  <c r="R10" s="1"/>
  <c r="G56"/>
  <c r="E56"/>
  <c r="O10" s="1"/>
  <c r="J55"/>
  <c r="F55"/>
  <c r="L55" s="1"/>
  <c r="J54"/>
  <c r="F54"/>
  <c r="L54" s="1"/>
  <c r="J53"/>
  <c r="F53"/>
  <c r="L53" s="1"/>
  <c r="J52"/>
  <c r="F52"/>
  <c r="L52" s="1"/>
  <c r="J51"/>
  <c r="F51"/>
  <c r="L51" s="1"/>
  <c r="J50"/>
  <c r="F50"/>
  <c r="L50" s="1"/>
  <c r="J49"/>
  <c r="F49"/>
  <c r="L49" s="1"/>
  <c r="J48"/>
  <c r="F48"/>
  <c r="L48" s="1"/>
  <c r="J47"/>
  <c r="F47"/>
  <c r="L47" s="1"/>
  <c r="J46"/>
  <c r="F46"/>
  <c r="L46" s="1"/>
  <c r="J45"/>
  <c r="J56" s="1"/>
  <c r="T10" s="1"/>
  <c r="F45"/>
  <c r="F56" s="1"/>
  <c r="P10" s="1"/>
  <c r="K44"/>
  <c r="I44"/>
  <c r="S9" s="1"/>
  <c r="H44"/>
  <c r="R9" s="1"/>
  <c r="G44"/>
  <c r="E44"/>
  <c r="O9" s="1"/>
  <c r="J43"/>
  <c r="F43"/>
  <c r="L43" s="1"/>
  <c r="J42"/>
  <c r="F42"/>
  <c r="L42" s="1"/>
  <c r="J41"/>
  <c r="F41"/>
  <c r="L41" s="1"/>
  <c r="J40"/>
  <c r="F40"/>
  <c r="L40" s="1"/>
  <c r="J39"/>
  <c r="F39"/>
  <c r="L39" s="1"/>
  <c r="J38"/>
  <c r="F38"/>
  <c r="L38" s="1"/>
  <c r="J37"/>
  <c r="F37"/>
  <c r="L37" s="1"/>
  <c r="J36"/>
  <c r="F36"/>
  <c r="L36" s="1"/>
  <c r="J35"/>
  <c r="F35"/>
  <c r="L35" s="1"/>
  <c r="J34"/>
  <c r="F34"/>
  <c r="L34" s="1"/>
  <c r="J33"/>
  <c r="F33"/>
  <c r="L33" s="1"/>
  <c r="J32"/>
  <c r="J44" s="1"/>
  <c r="T9" s="1"/>
  <c r="F32"/>
  <c r="F44" s="1"/>
  <c r="P9" s="1"/>
  <c r="K31"/>
  <c r="I31"/>
  <c r="S8" s="1"/>
  <c r="S20" s="1"/>
  <c r="H31"/>
  <c r="R8" s="1"/>
  <c r="R20" s="1"/>
  <c r="G31"/>
  <c r="E31"/>
  <c r="O8" s="1"/>
  <c r="O20" s="1"/>
  <c r="J30"/>
  <c r="F30"/>
  <c r="L30" s="1"/>
  <c r="J29"/>
  <c r="F29"/>
  <c r="L29" s="1"/>
  <c r="J28"/>
  <c r="F28"/>
  <c r="L28" s="1"/>
  <c r="J27"/>
  <c r="F27"/>
  <c r="L27" s="1"/>
  <c r="J26"/>
  <c r="F26"/>
  <c r="L26" s="1"/>
  <c r="J25"/>
  <c r="F25"/>
  <c r="L25" s="1"/>
  <c r="J24"/>
  <c r="F24"/>
  <c r="L24" s="1"/>
  <c r="J23"/>
  <c r="F23"/>
  <c r="L23" s="1"/>
  <c r="J22"/>
  <c r="F22"/>
  <c r="L22" s="1"/>
  <c r="J21"/>
  <c r="F21"/>
  <c r="L21" s="1"/>
  <c r="J20"/>
  <c r="F20"/>
  <c r="L20" s="1"/>
  <c r="J19"/>
  <c r="F19"/>
  <c r="L19" s="1"/>
  <c r="J18"/>
  <c r="F18"/>
  <c r="L18" s="1"/>
  <c r="J17"/>
  <c r="F17"/>
  <c r="L17" s="1"/>
  <c r="J16"/>
  <c r="F16"/>
  <c r="L16" s="1"/>
  <c r="J15"/>
  <c r="F15"/>
  <c r="L15" s="1"/>
  <c r="J14"/>
  <c r="J31" s="1"/>
  <c r="T8" s="1"/>
  <c r="F14"/>
  <c r="F31" s="1"/>
  <c r="P8" s="1"/>
  <c r="Q15" i="92"/>
  <c r="F17" i="91" s="1"/>
  <c r="E17"/>
  <c r="Z78" i="92"/>
  <c r="AC10" s="1"/>
  <c r="Q13"/>
  <c r="F16" i="91"/>
  <c r="E16"/>
  <c r="AC9" i="92"/>
  <c r="Q11"/>
  <c r="F15" i="91" s="1"/>
  <c r="E15"/>
  <c r="Z37" i="92"/>
  <c r="AC8" s="1"/>
  <c r="Q9"/>
  <c r="F14" i="91" s="1"/>
  <c r="E14"/>
  <c r="Z32" i="92"/>
  <c r="AC7" s="1"/>
  <c r="Q7"/>
  <c r="F13" i="91" s="1"/>
  <c r="Z22" i="92"/>
  <c r="E13" i="91"/>
  <c r="M38" i="86"/>
  <c r="M37"/>
  <c r="M36"/>
  <c r="G212"/>
  <c r="G213"/>
  <c r="G214"/>
  <c r="G215"/>
  <c r="G216"/>
  <c r="G217"/>
  <c r="G218"/>
  <c r="G219"/>
  <c r="G220"/>
  <c r="G221"/>
  <c r="F201"/>
  <c r="G200"/>
  <c r="G201"/>
  <c r="G202"/>
  <c r="G203"/>
  <c r="G204"/>
  <c r="G205"/>
  <c r="G206"/>
  <c r="G207"/>
  <c r="G208"/>
  <c r="G209"/>
  <c r="G210"/>
  <c r="G211"/>
  <c r="G14"/>
  <c r="G15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H189"/>
  <c r="F189"/>
  <c r="H85"/>
  <c r="F85"/>
  <c r="F120"/>
  <c r="M35"/>
  <c r="M34"/>
  <c r="M33"/>
  <c r="M32"/>
  <c r="H34" i="72" l="1"/>
  <c r="K31"/>
  <c r="J49" i="78"/>
  <c r="J51" s="1"/>
  <c r="I35" i="16" s="1"/>
  <c r="E48" i="5"/>
  <c r="G48" s="1"/>
  <c r="F58" i="78"/>
  <c r="E10" i="16" s="1"/>
  <c r="K32" i="72"/>
  <c r="E24" i="16"/>
  <c r="J52" i="78"/>
  <c r="J55" s="1"/>
  <c r="J57" s="1"/>
  <c r="I37" i="16"/>
  <c r="J788" i="86"/>
  <c r="K789"/>
  <c r="J808"/>
  <c r="K809"/>
  <c r="J818"/>
  <c r="K819"/>
  <c r="J798"/>
  <c r="K799"/>
  <c r="L112" i="75"/>
  <c r="L131" s="1"/>
  <c r="U13" s="1"/>
  <c r="F131"/>
  <c r="P13" s="1"/>
  <c r="P20" s="1"/>
  <c r="L132"/>
  <c r="L145" s="1"/>
  <c r="U14" s="1"/>
  <c r="F145"/>
  <c r="P14" s="1"/>
  <c r="L146"/>
  <c r="L166" s="1"/>
  <c r="U15" s="1"/>
  <c r="F166"/>
  <c r="P15" s="1"/>
  <c r="L189"/>
  <c r="F199"/>
  <c r="P17" s="1"/>
  <c r="J183"/>
  <c r="T16" s="1"/>
  <c r="T20" s="1"/>
  <c r="L199"/>
  <c r="U17" s="1"/>
  <c r="L172"/>
  <c r="L183" s="1"/>
  <c r="F183"/>
  <c r="P16" s="1"/>
  <c r="G85" i="86"/>
  <c r="AC6" i="92"/>
  <c r="L14" i="75"/>
  <c r="L31" s="1"/>
  <c r="U8" s="1"/>
  <c r="L32"/>
  <c r="L44" s="1"/>
  <c r="U9" s="1"/>
  <c r="L45"/>
  <c r="L56" s="1"/>
  <c r="U10" s="1"/>
  <c r="L57"/>
  <c r="L75" s="1"/>
  <c r="U11" s="1"/>
  <c r="L76"/>
  <c r="L111" s="1"/>
  <c r="U12" s="1"/>
  <c r="M31" i="86"/>
  <c r="F128"/>
  <c r="H419"/>
  <c r="F419"/>
  <c r="F119"/>
  <c r="M30"/>
  <c r="M29"/>
  <c r="M28"/>
  <c r="M27"/>
  <c r="M26"/>
  <c r="M25"/>
  <c r="AC23"/>
  <c r="AC24"/>
  <c r="AC25"/>
  <c r="AC26"/>
  <c r="AC27"/>
  <c r="AC28"/>
  <c r="AC29"/>
  <c r="AC30"/>
  <c r="AC31"/>
  <c r="AC32"/>
  <c r="AC33"/>
  <c r="AC34"/>
  <c r="AC35"/>
  <c r="AC80"/>
  <c r="AD80" s="1"/>
  <c r="AC81"/>
  <c r="AD81" s="1"/>
  <c r="AC82"/>
  <c r="AD82" s="1"/>
  <c r="G399"/>
  <c r="F197"/>
  <c r="H360"/>
  <c r="F360"/>
  <c r="H359"/>
  <c r="H941" s="1"/>
  <c r="G369"/>
  <c r="I369"/>
  <c r="K369"/>
  <c r="J369" s="1"/>
  <c r="G370"/>
  <c r="I370"/>
  <c r="K370"/>
  <c r="J370" s="1"/>
  <c r="G371"/>
  <c r="I371"/>
  <c r="K371"/>
  <c r="J371" s="1"/>
  <c r="G372"/>
  <c r="I372"/>
  <c r="K372"/>
  <c r="J372" s="1"/>
  <c r="G373"/>
  <c r="I373"/>
  <c r="K373"/>
  <c r="J373" s="1"/>
  <c r="G374"/>
  <c r="I374"/>
  <c r="K374"/>
  <c r="J374" s="1"/>
  <c r="G375"/>
  <c r="I375"/>
  <c r="K375"/>
  <c r="J375" s="1"/>
  <c r="G376"/>
  <c r="I376"/>
  <c r="K376"/>
  <c r="J376" s="1"/>
  <c r="G377"/>
  <c r="I377"/>
  <c r="N27" s="1"/>
  <c r="AD27" s="1"/>
  <c r="K377"/>
  <c r="P27" s="1"/>
  <c r="G379"/>
  <c r="I379"/>
  <c r="K379"/>
  <c r="J379" s="1"/>
  <c r="G380"/>
  <c r="I380"/>
  <c r="K380"/>
  <c r="J380" s="1"/>
  <c r="G381"/>
  <c r="I381"/>
  <c r="K381"/>
  <c r="J381" s="1"/>
  <c r="G382"/>
  <c r="I382"/>
  <c r="K382"/>
  <c r="J382" s="1"/>
  <c r="G383"/>
  <c r="I383"/>
  <c r="K383"/>
  <c r="J383" s="1"/>
  <c r="G384"/>
  <c r="I384"/>
  <c r="K384"/>
  <c r="J384" s="1"/>
  <c r="G385"/>
  <c r="I385"/>
  <c r="K385"/>
  <c r="J385" s="1"/>
  <c r="G386"/>
  <c r="I386"/>
  <c r="K386"/>
  <c r="J386" s="1"/>
  <c r="G387"/>
  <c r="I387"/>
  <c r="N28" s="1"/>
  <c r="AD28" s="1"/>
  <c r="K387"/>
  <c r="P28" s="1"/>
  <c r="G389"/>
  <c r="I389"/>
  <c r="K389"/>
  <c r="J389" s="1"/>
  <c r="G390"/>
  <c r="I390"/>
  <c r="K390"/>
  <c r="J390" s="1"/>
  <c r="G391"/>
  <c r="I391"/>
  <c r="K391"/>
  <c r="J391" s="1"/>
  <c r="G392"/>
  <c r="I392"/>
  <c r="K392"/>
  <c r="J392" s="1"/>
  <c r="G393"/>
  <c r="I393"/>
  <c r="K393"/>
  <c r="J393" s="1"/>
  <c r="G394"/>
  <c r="I394"/>
  <c r="K394"/>
  <c r="J394" s="1"/>
  <c r="G395"/>
  <c r="I395"/>
  <c r="K395"/>
  <c r="J395" s="1"/>
  <c r="G396"/>
  <c r="I396"/>
  <c r="K396"/>
  <c r="J396" s="1"/>
  <c r="G397"/>
  <c r="I397"/>
  <c r="N29" s="1"/>
  <c r="AD29" s="1"/>
  <c r="K397"/>
  <c r="P29" s="1"/>
  <c r="I399"/>
  <c r="K399"/>
  <c r="J399" s="1"/>
  <c r="G400"/>
  <c r="I400"/>
  <c r="K400"/>
  <c r="J400" s="1"/>
  <c r="I401"/>
  <c r="K401"/>
  <c r="J401" s="1"/>
  <c r="G402"/>
  <c r="I402"/>
  <c r="K402"/>
  <c r="J402" s="1"/>
  <c r="G403"/>
  <c r="I403"/>
  <c r="K403"/>
  <c r="J403" s="1"/>
  <c r="G404"/>
  <c r="I404"/>
  <c r="K404"/>
  <c r="J404" s="1"/>
  <c r="G405"/>
  <c r="I405"/>
  <c r="K405"/>
  <c r="J405" s="1"/>
  <c r="G406"/>
  <c r="I406"/>
  <c r="K406"/>
  <c r="J406" s="1"/>
  <c r="G407"/>
  <c r="I407"/>
  <c r="N30" s="1"/>
  <c r="AD30" s="1"/>
  <c r="K407"/>
  <c r="P30" s="1"/>
  <c r="G409"/>
  <c r="I409"/>
  <c r="K409"/>
  <c r="J409" s="1"/>
  <c r="I410"/>
  <c r="K410"/>
  <c r="J410" s="1"/>
  <c r="G411"/>
  <c r="I411"/>
  <c r="K411"/>
  <c r="J411" s="1"/>
  <c r="G412"/>
  <c r="I412"/>
  <c r="K412"/>
  <c r="J412" s="1"/>
  <c r="G413"/>
  <c r="I413"/>
  <c r="K413"/>
  <c r="J413" s="1"/>
  <c r="G414"/>
  <c r="I414"/>
  <c r="K414"/>
  <c r="J414" s="1"/>
  <c r="G415"/>
  <c r="I415"/>
  <c r="K415"/>
  <c r="J415" s="1"/>
  <c r="G416"/>
  <c r="I416"/>
  <c r="K416"/>
  <c r="J416" s="1"/>
  <c r="G417"/>
  <c r="I417"/>
  <c r="N31" s="1"/>
  <c r="AD31" s="1"/>
  <c r="K417"/>
  <c r="P31" s="1"/>
  <c r="G419"/>
  <c r="I419"/>
  <c r="K419"/>
  <c r="J419" s="1"/>
  <c r="G420"/>
  <c r="I420"/>
  <c r="K420"/>
  <c r="J420" s="1"/>
  <c r="G421"/>
  <c r="I421"/>
  <c r="K421"/>
  <c r="J421" s="1"/>
  <c r="G422"/>
  <c r="I422"/>
  <c r="K422"/>
  <c r="J422" s="1"/>
  <c r="G423"/>
  <c r="I423"/>
  <c r="K423"/>
  <c r="J423" s="1"/>
  <c r="G424"/>
  <c r="I424"/>
  <c r="K424"/>
  <c r="J424" s="1"/>
  <c r="G425"/>
  <c r="I425"/>
  <c r="K425"/>
  <c r="J425" s="1"/>
  <c r="G426"/>
  <c r="I426"/>
  <c r="K426"/>
  <c r="J426" s="1"/>
  <c r="G427"/>
  <c r="I427"/>
  <c r="N32" s="1"/>
  <c r="AD32" s="1"/>
  <c r="K427"/>
  <c r="P32" s="1"/>
  <c r="G429"/>
  <c r="I429"/>
  <c r="K429"/>
  <c r="J429" s="1"/>
  <c r="G430"/>
  <c r="I430"/>
  <c r="K430"/>
  <c r="J430" s="1"/>
  <c r="I431"/>
  <c r="K431"/>
  <c r="J431" s="1"/>
  <c r="G432"/>
  <c r="I432"/>
  <c r="K432"/>
  <c r="J432" s="1"/>
  <c r="G433"/>
  <c r="I433"/>
  <c r="K433"/>
  <c r="J433" s="1"/>
  <c r="G434"/>
  <c r="I434"/>
  <c r="K434"/>
  <c r="J434" s="1"/>
  <c r="G435"/>
  <c r="I435"/>
  <c r="K435"/>
  <c r="J435" s="1"/>
  <c r="G436"/>
  <c r="I436"/>
  <c r="K436"/>
  <c r="J436" s="1"/>
  <c r="G437"/>
  <c r="I437"/>
  <c r="N33" s="1"/>
  <c r="AD33" s="1"/>
  <c r="K437"/>
  <c r="P33" s="1"/>
  <c r="G439"/>
  <c r="I439"/>
  <c r="K439"/>
  <c r="J439" s="1"/>
  <c r="G440"/>
  <c r="I440"/>
  <c r="K440"/>
  <c r="J440" s="1"/>
  <c r="G441"/>
  <c r="I441"/>
  <c r="K441"/>
  <c r="J441" s="1"/>
  <c r="G442"/>
  <c r="I442"/>
  <c r="K442"/>
  <c r="J442" s="1"/>
  <c r="G443"/>
  <c r="I443"/>
  <c r="K443"/>
  <c r="J443" s="1"/>
  <c r="G444"/>
  <c r="I444"/>
  <c r="K444"/>
  <c r="J444" s="1"/>
  <c r="G445"/>
  <c r="I445"/>
  <c r="K445"/>
  <c r="J445" s="1"/>
  <c r="G446"/>
  <c r="I446"/>
  <c r="K446"/>
  <c r="J446" s="1"/>
  <c r="G447"/>
  <c r="I447"/>
  <c r="N34" s="1"/>
  <c r="AD34" s="1"/>
  <c r="K447"/>
  <c r="P34" s="1"/>
  <c r="G449"/>
  <c r="I449"/>
  <c r="K449"/>
  <c r="J449" s="1"/>
  <c r="G450"/>
  <c r="I450"/>
  <c r="K450"/>
  <c r="J450" s="1"/>
  <c r="G451"/>
  <c r="I451"/>
  <c r="K451"/>
  <c r="J451" s="1"/>
  <c r="G452"/>
  <c r="I452"/>
  <c r="K452"/>
  <c r="J452" s="1"/>
  <c r="G453"/>
  <c r="I453"/>
  <c r="K453"/>
  <c r="J453" s="1"/>
  <c r="G454"/>
  <c r="I454"/>
  <c r="K454"/>
  <c r="J454" s="1"/>
  <c r="G455"/>
  <c r="I455"/>
  <c r="K455"/>
  <c r="J455" s="1"/>
  <c r="G456"/>
  <c r="I456"/>
  <c r="K456"/>
  <c r="J456" s="1"/>
  <c r="G457"/>
  <c r="I457"/>
  <c r="N35" s="1"/>
  <c r="AD35" s="1"/>
  <c r="K457"/>
  <c r="P35" s="1"/>
  <c r="G459"/>
  <c r="I459"/>
  <c r="K459"/>
  <c r="J459" s="1"/>
  <c r="I460"/>
  <c r="K460"/>
  <c r="J460" s="1"/>
  <c r="G461"/>
  <c r="I461"/>
  <c r="K461"/>
  <c r="J461" s="1"/>
  <c r="G462"/>
  <c r="I462"/>
  <c r="K462"/>
  <c r="J462" s="1"/>
  <c r="G463"/>
  <c r="I463"/>
  <c r="K463"/>
  <c r="J463" s="1"/>
  <c r="G464"/>
  <c r="I464"/>
  <c r="K464"/>
  <c r="J464" s="1"/>
  <c r="G465"/>
  <c r="I465"/>
  <c r="K465"/>
  <c r="J465" s="1"/>
  <c r="G466"/>
  <c r="I466"/>
  <c r="K466"/>
  <c r="J466" s="1"/>
  <c r="G467"/>
  <c r="I467"/>
  <c r="N36" s="1"/>
  <c r="AD36" s="1"/>
  <c r="K467"/>
  <c r="P36" s="1"/>
  <c r="G469"/>
  <c r="I469"/>
  <c r="K469"/>
  <c r="J469" s="1"/>
  <c r="G470"/>
  <c r="I470"/>
  <c r="K470"/>
  <c r="J470" s="1"/>
  <c r="G471"/>
  <c r="I471"/>
  <c r="K471"/>
  <c r="J471" s="1"/>
  <c r="G472"/>
  <c r="I472"/>
  <c r="K472"/>
  <c r="J472" s="1"/>
  <c r="G473"/>
  <c r="I473"/>
  <c r="K473"/>
  <c r="J473" s="1"/>
  <c r="G474"/>
  <c r="I474"/>
  <c r="K474"/>
  <c r="J474" s="1"/>
  <c r="G475"/>
  <c r="I475"/>
  <c r="K475"/>
  <c r="J475" s="1"/>
  <c r="G476"/>
  <c r="I476"/>
  <c r="K476"/>
  <c r="J476" s="1"/>
  <c r="G477"/>
  <c r="I477"/>
  <c r="N37" s="1"/>
  <c r="AD37" s="1"/>
  <c r="K477"/>
  <c r="P37" s="1"/>
  <c r="G479"/>
  <c r="I479"/>
  <c r="K479"/>
  <c r="J479" s="1"/>
  <c r="G480"/>
  <c r="I480"/>
  <c r="K480"/>
  <c r="J480" s="1"/>
  <c r="G481"/>
  <c r="I481"/>
  <c r="K481"/>
  <c r="J481" s="1"/>
  <c r="G482"/>
  <c r="I482"/>
  <c r="I483" s="1"/>
  <c r="I484" s="1"/>
  <c r="I485" s="1"/>
  <c r="I486" s="1"/>
  <c r="I487" s="1"/>
  <c r="N38" s="1"/>
  <c r="AD38" s="1"/>
  <c r="G483"/>
  <c r="G484"/>
  <c r="G485"/>
  <c r="G486"/>
  <c r="G487"/>
  <c r="I489"/>
  <c r="K489"/>
  <c r="J489" s="1"/>
  <c r="I490"/>
  <c r="K490"/>
  <c r="J490" s="1"/>
  <c r="I491"/>
  <c r="K491"/>
  <c r="J491" s="1"/>
  <c r="G492"/>
  <c r="I492"/>
  <c r="K492"/>
  <c r="J492" s="1"/>
  <c r="G493"/>
  <c r="I493"/>
  <c r="K493"/>
  <c r="J493" s="1"/>
  <c r="G494"/>
  <c r="I494"/>
  <c r="K494"/>
  <c r="J494" s="1"/>
  <c r="G495"/>
  <c r="I495"/>
  <c r="K495"/>
  <c r="J495" s="1"/>
  <c r="G496"/>
  <c r="I496"/>
  <c r="K496"/>
  <c r="J496" s="1"/>
  <c r="G497"/>
  <c r="I497"/>
  <c r="N39" s="1"/>
  <c r="AD39" s="1"/>
  <c r="K497"/>
  <c r="P39" s="1"/>
  <c r="I499"/>
  <c r="K499"/>
  <c r="J499" s="1"/>
  <c r="I500"/>
  <c r="K500"/>
  <c r="J500" s="1"/>
  <c r="G501"/>
  <c r="I501"/>
  <c r="K501"/>
  <c r="J501" s="1"/>
  <c r="G502"/>
  <c r="I502"/>
  <c r="K502"/>
  <c r="J502" s="1"/>
  <c r="G503"/>
  <c r="I503"/>
  <c r="K503"/>
  <c r="J503" s="1"/>
  <c r="G504"/>
  <c r="I504"/>
  <c r="K504"/>
  <c r="J504" s="1"/>
  <c r="G505"/>
  <c r="I505"/>
  <c r="K505"/>
  <c r="J505" s="1"/>
  <c r="G506"/>
  <c r="I506"/>
  <c r="K506"/>
  <c r="J506" s="1"/>
  <c r="G507"/>
  <c r="I507"/>
  <c r="N40" s="1"/>
  <c r="AD40" s="1"/>
  <c r="K507"/>
  <c r="P40" s="1"/>
  <c r="I509"/>
  <c r="K509"/>
  <c r="J509" s="1"/>
  <c r="I510"/>
  <c r="K510"/>
  <c r="J510" s="1"/>
  <c r="G511"/>
  <c r="I511"/>
  <c r="K511"/>
  <c r="J511" s="1"/>
  <c r="G512"/>
  <c r="I512"/>
  <c r="K512"/>
  <c r="J512" s="1"/>
  <c r="G513"/>
  <c r="I513"/>
  <c r="K513"/>
  <c r="J513" s="1"/>
  <c r="G514"/>
  <c r="I514"/>
  <c r="K514"/>
  <c r="J514" s="1"/>
  <c r="G515"/>
  <c r="I515"/>
  <c r="K515"/>
  <c r="J515" s="1"/>
  <c r="G516"/>
  <c r="I516"/>
  <c r="K516"/>
  <c r="J516" s="1"/>
  <c r="G517"/>
  <c r="I517"/>
  <c r="N41" s="1"/>
  <c r="AD41" s="1"/>
  <c r="K517"/>
  <c r="P41" s="1"/>
  <c r="I519"/>
  <c r="K519"/>
  <c r="J519" s="1"/>
  <c r="G520"/>
  <c r="I520"/>
  <c r="K520"/>
  <c r="J520" s="1"/>
  <c r="G521"/>
  <c r="I521"/>
  <c r="K521"/>
  <c r="J521" s="1"/>
  <c r="G522"/>
  <c r="I522"/>
  <c r="K522"/>
  <c r="J522" s="1"/>
  <c r="G523"/>
  <c r="I523"/>
  <c r="K523"/>
  <c r="J523" s="1"/>
  <c r="G524"/>
  <c r="I524"/>
  <c r="K524"/>
  <c r="J524" s="1"/>
  <c r="G525"/>
  <c r="I525"/>
  <c r="K525"/>
  <c r="J525" s="1"/>
  <c r="G526"/>
  <c r="I526"/>
  <c r="K526"/>
  <c r="J526" s="1"/>
  <c r="G527"/>
  <c r="I527"/>
  <c r="N42" s="1"/>
  <c r="AD42" s="1"/>
  <c r="K527"/>
  <c r="P42" s="1"/>
  <c r="I529"/>
  <c r="K529"/>
  <c r="J529" s="1"/>
  <c r="I530"/>
  <c r="K530"/>
  <c r="J530" s="1"/>
  <c r="G531"/>
  <c r="I531"/>
  <c r="K531"/>
  <c r="J531" s="1"/>
  <c r="G532"/>
  <c r="I532"/>
  <c r="G542"/>
  <c r="I544"/>
  <c r="K544"/>
  <c r="J544" s="1"/>
  <c r="G545"/>
  <c r="I545"/>
  <c r="K545"/>
  <c r="J545" s="1"/>
  <c r="G546"/>
  <c r="I546"/>
  <c r="K546"/>
  <c r="J546" s="1"/>
  <c r="G547"/>
  <c r="I547"/>
  <c r="K547"/>
  <c r="J547" s="1"/>
  <c r="G548"/>
  <c r="I548"/>
  <c r="K548"/>
  <c r="J548" s="1"/>
  <c r="G549"/>
  <c r="I549"/>
  <c r="K549"/>
  <c r="J549" s="1"/>
  <c r="G550"/>
  <c r="I550"/>
  <c r="K550"/>
  <c r="J550" s="1"/>
  <c r="G551"/>
  <c r="I551"/>
  <c r="K551"/>
  <c r="J551" s="1"/>
  <c r="G552"/>
  <c r="I552"/>
  <c r="N44" s="1"/>
  <c r="AD44" s="1"/>
  <c r="K552"/>
  <c r="P44" s="1"/>
  <c r="I554"/>
  <c r="K554"/>
  <c r="J554" s="1"/>
  <c r="G555"/>
  <c r="I555"/>
  <c r="K555"/>
  <c r="J555" s="1"/>
  <c r="G556"/>
  <c r="I556"/>
  <c r="I557" s="1"/>
  <c r="I558" s="1"/>
  <c r="I559" s="1"/>
  <c r="I560" s="1"/>
  <c r="I561" s="1"/>
  <c r="I562" s="1"/>
  <c r="N45" s="1"/>
  <c r="AD45" s="1"/>
  <c r="K556"/>
  <c r="G557"/>
  <c r="K557"/>
  <c r="G558"/>
  <c r="K558"/>
  <c r="G559"/>
  <c r="K559"/>
  <c r="G560"/>
  <c r="K560"/>
  <c r="G561"/>
  <c r="K561"/>
  <c r="G562"/>
  <c r="K562"/>
  <c r="P45" s="1"/>
  <c r="I564"/>
  <c r="K564"/>
  <c r="J564" s="1"/>
  <c r="G565"/>
  <c r="I565"/>
  <c r="K565"/>
  <c r="J565" s="1"/>
  <c r="G566"/>
  <c r="I566"/>
  <c r="K566"/>
  <c r="J566" s="1"/>
  <c r="G567"/>
  <c r="I567"/>
  <c r="K567"/>
  <c r="J567" s="1"/>
  <c r="G568"/>
  <c r="I568"/>
  <c r="K568"/>
  <c r="J568" s="1"/>
  <c r="G569"/>
  <c r="I569"/>
  <c r="K569"/>
  <c r="J569" s="1"/>
  <c r="G570"/>
  <c r="I570"/>
  <c r="K570"/>
  <c r="J570" s="1"/>
  <c r="G571"/>
  <c r="I571"/>
  <c r="K571"/>
  <c r="J571" s="1"/>
  <c r="G572"/>
  <c r="I572"/>
  <c r="N46" s="1"/>
  <c r="AD46" s="1"/>
  <c r="K572"/>
  <c r="P46" s="1"/>
  <c r="I574"/>
  <c r="K574"/>
  <c r="J574" s="1"/>
  <c r="G575"/>
  <c r="I575"/>
  <c r="K575"/>
  <c r="J575" s="1"/>
  <c r="G576"/>
  <c r="I576"/>
  <c r="K576"/>
  <c r="J576" s="1"/>
  <c r="G577"/>
  <c r="I577"/>
  <c r="K577"/>
  <c r="J577" s="1"/>
  <c r="G578"/>
  <c r="I578"/>
  <c r="K578"/>
  <c r="J578" s="1"/>
  <c r="G579"/>
  <c r="I579"/>
  <c r="K579"/>
  <c r="J579" s="1"/>
  <c r="G580"/>
  <c r="I580"/>
  <c r="K580"/>
  <c r="J580" s="1"/>
  <c r="G581"/>
  <c r="I581"/>
  <c r="K581"/>
  <c r="J581" s="1"/>
  <c r="G582"/>
  <c r="I582"/>
  <c r="N47" s="1"/>
  <c r="AD47" s="1"/>
  <c r="K582"/>
  <c r="P47" s="1"/>
  <c r="I584"/>
  <c r="K584"/>
  <c r="J584" s="1"/>
  <c r="G585"/>
  <c r="I585"/>
  <c r="K585"/>
  <c r="J585" s="1"/>
  <c r="G586"/>
  <c r="I586"/>
  <c r="K586"/>
  <c r="J586" s="1"/>
  <c r="G587"/>
  <c r="I587"/>
  <c r="K587"/>
  <c r="J587" s="1"/>
  <c r="G588"/>
  <c r="I588"/>
  <c r="K588"/>
  <c r="J588" s="1"/>
  <c r="G589"/>
  <c r="I589"/>
  <c r="K589"/>
  <c r="J589" s="1"/>
  <c r="G590"/>
  <c r="I590"/>
  <c r="K590"/>
  <c r="J590" s="1"/>
  <c r="G591"/>
  <c r="I591"/>
  <c r="K591"/>
  <c r="J591" s="1"/>
  <c r="G592"/>
  <c r="I592"/>
  <c r="N48" s="1"/>
  <c r="AD48" s="1"/>
  <c r="K592"/>
  <c r="P48" s="1"/>
  <c r="I594"/>
  <c r="K594"/>
  <c r="J594" s="1"/>
  <c r="I595"/>
  <c r="K595"/>
  <c r="J595" s="1"/>
  <c r="I596"/>
  <c r="K596"/>
  <c r="J596" s="1"/>
  <c r="G597"/>
  <c r="I597"/>
  <c r="K597"/>
  <c r="J597" s="1"/>
  <c r="G598"/>
  <c r="I598"/>
  <c r="K598"/>
  <c r="J598" s="1"/>
  <c r="G599"/>
  <c r="I599"/>
  <c r="K599"/>
  <c r="J599" s="1"/>
  <c r="G600"/>
  <c r="I600"/>
  <c r="K600"/>
  <c r="J600" s="1"/>
  <c r="G601"/>
  <c r="I601"/>
  <c r="K601"/>
  <c r="J601" s="1"/>
  <c r="G602"/>
  <c r="I602"/>
  <c r="N49" s="1"/>
  <c r="AD49" s="1"/>
  <c r="K602"/>
  <c r="P49" s="1"/>
  <c r="M24"/>
  <c r="M23"/>
  <c r="M22"/>
  <c r="M21"/>
  <c r="M20"/>
  <c r="M19"/>
  <c r="F118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M18"/>
  <c r="M17"/>
  <c r="M16"/>
  <c r="M15"/>
  <c r="M14"/>
  <c r="M12"/>
  <c r="M13"/>
  <c r="M11"/>
  <c r="M10"/>
  <c r="M9"/>
  <c r="M8"/>
  <c r="M7"/>
  <c r="M6"/>
  <c r="M5"/>
  <c r="M4"/>
  <c r="F196"/>
  <c r="G176"/>
  <c r="G9"/>
  <c r="F117"/>
  <c r="G37"/>
  <c r="I37"/>
  <c r="K37"/>
  <c r="J37" s="1"/>
  <c r="G38"/>
  <c r="I38"/>
  <c r="I39" s="1"/>
  <c r="I40" s="1"/>
  <c r="I41" s="1"/>
  <c r="I42" s="1"/>
  <c r="I43" s="1"/>
  <c r="I44" s="1"/>
  <c r="I45" s="1"/>
  <c r="K38"/>
  <c r="G39"/>
  <c r="G40"/>
  <c r="G41"/>
  <c r="G42"/>
  <c r="G43"/>
  <c r="G44"/>
  <c r="G45"/>
  <c r="N5"/>
  <c r="AD5" s="1"/>
  <c r="G47"/>
  <c r="I47"/>
  <c r="K47"/>
  <c r="J47" s="1"/>
  <c r="G48"/>
  <c r="I48"/>
  <c r="K48"/>
  <c r="J48" s="1"/>
  <c r="G49"/>
  <c r="I49"/>
  <c r="I50" s="1"/>
  <c r="I51" s="1"/>
  <c r="I52" s="1"/>
  <c r="I53" s="1"/>
  <c r="I54" s="1"/>
  <c r="I55" s="1"/>
  <c r="K49"/>
  <c r="G50"/>
  <c r="G51"/>
  <c r="G52"/>
  <c r="G53"/>
  <c r="G54"/>
  <c r="G55"/>
  <c r="N6"/>
  <c r="AD6" s="1"/>
  <c r="G57"/>
  <c r="I57"/>
  <c r="K57"/>
  <c r="J57" s="1"/>
  <c r="G58"/>
  <c r="I58"/>
  <c r="I59" s="1"/>
  <c r="I60" s="1"/>
  <c r="I61" s="1"/>
  <c r="I62" s="1"/>
  <c r="I63" s="1"/>
  <c r="I64" s="1"/>
  <c r="I65" s="1"/>
  <c r="K58"/>
  <c r="G59"/>
  <c r="G60"/>
  <c r="G61"/>
  <c r="G62"/>
  <c r="G63"/>
  <c r="G64"/>
  <c r="G65"/>
  <c r="N7"/>
  <c r="AD7" s="1"/>
  <c r="G67"/>
  <c r="I67"/>
  <c r="K67"/>
  <c r="J67" s="1"/>
  <c r="G68"/>
  <c r="I68"/>
  <c r="I69" s="1"/>
  <c r="I70" s="1"/>
  <c r="I71" s="1"/>
  <c r="I72" s="1"/>
  <c r="I73" s="1"/>
  <c r="I74" s="1"/>
  <c r="I75" s="1"/>
  <c r="K68"/>
  <c r="G69"/>
  <c r="G70"/>
  <c r="G71"/>
  <c r="G72"/>
  <c r="G73"/>
  <c r="G74"/>
  <c r="G75"/>
  <c r="N8"/>
  <c r="AD8" s="1"/>
  <c r="G77"/>
  <c r="I77"/>
  <c r="K77"/>
  <c r="J77" s="1"/>
  <c r="G78"/>
  <c r="I78"/>
  <c r="K78"/>
  <c r="J78" s="1"/>
  <c r="G79"/>
  <c r="I79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K79"/>
  <c r="G102"/>
  <c r="I102"/>
  <c r="K102"/>
  <c r="J102" s="1"/>
  <c r="G103"/>
  <c r="I103"/>
  <c r="K103"/>
  <c r="J103" s="1"/>
  <c r="I104"/>
  <c r="K104"/>
  <c r="J104" s="1"/>
  <c r="I105"/>
  <c r="K105"/>
  <c r="J105" s="1"/>
  <c r="I106"/>
  <c r="I107" s="1"/>
  <c r="I108" s="1"/>
  <c r="I109" s="1"/>
  <c r="I110" s="1"/>
  <c r="I111" s="1"/>
  <c r="I112" s="1"/>
  <c r="I113" s="1"/>
  <c r="I114" s="1"/>
  <c r="I115" s="1"/>
  <c r="K106"/>
  <c r="G115"/>
  <c r="N10"/>
  <c r="AD10" s="1"/>
  <c r="G117"/>
  <c r="I117"/>
  <c r="K117"/>
  <c r="J117" s="1"/>
  <c r="G118"/>
  <c r="I118"/>
  <c r="K118"/>
  <c r="J118" s="1"/>
  <c r="G119"/>
  <c r="I119"/>
  <c r="K119"/>
  <c r="J119" s="1"/>
  <c r="G120"/>
  <c r="I120"/>
  <c r="K120"/>
  <c r="J120" s="1"/>
  <c r="G121"/>
  <c r="I121"/>
  <c r="K121"/>
  <c r="J121" s="1"/>
  <c r="G122"/>
  <c r="I122"/>
  <c r="K122"/>
  <c r="J122" s="1"/>
  <c r="G123"/>
  <c r="I123"/>
  <c r="K123"/>
  <c r="J123" s="1"/>
  <c r="G124"/>
  <c r="I124"/>
  <c r="K124"/>
  <c r="J124" s="1"/>
  <c r="G125"/>
  <c r="I125"/>
  <c r="N11" s="1"/>
  <c r="AD11" s="1"/>
  <c r="K125"/>
  <c r="G127"/>
  <c r="I127"/>
  <c r="K127"/>
  <c r="J127" s="1"/>
  <c r="G128"/>
  <c r="I128"/>
  <c r="K128"/>
  <c r="J128" s="1"/>
  <c r="G129"/>
  <c r="I129"/>
  <c r="K129"/>
  <c r="J129" s="1"/>
  <c r="G130"/>
  <c r="I130"/>
  <c r="K130"/>
  <c r="J130" s="1"/>
  <c r="G131"/>
  <c r="I131"/>
  <c r="K131"/>
  <c r="J131" s="1"/>
  <c r="G132"/>
  <c r="I132"/>
  <c r="K132"/>
  <c r="J132" s="1"/>
  <c r="G133"/>
  <c r="I133"/>
  <c r="K133"/>
  <c r="J133" s="1"/>
  <c r="G134"/>
  <c r="I134"/>
  <c r="K134"/>
  <c r="J134" s="1"/>
  <c r="G135"/>
  <c r="I135"/>
  <c r="N12" s="1"/>
  <c r="AD12" s="1"/>
  <c r="K135"/>
  <c r="G137"/>
  <c r="I137"/>
  <c r="K137"/>
  <c r="J137" s="1"/>
  <c r="G138"/>
  <c r="I138"/>
  <c r="K138"/>
  <c r="J138" s="1"/>
  <c r="G139"/>
  <c r="I139"/>
  <c r="K139"/>
  <c r="J139" s="1"/>
  <c r="G140"/>
  <c r="I140"/>
  <c r="K140"/>
  <c r="J140" s="1"/>
  <c r="G141"/>
  <c r="I141"/>
  <c r="K141"/>
  <c r="J141" s="1"/>
  <c r="G142"/>
  <c r="I142"/>
  <c r="K142"/>
  <c r="J142" s="1"/>
  <c r="G143"/>
  <c r="I143"/>
  <c r="K143"/>
  <c r="J143" s="1"/>
  <c r="G144"/>
  <c r="I144"/>
  <c r="K144"/>
  <c r="J144" s="1"/>
  <c r="G145"/>
  <c r="I145"/>
  <c r="N13" s="1"/>
  <c r="AD13" s="1"/>
  <c r="K145"/>
  <c r="G147"/>
  <c r="I147"/>
  <c r="K147"/>
  <c r="J147" s="1"/>
  <c r="G148"/>
  <c r="I148"/>
  <c r="K148"/>
  <c r="J148" s="1"/>
  <c r="G149"/>
  <c r="I149"/>
  <c r="K149"/>
  <c r="J149" s="1"/>
  <c r="I150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K150"/>
  <c r="N14"/>
  <c r="AD14" s="1"/>
  <c r="I176"/>
  <c r="K176"/>
  <c r="J176" s="1"/>
  <c r="G177"/>
  <c r="I177"/>
  <c r="K177"/>
  <c r="J177" s="1"/>
  <c r="G178"/>
  <c r="I178"/>
  <c r="K178"/>
  <c r="J178" s="1"/>
  <c r="G179"/>
  <c r="I179"/>
  <c r="K179"/>
  <c r="J179" s="1"/>
  <c r="G180"/>
  <c r="I180"/>
  <c r="K180"/>
  <c r="J180" s="1"/>
  <c r="G181"/>
  <c r="I181"/>
  <c r="K181"/>
  <c r="J181" s="1"/>
  <c r="G182"/>
  <c r="I182"/>
  <c r="K182"/>
  <c r="J182" s="1"/>
  <c r="G183"/>
  <c r="I183"/>
  <c r="K183"/>
  <c r="J183" s="1"/>
  <c r="G184"/>
  <c r="I184"/>
  <c r="N15" s="1"/>
  <c r="AD15" s="1"/>
  <c r="K184"/>
  <c r="G186"/>
  <c r="I186"/>
  <c r="K186"/>
  <c r="J186" s="1"/>
  <c r="G187"/>
  <c r="I187"/>
  <c r="K187"/>
  <c r="J187" s="1"/>
  <c r="G188"/>
  <c r="I188"/>
  <c r="K188"/>
  <c r="J188" s="1"/>
  <c r="G189"/>
  <c r="I189"/>
  <c r="K189"/>
  <c r="J189" s="1"/>
  <c r="G190"/>
  <c r="I190"/>
  <c r="K190"/>
  <c r="J190" s="1"/>
  <c r="G191"/>
  <c r="I191"/>
  <c r="K191"/>
  <c r="J191" s="1"/>
  <c r="G192"/>
  <c r="I192"/>
  <c r="K192"/>
  <c r="J192" s="1"/>
  <c r="G193"/>
  <c r="I193"/>
  <c r="K193"/>
  <c r="J193" s="1"/>
  <c r="G194"/>
  <c r="I194"/>
  <c r="N16" s="1"/>
  <c r="AD16" s="1"/>
  <c r="K194"/>
  <c r="G196"/>
  <c r="I196"/>
  <c r="K196"/>
  <c r="J196" s="1"/>
  <c r="G197"/>
  <c r="I197"/>
  <c r="K197"/>
  <c r="J197" s="1"/>
  <c r="G198"/>
  <c r="I198"/>
  <c r="K198"/>
  <c r="J198" s="1"/>
  <c r="G199"/>
  <c r="I199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K199"/>
  <c r="G253"/>
  <c r="I253"/>
  <c r="K253"/>
  <c r="J253" s="1"/>
  <c r="G254"/>
  <c r="I254"/>
  <c r="K254"/>
  <c r="J254" s="1"/>
  <c r="G255"/>
  <c r="I255"/>
  <c r="K255"/>
  <c r="J255" s="1"/>
  <c r="G256"/>
  <c r="I256"/>
  <c r="I257" s="1"/>
  <c r="I258" s="1"/>
  <c r="I259" s="1"/>
  <c r="I260" s="1"/>
  <c r="I261" s="1"/>
  <c r="I262" s="1"/>
  <c r="I263" s="1"/>
  <c r="I264" s="1"/>
  <c r="I265" s="1"/>
  <c r="I266" s="1"/>
  <c r="I267" s="1"/>
  <c r="I268" s="1"/>
  <c r="K256"/>
  <c r="G268"/>
  <c r="N18"/>
  <c r="AD18" s="1"/>
  <c r="G270"/>
  <c r="I270"/>
  <c r="K270"/>
  <c r="J270" s="1"/>
  <c r="G271"/>
  <c r="I271"/>
  <c r="K271"/>
  <c r="J271" s="1"/>
  <c r="I272"/>
  <c r="K272"/>
  <c r="J272" s="1"/>
  <c r="G273"/>
  <c r="I273"/>
  <c r="K273"/>
  <c r="J273" s="1"/>
  <c r="G274"/>
  <c r="I274"/>
  <c r="K274"/>
  <c r="J274" s="1"/>
  <c r="G275"/>
  <c r="I275"/>
  <c r="K275"/>
  <c r="J275" s="1"/>
  <c r="G276"/>
  <c r="I276"/>
  <c r="K276"/>
  <c r="J276" s="1"/>
  <c r="G277"/>
  <c r="I277"/>
  <c r="K277"/>
  <c r="J277" s="1"/>
  <c r="G278"/>
  <c r="I278"/>
  <c r="N19" s="1"/>
  <c r="AD19" s="1"/>
  <c r="K278"/>
  <c r="G280"/>
  <c r="I280"/>
  <c r="K280"/>
  <c r="J280" s="1"/>
  <c r="G281"/>
  <c r="I281"/>
  <c r="K281"/>
  <c r="J281" s="1"/>
  <c r="G282"/>
  <c r="I282"/>
  <c r="K282"/>
  <c r="J282" s="1"/>
  <c r="G283"/>
  <c r="I283"/>
  <c r="K283"/>
  <c r="J283" s="1"/>
  <c r="G284"/>
  <c r="I284"/>
  <c r="K284"/>
  <c r="J284" s="1"/>
  <c r="G285"/>
  <c r="I285"/>
  <c r="K285"/>
  <c r="J285" s="1"/>
  <c r="G286"/>
  <c r="I286"/>
  <c r="K286"/>
  <c r="J286" s="1"/>
  <c r="G287"/>
  <c r="I287"/>
  <c r="K287"/>
  <c r="J287" s="1"/>
  <c r="G288"/>
  <c r="I288"/>
  <c r="K288"/>
  <c r="P20" s="1"/>
  <c r="G290"/>
  <c r="I290"/>
  <c r="K290"/>
  <c r="J290" s="1"/>
  <c r="I291"/>
  <c r="I292" s="1"/>
  <c r="I293" s="1"/>
  <c r="I294" s="1"/>
  <c r="I295" s="1"/>
  <c r="I296" s="1"/>
  <c r="I297" s="1"/>
  <c r="I298" s="1"/>
  <c r="K291"/>
  <c r="G295"/>
  <c r="G296"/>
  <c r="N22"/>
  <c r="AD22" s="1"/>
  <c r="G297"/>
  <c r="G298"/>
  <c r="G300"/>
  <c r="I300"/>
  <c r="K300"/>
  <c r="J300" s="1"/>
  <c r="G301"/>
  <c r="I30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N21" s="1"/>
  <c r="AD21" s="1"/>
  <c r="K301"/>
  <c r="G302"/>
  <c r="G303"/>
  <c r="G304"/>
  <c r="G325"/>
  <c r="I325"/>
  <c r="K325"/>
  <c r="J325" s="1"/>
  <c r="G326"/>
  <c r="I326"/>
  <c r="K326"/>
  <c r="J326" s="1"/>
  <c r="G327"/>
  <c r="I327"/>
  <c r="I328" s="1"/>
  <c r="I329" s="1"/>
  <c r="I330" s="1"/>
  <c r="I331" s="1"/>
  <c r="I332" s="1"/>
  <c r="I333" s="1"/>
  <c r="I334" s="1"/>
  <c r="I335" s="1"/>
  <c r="I336" s="1"/>
  <c r="I337" s="1"/>
  <c r="K327"/>
  <c r="N23"/>
  <c r="AD23" s="1"/>
  <c r="G339"/>
  <c r="I339"/>
  <c r="K339"/>
  <c r="J339" s="1"/>
  <c r="I340"/>
  <c r="K340"/>
  <c r="J340" s="1"/>
  <c r="I341"/>
  <c r="K341"/>
  <c r="J341" s="1"/>
  <c r="G342"/>
  <c r="I342"/>
  <c r="K342"/>
  <c r="J342" s="1"/>
  <c r="G343"/>
  <c r="I343"/>
  <c r="K343"/>
  <c r="J343" s="1"/>
  <c r="G344"/>
  <c r="I344"/>
  <c r="K344"/>
  <c r="J344" s="1"/>
  <c r="G345"/>
  <c r="I345"/>
  <c r="K345"/>
  <c r="J345" s="1"/>
  <c r="G346"/>
  <c r="I346"/>
  <c r="K346"/>
  <c r="J346" s="1"/>
  <c r="G347"/>
  <c r="I347"/>
  <c r="N24" s="1"/>
  <c r="AD24" s="1"/>
  <c r="K347"/>
  <c r="P24" s="1"/>
  <c r="G349"/>
  <c r="I349"/>
  <c r="K349"/>
  <c r="J349" s="1"/>
  <c r="G350"/>
  <c r="I350"/>
  <c r="K350"/>
  <c r="J350" s="1"/>
  <c r="G351"/>
  <c r="I351"/>
  <c r="K351"/>
  <c r="J351" s="1"/>
  <c r="G352"/>
  <c r="I352"/>
  <c r="K352"/>
  <c r="J352" s="1"/>
  <c r="G353"/>
  <c r="I353"/>
  <c r="K353"/>
  <c r="J353" s="1"/>
  <c r="G354"/>
  <c r="I354"/>
  <c r="K354"/>
  <c r="J354" s="1"/>
  <c r="G355"/>
  <c r="I355"/>
  <c r="K355"/>
  <c r="J355" s="1"/>
  <c r="G356"/>
  <c r="I356"/>
  <c r="K356"/>
  <c r="J356" s="1"/>
  <c r="G357"/>
  <c r="I357"/>
  <c r="N25" s="1"/>
  <c r="AD25" s="1"/>
  <c r="K357"/>
  <c r="P25" s="1"/>
  <c r="G359"/>
  <c r="I359"/>
  <c r="K359"/>
  <c r="J359" s="1"/>
  <c r="G360"/>
  <c r="I360"/>
  <c r="K360"/>
  <c r="J360" s="1"/>
  <c r="G361"/>
  <c r="I361"/>
  <c r="K361"/>
  <c r="J361" s="1"/>
  <c r="G362"/>
  <c r="I362"/>
  <c r="K362"/>
  <c r="J362" s="1"/>
  <c r="G363"/>
  <c r="I363"/>
  <c r="K363"/>
  <c r="J363" s="1"/>
  <c r="G364"/>
  <c r="I364"/>
  <c r="K364"/>
  <c r="J364" s="1"/>
  <c r="G365"/>
  <c r="I365"/>
  <c r="K365"/>
  <c r="J365" s="1"/>
  <c r="G366"/>
  <c r="I366"/>
  <c r="K366"/>
  <c r="J366" s="1"/>
  <c r="G367"/>
  <c r="I367"/>
  <c r="N26" s="1"/>
  <c r="AD26" s="1"/>
  <c r="K367"/>
  <c r="P26" s="1"/>
  <c r="G10"/>
  <c r="G11"/>
  <c r="G12"/>
  <c r="G13"/>
  <c r="K8"/>
  <c r="K9" s="1"/>
  <c r="K10" s="1"/>
  <c r="I8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E15" i="14"/>
  <c r="F19" i="16"/>
  <c r="F28" i="19"/>
  <c r="AJ17" i="74"/>
  <c r="AJ16"/>
  <c r="AJ15"/>
  <c r="AJ14"/>
  <c r="AJ13"/>
  <c r="Q317"/>
  <c r="M224"/>
  <c r="M226" s="1"/>
  <c r="H224"/>
  <c r="H226" s="1"/>
  <c r="O208"/>
  <c r="I208"/>
  <c r="N208" s="1"/>
  <c r="O207"/>
  <c r="I207"/>
  <c r="N207" s="1"/>
  <c r="O206"/>
  <c r="I206"/>
  <c r="N206" s="1"/>
  <c r="O205"/>
  <c r="I205"/>
  <c r="N205" s="1"/>
  <c r="O204"/>
  <c r="I204"/>
  <c r="N204" s="1"/>
  <c r="O203"/>
  <c r="I203"/>
  <c r="N203" s="1"/>
  <c r="O202"/>
  <c r="I202"/>
  <c r="N202" s="1"/>
  <c r="O201"/>
  <c r="I201"/>
  <c r="I224" s="1"/>
  <c r="I226" s="1"/>
  <c r="P200"/>
  <c r="P224" s="1"/>
  <c r="P226" s="1"/>
  <c r="O200"/>
  <c r="O224" s="1"/>
  <c r="O226" s="1"/>
  <c r="N200"/>
  <c r="L200"/>
  <c r="K200"/>
  <c r="J200"/>
  <c r="M176"/>
  <c r="M178" s="1"/>
  <c r="H176"/>
  <c r="H178" s="1"/>
  <c r="O160"/>
  <c r="I160"/>
  <c r="N160" s="1"/>
  <c r="O159"/>
  <c r="I159"/>
  <c r="N159" s="1"/>
  <c r="O158"/>
  <c r="I158"/>
  <c r="N158" s="1"/>
  <c r="O157"/>
  <c r="I157"/>
  <c r="N157" s="1"/>
  <c r="O156"/>
  <c r="I156"/>
  <c r="N156" s="1"/>
  <c r="O155"/>
  <c r="I155"/>
  <c r="N155" s="1"/>
  <c r="O154"/>
  <c r="I154"/>
  <c r="N154" s="1"/>
  <c r="O153"/>
  <c r="I153"/>
  <c r="I176" s="1"/>
  <c r="I178" s="1"/>
  <c r="P152"/>
  <c r="P176" s="1"/>
  <c r="P178" s="1"/>
  <c r="O152"/>
  <c r="O176" s="1"/>
  <c r="O178" s="1"/>
  <c r="N152"/>
  <c r="L152"/>
  <c r="K152"/>
  <c r="J152"/>
  <c r="M128"/>
  <c r="M130" s="1"/>
  <c r="H128"/>
  <c r="H130" s="1"/>
  <c r="O113"/>
  <c r="I113"/>
  <c r="N113" s="1"/>
  <c r="O112"/>
  <c r="I112"/>
  <c r="N112" s="1"/>
  <c r="O111"/>
  <c r="I111"/>
  <c r="N111" s="1"/>
  <c r="O110"/>
  <c r="I110"/>
  <c r="N110" s="1"/>
  <c r="O109"/>
  <c r="I109"/>
  <c r="N109" s="1"/>
  <c r="O108"/>
  <c r="I108"/>
  <c r="N108" s="1"/>
  <c r="O107"/>
  <c r="I107"/>
  <c r="N107" s="1"/>
  <c r="O106"/>
  <c r="I106"/>
  <c r="N106" s="1"/>
  <c r="O105"/>
  <c r="I105"/>
  <c r="I128" s="1"/>
  <c r="I130" s="1"/>
  <c r="P104"/>
  <c r="P128" s="1"/>
  <c r="P130" s="1"/>
  <c r="O104"/>
  <c r="O128" s="1"/>
  <c r="O130" s="1"/>
  <c r="N104"/>
  <c r="L104"/>
  <c r="K104"/>
  <c r="J104"/>
  <c r="M80"/>
  <c r="M82" s="1"/>
  <c r="H80"/>
  <c r="H82" s="1"/>
  <c r="O65"/>
  <c r="I65"/>
  <c r="N65" s="1"/>
  <c r="O64"/>
  <c r="I64"/>
  <c r="N64" s="1"/>
  <c r="O63"/>
  <c r="I63"/>
  <c r="N63" s="1"/>
  <c r="O62"/>
  <c r="I62"/>
  <c r="N62" s="1"/>
  <c r="O61"/>
  <c r="I61"/>
  <c r="N61" s="1"/>
  <c r="O60"/>
  <c r="I60"/>
  <c r="N60" s="1"/>
  <c r="O59"/>
  <c r="I59"/>
  <c r="N59" s="1"/>
  <c r="O58"/>
  <c r="I58"/>
  <c r="N58" s="1"/>
  <c r="O57"/>
  <c r="I57"/>
  <c r="I80" s="1"/>
  <c r="I82" s="1"/>
  <c r="P56"/>
  <c r="P80" s="1"/>
  <c r="P82" s="1"/>
  <c r="O56"/>
  <c r="O80" s="1"/>
  <c r="O82" s="1"/>
  <c r="N56"/>
  <c r="L56"/>
  <c r="K56"/>
  <c r="J56"/>
  <c r="M32"/>
  <c r="M34" s="1"/>
  <c r="H32"/>
  <c r="H34" s="1"/>
  <c r="O25"/>
  <c r="I25"/>
  <c r="N25" s="1"/>
  <c r="O24"/>
  <c r="I24"/>
  <c r="N24" s="1"/>
  <c r="O23"/>
  <c r="I23"/>
  <c r="N23" s="1"/>
  <c r="O22"/>
  <c r="I22"/>
  <c r="N22" s="1"/>
  <c r="O21"/>
  <c r="I21"/>
  <c r="N21" s="1"/>
  <c r="O20"/>
  <c r="I20"/>
  <c r="N20" s="1"/>
  <c r="O19"/>
  <c r="I19"/>
  <c r="N19" s="1"/>
  <c r="O18"/>
  <c r="I18"/>
  <c r="N18" s="1"/>
  <c r="O17"/>
  <c r="I17"/>
  <c r="N17" s="1"/>
  <c r="O16"/>
  <c r="I16"/>
  <c r="O15"/>
  <c r="I15"/>
  <c r="N15" s="1"/>
  <c r="O14"/>
  <c r="I14"/>
  <c r="N14" s="1"/>
  <c r="O13"/>
  <c r="I13"/>
  <c r="N13" s="1"/>
  <c r="O12"/>
  <c r="I12"/>
  <c r="N12" s="1"/>
  <c r="O11"/>
  <c r="I11"/>
  <c r="N11" s="1"/>
  <c r="O10"/>
  <c r="I10"/>
  <c r="N10" s="1"/>
  <c r="O9"/>
  <c r="I9"/>
  <c r="N9" s="1"/>
  <c r="O8"/>
  <c r="I8"/>
  <c r="I32" s="1"/>
  <c r="I34" s="1"/>
  <c r="P7"/>
  <c r="P32" s="1"/>
  <c r="P34" s="1"/>
  <c r="O7"/>
  <c r="O32" s="1"/>
  <c r="O34" s="1"/>
  <c r="N7"/>
  <c r="L7"/>
  <c r="K7"/>
  <c r="J7"/>
  <c r="AN14" i="85"/>
  <c r="J15" i="51" s="1"/>
  <c r="AO14" i="85"/>
  <c r="K15" i="51" s="1"/>
  <c r="AP14" i="85"/>
  <c r="L15" i="51" s="1"/>
  <c r="AQ14" i="85"/>
  <c r="M15" i="51" s="1"/>
  <c r="AR14" i="85"/>
  <c r="N15" i="51" s="1"/>
  <c r="AD7" i="92" s="1"/>
  <c r="AS14" i="85"/>
  <c r="O15" i="51" s="1"/>
  <c r="AT14" i="85"/>
  <c r="P15" i="51" s="1"/>
  <c r="AU14" i="85"/>
  <c r="Q15" i="51" s="1"/>
  <c r="AV14" i="85"/>
  <c r="R15" i="51" s="1"/>
  <c r="AW14" i="85"/>
  <c r="S15" i="51" s="1"/>
  <c r="AM14" i="85"/>
  <c r="AK13"/>
  <c r="G14" i="51" s="1"/>
  <c r="AL13" i="85"/>
  <c r="H14" i="51" s="1"/>
  <c r="AE184" i="85"/>
  <c r="AD184"/>
  <c r="AC184"/>
  <c r="AB184"/>
  <c r="Z184"/>
  <c r="Y184"/>
  <c r="X184"/>
  <c r="W184"/>
  <c r="V184"/>
  <c r="U184"/>
  <c r="AM17" s="1"/>
  <c r="AA183"/>
  <c r="T183"/>
  <c r="AA182"/>
  <c r="T182"/>
  <c r="AA181"/>
  <c r="T181"/>
  <c r="AA180"/>
  <c r="T180"/>
  <c r="AA179"/>
  <c r="T179"/>
  <c r="AA178"/>
  <c r="T178"/>
  <c r="AA177"/>
  <c r="T177"/>
  <c r="AA176"/>
  <c r="T176"/>
  <c r="AA175"/>
  <c r="T175"/>
  <c r="AA174"/>
  <c r="T174"/>
  <c r="AA173"/>
  <c r="T173"/>
  <c r="AA172"/>
  <c r="T172"/>
  <c r="AA171"/>
  <c r="T171"/>
  <c r="AA170"/>
  <c r="T170"/>
  <c r="AA169"/>
  <c r="T169"/>
  <c r="AA168"/>
  <c r="T168"/>
  <c r="AA167"/>
  <c r="T167"/>
  <c r="AA166"/>
  <c r="T166"/>
  <c r="AA165"/>
  <c r="T165"/>
  <c r="AA164"/>
  <c r="T164"/>
  <c r="AA163"/>
  <c r="T163"/>
  <c r="AA162"/>
  <c r="T162"/>
  <c r="AA161"/>
  <c r="T161"/>
  <c r="AA160"/>
  <c r="T160"/>
  <c r="AA159"/>
  <c r="T159"/>
  <c r="AA158"/>
  <c r="T158"/>
  <c r="AA157"/>
  <c r="T157"/>
  <c r="AA156"/>
  <c r="T156"/>
  <c r="AA155"/>
  <c r="T155"/>
  <c r="AA154"/>
  <c r="T154"/>
  <c r="AA153"/>
  <c r="T153"/>
  <c r="AA152"/>
  <c r="T152"/>
  <c r="AA151"/>
  <c r="T151"/>
  <c r="AA150"/>
  <c r="T150"/>
  <c r="M150"/>
  <c r="L150"/>
  <c r="J150"/>
  <c r="I150"/>
  <c r="H150"/>
  <c r="AG17" s="1"/>
  <c r="C18" i="51" s="1"/>
  <c r="AA149" i="85"/>
  <c r="AA184" s="1"/>
  <c r="K149"/>
  <c r="K150" s="1"/>
  <c r="AE134"/>
  <c r="AD134"/>
  <c r="AC134"/>
  <c r="AB134"/>
  <c r="Z134"/>
  <c r="Y134"/>
  <c r="X134"/>
  <c r="W134"/>
  <c r="V134"/>
  <c r="U134"/>
  <c r="AM16" s="1"/>
  <c r="AA133"/>
  <c r="T133" s="1"/>
  <c r="AA132"/>
  <c r="T132" s="1"/>
  <c r="AA131"/>
  <c r="T131" s="1"/>
  <c r="AA130"/>
  <c r="T130" s="1"/>
  <c r="AA129"/>
  <c r="T129" s="1"/>
  <c r="AA128"/>
  <c r="T128" s="1"/>
  <c r="AA127"/>
  <c r="T127" s="1"/>
  <c r="AA126"/>
  <c r="T126" s="1"/>
  <c r="AA125"/>
  <c r="T125" s="1"/>
  <c r="AA124"/>
  <c r="T124" s="1"/>
  <c r="AA123"/>
  <c r="T123" s="1"/>
  <c r="AA122"/>
  <c r="T122" s="1"/>
  <c r="AA121"/>
  <c r="T121" s="1"/>
  <c r="AA120"/>
  <c r="T120" s="1"/>
  <c r="AA119"/>
  <c r="T119" s="1"/>
  <c r="AA118"/>
  <c r="T118" s="1"/>
  <c r="AA117"/>
  <c r="T117" s="1"/>
  <c r="M117"/>
  <c r="L117"/>
  <c r="K117"/>
  <c r="J117"/>
  <c r="I117"/>
  <c r="H117"/>
  <c r="AG16" s="1"/>
  <c r="C17" i="51" s="1"/>
  <c r="G117" i="85"/>
  <c r="AA116"/>
  <c r="AA134" s="1"/>
  <c r="T116"/>
  <c r="AE92"/>
  <c r="AW15" s="1"/>
  <c r="S16" i="51" s="1"/>
  <c r="AD92" i="85"/>
  <c r="AV15" s="1"/>
  <c r="R16" i="51" s="1"/>
  <c r="AC92" i="85"/>
  <c r="AU15" s="1"/>
  <c r="Q16" i="51" s="1"/>
  <c r="AB92" i="85"/>
  <c r="AT15" s="1"/>
  <c r="P16" i="51" s="1"/>
  <c r="Z92" i="85"/>
  <c r="AR15" s="1"/>
  <c r="N16" i="51" s="1"/>
  <c r="Y92" i="85"/>
  <c r="AQ15" s="1"/>
  <c r="M16" i="51" s="1"/>
  <c r="X92" i="85"/>
  <c r="AP15" s="1"/>
  <c r="L16" i="51" s="1"/>
  <c r="W92" i="85"/>
  <c r="AO15" s="1"/>
  <c r="K16" i="51" s="1"/>
  <c r="V92" i="85"/>
  <c r="AN15" s="1"/>
  <c r="J16" i="51" s="1"/>
  <c r="U92" i="85"/>
  <c r="AM15" s="1"/>
  <c r="AA91"/>
  <c r="T91"/>
  <c r="AA90"/>
  <c r="T90"/>
  <c r="AA89"/>
  <c r="T89"/>
  <c r="AA88"/>
  <c r="T88"/>
  <c r="AA87"/>
  <c r="T87"/>
  <c r="AA86"/>
  <c r="T86"/>
  <c r="AA85"/>
  <c r="T85"/>
  <c r="AA84"/>
  <c r="T84"/>
  <c r="AA83"/>
  <c r="T83"/>
  <c r="AA82"/>
  <c r="T82"/>
  <c r="M82"/>
  <c r="L82"/>
  <c r="J82"/>
  <c r="I82"/>
  <c r="H82"/>
  <c r="AG15" s="1"/>
  <c r="C16" i="51" s="1"/>
  <c r="AA81" i="85"/>
  <c r="AA92" s="1"/>
  <c r="AS15" s="1"/>
  <c r="O16" i="51" s="1"/>
  <c r="K81" i="85"/>
  <c r="K82" s="1"/>
  <c r="AE30"/>
  <c r="AW13" s="1"/>
  <c r="S14" i="51" s="1"/>
  <c r="AD30" i="85"/>
  <c r="AV13" s="1"/>
  <c r="R14" i="51" s="1"/>
  <c r="AC30" i="85"/>
  <c r="AU13" s="1"/>
  <c r="Q14" i="51" s="1"/>
  <c r="AB30" i="85"/>
  <c r="AT13" s="1"/>
  <c r="P14" i="51" s="1"/>
  <c r="X30" i="85"/>
  <c r="AP13" s="1"/>
  <c r="L14" i="51" s="1"/>
  <c r="W30" i="85"/>
  <c r="AO13" s="1"/>
  <c r="K14" i="51" s="1"/>
  <c r="V30" i="85"/>
  <c r="AN13" s="1"/>
  <c r="J14" i="51" s="1"/>
  <c r="U30" i="85"/>
  <c r="AM13" s="1"/>
  <c r="AA29"/>
  <c r="T29" s="1"/>
  <c r="Y29"/>
  <c r="AA28"/>
  <c r="T28" s="1"/>
  <c r="Y28"/>
  <c r="AA27"/>
  <c r="T27" s="1"/>
  <c r="Y27"/>
  <c r="AA26"/>
  <c r="T26" s="1"/>
  <c r="Y26"/>
  <c r="AA25"/>
  <c r="T25" s="1"/>
  <c r="Y25"/>
  <c r="AA24"/>
  <c r="T24" s="1"/>
  <c r="Y24"/>
  <c r="AA23"/>
  <c r="T23" s="1"/>
  <c r="Y23"/>
  <c r="AA22"/>
  <c r="T22" s="1"/>
  <c r="Y22"/>
  <c r="AA21"/>
  <c r="T21" s="1"/>
  <c r="Y21"/>
  <c r="AA20"/>
  <c r="T20" s="1"/>
  <c r="Y20"/>
  <c r="AA19"/>
  <c r="T19" s="1"/>
  <c r="Y19"/>
  <c r="AA18"/>
  <c r="T18" s="1"/>
  <c r="Y18"/>
  <c r="AA17"/>
  <c r="T17" s="1"/>
  <c r="Y17"/>
  <c r="Z16"/>
  <c r="Z30" s="1"/>
  <c r="AR13" s="1"/>
  <c r="N14" i="51" s="1"/>
  <c r="AD6" i="92" s="1"/>
  <c r="Y16" i="85"/>
  <c r="AA15"/>
  <c r="T15" s="1"/>
  <c r="Y15"/>
  <c r="AA14"/>
  <c r="T14" s="1"/>
  <c r="Y14"/>
  <c r="J14"/>
  <c r="AI13" s="1"/>
  <c r="E14" i="51" s="1"/>
  <c r="I14" i="85"/>
  <c r="AH13" s="1"/>
  <c r="D14" i="51" s="1"/>
  <c r="H14" i="85"/>
  <c r="AG13" s="1"/>
  <c r="C14" i="51" s="1"/>
  <c r="AA13" i="85"/>
  <c r="T13" s="1"/>
  <c r="Y13"/>
  <c r="Y30" s="1"/>
  <c r="AQ13" s="1"/>
  <c r="M14" i="51" s="1"/>
  <c r="K13" i="85"/>
  <c r="K14" s="1"/>
  <c r="AJ13" s="1"/>
  <c r="F14" i="51" s="1"/>
  <c r="G13" i="85"/>
  <c r="G14" s="1"/>
  <c r="I29" i="16" l="1"/>
  <c r="I30" s="1"/>
  <c r="H942" i="86"/>
  <c r="P84"/>
  <c r="H943"/>
  <c r="U20" i="75"/>
  <c r="J291" i="86"/>
  <c r="K292"/>
  <c r="J278"/>
  <c r="O19" s="1"/>
  <c r="P19"/>
  <c r="J194"/>
  <c r="O16" s="1"/>
  <c r="P16"/>
  <c r="J184"/>
  <c r="O15" s="1"/>
  <c r="P15"/>
  <c r="J145"/>
  <c r="O13" s="1"/>
  <c r="P13"/>
  <c r="J135"/>
  <c r="O12" s="1"/>
  <c r="P12"/>
  <c r="J125"/>
  <c r="O11" s="1"/>
  <c r="P11"/>
  <c r="J10"/>
  <c r="K11"/>
  <c r="I229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N17" s="1"/>
  <c r="AD17" s="1"/>
  <c r="J68"/>
  <c r="K69"/>
  <c r="J58"/>
  <c r="K59"/>
  <c r="J49"/>
  <c r="K50"/>
  <c r="J38"/>
  <c r="K39"/>
  <c r="J819"/>
  <c r="K820"/>
  <c r="J809"/>
  <c r="K810"/>
  <c r="J789"/>
  <c r="K790"/>
  <c r="J799"/>
  <c r="K800"/>
  <c r="J150"/>
  <c r="K151"/>
  <c r="I533"/>
  <c r="I534" s="1"/>
  <c r="I535" s="1"/>
  <c r="I536" s="1"/>
  <c r="I537" s="1"/>
  <c r="I538" s="1"/>
  <c r="I539" s="1"/>
  <c r="I540" s="1"/>
  <c r="I541" s="1"/>
  <c r="I542" s="1"/>
  <c r="N43" s="1"/>
  <c r="AD43" s="1"/>
  <c r="J256"/>
  <c r="K257"/>
  <c r="J106"/>
  <c r="K107"/>
  <c r="J327"/>
  <c r="K328"/>
  <c r="J301"/>
  <c r="K302"/>
  <c r="J79"/>
  <c r="K80"/>
  <c r="K532"/>
  <c r="K533" s="1"/>
  <c r="J560"/>
  <c r="J558"/>
  <c r="J556"/>
  <c r="J561"/>
  <c r="J559"/>
  <c r="J557"/>
  <c r="K482"/>
  <c r="K483" s="1"/>
  <c r="K484" s="1"/>
  <c r="K485" s="1"/>
  <c r="K486" s="1"/>
  <c r="K487" s="1"/>
  <c r="P38" s="1"/>
  <c r="J483"/>
  <c r="J486"/>
  <c r="J484"/>
  <c r="J482"/>
  <c r="AJ15" i="85"/>
  <c r="F16" i="51" s="1"/>
  <c r="D16"/>
  <c r="AH15" i="85"/>
  <c r="G16" i="51"/>
  <c r="AK15" i="85"/>
  <c r="D17" i="51"/>
  <c r="AH16" i="85"/>
  <c r="F17" i="51"/>
  <c r="AJ16" i="85"/>
  <c r="H17" i="51"/>
  <c r="AL16" i="85"/>
  <c r="J17" i="51"/>
  <c r="AN16" i="85"/>
  <c r="L17" i="51"/>
  <c r="AP16" i="85"/>
  <c r="N17" i="51"/>
  <c r="AR16" i="85"/>
  <c r="Q17" i="51"/>
  <c r="AU16" i="85"/>
  <c r="S17" i="51"/>
  <c r="AW16" i="85"/>
  <c r="F18" i="51"/>
  <c r="AJ17" i="85"/>
  <c r="O18" i="51"/>
  <c r="AS17" i="85"/>
  <c r="D18" i="51"/>
  <c r="AH17" i="85"/>
  <c r="G18" i="51"/>
  <c r="AK17" i="85"/>
  <c r="K18" i="51"/>
  <c r="AO17" i="85"/>
  <c r="AX17" s="1"/>
  <c r="M18" i="51"/>
  <c r="AQ17" i="85"/>
  <c r="P18" i="51"/>
  <c r="AT17" i="85"/>
  <c r="R18" i="51"/>
  <c r="AV17" i="85"/>
  <c r="T134"/>
  <c r="AI15"/>
  <c r="E16" i="51" s="1"/>
  <c r="AL15" i="85"/>
  <c r="H16" i="51" s="1"/>
  <c r="AS16" i="85"/>
  <c r="O17" i="51" s="1"/>
  <c r="AI16" i="85"/>
  <c r="E17" i="51" s="1"/>
  <c r="AK16" i="85"/>
  <c r="G17" i="51" s="1"/>
  <c r="AO16" i="85"/>
  <c r="K17" i="51" s="1"/>
  <c r="AQ16" i="85"/>
  <c r="M17" i="51" s="1"/>
  <c r="AT16" i="85"/>
  <c r="P17" i="51" s="1"/>
  <c r="AV16" i="85"/>
  <c r="R17" i="51" s="1"/>
  <c r="AI17" i="85"/>
  <c r="E18" i="51" s="1"/>
  <c r="AL17" i="85"/>
  <c r="H18" i="51" s="1"/>
  <c r="AN17" i="85"/>
  <c r="J18" i="51" s="1"/>
  <c r="AP17" i="85"/>
  <c r="L18" i="51" s="1"/>
  <c r="AR17" i="85"/>
  <c r="N18" i="51" s="1"/>
  <c r="AD10" i="92" s="1"/>
  <c r="AU17" i="85"/>
  <c r="Q18" i="51" s="1"/>
  <c r="AW17" i="85"/>
  <c r="S18" i="51" s="1"/>
  <c r="G81" i="85"/>
  <c r="G82" s="1"/>
  <c r="T81"/>
  <c r="T92" s="1"/>
  <c r="G149"/>
  <c r="G150" s="1"/>
  <c r="T149"/>
  <c r="T184" s="1"/>
  <c r="AD9" i="92"/>
  <c r="AD8"/>
  <c r="J288" i="86"/>
  <c r="O20" s="1"/>
  <c r="N20"/>
  <c r="AD20" s="1"/>
  <c r="J602"/>
  <c r="O49" s="1"/>
  <c r="J592"/>
  <c r="O48" s="1"/>
  <c r="J582"/>
  <c r="O47" s="1"/>
  <c r="J572"/>
  <c r="O46" s="1"/>
  <c r="J562"/>
  <c r="O45" s="1"/>
  <c r="J552"/>
  <c r="O44" s="1"/>
  <c r="J527"/>
  <c r="O42" s="1"/>
  <c r="J517"/>
  <c r="O41" s="1"/>
  <c r="J507"/>
  <c r="O40" s="1"/>
  <c r="J497"/>
  <c r="O39" s="1"/>
  <c r="I14" i="51"/>
  <c r="V8" i="75"/>
  <c r="I16" i="51"/>
  <c r="V10" i="75"/>
  <c r="W10" s="1"/>
  <c r="I17" i="51"/>
  <c r="V11" i="75"/>
  <c r="W11" s="1"/>
  <c r="I18" i="51"/>
  <c r="V12" i="75"/>
  <c r="W12" s="1"/>
  <c r="I15" i="51"/>
  <c r="V9" i="75"/>
  <c r="N9" i="86"/>
  <c r="AD9" s="1"/>
  <c r="J487"/>
  <c r="O38" s="1"/>
  <c r="J477"/>
  <c r="O37" s="1"/>
  <c r="J467"/>
  <c r="O36" s="1"/>
  <c r="J199"/>
  <c r="K200"/>
  <c r="J357"/>
  <c r="O25" s="1"/>
  <c r="J347"/>
  <c r="O24" s="1"/>
  <c r="J457"/>
  <c r="O35" s="1"/>
  <c r="J447"/>
  <c r="O34" s="1"/>
  <c r="J437"/>
  <c r="O33" s="1"/>
  <c r="J427"/>
  <c r="O32" s="1"/>
  <c r="J417"/>
  <c r="O31" s="1"/>
  <c r="J407"/>
  <c r="O30" s="1"/>
  <c r="J397"/>
  <c r="O29" s="1"/>
  <c r="J387"/>
  <c r="O28" s="1"/>
  <c r="J377"/>
  <c r="O27" s="1"/>
  <c r="J367"/>
  <c r="O26" s="1"/>
  <c r="N4"/>
  <c r="AD4" s="1"/>
  <c r="J9"/>
  <c r="J8"/>
  <c r="N16" i="74"/>
  <c r="L16"/>
  <c r="K16"/>
  <c r="J16" s="1"/>
  <c r="K8"/>
  <c r="L8"/>
  <c r="N8"/>
  <c r="N32" s="1"/>
  <c r="N34" s="1"/>
  <c r="K9"/>
  <c r="L9"/>
  <c r="K10"/>
  <c r="L10"/>
  <c r="K11"/>
  <c r="L11"/>
  <c r="K12"/>
  <c r="L12"/>
  <c r="K13"/>
  <c r="L13"/>
  <c r="K14"/>
  <c r="L14"/>
  <c r="K15"/>
  <c r="L15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57"/>
  <c r="L57"/>
  <c r="N57"/>
  <c r="N80" s="1"/>
  <c r="N82" s="1"/>
  <c r="K58"/>
  <c r="L58"/>
  <c r="K59"/>
  <c r="L59"/>
  <c r="K60"/>
  <c r="L60"/>
  <c r="K61"/>
  <c r="L61"/>
  <c r="K62"/>
  <c r="L62"/>
  <c r="K63"/>
  <c r="L63"/>
  <c r="K64"/>
  <c r="L64"/>
  <c r="K65"/>
  <c r="L65"/>
  <c r="K105"/>
  <c r="L105"/>
  <c r="N105"/>
  <c r="N128" s="1"/>
  <c r="N130" s="1"/>
  <c r="K106"/>
  <c r="L106"/>
  <c r="K107"/>
  <c r="L107"/>
  <c r="K108"/>
  <c r="L108"/>
  <c r="K109"/>
  <c r="L109"/>
  <c r="K110"/>
  <c r="L110"/>
  <c r="K111"/>
  <c r="L111"/>
  <c r="K112"/>
  <c r="L112"/>
  <c r="K113"/>
  <c r="L113"/>
  <c r="K153"/>
  <c r="L153"/>
  <c r="N153"/>
  <c r="N176" s="1"/>
  <c r="N178" s="1"/>
  <c r="K154"/>
  <c r="L154"/>
  <c r="K155"/>
  <c r="L155"/>
  <c r="K156"/>
  <c r="L156"/>
  <c r="K157"/>
  <c r="L157"/>
  <c r="K158"/>
  <c r="L158"/>
  <c r="K159"/>
  <c r="L159"/>
  <c r="K160"/>
  <c r="L160"/>
  <c r="K201"/>
  <c r="L201"/>
  <c r="N201"/>
  <c r="N224" s="1"/>
  <c r="N226" s="1"/>
  <c r="K202"/>
  <c r="L202"/>
  <c r="K203"/>
  <c r="L203"/>
  <c r="K204"/>
  <c r="L204"/>
  <c r="K205"/>
  <c r="L205"/>
  <c r="K206"/>
  <c r="L206"/>
  <c r="K207"/>
  <c r="L207"/>
  <c r="K208"/>
  <c r="L208"/>
  <c r="AA16" i="85"/>
  <c r="AA30" s="1"/>
  <c r="AS13" s="1"/>
  <c r="O14" i="51" s="1"/>
  <c r="V20" i="75" l="1"/>
  <c r="J292" i="86"/>
  <c r="K293"/>
  <c r="J790"/>
  <c r="K791"/>
  <c r="J810"/>
  <c r="K811"/>
  <c r="J820"/>
  <c r="K821"/>
  <c r="J39"/>
  <c r="K40"/>
  <c r="J50"/>
  <c r="K51"/>
  <c r="J59"/>
  <c r="K60"/>
  <c r="J69"/>
  <c r="K70"/>
  <c r="J11"/>
  <c r="K12"/>
  <c r="J800"/>
  <c r="K801"/>
  <c r="J151"/>
  <c r="K152"/>
  <c r="J533"/>
  <c r="K534"/>
  <c r="J257"/>
  <c r="K258"/>
  <c r="J107"/>
  <c r="K108"/>
  <c r="J328"/>
  <c r="K329"/>
  <c r="J80"/>
  <c r="K81"/>
  <c r="J302"/>
  <c r="K303"/>
  <c r="J532"/>
  <c r="J485"/>
  <c r="T16" i="85"/>
  <c r="T30" s="1"/>
  <c r="J200" i="86"/>
  <c r="K201"/>
  <c r="L224" i="74"/>
  <c r="L226" s="1"/>
  <c r="L176"/>
  <c r="L178" s="1"/>
  <c r="L128"/>
  <c r="L130" s="1"/>
  <c r="L80"/>
  <c r="L82" s="1"/>
  <c r="L32"/>
  <c r="L34" s="1"/>
  <c r="J208"/>
  <c r="J207"/>
  <c r="J206"/>
  <c r="J205"/>
  <c r="J204"/>
  <c r="J203"/>
  <c r="J202"/>
  <c r="J201"/>
  <c r="J224" s="1"/>
  <c r="J226" s="1"/>
  <c r="J160"/>
  <c r="J159"/>
  <c r="J158"/>
  <c r="J157"/>
  <c r="J156"/>
  <c r="J155"/>
  <c r="J154"/>
  <c r="J153"/>
  <c r="J176" s="1"/>
  <c r="J178" s="1"/>
  <c r="J113"/>
  <c r="J112"/>
  <c r="J111"/>
  <c r="J110"/>
  <c r="J109"/>
  <c r="J108"/>
  <c r="J107"/>
  <c r="J106"/>
  <c r="J105"/>
  <c r="J128" s="1"/>
  <c r="J130" s="1"/>
  <c r="J65"/>
  <c r="J64"/>
  <c r="J63"/>
  <c r="J62"/>
  <c r="J61"/>
  <c r="J60"/>
  <c r="J59"/>
  <c r="J58"/>
  <c r="J57"/>
  <c r="J80" s="1"/>
  <c r="J82" s="1"/>
  <c r="J25"/>
  <c r="J24"/>
  <c r="J23"/>
  <c r="J22"/>
  <c r="J21"/>
  <c r="J20"/>
  <c r="J19"/>
  <c r="J18"/>
  <c r="J17"/>
  <c r="K224"/>
  <c r="K226" s="1"/>
  <c r="K176"/>
  <c r="K178" s="1"/>
  <c r="K128"/>
  <c r="K130" s="1"/>
  <c r="K80"/>
  <c r="K82" s="1"/>
  <c r="J15"/>
  <c r="J14"/>
  <c r="J13"/>
  <c r="J12"/>
  <c r="J11"/>
  <c r="J10"/>
  <c r="J9"/>
  <c r="J8"/>
  <c r="J32" s="1"/>
  <c r="J34" s="1"/>
  <c r="K32"/>
  <c r="K34" s="1"/>
  <c r="J293" i="86" l="1"/>
  <c r="K294"/>
  <c r="J12"/>
  <c r="K13"/>
  <c r="J70"/>
  <c r="K71"/>
  <c r="J60"/>
  <c r="K61"/>
  <c r="J51"/>
  <c r="K52"/>
  <c r="J40"/>
  <c r="K41"/>
  <c r="J821"/>
  <c r="K822"/>
  <c r="P70" s="1"/>
  <c r="J811"/>
  <c r="K812"/>
  <c r="P69" s="1"/>
  <c r="J791"/>
  <c r="K792"/>
  <c r="J801"/>
  <c r="K802"/>
  <c r="P68" s="1"/>
  <c r="J152"/>
  <c r="K153"/>
  <c r="J534"/>
  <c r="K535"/>
  <c r="J258"/>
  <c r="K259"/>
  <c r="J108"/>
  <c r="K109"/>
  <c r="J329"/>
  <c r="K330"/>
  <c r="J303"/>
  <c r="K304"/>
  <c r="J81"/>
  <c r="K82"/>
  <c r="J201"/>
  <c r="K202"/>
  <c r="U22" i="75"/>
  <c r="T22"/>
  <c r="G25" i="40"/>
  <c r="G20" s="1"/>
  <c r="M23" s="1"/>
  <c r="AE7" i="92"/>
  <c r="AE9"/>
  <c r="U29" i="51"/>
  <c r="Z17"/>
  <c r="Z18"/>
  <c r="Z19"/>
  <c r="Z20"/>
  <c r="B19" i="91" s="1"/>
  <c r="Z21" i="51"/>
  <c r="Z22"/>
  <c r="Z23"/>
  <c r="Z24"/>
  <c r="Z25"/>
  <c r="AC29"/>
  <c r="AA29"/>
  <c r="AS16" i="74"/>
  <c r="AS17"/>
  <c r="AS18"/>
  <c r="AS19"/>
  <c r="AS20"/>
  <c r="AS21"/>
  <c r="AS22"/>
  <c r="AS23"/>
  <c r="AS24"/>
  <c r="AS25"/>
  <c r="AS26"/>
  <c r="F21" i="19"/>
  <c r="F12" i="18"/>
  <c r="F38"/>
  <c r="AE17" i="92"/>
  <c r="AE16"/>
  <c r="AE15"/>
  <c r="AF15" s="1"/>
  <c r="AE14"/>
  <c r="AE13"/>
  <c r="AE12"/>
  <c r="AE11"/>
  <c r="AE10"/>
  <c r="AX15" i="85"/>
  <c r="T16" i="51" s="1"/>
  <c r="AZ15" i="85"/>
  <c r="V16" i="51" s="1"/>
  <c r="AX14" i="85"/>
  <c r="T15" i="51" s="1"/>
  <c r="AZ14" i="85"/>
  <c r="V15" i="51" s="1"/>
  <c r="T25"/>
  <c r="AZ24" i="85"/>
  <c r="T24" i="51"/>
  <c r="AZ23" i="85"/>
  <c r="V24" i="51" s="1"/>
  <c r="T23"/>
  <c r="AZ22" i="85"/>
  <c r="V23" i="51" s="1"/>
  <c r="T22"/>
  <c r="AZ21" i="85"/>
  <c r="V22" i="51" s="1"/>
  <c r="T21"/>
  <c r="AZ20" i="85"/>
  <c r="V21" i="51" s="1"/>
  <c r="T20"/>
  <c r="AZ19" i="85"/>
  <c r="V20" i="51" s="1"/>
  <c r="T19"/>
  <c r="AZ18" i="85"/>
  <c r="T18" i="51"/>
  <c r="AZ17" i="85"/>
  <c r="V18" i="51" s="1"/>
  <c r="AX16" i="85"/>
  <c r="T17" i="51" s="1"/>
  <c r="Z16"/>
  <c r="W9" i="75"/>
  <c r="Z15" i="51"/>
  <c r="O29"/>
  <c r="S29"/>
  <c r="R29"/>
  <c r="Q29"/>
  <c r="P29"/>
  <c r="N29"/>
  <c r="M29"/>
  <c r="L29"/>
  <c r="J29"/>
  <c r="W8" i="75"/>
  <c r="W20" s="1"/>
  <c r="H29" i="51"/>
  <c r="G29"/>
  <c r="D29"/>
  <c r="AH28" i="85"/>
  <c r="AG28"/>
  <c r="D27" i="91"/>
  <c r="C27"/>
  <c r="G26"/>
  <c r="H26"/>
  <c r="I26"/>
  <c r="J26"/>
  <c r="L26"/>
  <c r="G25"/>
  <c r="H25"/>
  <c r="I25"/>
  <c r="J25" s="1"/>
  <c r="L25" s="1"/>
  <c r="G24"/>
  <c r="H24"/>
  <c r="G23"/>
  <c r="H23"/>
  <c r="G22"/>
  <c r="H22"/>
  <c r="G21"/>
  <c r="H21"/>
  <c r="G20"/>
  <c r="H20"/>
  <c r="G19"/>
  <c r="H19"/>
  <c r="I19" s="1"/>
  <c r="J19" s="1"/>
  <c r="L19" s="1"/>
  <c r="G18"/>
  <c r="H18" s="1"/>
  <c r="G17"/>
  <c r="H17"/>
  <c r="G16"/>
  <c r="H16" s="1"/>
  <c r="G15"/>
  <c r="H15"/>
  <c r="G14"/>
  <c r="H14"/>
  <c r="F27"/>
  <c r="G8" i="86"/>
  <c r="AX13" i="85"/>
  <c r="T14" i="51" s="1"/>
  <c r="G13" i="91"/>
  <c r="G27" s="1"/>
  <c r="H28" i="73"/>
  <c r="H29"/>
  <c r="H30"/>
  <c r="H31"/>
  <c r="H27"/>
  <c r="E6" i="9"/>
  <c r="F8" i="18"/>
  <c r="F6" s="1"/>
  <c r="F45" i="19"/>
  <c r="E45"/>
  <c r="F34"/>
  <c r="E34"/>
  <c r="F11"/>
  <c r="D45" i="9"/>
  <c r="F7" i="19"/>
  <c r="F6" s="1"/>
  <c r="D20" i="79"/>
  <c r="G109" i="9"/>
  <c r="G106"/>
  <c r="H11" i="45"/>
  <c r="C289" i="9"/>
  <c r="C290"/>
  <c r="C291"/>
  <c r="C292"/>
  <c r="C293"/>
  <c r="C294"/>
  <c r="C295"/>
  <c r="C296"/>
  <c r="C297"/>
  <c r="C298"/>
  <c r="C299"/>
  <c r="C300"/>
  <c r="C288"/>
  <c r="H281"/>
  <c r="F281"/>
  <c r="C281"/>
  <c r="D281"/>
  <c r="B281"/>
  <c r="F278"/>
  <c r="I237"/>
  <c r="I220"/>
  <c r="E210"/>
  <c r="E206"/>
  <c r="C43"/>
  <c r="C42"/>
  <c r="C41"/>
  <c r="E9"/>
  <c r="F22" i="80"/>
  <c r="E22"/>
  <c r="F16"/>
  <c r="F17"/>
  <c r="F13"/>
  <c r="F10"/>
  <c r="F9"/>
  <c r="E13"/>
  <c r="E10"/>
  <c r="E9"/>
  <c r="F8"/>
  <c r="F7" s="1"/>
  <c r="F20" i="81"/>
  <c r="F18"/>
  <c r="F16" s="1"/>
  <c r="F15"/>
  <c r="F8"/>
  <c r="F7" s="1"/>
  <c r="F6" s="1"/>
  <c r="F14"/>
  <c r="F13"/>
  <c r="F12" s="1"/>
  <c r="J7" i="42"/>
  <c r="E19" i="79"/>
  <c r="F19"/>
  <c r="G19"/>
  <c r="D19"/>
  <c r="F28" i="18"/>
  <c r="F27" s="1"/>
  <c r="F18" i="11"/>
  <c r="G18"/>
  <c r="F13"/>
  <c r="E9"/>
  <c r="E8"/>
  <c r="E6"/>
  <c r="E13"/>
  <c r="E18"/>
  <c r="E39" i="18"/>
  <c r="E16"/>
  <c r="K10" i="73"/>
  <c r="L10" s="1"/>
  <c r="K11"/>
  <c r="L11" s="1"/>
  <c r="N11" s="1"/>
  <c r="H10"/>
  <c r="H11"/>
  <c r="O11" s="1"/>
  <c r="K8"/>
  <c r="F39" i="19" s="1"/>
  <c r="H8" i="73"/>
  <c r="O8" s="1"/>
  <c r="O9" s="1"/>
  <c r="C279" i="9"/>
  <c r="D279"/>
  <c r="F279"/>
  <c r="H279"/>
  <c r="B279"/>
  <c r="F9" i="73"/>
  <c r="C278" i="9" s="1"/>
  <c r="G9" i="73"/>
  <c r="D278" i="9" s="1"/>
  <c r="H9" i="73"/>
  <c r="E278" i="9" s="1"/>
  <c r="K9" i="73"/>
  <c r="D33" i="79" s="1"/>
  <c r="L9" i="73"/>
  <c r="E20" i="79" s="1"/>
  <c r="M9" i="73"/>
  <c r="F20" i="79" s="1"/>
  <c r="N9" i="73"/>
  <c r="E9"/>
  <c r="B278" i="9" s="1"/>
  <c r="D26" i="1"/>
  <c r="E28" i="18"/>
  <c r="E27" s="1"/>
  <c r="E209" i="9" s="1"/>
  <c r="F28" i="81"/>
  <c r="E28"/>
  <c r="F11" i="80"/>
  <c r="E11"/>
  <c r="F15"/>
  <c r="G39" i="79"/>
  <c r="G40"/>
  <c r="F23"/>
  <c r="D23"/>
  <c r="E9"/>
  <c r="E36" s="1"/>
  <c r="F9"/>
  <c r="D9"/>
  <c r="D33" i="81"/>
  <c r="D34"/>
  <c r="D35"/>
  <c r="D36"/>
  <c r="D37"/>
  <c r="D17"/>
  <c r="D18"/>
  <c r="D19"/>
  <c r="D20"/>
  <c r="D21"/>
  <c r="D22"/>
  <c r="D23"/>
  <c r="D24"/>
  <c r="D25"/>
  <c r="D26"/>
  <c r="D27"/>
  <c r="D28"/>
  <c r="D8"/>
  <c r="D9"/>
  <c r="D10"/>
  <c r="D11"/>
  <c r="D7"/>
  <c r="A34" i="79"/>
  <c r="A35"/>
  <c r="A36"/>
  <c r="A37"/>
  <c r="A38"/>
  <c r="A39"/>
  <c r="A40"/>
  <c r="A21"/>
  <c r="A22" s="1"/>
  <c r="A23" s="1"/>
  <c r="A24" s="1"/>
  <c r="A25" s="1"/>
  <c r="A26" s="1"/>
  <c r="A27" s="1"/>
  <c r="A7"/>
  <c r="A8"/>
  <c r="A9"/>
  <c r="A10"/>
  <c r="A11"/>
  <c r="A12"/>
  <c r="A13"/>
  <c r="J15" i="11"/>
  <c r="J16"/>
  <c r="J17"/>
  <c r="J7"/>
  <c r="J9"/>
  <c r="J10"/>
  <c r="J11"/>
  <c r="J12"/>
  <c r="G13"/>
  <c r="D42" i="20"/>
  <c r="F29" i="16"/>
  <c r="D3" i="73"/>
  <c r="C2" i="79"/>
  <c r="D2" i="73"/>
  <c r="C1" i="79"/>
  <c r="F25"/>
  <c r="F282" i="9"/>
  <c r="D282"/>
  <c r="C282"/>
  <c r="B282"/>
  <c r="K37" i="73"/>
  <c r="L37"/>
  <c r="N37"/>
  <c r="H37"/>
  <c r="K36"/>
  <c r="L36"/>
  <c r="N36"/>
  <c r="H36"/>
  <c r="K35"/>
  <c r="L35"/>
  <c r="N35"/>
  <c r="H35"/>
  <c r="K34"/>
  <c r="L34"/>
  <c r="H34"/>
  <c r="K31"/>
  <c r="L31"/>
  <c r="N31"/>
  <c r="O31"/>
  <c r="K30"/>
  <c r="L30"/>
  <c r="N30"/>
  <c r="O30"/>
  <c r="K29"/>
  <c r="L29"/>
  <c r="N29"/>
  <c r="O29"/>
  <c r="K28"/>
  <c r="L28"/>
  <c r="K27"/>
  <c r="D36" i="79" s="1"/>
  <c r="L27" i="73"/>
  <c r="H280" i="9"/>
  <c r="F280"/>
  <c r="D280"/>
  <c r="C280"/>
  <c r="E8" i="79"/>
  <c r="E35"/>
  <c r="B280" i="9"/>
  <c r="D8" i="79"/>
  <c r="K24" i="73"/>
  <c r="L24"/>
  <c r="N24"/>
  <c r="H24"/>
  <c r="O24"/>
  <c r="K23"/>
  <c r="L23"/>
  <c r="H23"/>
  <c r="K22"/>
  <c r="L22"/>
  <c r="N22"/>
  <c r="H22"/>
  <c r="K21"/>
  <c r="L21"/>
  <c r="N21"/>
  <c r="H21"/>
  <c r="O21" s="1"/>
  <c r="K20"/>
  <c r="L20"/>
  <c r="N20"/>
  <c r="H20"/>
  <c r="O20"/>
  <c r="K18"/>
  <c r="L18"/>
  <c r="N18"/>
  <c r="H18"/>
  <c r="O18"/>
  <c r="K17"/>
  <c r="L17"/>
  <c r="N17"/>
  <c r="H17"/>
  <c r="K16"/>
  <c r="H16"/>
  <c r="K12"/>
  <c r="L12"/>
  <c r="N12"/>
  <c r="G21" i="79" s="1"/>
  <c r="H12" i="73"/>
  <c r="C4" i="75"/>
  <c r="O2"/>
  <c r="I12" i="7"/>
  <c r="I13"/>
  <c r="I14"/>
  <c r="I15"/>
  <c r="I17"/>
  <c r="I18"/>
  <c r="I20"/>
  <c r="I23"/>
  <c r="I24"/>
  <c r="I25"/>
  <c r="I26"/>
  <c r="E44" i="9" s="1"/>
  <c r="I27" i="7"/>
  <c r="I28"/>
  <c r="I29"/>
  <c r="I30"/>
  <c r="I31"/>
  <c r="V3" i="75"/>
  <c r="G31" i="5"/>
  <c r="G32"/>
  <c r="I7" i="40"/>
  <c r="I40" i="47"/>
  <c r="G13" i="4"/>
  <c r="G14"/>
  <c r="G15"/>
  <c r="G16"/>
  <c r="G17"/>
  <c r="G18"/>
  <c r="G19"/>
  <c r="G20"/>
  <c r="G12"/>
  <c r="F8" i="8"/>
  <c r="F12"/>
  <c r="E47" i="9" s="1"/>
  <c r="E8" i="19"/>
  <c r="B125" i="9"/>
  <c r="B126"/>
  <c r="B127"/>
  <c r="B124"/>
  <c r="D26" i="14"/>
  <c r="H268" i="9" s="1"/>
  <c r="G41" i="72"/>
  <c r="F8" i="16"/>
  <c r="H261" i="9"/>
  <c r="H262"/>
  <c r="H263"/>
  <c r="H258"/>
  <c r="H253"/>
  <c r="E5"/>
  <c r="E11"/>
  <c r="E10"/>
  <c r="D4" i="73"/>
  <c r="G105" i="9"/>
  <c r="G108"/>
  <c r="G110"/>
  <c r="G22" i="4"/>
  <c r="E13" i="19"/>
  <c r="D98" i="9" s="1"/>
  <c r="E26" i="1"/>
  <c r="C4" i="40"/>
  <c r="F13" i="1"/>
  <c r="F14"/>
  <c r="F15"/>
  <c r="F16"/>
  <c r="F17"/>
  <c r="F18"/>
  <c r="F19"/>
  <c r="F20"/>
  <c r="F21"/>
  <c r="F22"/>
  <c r="F23"/>
  <c r="F24"/>
  <c r="F30" s="1"/>
  <c r="F25"/>
  <c r="P53" i="75"/>
  <c r="H1" i="11"/>
  <c r="D1" i="14"/>
  <c r="E1" i="16"/>
  <c r="E1" i="18"/>
  <c r="E1" i="19"/>
  <c r="H40" i="44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43"/>
  <c r="H41" i="45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I13" i="47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12"/>
  <c r="I41"/>
  <c r="C2" i="8"/>
  <c r="D13" i="11"/>
  <c r="D18"/>
  <c r="I18" i="42"/>
  <c r="F16" i="16"/>
  <c r="F26"/>
  <c r="F35"/>
  <c r="F34"/>
  <c r="E8" i="14"/>
  <c r="E22"/>
  <c r="E3"/>
  <c r="I14" i="42"/>
  <c r="I15"/>
  <c r="I16"/>
  <c r="I17"/>
  <c r="I19"/>
  <c r="I20"/>
  <c r="E26" i="19"/>
  <c r="E202" i="9"/>
  <c r="G5" i="8"/>
  <c r="J7" i="7"/>
  <c r="C4"/>
  <c r="F2" i="19"/>
  <c r="F2" i="16"/>
  <c r="I5" i="5"/>
  <c r="C2"/>
  <c r="I7" i="4"/>
  <c r="C4"/>
  <c r="J7" i="1"/>
  <c r="C4"/>
  <c r="I7" i="47"/>
  <c r="C4"/>
  <c r="I7" i="45"/>
  <c r="C4"/>
  <c r="J7" i="44"/>
  <c r="C4"/>
  <c r="H7" i="43"/>
  <c r="C4"/>
  <c r="G20" i="42"/>
  <c r="C4"/>
  <c r="I4" i="27"/>
  <c r="C1"/>
  <c r="J7" i="51"/>
  <c r="C4"/>
  <c r="R4" s="1"/>
  <c r="E203" i="9"/>
  <c r="D8" i="11"/>
  <c r="F2" i="18"/>
  <c r="I2" i="11"/>
  <c r="Q53" i="75"/>
  <c r="R53"/>
  <c r="S53"/>
  <c r="T53"/>
  <c r="T29" s="1"/>
  <c r="Q29"/>
  <c r="R29"/>
  <c r="S29"/>
  <c r="U29"/>
  <c r="V29"/>
  <c r="W29"/>
  <c r="J7"/>
  <c r="I7" i="72"/>
  <c r="C4"/>
  <c r="E24" i="19"/>
  <c r="E8" i="16" s="1"/>
  <c r="E22" i="19"/>
  <c r="S22" i="75"/>
  <c r="Q22"/>
  <c r="R22"/>
  <c r="E282" i="9"/>
  <c r="E280"/>
  <c r="G8" i="79"/>
  <c r="O17" i="73"/>
  <c r="O36"/>
  <c r="O37"/>
  <c r="N27"/>
  <c r="G23" i="79" s="1"/>
  <c r="H282" i="9"/>
  <c r="N34" i="73"/>
  <c r="G25" i="79"/>
  <c r="O22" i="73"/>
  <c r="O35"/>
  <c r="G282" i="9"/>
  <c r="L16" i="73"/>
  <c r="N16"/>
  <c r="O27"/>
  <c r="O34"/>
  <c r="G38" i="79"/>
  <c r="O16" i="73"/>
  <c r="E28" i="14"/>
  <c r="E30"/>
  <c r="N28" i="73"/>
  <c r="O28"/>
  <c r="O12"/>
  <c r="F8" i="79"/>
  <c r="N23" i="73"/>
  <c r="E22" i="79"/>
  <c r="D35"/>
  <c r="I219" i="9"/>
  <c r="J8" i="11"/>
  <c r="B1" i="81"/>
  <c r="B1" i="80"/>
  <c r="B2" i="81"/>
  <c r="B2" i="80"/>
  <c r="O23" i="73"/>
  <c r="G22" i="79"/>
  <c r="G20"/>
  <c r="H6" i="11"/>
  <c r="H13"/>
  <c r="I6"/>
  <c r="F315" i="9"/>
  <c r="F44" i="79" s="1"/>
  <c r="E26" i="80" s="1"/>
  <c r="D48" i="81" s="1"/>
  <c r="V22" i="75"/>
  <c r="H44" i="45"/>
  <c r="I223" i="9"/>
  <c r="E32" i="14"/>
  <c r="E34" s="1"/>
  <c r="D29"/>
  <c r="H52" i="43"/>
  <c r="G111" i="9"/>
  <c r="G113"/>
  <c r="E25" i="19"/>
  <c r="E8" i="81"/>
  <c r="E201" i="9"/>
  <c r="E40" i="81"/>
  <c r="E12" i="9"/>
  <c r="F37" i="16"/>
  <c r="F38"/>
  <c r="G11" i="79"/>
  <c r="E11"/>
  <c r="E25"/>
  <c r="E42" i="19"/>
  <c r="I282" i="9"/>
  <c r="AE8" i="92"/>
  <c r="O22" i="75"/>
  <c r="E38" i="79"/>
  <c r="H259" i="9"/>
  <c r="E25" i="16" l="1"/>
  <c r="E36"/>
  <c r="H271" i="9"/>
  <c r="G31" i="40"/>
  <c r="G49" s="1"/>
  <c r="E42" i="9"/>
  <c r="E18" i="81"/>
  <c r="E20"/>
  <c r="I229" i="9"/>
  <c r="I240"/>
  <c r="I235"/>
  <c r="D25" i="14"/>
  <c r="H267" i="9" s="1"/>
  <c r="E29" i="16"/>
  <c r="G36" i="79"/>
  <c r="I281" i="9"/>
  <c r="E279"/>
  <c r="G7" i="79"/>
  <c r="D34"/>
  <c r="F40" i="19"/>
  <c r="G281" i="9"/>
  <c r="E23" i="79"/>
  <c r="G33"/>
  <c r="I278" i="9"/>
  <c r="E39" i="19"/>
  <c r="N10" i="73"/>
  <c r="E281" i="9"/>
  <c r="G9" i="79"/>
  <c r="D283" i="9"/>
  <c r="O10" i="73"/>
  <c r="G28" i="79"/>
  <c r="F41" i="19"/>
  <c r="E283" i="9"/>
  <c r="C283"/>
  <c r="F11" i="79"/>
  <c r="F22"/>
  <c r="D6"/>
  <c r="G6"/>
  <c r="G14" s="1"/>
  <c r="F6"/>
  <c r="E6"/>
  <c r="D7"/>
  <c r="F7"/>
  <c r="E7"/>
  <c r="E34" s="1"/>
  <c r="D21"/>
  <c r="F21"/>
  <c r="F28" s="1"/>
  <c r="G278" i="9"/>
  <c r="H278"/>
  <c r="H283" s="1"/>
  <c r="E41"/>
  <c r="P29" i="75"/>
  <c r="J792" i="86"/>
  <c r="O72" s="1"/>
  <c r="P72"/>
  <c r="J294"/>
  <c r="K295"/>
  <c r="J812"/>
  <c r="O69" s="1"/>
  <c r="J822"/>
  <c r="O70" s="1"/>
  <c r="J41"/>
  <c r="K42"/>
  <c r="J52"/>
  <c r="K53"/>
  <c r="J61"/>
  <c r="K62"/>
  <c r="J71"/>
  <c r="K72"/>
  <c r="J13"/>
  <c r="K14"/>
  <c r="J802"/>
  <c r="O68" s="1"/>
  <c r="J153"/>
  <c r="K154"/>
  <c r="J535"/>
  <c r="K536"/>
  <c r="J259"/>
  <c r="K260"/>
  <c r="J109"/>
  <c r="K110"/>
  <c r="J330"/>
  <c r="K331"/>
  <c r="J82"/>
  <c r="K83"/>
  <c r="J304"/>
  <c r="K305"/>
  <c r="F23" i="80"/>
  <c r="AZ13" i="85"/>
  <c r="V14" i="51" s="1"/>
  <c r="F37" i="81"/>
  <c r="I221" i="9"/>
  <c r="E16" i="80"/>
  <c r="I13" i="11"/>
  <c r="AB24" i="51"/>
  <c r="B23" i="91"/>
  <c r="I23" s="1"/>
  <c r="J23" s="1"/>
  <c r="L23" s="1"/>
  <c r="AB22" i="51"/>
  <c r="B21" i="91"/>
  <c r="I21" s="1"/>
  <c r="J21" s="1"/>
  <c r="L21" s="1"/>
  <c r="AB18" i="51"/>
  <c r="B17" i="91"/>
  <c r="I17" s="1"/>
  <c r="J17" s="1"/>
  <c r="L17" s="1"/>
  <c r="E17" i="80"/>
  <c r="AB15" i="51"/>
  <c r="B14" i="91"/>
  <c r="I14" s="1"/>
  <c r="J14" s="1"/>
  <c r="AB16" i="51"/>
  <c r="B15" i="91"/>
  <c r="AB25" i="51"/>
  <c r="B24" i="91"/>
  <c r="I24" s="1"/>
  <c r="J24" s="1"/>
  <c r="L24" s="1"/>
  <c r="AB23" i="51"/>
  <c r="B22" i="91"/>
  <c r="I22" s="1"/>
  <c r="J22" s="1"/>
  <c r="L22" s="1"/>
  <c r="AB21" i="51"/>
  <c r="B20" i="91"/>
  <c r="I20" s="1"/>
  <c r="J20" s="1"/>
  <c r="L20" s="1"/>
  <c r="AB19" i="51"/>
  <c r="B18" i="91"/>
  <c r="I18" s="1"/>
  <c r="J18" s="1"/>
  <c r="L18" s="1"/>
  <c r="AB17" i="51"/>
  <c r="B16" i="91"/>
  <c r="I16" s="1"/>
  <c r="J16" s="1"/>
  <c r="L16" s="1"/>
  <c r="J6" i="11"/>
  <c r="H18"/>
  <c r="AZ16" i="85"/>
  <c r="I22" i="7"/>
  <c r="I21" s="1"/>
  <c r="E43" i="9"/>
  <c r="E45" s="1"/>
  <c r="E49" s="1"/>
  <c r="I32" i="7"/>
  <c r="E9" i="19" s="1"/>
  <c r="D32" i="14" s="1"/>
  <c r="V19" i="51"/>
  <c r="AX31" i="85"/>
  <c r="E18" i="18"/>
  <c r="E205" i="9" s="1"/>
  <c r="V25" i="51"/>
  <c r="AB20"/>
  <c r="J202" i="86"/>
  <c r="K203"/>
  <c r="F36" i="18"/>
  <c r="F52" s="1"/>
  <c r="F283" i="9"/>
  <c r="D25" i="79"/>
  <c r="D22"/>
  <c r="D28" s="1"/>
  <c r="E41" i="19"/>
  <c r="E38" s="1"/>
  <c r="E33" s="1"/>
  <c r="G35" i="79"/>
  <c r="I280" i="9"/>
  <c r="B283"/>
  <c r="G280"/>
  <c r="E32" i="19"/>
  <c r="D18" i="14" s="1"/>
  <c r="D15" s="1"/>
  <c r="T30" i="75"/>
  <c r="P22"/>
  <c r="D11" i="79"/>
  <c r="D14" s="1"/>
  <c r="D38"/>
  <c r="F42" i="19"/>
  <c r="F38" s="1"/>
  <c r="AD18" i="92"/>
  <c r="E27" i="91"/>
  <c r="H13"/>
  <c r="AS13" i="74"/>
  <c r="E20" i="16"/>
  <c r="AS14" i="74"/>
  <c r="L14" i="91"/>
  <c r="AS15" i="74"/>
  <c r="W22" i="75"/>
  <c r="C29" i="51"/>
  <c r="K29"/>
  <c r="T29"/>
  <c r="F29"/>
  <c r="F31" s="1"/>
  <c r="E29"/>
  <c r="E31" s="1"/>
  <c r="I15" i="91"/>
  <c r="E208" i="9"/>
  <c r="E207" s="1"/>
  <c r="E28" i="19"/>
  <c r="F33" l="1"/>
  <c r="F52" s="1"/>
  <c r="F55" i="18" s="1"/>
  <c r="G38" i="19"/>
  <c r="D13" i="14"/>
  <c r="H255" i="9" s="1"/>
  <c r="E16" i="16"/>
  <c r="E16" i="81"/>
  <c r="I233" i="9"/>
  <c r="I238" s="1"/>
  <c r="E34" i="16"/>
  <c r="E33" i="79"/>
  <c r="F33" s="1"/>
  <c r="E14"/>
  <c r="G34"/>
  <c r="G37"/>
  <c r="I279" i="9"/>
  <c r="E40" i="19"/>
  <c r="G279" i="9"/>
  <c r="E21" i="79"/>
  <c r="E28" s="1"/>
  <c r="G283" i="9"/>
  <c r="I283"/>
  <c r="F14" i="79"/>
  <c r="J295" i="86"/>
  <c r="K296"/>
  <c r="J14"/>
  <c r="K15"/>
  <c r="J72"/>
  <c r="K73"/>
  <c r="J62"/>
  <c r="K63"/>
  <c r="J53"/>
  <c r="K54"/>
  <c r="J42"/>
  <c r="K43"/>
  <c r="J154"/>
  <c r="K155"/>
  <c r="J536"/>
  <c r="K537"/>
  <c r="J260"/>
  <c r="K261"/>
  <c r="J110"/>
  <c r="K111"/>
  <c r="J331"/>
  <c r="K332"/>
  <c r="J305"/>
  <c r="K306"/>
  <c r="J83"/>
  <c r="K84"/>
  <c r="E45" i="18"/>
  <c r="J13" i="11"/>
  <c r="E15" i="80"/>
  <c r="V17" i="51"/>
  <c r="AZ33" i="85"/>
  <c r="AS27" i="74"/>
  <c r="E21" i="16"/>
  <c r="J203" i="86"/>
  <c r="K204"/>
  <c r="E12" i="19"/>
  <c r="D9" i="14" s="1"/>
  <c r="AC18" i="92"/>
  <c r="AE6"/>
  <c r="AE18" s="1"/>
  <c r="H27" i="91"/>
  <c r="E13" i="81"/>
  <c r="I226" i="9"/>
  <c r="I29" i="51"/>
  <c r="Z14"/>
  <c r="B13" i="91" s="1"/>
  <c r="B27" s="1"/>
  <c r="J15"/>
  <c r="H266" i="9"/>
  <c r="H264" s="1"/>
  <c r="H269" s="1"/>
  <c r="D22" i="14"/>
  <c r="E15" i="81" l="1"/>
  <c r="I228" i="9"/>
  <c r="J296" i="86"/>
  <c r="K297"/>
  <c r="J43"/>
  <c r="K44"/>
  <c r="J54"/>
  <c r="K55"/>
  <c r="P6" s="1"/>
  <c r="J63"/>
  <c r="K64"/>
  <c r="J73"/>
  <c r="K74"/>
  <c r="J15"/>
  <c r="K16"/>
  <c r="J155"/>
  <c r="K156"/>
  <c r="K157" s="1"/>
  <c r="J537"/>
  <c r="K538"/>
  <c r="J261"/>
  <c r="K262"/>
  <c r="J111"/>
  <c r="K112"/>
  <c r="J332"/>
  <c r="K333"/>
  <c r="J84"/>
  <c r="K85"/>
  <c r="J306"/>
  <c r="K307"/>
  <c r="H252" i="9"/>
  <c r="I13" i="91"/>
  <c r="AB14" i="51"/>
  <c r="AB29" s="1"/>
  <c r="Z29"/>
  <c r="J204" i="86"/>
  <c r="K205"/>
  <c r="H260" i="9"/>
  <c r="H257" s="1"/>
  <c r="E14" i="81"/>
  <c r="E12" s="1"/>
  <c r="I227" i="9"/>
  <c r="K27" i="91"/>
  <c r="E19" i="16"/>
  <c r="L15" i="91"/>
  <c r="J297" i="86" l="1"/>
  <c r="K298"/>
  <c r="J157"/>
  <c r="K158"/>
  <c r="J16"/>
  <c r="K17"/>
  <c r="J74"/>
  <c r="K75"/>
  <c r="P8" s="1"/>
  <c r="J64"/>
  <c r="K65"/>
  <c r="P7" s="1"/>
  <c r="J55"/>
  <c r="O6" s="1"/>
  <c r="J44"/>
  <c r="K45"/>
  <c r="P5" s="1"/>
  <c r="J156"/>
  <c r="J538"/>
  <c r="K539"/>
  <c r="J262"/>
  <c r="K263"/>
  <c r="J112"/>
  <c r="K113"/>
  <c r="J333"/>
  <c r="K334"/>
  <c r="J307"/>
  <c r="K308"/>
  <c r="J85"/>
  <c r="K86"/>
  <c r="I224" i="9"/>
  <c r="E7" i="81"/>
  <c r="E6" s="1"/>
  <c r="E37" s="1"/>
  <c r="J13" i="91"/>
  <c r="I27"/>
  <c r="I218" i="9"/>
  <c r="E7" i="80"/>
  <c r="E23" s="1"/>
  <c r="H251" i="9"/>
  <c r="J205" i="86"/>
  <c r="K206"/>
  <c r="I225" i="9"/>
  <c r="I222"/>
  <c r="I217"/>
  <c r="J298" i="86" l="1"/>
  <c r="O22" s="1"/>
  <c r="P22"/>
  <c r="J45"/>
  <c r="O5" s="1"/>
  <c r="J65"/>
  <c r="O7" s="1"/>
  <c r="J75"/>
  <c r="O8" s="1"/>
  <c r="J17"/>
  <c r="K18"/>
  <c r="J158"/>
  <c r="K159"/>
  <c r="J539"/>
  <c r="K540"/>
  <c r="J263"/>
  <c r="K264"/>
  <c r="J113"/>
  <c r="K114"/>
  <c r="J334"/>
  <c r="K335"/>
  <c r="J86"/>
  <c r="K87"/>
  <c r="J308"/>
  <c r="K309"/>
  <c r="L13" i="91"/>
  <c r="L27" s="1"/>
  <c r="J27"/>
  <c r="E26" i="16"/>
  <c r="I230" i="9" s="1"/>
  <c r="I239" s="1"/>
  <c r="J206" i="86"/>
  <c r="K207"/>
  <c r="J159" l="1"/>
  <c r="K160"/>
  <c r="J18"/>
  <c r="K19"/>
  <c r="J540"/>
  <c r="K541"/>
  <c r="J264"/>
  <c r="K265"/>
  <c r="J114"/>
  <c r="K115"/>
  <c r="P10" s="1"/>
  <c r="J335"/>
  <c r="K336"/>
  <c r="J309"/>
  <c r="K310"/>
  <c r="J87"/>
  <c r="K88"/>
  <c r="E35" i="16"/>
  <c r="J207" i="86"/>
  <c r="K208"/>
  <c r="I241" i="9"/>
  <c r="I242" s="1"/>
  <c r="H37" i="16" l="1"/>
  <c r="I38"/>
  <c r="J19" i="86"/>
  <c r="K20"/>
  <c r="J160"/>
  <c r="K161"/>
  <c r="J541"/>
  <c r="K542"/>
  <c r="P43" s="1"/>
  <c r="J265"/>
  <c r="K266"/>
  <c r="J115"/>
  <c r="O10" s="1"/>
  <c r="J336"/>
  <c r="K337"/>
  <c r="P23" s="1"/>
  <c r="J88"/>
  <c r="K89"/>
  <c r="J310"/>
  <c r="K311"/>
  <c r="E37" i="16"/>
  <c r="F33" i="1" s="1"/>
  <c r="F36" s="1"/>
  <c r="E17" i="18" s="1"/>
  <c r="E12" s="1"/>
  <c r="E6" s="1"/>
  <c r="E36" s="1"/>
  <c r="J208" i="86"/>
  <c r="K209"/>
  <c r="E38" i="16" l="1"/>
  <c r="E14" i="11" s="1"/>
  <c r="J161" i="86"/>
  <c r="K162"/>
  <c r="J20"/>
  <c r="K21"/>
  <c r="J542"/>
  <c r="O43" s="1"/>
  <c r="J266"/>
  <c r="K267"/>
  <c r="J337"/>
  <c r="O23" s="1"/>
  <c r="J311"/>
  <c r="K312"/>
  <c r="J89"/>
  <c r="K90"/>
  <c r="E14" i="19"/>
  <c r="E11" s="1"/>
  <c r="E48" i="18"/>
  <c r="J209" i="86"/>
  <c r="K210"/>
  <c r="E204" i="9"/>
  <c r="E6" i="19" l="1"/>
  <c r="E52" s="1"/>
  <c r="D14" i="11"/>
  <c r="J21" i="86"/>
  <c r="K22"/>
  <c r="J162"/>
  <c r="K163"/>
  <c r="J267"/>
  <c r="K268"/>
  <c r="P18" s="1"/>
  <c r="J90"/>
  <c r="K91"/>
  <c r="J312"/>
  <c r="K313"/>
  <c r="J210"/>
  <c r="K211"/>
  <c r="K212" s="1"/>
  <c r="J18" i="11"/>
  <c r="E38" i="18"/>
  <c r="H254" i="9"/>
  <c r="H250" s="1"/>
  <c r="D8" i="14"/>
  <c r="E52" i="18"/>
  <c r="D28" i="14" l="1"/>
  <c r="E55" i="18"/>
  <c r="J14" i="11"/>
  <c r="J163" i="86"/>
  <c r="K164"/>
  <c r="J22"/>
  <c r="K23"/>
  <c r="J268"/>
  <c r="O18" s="1"/>
  <c r="J313"/>
  <c r="K314"/>
  <c r="J91"/>
  <c r="K92"/>
  <c r="J212"/>
  <c r="K213"/>
  <c r="J211"/>
  <c r="D30" i="14" l="1"/>
  <c r="D34" s="1"/>
  <c r="H270" i="9"/>
  <c r="J23" i="86"/>
  <c r="K24"/>
  <c r="J164"/>
  <c r="K165"/>
  <c r="J92"/>
  <c r="K93"/>
  <c r="J314"/>
  <c r="K315"/>
  <c r="J213"/>
  <c r="K214"/>
  <c r="H272" i="9" l="1"/>
  <c r="J165" i="86"/>
  <c r="K166"/>
  <c r="J24"/>
  <c r="K25"/>
  <c r="J315"/>
  <c r="K316"/>
  <c r="J93"/>
  <c r="K94"/>
  <c r="J214"/>
  <c r="K215"/>
  <c r="J25" l="1"/>
  <c r="K26"/>
  <c r="J166"/>
  <c r="K167"/>
  <c r="J94"/>
  <c r="K95"/>
  <c r="J316"/>
  <c r="K317"/>
  <c r="J215"/>
  <c r="K216"/>
  <c r="J167" l="1"/>
  <c r="K168"/>
  <c r="J26"/>
  <c r="K27"/>
  <c r="J317"/>
  <c r="K318"/>
  <c r="J95"/>
  <c r="K96"/>
  <c r="J216"/>
  <c r="K217"/>
  <c r="J27" l="1"/>
  <c r="K28"/>
  <c r="J168"/>
  <c r="K169"/>
  <c r="J96"/>
  <c r="K97"/>
  <c r="J318"/>
  <c r="K319"/>
  <c r="J217"/>
  <c r="K218"/>
  <c r="J169" l="1"/>
  <c r="K170"/>
  <c r="J28"/>
  <c r="K29"/>
  <c r="J319"/>
  <c r="K320"/>
  <c r="J97"/>
  <c r="K98"/>
  <c r="J218"/>
  <c r="K219"/>
  <c r="K220" s="1"/>
  <c r="J29" l="1"/>
  <c r="K30"/>
  <c r="J170"/>
  <c r="K171"/>
  <c r="J98"/>
  <c r="K99"/>
  <c r="J320"/>
  <c r="K321"/>
  <c r="J220"/>
  <c r="K221"/>
  <c r="J219"/>
  <c r="J171" l="1"/>
  <c r="K172"/>
  <c r="J30"/>
  <c r="K31"/>
  <c r="J321"/>
  <c r="K322"/>
  <c r="J99"/>
  <c r="K100"/>
  <c r="P9" s="1"/>
  <c r="J221"/>
  <c r="K222"/>
  <c r="J31" l="1"/>
  <c r="K32"/>
  <c r="J172"/>
  <c r="K173"/>
  <c r="J100"/>
  <c r="O9" s="1"/>
  <c r="J322"/>
  <c r="K323"/>
  <c r="P21" s="1"/>
  <c r="J222"/>
  <c r="K223"/>
  <c r="J173" l="1"/>
  <c r="K174"/>
  <c r="P14" s="1"/>
  <c r="J32"/>
  <c r="K33"/>
  <c r="J323"/>
  <c r="O21" s="1"/>
  <c r="J223"/>
  <c r="K224"/>
  <c r="J33" l="1"/>
  <c r="K34"/>
  <c r="J174"/>
  <c r="O14" s="1"/>
  <c r="J224"/>
  <c r="K225"/>
  <c r="J34" l="1"/>
  <c r="K35"/>
  <c r="J225"/>
  <c r="K226"/>
  <c r="J35" l="1"/>
  <c r="O4" s="1"/>
  <c r="P4"/>
  <c r="J226"/>
  <c r="K227"/>
  <c r="J227" l="1"/>
  <c r="K228"/>
  <c r="K229" s="1"/>
  <c r="J229" l="1"/>
  <c r="K230"/>
  <c r="J228"/>
  <c r="J230" l="1"/>
  <c r="K231"/>
  <c r="J231" l="1"/>
  <c r="K232"/>
  <c r="J232" l="1"/>
  <c r="K233"/>
  <c r="J233" l="1"/>
  <c r="K234"/>
  <c r="J234" l="1"/>
  <c r="K235"/>
  <c r="J235" l="1"/>
  <c r="K236"/>
  <c r="J236" l="1"/>
  <c r="K237"/>
  <c r="J237" l="1"/>
  <c r="K238"/>
  <c r="J238" l="1"/>
  <c r="K239"/>
  <c r="J239" l="1"/>
  <c r="K240"/>
  <c r="J240" l="1"/>
  <c r="K241"/>
  <c r="J241" l="1"/>
  <c r="K242"/>
  <c r="J242" l="1"/>
  <c r="K243"/>
  <c r="J243" l="1"/>
  <c r="K244"/>
  <c r="J244" l="1"/>
  <c r="K245"/>
  <c r="J245" l="1"/>
  <c r="K246"/>
  <c r="J246" l="1"/>
  <c r="K247"/>
  <c r="J247" l="1"/>
  <c r="K248"/>
  <c r="J248" l="1"/>
  <c r="K249"/>
  <c r="J249" l="1"/>
  <c r="K250"/>
  <c r="J250" l="1"/>
  <c r="K251"/>
  <c r="P17" s="1"/>
  <c r="J251" l="1"/>
  <c r="O17" s="1"/>
  <c r="P83" l="1"/>
  <c r="I941" s="1"/>
  <c r="P85" l="1"/>
  <c r="F503" i="102" l="1"/>
</calcChain>
</file>

<file path=xl/sharedStrings.xml><?xml version="1.0" encoding="utf-8"?>
<sst xmlns="http://schemas.openxmlformats.org/spreadsheetml/2006/main" count="8140" uniqueCount="2136">
  <si>
    <t xml:space="preserve">Pasqyra Financiare  te Vitit  </t>
  </si>
  <si>
    <t>Nr</t>
  </si>
  <si>
    <t xml:space="preserve">A K T I V E T </t>
  </si>
  <si>
    <t>Shenime</t>
  </si>
  <si>
    <t>I</t>
  </si>
  <si>
    <t xml:space="preserve">AKTIVET AFATSHKURTERA </t>
  </si>
  <si>
    <t xml:space="preserve">&gt;  Banka </t>
  </si>
  <si>
    <t xml:space="preserve">&gt;  Arka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</si>
  <si>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</si>
  <si>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</si>
  <si>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</si>
  <si>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</si>
  <si>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 xml:space="preserve">3 -  Aktivet te tjera financiare  afatshkurtera </t>
  </si>
  <si>
    <t xml:space="preserve">4 - Inventari </t>
  </si>
  <si>
    <t xml:space="preserve">&gt;  Lendet e para </t>
  </si>
  <si>
    <t xml:space="preserve">&gt;  Produkte te gateshme </t>
  </si>
  <si>
    <t>&gt;  Mallra per rrishitje</t>
  </si>
  <si>
    <t xml:space="preserve">6 - Aktivet afatshkurtera te mbajtura per rishitje </t>
  </si>
  <si>
    <t xml:space="preserve">7 - Parapagime  dhe shpenzime  te shtyra </t>
  </si>
  <si>
    <t>II</t>
  </si>
  <si>
    <t xml:space="preserve"> AKTIVET  AFATGJATA </t>
  </si>
  <si>
    <t>2 - Aktivet Afatgjata  materiale</t>
  </si>
  <si>
    <t>&gt; Toka</t>
  </si>
  <si>
    <t>&gt; Ndertesa</t>
  </si>
  <si>
    <t xml:space="preserve"> &gt; makineri e paisje </t>
  </si>
  <si>
    <t>&gt; Aktivet tjera afat gjata materiale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</si>
  <si>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</si>
  <si>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</si>
  <si>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</si>
  <si>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</si>
  <si>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 xml:space="preserve">2 - Huamarjet </t>
  </si>
  <si>
    <t xml:space="preserve">3 - Huate e parapagimet </t>
  </si>
  <si>
    <t xml:space="preserve">&gt; Te pagushme ndaj furnitoreve </t>
  </si>
  <si>
    <t xml:space="preserve"> &gt;  Te pagushme ndaj punonjesve </t>
  </si>
  <si>
    <t xml:space="preserve"> &gt;  Detyrime  per Sigurimet shoqerore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</si>
  <si>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</si>
  <si>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</si>
  <si>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</si>
  <si>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</si>
  <si>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 xml:space="preserve">&gt; Dividente per tu paguar </t>
  </si>
  <si>
    <t xml:space="preserve">4 - Grantet  dhe te ardhura te shtyra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</si>
  <si>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</si>
  <si>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</si>
  <si>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</si>
  <si>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</si>
  <si>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</si>
  <si>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</si>
  <si>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</si>
  <si>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</si>
  <si>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</si>
  <si>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</si>
  <si>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</si>
  <si>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7 - Rezervat Ligjore</t>
  </si>
  <si>
    <t xml:space="preserve">9 - Fitime te pashperndara </t>
  </si>
  <si>
    <t>10 - Fitime ( Humbja ) e vitit financiar</t>
  </si>
  <si>
    <t xml:space="preserve"> ( Bazuar ne klasifikimin e shpenzimeve sipas natyres )</t>
  </si>
  <si>
    <t xml:space="preserve">Pershkrimi I elementeve 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</si>
  <si>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</si>
  <si>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</si>
  <si>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</si>
  <si>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</si>
  <si>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</si>
  <si>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</si>
  <si>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</si>
  <si>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</si>
  <si>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</si>
  <si>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</si>
  <si>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</si>
  <si>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</si>
  <si>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</si>
  <si>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</si>
  <si>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</si>
  <si>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 xml:space="preserve">Pasqyra e Fluksit monetar - Metoda Direkte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</si>
  <si>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</si>
  <si>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</si>
  <si>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</si>
  <si>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</si>
  <si>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</si>
  <si>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M M Neto nga veprimtarite e shfrytezimit </t>
  </si>
  <si>
    <t>B</t>
  </si>
  <si>
    <t xml:space="preserve">Blerja e njesise te kontrolluar X  minus parate e Arketuara </t>
  </si>
  <si>
    <t>Blerja e Aktiveve afat gjata  materiale</t>
  </si>
  <si>
    <t>Interes I arketuar</t>
  </si>
  <si>
    <t>Divident I arketuar</t>
  </si>
  <si>
    <t>C</t>
  </si>
  <si>
    <t xml:space="preserve"> Fluksi monetar nga aktivitett financiare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</si>
  <si>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</si>
  <si>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</si>
  <si>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</si>
  <si>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</si>
  <si>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</si>
  <si>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>Mjete monetare ne fund te periudhes kontabel</t>
  </si>
  <si>
    <t>Mjete monetare ne fillim te periudhes  kontabel</t>
  </si>
  <si>
    <t xml:space="preserve">PASQYRA E NDRYSHIMEVE NE KAPITAL </t>
  </si>
  <si>
    <t xml:space="preserve">Emertimi </t>
  </si>
  <si>
    <t xml:space="preserve">T O T A L I </t>
  </si>
  <si>
    <t>Pozicioni I rregulluar</t>
  </si>
  <si>
    <t>Emertimi</t>
  </si>
  <si>
    <t>Kapitali aksioner</t>
  </si>
  <si>
    <t>Primi I Aksionit</t>
  </si>
  <si>
    <t>Fitimi I pashpernd</t>
  </si>
  <si>
    <t xml:space="preserve">Efekti I ndryshimit ne polit kontabel </t>
  </si>
  <si>
    <t>Fitimi Neto per periudhen Kontabel</t>
  </si>
  <si>
    <t>Dividentet e paguar</t>
  </si>
  <si>
    <t>Emetimi I kapitalit Aksioner</t>
  </si>
  <si>
    <t>Aksione te thesarit te riblera</t>
  </si>
  <si>
    <t>Rezerva Stat e ligj</t>
  </si>
  <si>
    <t>sqarim ;</t>
  </si>
  <si>
    <t>Plotesimi I te dhenave ne kete pjese duhet te behet sipas kerkesave e struktures standarte</t>
  </si>
  <si>
    <t>Informacion i pergjitheshm dhe politikat kontabel</t>
  </si>
  <si>
    <t>a-</t>
  </si>
  <si>
    <t xml:space="preserve">b - </t>
  </si>
  <si>
    <t xml:space="preserve">c - </t>
  </si>
  <si>
    <t>Shenime qe shpjegojne zerat e ndryshem te pasq financiare</t>
  </si>
  <si>
    <t>NJE PASQYRE E PAKONSOLIDUAR</t>
  </si>
  <si>
    <t>D</t>
  </si>
  <si>
    <t>A1</t>
  </si>
  <si>
    <t>A2</t>
  </si>
  <si>
    <t>C1</t>
  </si>
  <si>
    <t>C2</t>
  </si>
  <si>
    <t>C3</t>
  </si>
  <si>
    <t>D1</t>
  </si>
  <si>
    <t>D2</t>
  </si>
  <si>
    <t>D3</t>
  </si>
  <si>
    <t>E1</t>
  </si>
  <si>
    <t>E2</t>
  </si>
  <si>
    <t xml:space="preserve">5 - Provizionet Afatshkurtera </t>
  </si>
  <si>
    <t>D4</t>
  </si>
  <si>
    <t>D5</t>
  </si>
  <si>
    <t>M1</t>
  </si>
  <si>
    <t>P</t>
  </si>
  <si>
    <t>Shoqeria</t>
  </si>
  <si>
    <t xml:space="preserve">VITI </t>
  </si>
  <si>
    <t xml:space="preserve">A  R  K  A </t>
  </si>
  <si>
    <t xml:space="preserve"> </t>
  </si>
  <si>
    <t xml:space="preserve">B A N K A </t>
  </si>
  <si>
    <t>Kliente per mallra , produkte   e  sherbime   .</t>
  </si>
  <si>
    <t xml:space="preserve">D  1 </t>
  </si>
  <si>
    <t>E  2</t>
  </si>
  <si>
    <t>M 1</t>
  </si>
  <si>
    <t xml:space="preserve">M M Neto te perdorura  ne veprimtarite investuese </t>
  </si>
  <si>
    <t xml:space="preserve">Fluksi monetar nga veprimtarite investuese </t>
  </si>
  <si>
    <t xml:space="preserve">Rritja / renia Neto e mjeteve monetare </t>
  </si>
  <si>
    <t>Rritja e rezerves te kapitalit</t>
  </si>
  <si>
    <t xml:space="preserve">SHENIMET SHPJEGUSE </t>
  </si>
  <si>
    <t>Shenime te tjera shpjeguese .</t>
  </si>
  <si>
    <t>Dhenia e shenimeve shpjeguese ne kete pjese eshte pjese e detyrueshme sipas S K K 2 .</t>
  </si>
  <si>
    <t>te percaktuara ne S K K 2  e konkretisht paragrafeve 49 - 55. radha e dhenies te shpjegimeve duhet te jete:</t>
  </si>
  <si>
    <t xml:space="preserve">Debitore e  Kreditore te tjere </t>
  </si>
  <si>
    <t>Tatimin mbi Fitimin</t>
  </si>
  <si>
    <t xml:space="preserve">Lendet e Para </t>
  </si>
  <si>
    <t>Produkte te Gatshme</t>
  </si>
  <si>
    <t>Prodhimi ne Proces</t>
  </si>
  <si>
    <t>Parapagesa per  furnizime</t>
  </si>
  <si>
    <t>Parapagime e  Shpenzime te shtyra</t>
  </si>
  <si>
    <t>Ndertesa</t>
  </si>
  <si>
    <t>Te pagueshme ndaj Furnitoreve</t>
  </si>
  <si>
    <t>P1</t>
  </si>
  <si>
    <t>P2</t>
  </si>
  <si>
    <t xml:space="preserve">S </t>
  </si>
  <si>
    <t>T</t>
  </si>
  <si>
    <t>U</t>
  </si>
  <si>
    <t>V</t>
  </si>
  <si>
    <t>P  1</t>
  </si>
  <si>
    <t xml:space="preserve">RAKORDIMI I TE ARDHURAVE E BLERJEVE ME T V SH </t>
  </si>
  <si>
    <t>S</t>
  </si>
  <si>
    <t xml:space="preserve">Vlera e </t>
  </si>
  <si>
    <t xml:space="preserve">S H U M A </t>
  </si>
  <si>
    <t xml:space="preserve">KOSTO  TE TJERA </t>
  </si>
  <si>
    <t>Muaji</t>
  </si>
  <si>
    <t>T V SH e zbrit nga muaj I kaluar</t>
  </si>
  <si>
    <t>T V SH e paguar per muajin</t>
  </si>
  <si>
    <t>Shuma e T V SH</t>
  </si>
  <si>
    <t xml:space="preserve">Janar 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</si>
  <si>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</si>
  <si>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</si>
  <si>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</si>
  <si>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</si>
  <si>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</si>
  <si>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</si>
  <si>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</si>
  <si>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</si>
  <si>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</si>
  <si>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</si>
  <si>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</si>
  <si>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Nj vlersim</t>
  </si>
  <si>
    <t>SHUMA</t>
  </si>
  <si>
    <t>NR</t>
  </si>
  <si>
    <t>Kontribute per sig Shoqeror ne lek</t>
  </si>
  <si>
    <t>16)Kontr</t>
  </si>
  <si>
    <t xml:space="preserve">17)Paga </t>
  </si>
  <si>
    <t>18)tatimi</t>
  </si>
  <si>
    <t>MUAJI</t>
  </si>
  <si>
    <t>10)Gjithesej</t>
  </si>
  <si>
    <t xml:space="preserve">          Nga keto :</t>
  </si>
  <si>
    <t>bruto</t>
  </si>
  <si>
    <t xml:space="preserve">mbi te </t>
  </si>
  <si>
    <t>JANAR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</si>
  <si>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</si>
  <si>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</si>
  <si>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</si>
  <si>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</si>
  <si>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</si>
  <si>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</si>
  <si>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</si>
  <si>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</si>
  <si>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</si>
  <si>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</si>
  <si>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SHUMA </t>
  </si>
  <si>
    <t>Tjera</t>
  </si>
  <si>
    <t>NETO</t>
  </si>
  <si>
    <t xml:space="preserve">                 PASQYRA ANALITIKE E VLERESIMIT TE MALLRAVE, MATERIALEVE ,  </t>
  </si>
  <si>
    <t xml:space="preserve">       Fatura</t>
  </si>
  <si>
    <t xml:space="preserve">Vler e tatush </t>
  </si>
  <si>
    <t>Taxa</t>
  </si>
  <si>
    <t>Akcize</t>
  </si>
  <si>
    <t>Sherbime</t>
  </si>
  <si>
    <t>TVSH</t>
  </si>
  <si>
    <t>Emertimi I</t>
  </si>
  <si>
    <t>Referenca</t>
  </si>
  <si>
    <t>Date</t>
  </si>
  <si>
    <t>ne  fatures</t>
  </si>
  <si>
    <t>inventarit</t>
  </si>
  <si>
    <t>Dogano</t>
  </si>
  <si>
    <t>ne fature</t>
  </si>
  <si>
    <t>Inventarit</t>
  </si>
  <si>
    <t>A  2</t>
  </si>
  <si>
    <t xml:space="preserve">Emertimi I kostove </t>
  </si>
  <si>
    <t>Kostot e prodhimit e te sherbimit</t>
  </si>
  <si>
    <t xml:space="preserve">PASQYRA PERMBLEDHESE  E VLERESIMIT TE MALLRAVE, MATERIALEVE ,  </t>
  </si>
  <si>
    <t>FDP</t>
  </si>
  <si>
    <t>DIF</t>
  </si>
  <si>
    <t>SHKURT</t>
  </si>
  <si>
    <t xml:space="preserve">  Fatura </t>
  </si>
  <si>
    <t>Vleresimi</t>
  </si>
  <si>
    <t>Te tjera</t>
  </si>
  <si>
    <t xml:space="preserve">Emertimi I </t>
  </si>
  <si>
    <t>kontabel</t>
  </si>
  <si>
    <t>Doganore</t>
  </si>
  <si>
    <t xml:space="preserve">Kosto neto </t>
  </si>
  <si>
    <t xml:space="preserve"> Derdhur ne fakt </t>
  </si>
  <si>
    <t xml:space="preserve">Planifikuar </t>
  </si>
  <si>
    <t xml:space="preserve">Progresive </t>
  </si>
  <si>
    <t>KORRRIK</t>
  </si>
  <si>
    <t xml:space="preserve">Detyrimi sipas pasqyres te ardhurave </t>
  </si>
  <si>
    <t xml:space="preserve">Per te pagura apo mbi pagesa </t>
  </si>
  <si>
    <t>Emertiimi I bankes</t>
  </si>
  <si>
    <t xml:space="preserve">Gjendje </t>
  </si>
  <si>
    <t xml:space="preserve">E U R O </t>
  </si>
  <si>
    <t>Shpen te tjera ………... , shpenz te per te shku …………</t>
  </si>
  <si>
    <t>Emetimi I Aksioneve, fitime te mbartura</t>
  </si>
  <si>
    <t xml:space="preserve">SHUMA  E GJENDJES TE MALLRAVE ME V R N </t>
  </si>
  <si>
    <t xml:space="preserve">Emertimi I mallrave </t>
  </si>
  <si>
    <t>Nj mat</t>
  </si>
  <si>
    <t>sasia</t>
  </si>
  <si>
    <t>Kostua</t>
  </si>
  <si>
    <t xml:space="preserve">V R N </t>
  </si>
  <si>
    <t xml:space="preserve">&gt;  Llogaria / Kerkesa te arketushme </t>
  </si>
  <si>
    <t xml:space="preserve">&gt;  Llogari /  Kerkesa te tjer ate arketushme </t>
  </si>
  <si>
    <t xml:space="preserve">&gt; Investime te tjera  financiare </t>
  </si>
  <si>
    <t>D  3</t>
  </si>
  <si>
    <t>D  4</t>
  </si>
  <si>
    <t xml:space="preserve">5  -  Aktivet  biliogjike afatshkurtera </t>
  </si>
  <si>
    <t xml:space="preserve">1  - Investime  financiare afatgjata </t>
  </si>
  <si>
    <t>&gt; Pjesmarja te tjera te nj te kontr ( vetem P F )</t>
  </si>
  <si>
    <t>&gt;  Aksione e invest te tjera te pjesmarjes</t>
  </si>
  <si>
    <t>&gt; Kerkesa te arketushme afatgjata</t>
  </si>
  <si>
    <t>&gt; Emri  I mire</t>
  </si>
  <si>
    <t>&gt; Shpenzimet e zhvillimit</t>
  </si>
  <si>
    <t xml:space="preserve">&gt; Aktive te tjera jo materiale </t>
  </si>
  <si>
    <t xml:space="preserve">DERIVATET DHE KAPITALI </t>
  </si>
  <si>
    <t xml:space="preserve">Detyrimet Afatshkurtera </t>
  </si>
  <si>
    <t xml:space="preserve">1. - Derivatet </t>
  </si>
  <si>
    <t xml:space="preserve"> &gt; Huate dhe  obligacionet afatshkurtera</t>
  </si>
  <si>
    <t xml:space="preserve"> &gt;Kthimet/ Ripagesat e huave afatgjata</t>
  </si>
  <si>
    <t xml:space="preserve">&gt; Bono te kovertushme </t>
  </si>
  <si>
    <t xml:space="preserve">&gt;   Parapagimet  e arketimeve </t>
  </si>
  <si>
    <t xml:space="preserve">DETYRIMET   AFATGJATA </t>
  </si>
  <si>
    <t xml:space="preserve">3  - Provizionet   Afatgjata </t>
  </si>
  <si>
    <t>TOTALI I  DETYRIMEVE  ( I +  II )</t>
  </si>
  <si>
    <t>TOTALI I DETYRIMEVE  DHE KAPITALIT( I + II + III)</t>
  </si>
  <si>
    <t xml:space="preserve">Te ARDHURTA  GJITHESEJ </t>
  </si>
  <si>
    <t xml:space="preserve">11.- Te ardhura te regjistr avance </t>
  </si>
  <si>
    <t>&gt;  Parapagesa per furnizime , shpenzime per tu shperndare</t>
  </si>
  <si>
    <t xml:space="preserve">Tatime e taksa , dogane , tatime  e taxa, arketime te tjera ,TVSH </t>
  </si>
  <si>
    <t>R</t>
  </si>
  <si>
    <t xml:space="preserve">&gt;  Prodhimi ne proces,  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</si>
  <si>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</si>
  <si>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</si>
  <si>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</si>
  <si>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</si>
  <si>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</si>
  <si>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</si>
  <si>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</si>
  <si>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</si>
  <si>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</si>
  <si>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</si>
  <si>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</si>
  <si>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</si>
  <si>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</si>
  <si>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</si>
  <si>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</si>
  <si>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</si>
  <si>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</si>
  <si>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</si>
  <si>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</si>
  <si>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</si>
  <si>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</si>
  <si>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</si>
  <si>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</si>
  <si>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</si>
  <si>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</si>
  <si>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</si>
  <si>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</si>
  <si>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</si>
  <si>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</si>
  <si>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</si>
  <si>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</si>
  <si>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</si>
  <si>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</si>
  <si>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</si>
  <si>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</si>
  <si>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</si>
  <si>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</si>
  <si>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</si>
  <si>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</si>
  <si>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</si>
  <si>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</si>
  <si>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</si>
  <si>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</si>
  <si>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</si>
  <si>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</si>
  <si>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</si>
  <si>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r>
      <t xml:space="preserve">Ne  analize  </t>
    </r>
    <r>
      <rPr>
        <b/>
        <sz val="10"/>
        <rFont val="Arial"/>
        <family val="2"/>
      </rPr>
      <t>SHIF PASQYRAT ANALITIKE TE LLOGARIVE  QE U PERGJIGJEN NGJARJEVE</t>
    </r>
    <r>
      <rPr>
        <sz val="10"/>
        <rFont val="Arial"/>
        <family val="2"/>
      </rPr>
      <t xml:space="preserve"> </t>
    </r>
  </si>
  <si>
    <r>
      <t>E VEPRIMEVE KONTABEL  . ANALITIKISHT SIPAS  SHENIMEVE NE PASQYRAT FINANCIARE</t>
    </r>
    <r>
      <rPr>
        <sz val="10"/>
        <rFont val="Arial"/>
        <family val="2"/>
      </rPr>
      <t xml:space="preserve"> .</t>
    </r>
  </si>
  <si>
    <t xml:space="preserve">Te tjera tvsh e nd  , rrjedh neto  …….. e interesa neto </t>
  </si>
  <si>
    <t xml:space="preserve">PROVIGJIONET </t>
  </si>
  <si>
    <t xml:space="preserve">  6  - Provizionet </t>
  </si>
  <si>
    <t>SHUMA 1</t>
  </si>
  <si>
    <t>SHUMA 2</t>
  </si>
  <si>
    <t xml:space="preserve">S  H  U  M  A  </t>
  </si>
  <si>
    <t>Shuma  AQT</t>
  </si>
  <si>
    <t>SUBJEKTI</t>
  </si>
  <si>
    <t xml:space="preserve">                       Fatura</t>
  </si>
  <si>
    <t>Shuma ne</t>
  </si>
  <si>
    <t>All</t>
  </si>
  <si>
    <t>Eur</t>
  </si>
  <si>
    <t xml:space="preserve">Kursi </t>
  </si>
  <si>
    <t>I kembit</t>
  </si>
  <si>
    <t>Monedha</t>
  </si>
  <si>
    <t>Leke</t>
  </si>
  <si>
    <t>Euro</t>
  </si>
  <si>
    <t xml:space="preserve">PASQYRAT  FINANCIARE </t>
  </si>
  <si>
    <t xml:space="preserve">Mbeshtetur  ne Ligjin  Nr 9228 date 29.04.2004 " Per kontabilitetin e Pasqyrat financiare " , </t>
  </si>
  <si>
    <t>te ndryshuar dhe ne Standartet Kombetare te Kontabilitetit - S K K 2 )</t>
  </si>
  <si>
    <t xml:space="preserve">Te dhenat identifikuse </t>
  </si>
  <si>
    <t xml:space="preserve">Te dhena  te tjera </t>
  </si>
  <si>
    <t xml:space="preserve">Emri </t>
  </si>
  <si>
    <t>x</t>
  </si>
  <si>
    <t>Individ</t>
  </si>
  <si>
    <t>Pasqyrat financ</t>
  </si>
  <si>
    <t xml:space="preserve">NIPT </t>
  </si>
  <si>
    <t>Te konsol</t>
  </si>
  <si>
    <t>ADRESA</t>
  </si>
  <si>
    <t xml:space="preserve">Monedha </t>
  </si>
  <si>
    <t>Lek</t>
  </si>
  <si>
    <t>Data e krijimit</t>
  </si>
  <si>
    <t>Nr I regjistrit Treg</t>
  </si>
  <si>
    <t xml:space="preserve">Rrumbullakimi </t>
  </si>
  <si>
    <t xml:space="preserve">Periudha  kontabel </t>
  </si>
  <si>
    <t xml:space="preserve">Fusha e veprimtarise </t>
  </si>
  <si>
    <t xml:space="preserve">Data e plot te P F </t>
  </si>
  <si>
    <t>Te ardhura nga shitja e paisjeve , parapagim</t>
  </si>
  <si>
    <t>FURNITORET</t>
  </si>
  <si>
    <t>TOTALI</t>
  </si>
  <si>
    <t>KLIENTET</t>
  </si>
  <si>
    <t xml:space="preserve">&gt; Parapagime te tjera </t>
  </si>
  <si>
    <t xml:space="preserve">V I T I </t>
  </si>
  <si>
    <t>Pozicioni me 31 Dhjetor 2009</t>
  </si>
  <si>
    <t>Emertimi I mallrave</t>
  </si>
  <si>
    <t>Nj.mat</t>
  </si>
  <si>
    <t>Sasia</t>
  </si>
  <si>
    <t>VLERA pa TVSH</t>
  </si>
  <si>
    <t>Situata financiare</t>
  </si>
  <si>
    <t xml:space="preserve"> TE ARDHURA NGA PUNIMET ME TE TRETE </t>
  </si>
  <si>
    <t xml:space="preserve">Te ardhura te tjera , 7 % I KOSTOS  NDERTIMORE </t>
  </si>
  <si>
    <t>Shuma</t>
  </si>
  <si>
    <t>Furnizime</t>
  </si>
  <si>
    <t>Likujdime</t>
  </si>
  <si>
    <t>Detyrim i mbetur</t>
  </si>
  <si>
    <t>Faturim</t>
  </si>
  <si>
    <t>Detyrime</t>
  </si>
  <si>
    <t xml:space="preserve">I N V E N T A R I </t>
  </si>
  <si>
    <t>Kursi</t>
  </si>
  <si>
    <t>NIPT</t>
  </si>
  <si>
    <t>Shenimet Spjeguse</t>
  </si>
  <si>
    <t>Per pasqyrtat financiare te Shoqerise (Njeseise)</t>
  </si>
  <si>
    <t>Statusi i Shoqerise</t>
  </si>
  <si>
    <t>Selia</t>
  </si>
  <si>
    <t>Administratori</t>
  </si>
  <si>
    <t>Veprimtaria qe kryen</t>
  </si>
  <si>
    <t>Nipti</t>
  </si>
  <si>
    <t>Numri i te punesuarve</t>
  </si>
  <si>
    <t>I - Informacion i pergjithshem dhe politikat kontabel</t>
  </si>
  <si>
    <t xml:space="preserve"> A - Informacion i pergjirhshem</t>
  </si>
  <si>
    <t xml:space="preserve"> te standarteve kombetare te kontabilitetit dhe ligjit  9228 Date 29,04,2004 ''per Kontabilitetin </t>
  </si>
  <si>
    <t>e pasqyrat Financiare ''</t>
  </si>
  <si>
    <t>B-Politikat Kontabel</t>
  </si>
  <si>
    <t xml:space="preserve">Jane ato te percaktuara nestandatret kombetare te kontabilitetit Dhe ligjin  ''Per Kontabilitetin  e   </t>
  </si>
  <si>
    <t>Pasqyrat Financiate'' Nr   92280  Date 29,04,2004</t>
  </si>
  <si>
    <t xml:space="preserve">     Keto Pasqyra financiare jane pregatitur ne baze te parimit  te te drejta e detyrimene te konstatuara</t>
  </si>
  <si>
    <t>(SKK  1  -  35  )</t>
  </si>
  <si>
    <t xml:space="preserve"> Informacioni  i dhene eshte perpiluar ne baze te parimit te njesise ekonomike.</t>
  </si>
  <si>
    <t>Monedha ne te cilen shprehen te gjitha pasqyrat financiare eshte leku shqiptare ,pa bere rrumbullakime</t>
  </si>
  <si>
    <t xml:space="preserve"> - Ne Aktiv</t>
  </si>
  <si>
    <t xml:space="preserve">3- Aktive te tjera afat Shkutrta Gjitesej </t>
  </si>
  <si>
    <t xml:space="preserve"> I - Kerkesa te arketushme  </t>
  </si>
  <si>
    <t xml:space="preserve"> -  Kliente </t>
  </si>
  <si>
    <t xml:space="preserve">Kerkes te tjra te arketushme jane </t>
  </si>
  <si>
    <t>a)</t>
  </si>
  <si>
    <t>b)</t>
  </si>
  <si>
    <t xml:space="preserve"> 4- Inventarei i mallrave </t>
  </si>
  <si>
    <t>Gjate vitit ushtrimor eshte perdorur metoda FIFO Dhe ne fund mallrat jene vleresuar me cmimet e hyrjes si</t>
  </si>
  <si>
    <t>dhe shpenzimet e tjera  te blerjes te blerjes  si taksa .</t>
  </si>
  <si>
    <t xml:space="preserve"> - Ne Pasiv</t>
  </si>
  <si>
    <t>2- Paga e punetoreve</t>
  </si>
  <si>
    <t>3- Detyrime  per Sigurimet shoqerore</t>
  </si>
  <si>
    <t xml:space="preserve">4- Detyrime Tatimore per  TAP - in  </t>
  </si>
  <si>
    <t xml:space="preserve">5- Detyrime Tatimore per  Tatimin mbi fitimin </t>
  </si>
  <si>
    <t xml:space="preserve">6- Detyrime tatimore per T V SH </t>
  </si>
  <si>
    <t>7- Detyrime tatimore per tatimin ne burim</t>
  </si>
  <si>
    <t xml:space="preserve">8-  Huara te tjera </t>
  </si>
  <si>
    <t xml:space="preserve">  -  Overdrafte</t>
  </si>
  <si>
    <t xml:space="preserve">  -  Huara bankare</t>
  </si>
  <si>
    <t xml:space="preserve">9-   Parapagimet  e arketimeve </t>
  </si>
  <si>
    <t xml:space="preserve"> - Te ardhurat e  Shpenzimet</t>
  </si>
  <si>
    <t xml:space="preserve">   Jane njohur me vleren e drejte te shumes se arketushme ose te pagushme ne momentim e kryerjes se </t>
  </si>
  <si>
    <t xml:space="preserve">transaksioneve te blerjes , sherbimeve apo  shitjes . Ato jane klasifikuar ne pasqyren  e te ardhurave </t>
  </si>
  <si>
    <t>e shpenzimeve sipas narytes se tyre ekonomike</t>
  </si>
  <si>
    <t xml:space="preserve"> Shitje  NETO</t>
  </si>
  <si>
    <t xml:space="preserve"> Te ardhura te tjera nga veprimtaria e shfrytezimit </t>
  </si>
  <si>
    <t xml:space="preserve">Te ardhura te tjera </t>
  </si>
  <si>
    <t>Ndryshimi ne inventarin prod I gateshm e prodh proces</t>
  </si>
  <si>
    <t>Shpenzime te panjohura</t>
  </si>
  <si>
    <t xml:space="preserve"> - Pasqyra e fluksit te parase  (Cash Flow)</t>
  </si>
  <si>
    <t>Pasqyra e Fkuksit te parase eshte pregaritiur sipas metodes direkte</t>
  </si>
  <si>
    <t>II - Informacionper zerat e pasqyrave fimanciare</t>
  </si>
  <si>
    <t xml:space="preserve">  I -Aktivet Afat gjata</t>
  </si>
  <si>
    <t>Gjendja e ativeve</t>
  </si>
  <si>
    <t>Shtesa</t>
  </si>
  <si>
    <t>Pakesime</t>
  </si>
  <si>
    <t>Vlera e mbetur</t>
  </si>
  <si>
    <t>Makineri e pajisje</t>
  </si>
  <si>
    <t>Mjete Transporti</t>
  </si>
  <si>
    <t>Paisje zyre e informatike</t>
  </si>
  <si>
    <t>II- Pasqyra e ndryshimit te kapitalit</t>
  </si>
  <si>
    <t xml:space="preserve">II - Shenimet Spjeguese </t>
  </si>
  <si>
    <t xml:space="preserve">     Ngjarje te ndodhura pas dates se bilancit per te cilat behen rregullime Apo ngjarje te ndodhura pas </t>
  </si>
  <si>
    <t>dates se bilancit qe nuk behen rregullime nuk ka</t>
  </si>
  <si>
    <t>Gabime materiale te ndodhura ne periudhat kontabel te meparshme te konstatuara gjate periudhes</t>
  </si>
  <si>
    <t xml:space="preserve"> rraportuesse  dhe qe behen korrigjime nuk ka</t>
  </si>
  <si>
    <t>Hartusi</t>
  </si>
  <si>
    <t xml:space="preserve">Administratori </t>
  </si>
  <si>
    <t>SHPK</t>
  </si>
  <si>
    <t>VLORE</t>
  </si>
  <si>
    <t>TE TJERA TE ARKET</t>
  </si>
  <si>
    <t>Sh . Spjeg</t>
  </si>
  <si>
    <t xml:space="preserve">     Kjo Shoqeri eshte themeluar ne vitin   ......              .Ka riklasifikim te gjendjeve te vitit 2007 e te </t>
  </si>
  <si>
    <t xml:space="preserve"> Shitje  NETO,ose  ME KOSTO NDERTIMORE </t>
  </si>
  <si>
    <t xml:space="preserve"> Te ardhura te tjera  ose  TE PERHASHTUARA TE SHITJES </t>
  </si>
  <si>
    <t>Ndryshimi i gjendjes te prodhimit te vet(  +  vlera  )</t>
  </si>
  <si>
    <t>Ndryshimi i gjendjes te prodhimit te vet ( -  vlera  = kujdes )</t>
  </si>
  <si>
    <t>Fitimi ( humbja ) para tatimit  (  C+ / -  D  )</t>
  </si>
  <si>
    <t>Pozicioni me 31 Dhjetor 2010</t>
  </si>
  <si>
    <t xml:space="preserve">Interesa </t>
  </si>
  <si>
    <t>Bankare etj</t>
  </si>
  <si>
    <t xml:space="preserve">                 Shuma totale</t>
  </si>
  <si>
    <t xml:space="preserve">Kovertimi  ne Lek </t>
  </si>
  <si>
    <t xml:space="preserve">SHPENZIME TE PANJOHURA </t>
  </si>
  <si>
    <t>....................................</t>
  </si>
  <si>
    <t>..........................................</t>
  </si>
  <si>
    <t>...................................................</t>
  </si>
  <si>
    <t>per mallra e mat, paisje</t>
  </si>
  <si>
    <t xml:space="preserve">4 % i bashkise </t>
  </si>
  <si>
    <t xml:space="preserve">Ardhur nga   S  apo bankat  etj </t>
  </si>
  <si>
    <t xml:space="preserve">T O T A L I  </t>
  </si>
  <si>
    <t>Projekti</t>
  </si>
  <si>
    <t xml:space="preserve">Emertimi  i Bankes </t>
  </si>
  <si>
    <t>Numeri   i Llogarise</t>
  </si>
  <si>
    <t xml:space="preserve">Lloi i monedhes </t>
  </si>
  <si>
    <t xml:space="preserve"> Shuma  ne  lek </t>
  </si>
  <si>
    <r>
      <t xml:space="preserve">Nipt          </t>
    </r>
    <r>
      <rPr>
        <b/>
        <sz val="12"/>
        <rFont val="Arial"/>
        <family val="2"/>
      </rPr>
      <t/>
    </r>
  </si>
  <si>
    <t>Emertimi i aktivit</t>
  </si>
  <si>
    <t>Viti i hyrjes se aktivit</t>
  </si>
  <si>
    <t xml:space="preserve">Celje  me vl fillestare </t>
  </si>
  <si>
    <t>Ndryshimet gjate vitit</t>
  </si>
  <si>
    <t>Koeficenti i amortizimit ne %</t>
  </si>
  <si>
    <t>Hyrje aktivesh</t>
  </si>
  <si>
    <t>Dalje aktivesh</t>
  </si>
  <si>
    <t>a</t>
  </si>
  <si>
    <t>b</t>
  </si>
  <si>
    <t>4(1+2-3)</t>
  </si>
  <si>
    <t>7 ( 1-6)</t>
  </si>
  <si>
    <t>8[(7x5)+(2x5/12x..)}</t>
  </si>
  <si>
    <t>10(6+8-9)</t>
  </si>
  <si>
    <t>11 ( 4-10 )</t>
  </si>
  <si>
    <t>S H U M A   NDERTESA</t>
  </si>
  <si>
    <t xml:space="preserve">MAKINERI E PAISJE </t>
  </si>
  <si>
    <t xml:space="preserve">INSTALIME  , LINJA </t>
  </si>
  <si>
    <t>SHUMA MAKINERI E PAISJE</t>
  </si>
  <si>
    <t>MJETE  TRASPORTI</t>
  </si>
  <si>
    <t>SHUMA MJETE TRASP</t>
  </si>
  <si>
    <t>Paisje Zyre e informatike</t>
  </si>
  <si>
    <t xml:space="preserve">paisje Zyre </t>
  </si>
  <si>
    <t>SHUMA Paisje zyere e inf</t>
  </si>
  <si>
    <t xml:space="preserve">G J I T H E S E J </t>
  </si>
  <si>
    <t>tep e V 10</t>
  </si>
  <si>
    <t>m2</t>
  </si>
  <si>
    <t>Noteri</t>
  </si>
  <si>
    <t xml:space="preserve">LEKE </t>
  </si>
  <si>
    <t>SHOQERIA</t>
  </si>
  <si>
    <t>Shtese</t>
  </si>
  <si>
    <t>Paksime</t>
  </si>
  <si>
    <t>Toka</t>
  </si>
  <si>
    <t>Makineri, pasja</t>
  </si>
  <si>
    <t>Kompjutra</t>
  </si>
  <si>
    <t>Zyre</t>
  </si>
  <si>
    <t>ADMINISTRATORI</t>
  </si>
  <si>
    <t>Pasqyra nr.1</t>
  </si>
  <si>
    <t>Ne 000/Leke</t>
  </si>
  <si>
    <t>ANEKS FTATISTIKOR</t>
  </si>
  <si>
    <t>T Ë   A R D H U RA T</t>
  </si>
  <si>
    <t>Numeri i llogarise</t>
  </si>
  <si>
    <t>Kodi Statistikor</t>
  </si>
  <si>
    <t>USHTRIMI</t>
  </si>
  <si>
    <t xml:space="preserve">  TË ARDHURA GJITHSEJ (a+b+c)</t>
  </si>
  <si>
    <t>Te ardhura nga shitja e produktit të  vet</t>
  </si>
  <si>
    <t>Te ardhura nga shitja e sherbimeve</t>
  </si>
  <si>
    <t>c</t>
  </si>
  <si>
    <t>Te ardhura nga shitja e mallrave</t>
  </si>
  <si>
    <t xml:space="preserve">  TË ARDHURA NGA SHITJE TE TJERA (a+b+c)</t>
  </si>
  <si>
    <t>Qera</t>
  </si>
  <si>
    <t>Komisione</t>
  </si>
  <si>
    <t>Transaksione per te tjeret</t>
  </si>
  <si>
    <t>NDRYSHIMET NE INVENTARIN E PRODUKTEVE TE GATSHME E PRODHIMEVE NE PROCES</t>
  </si>
  <si>
    <t>Shtesa(+)</t>
  </si>
  <si>
    <t>Paksime(-)</t>
  </si>
  <si>
    <t>PRODHIMI PER QELLIMET E VET NDERMARRJES DHE PER KAPITAL:</t>
  </si>
  <si>
    <t>Nga te cilat: Prodhim I aktiveve afatgjate</t>
  </si>
  <si>
    <t>TE ARDHURA NGA GRANTET (Subvencionet)</t>
  </si>
  <si>
    <t>TE TJERA</t>
  </si>
  <si>
    <t>TE ARDHURA NGA SHITJA E AKTIVEVE AFATGJATE</t>
  </si>
  <si>
    <t>TOTALI (1+2+3+4+5+6+7)</t>
  </si>
  <si>
    <t>Pasqyra nr.2</t>
  </si>
  <si>
    <t>S H P E N Z I M E T</t>
  </si>
  <si>
    <t>Blerje, shpenzime (a+b+c+d+e)</t>
  </si>
  <si>
    <t>Blerje/shpenzime materiale dhe materiale te tjera</t>
  </si>
  <si>
    <t>Ndryshimi i gjendjeve te Materialeve (+ -)</t>
  </si>
  <si>
    <t>Mallra te blera</t>
  </si>
  <si>
    <t>605/1</t>
  </si>
  <si>
    <t>d</t>
  </si>
  <si>
    <t>Ndryshimi i gjendjeve te Mallrave (+ -)</t>
  </si>
  <si>
    <t>e</t>
  </si>
  <si>
    <t>Shpenzime per sherbime</t>
  </si>
  <si>
    <t>605/2</t>
  </si>
  <si>
    <t>Shpenzime për personelin(a+b)</t>
  </si>
  <si>
    <t>Pagat</t>
  </si>
  <si>
    <t>Trajtime dhe shpërblime të tjera</t>
  </si>
  <si>
    <t>Amortizime dhe zhvlersime</t>
  </si>
  <si>
    <t>Sherbime nga te trete(a+b+c+d+e+f+g+h+i+j+k+l+m)</t>
  </si>
  <si>
    <t>Sherbime nga nen-kontraktoret</t>
  </si>
  <si>
    <t>Trajtime te pergjitheshme</t>
  </si>
  <si>
    <t>Mirmbajtje dhe riparime</t>
  </si>
  <si>
    <t>Shpenzime per siguracione</t>
  </si>
  <si>
    <t>f</t>
  </si>
  <si>
    <t>Kerkim studime</t>
  </si>
  <si>
    <t>g</t>
  </si>
  <si>
    <t>Sherbime te tjera</t>
  </si>
  <si>
    <t>h</t>
  </si>
  <si>
    <t>Shpenzime per koncensione,patenta dhe licenca</t>
  </si>
  <si>
    <t>i</t>
  </si>
  <si>
    <t>Shpenzime per reklame e publicitet</t>
  </si>
  <si>
    <t>j</t>
  </si>
  <si>
    <t>Transferime,udhetime,dieta.</t>
  </si>
  <si>
    <t>k</t>
  </si>
  <si>
    <t>Shpenzime postare e telekominikacion</t>
  </si>
  <si>
    <t>l</t>
  </si>
  <si>
    <t>Shpenzime transporti</t>
  </si>
  <si>
    <t>per Blerje</t>
  </si>
  <si>
    <t>per Shitje</t>
  </si>
  <si>
    <t>m</t>
  </si>
  <si>
    <t>Shpenzime per sherbime bankare</t>
  </si>
  <si>
    <t>Tatime dhe Taksa  (a+b+c+d)</t>
  </si>
  <si>
    <t>Taksa e tarifa doganore</t>
  </si>
  <si>
    <t>Akciza</t>
  </si>
  <si>
    <t>Taksa e Tarifa vendore</t>
  </si>
  <si>
    <t>Taksa e regjistrimit dhe tatime te tjera</t>
  </si>
  <si>
    <t>TOTALI I SHPENZIMEVE (1+2+3+4+5)</t>
  </si>
  <si>
    <t>Informate:</t>
  </si>
  <si>
    <t>Numeri mesatar I te punesuarve</t>
  </si>
  <si>
    <t>Investimet</t>
  </si>
  <si>
    <t>Shtim I aseteve fikse</t>
  </si>
  <si>
    <t>nga te cilet; Asete te reja</t>
  </si>
  <si>
    <t>Pakesimi i aseteve fikse</t>
  </si>
  <si>
    <t>nga te cilet; Shitje e aseteve ekzistuese</t>
  </si>
  <si>
    <t>Pasqyra nr  3</t>
  </si>
  <si>
    <t>Aktiviteti</t>
  </si>
  <si>
    <t>Te ardhura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</si>
  <si>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</si>
  <si>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</si>
  <si>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</si>
  <si>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</si>
  <si>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</si>
  <si>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</si>
  <si>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</si>
  <si>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</si>
  <si>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</si>
  <si>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</si>
  <si>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</si>
  <si>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</si>
  <si>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</si>
  <si>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</si>
  <si>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</si>
  <si>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</si>
  <si>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</si>
  <si>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</si>
  <si>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</si>
  <si>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</si>
  <si>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</si>
  <si>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</si>
  <si>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</si>
  <si>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</si>
  <si>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</si>
  <si>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</si>
  <si>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</si>
  <si>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</si>
  <si>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</si>
  <si>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</si>
  <si>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</si>
  <si>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</si>
  <si>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</si>
  <si>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</si>
  <si>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</si>
  <si>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</si>
  <si>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</si>
  <si>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</si>
  <si>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</si>
  <si>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</si>
  <si>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</si>
  <si>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</si>
  <si>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</si>
  <si>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Totali i te ardhurave nga sherbimet</t>
  </si>
  <si>
    <t>Te punesuar mesatarisht per vitin 2010</t>
  </si>
  <si>
    <t>Numeri i te punesuarve</t>
  </si>
  <si>
    <t>Me page deri ne 19.000 leke</t>
  </si>
  <si>
    <t>Me page nga 19.001 deri ne 30.000 leke</t>
  </si>
  <si>
    <t>Me page nga 30.001 deri ne 66.500 leke</t>
  </si>
  <si>
    <t>Me page nga 66.501 deri ne 84.100 leke</t>
  </si>
  <si>
    <t>Me page me te larte se 84.100 leke</t>
  </si>
  <si>
    <r>
      <t xml:space="preserve">             </t>
    </r>
    <r>
      <rPr>
        <sz val="8.5"/>
        <color indexed="8"/>
        <rFont val="Arial BoldMT"/>
      </rPr>
      <t>Totali</t>
    </r>
  </si>
  <si>
    <t xml:space="preserve">Te  ardhura  nga shitja e MALLRAVE </t>
  </si>
  <si>
    <t xml:space="preserve">Te  ardhura  nga shitja e A A GJ Materiale  etj , ETJ  ETJ </t>
  </si>
  <si>
    <t>L2</t>
  </si>
  <si>
    <t xml:space="preserve">TOTALI  I HUASE  </t>
  </si>
  <si>
    <t>Formulari numer E-SIG 025/a    Listepagesa e kontributeve te Sigurimeve Shoqerore ,Shendetesore dhe tatimi mbi te ardhurat nga punesimi</t>
  </si>
  <si>
    <t>2) Statuti I tatim Pagusit  SHPK</t>
  </si>
  <si>
    <t>Vemprimtaria e deges/njesia</t>
  </si>
  <si>
    <t xml:space="preserve">Numeri i </t>
  </si>
  <si>
    <t>Sigurimit</t>
  </si>
  <si>
    <t>15)kontr</t>
  </si>
  <si>
    <t>per sigurime</t>
  </si>
  <si>
    <t>Shoqeror</t>
  </si>
  <si>
    <t>13)Punedhene</t>
  </si>
  <si>
    <t>14)Punem</t>
  </si>
  <si>
    <t>shtese</t>
  </si>
  <si>
    <t>shend gjith</t>
  </si>
  <si>
    <t>qe llog tat</t>
  </si>
  <si>
    <t>Emri e Mbiemri</t>
  </si>
  <si>
    <t>Teknik</t>
  </si>
  <si>
    <t>Punetor</t>
  </si>
  <si>
    <t>PUNETOR</t>
  </si>
  <si>
    <t>6) Lidhur me sa me siper,DEKLAROJ qe :</t>
  </si>
  <si>
    <t>a)Pasqyra eshte nisur per ne DRT, me poste rekomande ne daten________</t>
  </si>
  <si>
    <t>Duke filluar nga data________numri total i punonjesve qe</t>
  </si>
  <si>
    <t>b)Pasqyra me __faqe ne Protokollin e Drejtorise Rajonale Tatimore me Nr__,date___</t>
  </si>
  <si>
    <t xml:space="preserve">punojne ne kete subjekt dhe paguajne kontribute ,perfshire dhe </t>
  </si>
  <si>
    <t xml:space="preserve">Punonjesi i Protokollit I Drejtorise Rajonale Tatimore </t>
  </si>
  <si>
    <t>Shuma e FAQES</t>
  </si>
  <si>
    <t>te dhenat e kesaj pasqyre eshte______persona.</t>
  </si>
  <si>
    <t>(_______________________) Emer,mbiemer,firme ne cdo faqe</t>
  </si>
  <si>
    <t>SHUMA E MBARTUR</t>
  </si>
  <si>
    <t>Perfaqsuesi i Personit Juridik/Personi Fizik</t>
  </si>
  <si>
    <t>VERTETOJ SE:</t>
  </si>
  <si>
    <t>TOTALI I LISTEPAGESES</t>
  </si>
  <si>
    <t>(______________________) emer ,mbiemer, firme</t>
  </si>
  <si>
    <t>c) Pasqyra me __faqe,ka ____ te punesuar gjate muajit dhe ___ larguar nga puna Gjate muajit.</t>
  </si>
  <si>
    <t>personi juridik edhe vule ne cdo faqe</t>
  </si>
  <si>
    <t xml:space="preserve">INSPEKTORI I DREJTORISE RAJONALE TATIMORE marres ne dorezim </t>
  </si>
  <si>
    <t xml:space="preserve">                  DEKLAROJ SE :</t>
  </si>
  <si>
    <t>a) Listepagesa me gjithsej__faqe u dorezua me Protokollin e ZSHT. Me Nr______.dt____.</t>
  </si>
  <si>
    <t>Punonjesi i Protokollit i Zyres Sherbimit Tatimpagusve te Rrethit__________</t>
  </si>
  <si>
    <t xml:space="preserve">                        (  ____________________________ ) Emri,mbiemri firma ne faqen e pare</t>
  </si>
  <si>
    <t>dhe ____punonjes, qe paguajne tatim mbi te ardhurat nga punesimi ( TAP)</t>
  </si>
  <si>
    <t>b)Listpagesa me gjithesej_______faqe, u dorezua ne Protokollin e DRT. Me Nr.___.date____</t>
  </si>
  <si>
    <t xml:space="preserve"> Punonjesi i Protokollit Drejtorise Rajonale Tatimore</t>
  </si>
  <si>
    <t>Perfaqesuesi i Personit Juridik/Fizik</t>
  </si>
  <si>
    <t xml:space="preserve">                     (  ____________________________ ) Emri,mbiemri firma ne faqen e pare</t>
  </si>
  <si>
    <t>Vertetoj se:</t>
  </si>
  <si>
    <t>personi juridik edhe vule.</t>
  </si>
  <si>
    <t>c)Listpagesa mbyllen ne fund me nr.rendor____dhe ka gjithsej____faqe</t>
  </si>
  <si>
    <t>Inspektori i perpunimit i Drejtoris Rajonale Tatimore</t>
  </si>
  <si>
    <t xml:space="preserve">     (  ____________________________ ) Emri,mbiemri firma ne cdo faqe</t>
  </si>
  <si>
    <t>TABELA E RAKORDIMIT TE PAGAVE E SIGURIMEVE SHOQERORE</t>
  </si>
  <si>
    <t xml:space="preserve">        Paga bruto</t>
  </si>
  <si>
    <t xml:space="preserve">Nr  i te punesuarve </t>
  </si>
  <si>
    <t xml:space="preserve">11)Mbi te </t>
  </si>
  <si>
    <t>per</t>
  </si>
  <si>
    <t>Paga</t>
  </si>
  <si>
    <t xml:space="preserve">cilen llog  </t>
  </si>
  <si>
    <t>Gjithesej</t>
  </si>
  <si>
    <t>Punedhen</t>
  </si>
  <si>
    <t>Punemar</t>
  </si>
  <si>
    <t>sigurim</t>
  </si>
  <si>
    <t>ardhurat</t>
  </si>
  <si>
    <t>kontrib</t>
  </si>
  <si>
    <t>shendetesor</t>
  </si>
  <si>
    <t>SHKURTI</t>
  </si>
  <si>
    <t>Libri i Shitjeve</t>
  </si>
  <si>
    <t>Libri i Blerjeve</t>
  </si>
  <si>
    <t xml:space="preserve">Shoqeria </t>
  </si>
  <si>
    <t>Viti</t>
  </si>
  <si>
    <t>2011</t>
  </si>
  <si>
    <t>01</t>
  </si>
  <si>
    <t xml:space="preserve">Pa veprimtari </t>
  </si>
  <si>
    <t>Fatura</t>
  </si>
  <si>
    <t>Bleresi</t>
  </si>
  <si>
    <t xml:space="preserve">Totali Shitjeve </t>
  </si>
  <si>
    <t>Shitjet e perjashtuara</t>
  </si>
  <si>
    <t>Eksporte /Furnizime me 0%</t>
  </si>
  <si>
    <t xml:space="preserve">Shitesi </t>
  </si>
  <si>
    <t>Totali Blerjeve (perfshire TVSH)</t>
  </si>
  <si>
    <t>Blerje</t>
  </si>
  <si>
    <t xml:space="preserve">Nr Fatures </t>
  </si>
  <si>
    <t>Numri Serial</t>
  </si>
  <si>
    <t>Data (dd/mm/yyyy)</t>
  </si>
  <si>
    <t>Emri tregtar / personi</t>
  </si>
  <si>
    <t xml:space="preserve">Rrethi </t>
  </si>
  <si>
    <t>NIPT       /Kodi Fermerit</t>
  </si>
  <si>
    <t>Te perjashtuara,me Tvsh jo te zbritshme dhe pa TVSH</t>
  </si>
  <si>
    <t>Nga Fermeret vendas</t>
  </si>
  <si>
    <t>Emri tregtar /personi</t>
  </si>
  <si>
    <t xml:space="preserve">Vlera e Tatueshme </t>
  </si>
  <si>
    <t xml:space="preserve">Tvsh </t>
  </si>
  <si>
    <t>Vlera e Tatueshme</t>
  </si>
  <si>
    <t>Tvsh</t>
  </si>
  <si>
    <t>n</t>
  </si>
  <si>
    <t>Vlore</t>
  </si>
  <si>
    <t>Shuma totale</t>
  </si>
  <si>
    <t>Kutia sipas Formularit te Deklarimit dhe Pageses se TVSH-se</t>
  </si>
  <si>
    <t>kutia (9)</t>
  </si>
  <si>
    <t>kutia (10)</t>
  </si>
  <si>
    <t>kutia (11)</t>
  </si>
  <si>
    <t>kutia (12)</t>
  </si>
  <si>
    <t>kutia (13)</t>
  </si>
  <si>
    <t>kutia (14)</t>
  </si>
  <si>
    <t>kutia (15)</t>
  </si>
  <si>
    <t>kutia (16)</t>
  </si>
  <si>
    <t>kutia (17)</t>
  </si>
  <si>
    <t>kutia (18)</t>
  </si>
  <si>
    <t>kutia (19)</t>
  </si>
  <si>
    <t>02</t>
  </si>
  <si>
    <r>
      <t xml:space="preserve">Ploteso </t>
    </r>
    <r>
      <rPr>
        <b/>
        <sz val="12"/>
        <color indexed="8"/>
        <rFont val="Agency FB"/>
        <family val="2"/>
      </rPr>
      <t xml:space="preserve">PO </t>
    </r>
    <r>
      <rPr>
        <sz val="12"/>
        <color indexed="8"/>
        <rFont val="Agency FB"/>
        <family val="2"/>
      </rPr>
      <t xml:space="preserve">nese gjate muajit nuk eshte bere asnje transaksion. </t>
    </r>
  </si>
  <si>
    <t xml:space="preserve">Shitje me shkalle 20%              </t>
  </si>
  <si>
    <t xml:space="preserve">Shitje me shkalle 10%               </t>
  </si>
  <si>
    <t>Importe me shkalle 20%</t>
  </si>
  <si>
    <t>Importe me shkalle 10%</t>
  </si>
  <si>
    <t>Nga Furnitore Vendas me shkalle 20%</t>
  </si>
  <si>
    <t>Nga Furnitore Vendas me shkalle 10%</t>
  </si>
  <si>
    <t>g= (h+i+j+k+l+m)</t>
  </si>
  <si>
    <t>g=(h+i+j+k+l+m+n+o+p+q+r)</t>
  </si>
  <si>
    <t>o</t>
  </si>
  <si>
    <t>p</t>
  </si>
  <si>
    <t>q</t>
  </si>
  <si>
    <t>r</t>
  </si>
  <si>
    <t>FIER</t>
  </si>
  <si>
    <t xml:space="preserve">Ne rastin kur ky liber do te printohet, per qellime te ruajtjes/ mbajtjes se dokumentacionit, cdo faqe e printuar duhet te kete ne krye permbajtjen / rreshtat nga 1 ne 12. </t>
  </si>
  <si>
    <t>kutia (20)</t>
  </si>
  <si>
    <t>kutia (21)</t>
  </si>
  <si>
    <t>kutia (22)</t>
  </si>
  <si>
    <t>kutia (23)</t>
  </si>
  <si>
    <t>kutia (24)</t>
  </si>
  <si>
    <t>kutia (25)</t>
  </si>
  <si>
    <t>Nr i rreshtave mund te shtohet ne perputhje me nr e transaksioneve</t>
  </si>
  <si>
    <t>Shpjegim:</t>
  </si>
  <si>
    <t>03</t>
  </si>
  <si>
    <t>D 5A</t>
  </si>
  <si>
    <t xml:space="preserve">Pasqyra e llogaritjes se amortizimit te aktiveve per Vitin      </t>
  </si>
  <si>
    <t xml:space="preserve">TOKA  -   </t>
  </si>
  <si>
    <t xml:space="preserve">SHUMA  TOKE </t>
  </si>
  <si>
    <t>Totali 31/12/2011</t>
  </si>
  <si>
    <t>Vlere e mbetur per 01.01.2011</t>
  </si>
  <si>
    <t>Amortizim i llogaritur ne 31.12.2011</t>
  </si>
  <si>
    <t>Dalje amortizimi 31/12/2011</t>
  </si>
  <si>
    <t>Vlera e mbetur 31.12.2011</t>
  </si>
  <si>
    <t>L1</t>
  </si>
  <si>
    <t xml:space="preserve">OVERDRAFTE  AFATSHKURTERA </t>
  </si>
  <si>
    <t>CELJA   01.01.2011</t>
  </si>
  <si>
    <t>MBETJE  31.12.2011</t>
  </si>
  <si>
    <t>C  3</t>
  </si>
  <si>
    <t xml:space="preserve">KAPITALI AKSIONER </t>
  </si>
  <si>
    <t>Pozicioni me 31 Dhjetor 2011</t>
  </si>
  <si>
    <t>8 - Rezerva te tjera</t>
  </si>
  <si>
    <t>Gjendje 1/1/2011</t>
  </si>
  <si>
    <t>Gjendje 31/12/2011</t>
  </si>
  <si>
    <t>Amortizim i akumuluar deri ne 31.12. 10</t>
  </si>
  <si>
    <t>GJENDJE ME 31.12.10</t>
  </si>
  <si>
    <t>HYRJE GJTHESEJ V 11</t>
  </si>
  <si>
    <t>DALJE GJITH V 11</t>
  </si>
  <si>
    <t>GJENDJE ME 31.12.11</t>
  </si>
  <si>
    <t>Ardhur nga V 2010</t>
  </si>
  <si>
    <t>KALUAR NE KOSTO PER VITIN 2011</t>
  </si>
  <si>
    <t>SHUMA E KALIMIT TE V 2011</t>
  </si>
  <si>
    <t>SHPENZIME PER TU SHPERNDARE NE V 2012</t>
  </si>
  <si>
    <t>Detyrime 2010</t>
  </si>
  <si>
    <t>N D E R T E S A  1</t>
  </si>
  <si>
    <t>N D E R T E S A  2</t>
  </si>
  <si>
    <t>N D E R T E S A  3</t>
  </si>
  <si>
    <t>Aktivet Afatgjate Materiale me vlere fillestare  2011</t>
  </si>
  <si>
    <t>Amortizimi A.A.Materiale 2011</t>
  </si>
  <si>
    <t>Vlera Kontabl Neto  A.A.Materiale 2011</t>
  </si>
  <si>
    <t>date</t>
  </si>
  <si>
    <t>Referenca - Nr llogar</t>
  </si>
  <si>
    <t>Periudha Raportuse</t>
  </si>
  <si>
    <t xml:space="preserve">Periudha  paraardhese </t>
  </si>
  <si>
    <t>Shenime tab koresp</t>
  </si>
  <si>
    <t xml:space="preserve">KREDI AFATGJATA  ETJ </t>
  </si>
  <si>
    <t xml:space="preserve">Detyrime 2010 - Celje </t>
  </si>
  <si>
    <t>Furnizime  v 2011</t>
  </si>
  <si>
    <t>Likujdime  V  2011</t>
  </si>
  <si>
    <t>Detyrim i mbetur 31.12.11</t>
  </si>
  <si>
    <t>Nga 01.01.2011</t>
  </si>
  <si>
    <t>Deri 31.12.2011</t>
  </si>
  <si>
    <t>10.03.2012</t>
  </si>
  <si>
    <t xml:space="preserve">     Pasqyrat financiare te vitit ushtrimor 01 Janar deri ne 31 Dhjetor 2011 jane detajuar ne baze</t>
  </si>
  <si>
    <t xml:space="preserve">    Standartet Kombetare te kontabilitetit zbatohen per vitin e  katert  ne  Shqiperi</t>
  </si>
  <si>
    <t>Politikat kontabel te perdorura per vleresimin e te gjithe elementeve te pasqyrave per vitin 2011</t>
  </si>
  <si>
    <t>1- Mjetet Monetare  jane pasqyra me vleren e drejte . Llogarit bankare gjendje ne 31,12,2011  Gjithsej</t>
  </si>
  <si>
    <t>01.01.2011</t>
  </si>
  <si>
    <t>me 31.12.11</t>
  </si>
  <si>
    <t>Leke  gjendje 31.12.2011</t>
  </si>
  <si>
    <t xml:space="preserve">Administrator </t>
  </si>
  <si>
    <t xml:space="preserve"> Relatuar ne pozicionet e gjendjeve te 31,12,2010</t>
  </si>
  <si>
    <t xml:space="preserve">Te TJERA </t>
  </si>
  <si>
    <t>Celje e 31.12.2010</t>
  </si>
  <si>
    <t xml:space="preserve"> 1- Lista e furnitoreve te vitit 31,12,2011</t>
  </si>
  <si>
    <t xml:space="preserve">12.1  Te ardhura e shpenz financ nga invest te tjera e financ afat gjata </t>
  </si>
  <si>
    <t xml:space="preserve">12.2  Te ardhura e shpenzimet nga interesat </t>
  </si>
  <si>
    <t xml:space="preserve">12.3 Fitime  ( humbje ) nga kurset e e kembimit </t>
  </si>
  <si>
    <t>12.4  Te ardhura e shpenzime te tjera financiare</t>
  </si>
  <si>
    <t>Viti ushtrimor 01,01,2011 deri me 31,12,2011</t>
  </si>
  <si>
    <t>Gjendja ne 31.12,2010</t>
  </si>
  <si>
    <t>Gjendje ne 31,12,2011</t>
  </si>
  <si>
    <t>Amorizimi  i mbartur  deri 01,01,2010</t>
  </si>
  <si>
    <t>Amortizimi  31,12,2011</t>
  </si>
  <si>
    <t>Toke</t>
  </si>
  <si>
    <t>Dalje  Amort ( koresp daljeve Akt)</t>
  </si>
  <si>
    <t>Gjithsej amortizim  + dalje ne 31.12.2011</t>
  </si>
  <si>
    <t xml:space="preserve">Periudha  Raportuse </t>
  </si>
  <si>
    <t xml:space="preserve">Periudha Paraardhese </t>
  </si>
  <si>
    <t xml:space="preserve">Dalje  A A GJ materiale me V K M </t>
  </si>
  <si>
    <t xml:space="preserve">17.1  Te ardhura e shpenz financ nga invest te tjera e financ afat gjata </t>
  </si>
  <si>
    <t xml:space="preserve">17.2  Te ardhura e shpenzimet nga interesat </t>
  </si>
  <si>
    <t xml:space="preserve">17.3 Fitime  ( humbje ) nga kurset e e kembimit </t>
  </si>
  <si>
    <t>17.4  Te ardhura e shpenzime te tjera financiare</t>
  </si>
  <si>
    <t>BANESE  SHITJE ETJ</t>
  </si>
  <si>
    <t xml:space="preserve">         Shuma e parapaguar per  blerje e sherbime </t>
  </si>
  <si>
    <t>Te tjera  shpenzime te panjohura  ( specifikuar   ne tab V  )</t>
  </si>
  <si>
    <t xml:space="preserve">Shpenzime te panjohura ( sipas  B - 14 ) + tjera - format </t>
  </si>
  <si>
    <t xml:space="preserve">pagesat e detyrimeve te qerase financiare - interesa </t>
  </si>
  <si>
    <t>Per Periudhen 01 Janar Deri ne 31 Dhjetor 2011</t>
  </si>
  <si>
    <t xml:space="preserve">Periudha   Paraardhese </t>
  </si>
  <si>
    <t xml:space="preserve">EURO </t>
  </si>
  <si>
    <t xml:space="preserve">U S D </t>
  </si>
  <si>
    <t>TJERA</t>
  </si>
  <si>
    <t xml:space="preserve">SINTETIKE  - Ne analize  shif  INVENTARET </t>
  </si>
  <si>
    <t xml:space="preserve">&gt;  Tvsh  e ndertimit </t>
  </si>
  <si>
    <t xml:space="preserve">TE  ARDHURAT NE ANALIZE </t>
  </si>
  <si>
    <t xml:space="preserve">MUAJI </t>
  </si>
  <si>
    <t xml:space="preserve"> NGA  KETO </t>
  </si>
  <si>
    <t>Shitje  materialesh</t>
  </si>
  <si>
    <t xml:space="preserve">Ardhurat   Gjithesej ( sipas P ) </t>
  </si>
  <si>
    <t>Gjendje fillest</t>
  </si>
  <si>
    <t xml:space="preserve">Gjendje e arkes </t>
  </si>
  <si>
    <t>Likujduar bIlanc10</t>
  </si>
  <si>
    <t xml:space="preserve">             Shoqeria ''      </t>
  </si>
  <si>
    <t>NIPTI   K</t>
  </si>
  <si>
    <t xml:space="preserve">                         BILANCI MATERIAL PER PERIUDHEN 01 JANAR DERI 31 DHJETOR 2010</t>
  </si>
  <si>
    <t xml:space="preserve">                            B L E R J E T </t>
  </si>
  <si>
    <t>Numri</t>
  </si>
  <si>
    <t>Emri</t>
  </si>
  <si>
    <t>Gjendja ne Fund</t>
  </si>
  <si>
    <t xml:space="preserve">Emertimi  </t>
  </si>
  <si>
    <t xml:space="preserve">          Fatura</t>
  </si>
  <si>
    <t>Njesia</t>
  </si>
  <si>
    <t>Cmimi</t>
  </si>
  <si>
    <t>Vlera</t>
  </si>
  <si>
    <t>Sasi</t>
  </si>
  <si>
    <t>I mallit</t>
  </si>
  <si>
    <t>Matjes</t>
  </si>
  <si>
    <t>Hekur</t>
  </si>
  <si>
    <t>m3</t>
  </si>
  <si>
    <t>Ton</t>
  </si>
  <si>
    <t>Polisterol</t>
  </si>
  <si>
    <t>ton</t>
  </si>
  <si>
    <t>Cimento</t>
  </si>
  <si>
    <t>DEKLARUAR</t>
  </si>
  <si>
    <t>Punime  furnizim -Vendosje</t>
  </si>
  <si>
    <t>Punime me Sub.Fizik</t>
  </si>
  <si>
    <t xml:space="preserve">Shumna </t>
  </si>
  <si>
    <t>Punime qe</t>
  </si>
  <si>
    <t>Punime</t>
  </si>
  <si>
    <t>Likuiduar</t>
  </si>
  <si>
    <t>Per te</t>
  </si>
  <si>
    <t>PUNIME TE</t>
  </si>
  <si>
    <t xml:space="preserve">Fatura </t>
  </si>
  <si>
    <t>Vlere</t>
  </si>
  <si>
    <t>Te konver</t>
  </si>
  <si>
    <t>punime me</t>
  </si>
  <si>
    <t>llogariten</t>
  </si>
  <si>
    <t>per te  liku</t>
  </si>
  <si>
    <t>ne fakt</t>
  </si>
  <si>
    <t>likuiduar</t>
  </si>
  <si>
    <t>BANESES</t>
  </si>
  <si>
    <t>Shitesi</t>
  </si>
  <si>
    <t>Vlera e tat.</t>
  </si>
  <si>
    <t>Pune</t>
  </si>
  <si>
    <t>ne Fur-Ven</t>
  </si>
  <si>
    <t>nenkontr</t>
  </si>
  <si>
    <t>Sig Shoq</t>
  </si>
  <si>
    <t>fature</t>
  </si>
  <si>
    <t>NIPT K 74610801L</t>
  </si>
  <si>
    <t xml:space="preserve">Fatura  tatimore </t>
  </si>
  <si>
    <t>Furnitori</t>
  </si>
  <si>
    <t xml:space="preserve">NIPT - I </t>
  </si>
  <si>
    <t xml:space="preserve"> Emertimi Punimeve</t>
  </si>
  <si>
    <t xml:space="preserve">Vlera e Tatushme </t>
  </si>
  <si>
    <t xml:space="preserve"> Emertimi </t>
  </si>
  <si>
    <t>Seria</t>
  </si>
  <si>
    <t>Punimeve</t>
  </si>
  <si>
    <t xml:space="preserve">NIPT - I  </t>
  </si>
  <si>
    <t>18</t>
  </si>
  <si>
    <t xml:space="preserve">Emri           Mbiemri </t>
  </si>
  <si>
    <t xml:space="preserve">Emri Mbiemri </t>
  </si>
  <si>
    <t>28/02/2011</t>
  </si>
  <si>
    <t>02/02/2011</t>
  </si>
  <si>
    <t>13/02/2011</t>
  </si>
  <si>
    <t>14/02/2011</t>
  </si>
  <si>
    <t>31/03/2011</t>
  </si>
  <si>
    <t>10/03/2011</t>
  </si>
  <si>
    <t>Janar</t>
  </si>
  <si>
    <t>M2</t>
  </si>
  <si>
    <t>Cope</t>
  </si>
  <si>
    <t>Kg</t>
  </si>
  <si>
    <t>Sherbim  Noterial</t>
  </si>
  <si>
    <t>kg</t>
  </si>
  <si>
    <t>Tulla</t>
  </si>
  <si>
    <t>Suva</t>
  </si>
  <si>
    <t>04</t>
  </si>
  <si>
    <t>05</t>
  </si>
  <si>
    <t>24</t>
  </si>
  <si>
    <t>Mur Tulle</t>
  </si>
  <si>
    <t>25</t>
  </si>
  <si>
    <t>L16509203F</t>
  </si>
  <si>
    <t>AMETI</t>
  </si>
  <si>
    <t>K36823207C</t>
  </si>
  <si>
    <t xml:space="preserve">Shitje               </t>
  </si>
  <si>
    <t>g= (h+i+j+k)</t>
  </si>
  <si>
    <t>SAIMIRA HOXHA</t>
  </si>
  <si>
    <t>K36518246L</t>
  </si>
  <si>
    <t>BRUNES</t>
  </si>
  <si>
    <t>K37125203H</t>
  </si>
  <si>
    <t>ROVER 08</t>
  </si>
  <si>
    <t>K82524401F</t>
  </si>
  <si>
    <t>FASA GRUP</t>
  </si>
  <si>
    <t>K86610209V</t>
  </si>
  <si>
    <t>APOLUMIL SKY</t>
  </si>
  <si>
    <t>K12612401K</t>
  </si>
  <si>
    <t>ANTEA CEMENT</t>
  </si>
  <si>
    <t>K61914005R</t>
  </si>
  <si>
    <t>ALBA COLOR</t>
  </si>
  <si>
    <t>BERAT</t>
  </si>
  <si>
    <t>K13001016I</t>
  </si>
  <si>
    <t>OL-VAHROM</t>
  </si>
  <si>
    <t>TIRANE</t>
  </si>
  <si>
    <t>J93316628U</t>
  </si>
  <si>
    <t>TEOREN</t>
  </si>
  <si>
    <t>DURRES</t>
  </si>
  <si>
    <t>K51407506E</t>
  </si>
  <si>
    <t>MERKAJ 2007</t>
  </si>
  <si>
    <t>K77308203B</t>
  </si>
  <si>
    <t>KID ALB</t>
  </si>
  <si>
    <t>K52128506K</t>
  </si>
  <si>
    <t>67015824</t>
  </si>
  <si>
    <t xml:space="preserve">AMETI </t>
  </si>
  <si>
    <t>65</t>
  </si>
  <si>
    <t>84196614</t>
  </si>
  <si>
    <t>396</t>
  </si>
  <si>
    <t>84782817</t>
  </si>
  <si>
    <t>8</t>
  </si>
  <si>
    <t>70512158</t>
  </si>
  <si>
    <t>MYFTARI</t>
  </si>
  <si>
    <t>K06429228Q</t>
  </si>
  <si>
    <t>10</t>
  </si>
  <si>
    <t>70512160</t>
  </si>
  <si>
    <t>09/02/2011</t>
  </si>
  <si>
    <t>9</t>
  </si>
  <si>
    <t>70512159</t>
  </si>
  <si>
    <t>06/02/2011</t>
  </si>
  <si>
    <t>11</t>
  </si>
  <si>
    <t>70512161</t>
  </si>
  <si>
    <t>902</t>
  </si>
  <si>
    <t>52644036</t>
  </si>
  <si>
    <t>10/02/2011</t>
  </si>
  <si>
    <t>EUROTECH CEMENT</t>
  </si>
  <si>
    <t>J72318015F</t>
  </si>
  <si>
    <t>62</t>
  </si>
  <si>
    <t>71628971</t>
  </si>
  <si>
    <t>84240408</t>
  </si>
  <si>
    <t>16/02/2011</t>
  </si>
  <si>
    <t>316</t>
  </si>
  <si>
    <t>84889666</t>
  </si>
  <si>
    <t>172</t>
  </si>
  <si>
    <t>70365988</t>
  </si>
  <si>
    <t>11/02/2011</t>
  </si>
  <si>
    <t>B-D.K.S GRUP</t>
  </si>
  <si>
    <t>K83011002D</t>
  </si>
  <si>
    <t>413</t>
  </si>
  <si>
    <t>84889763</t>
  </si>
  <si>
    <t>21/02/2011</t>
  </si>
  <si>
    <t>67015825</t>
  </si>
  <si>
    <t>357</t>
  </si>
  <si>
    <t>84782838</t>
  </si>
  <si>
    <t>09/03/2011</t>
  </si>
  <si>
    <t>34</t>
  </si>
  <si>
    <t>84783184</t>
  </si>
  <si>
    <t>29/03/2011</t>
  </si>
  <si>
    <t>BLU STAR</t>
  </si>
  <si>
    <t>K36309201H</t>
  </si>
  <si>
    <t>30</t>
  </si>
  <si>
    <t>84783180</t>
  </si>
  <si>
    <t>28/03/2011</t>
  </si>
  <si>
    <t>544</t>
  </si>
  <si>
    <t>84889894</t>
  </si>
  <si>
    <t>746</t>
  </si>
  <si>
    <t>84685555</t>
  </si>
  <si>
    <t>26/03/2011</t>
  </si>
  <si>
    <t>1576</t>
  </si>
  <si>
    <t>85400651</t>
  </si>
  <si>
    <t>17/03/2011</t>
  </si>
  <si>
    <t>102</t>
  </si>
  <si>
    <t>85276555</t>
  </si>
  <si>
    <t>21/03/2011</t>
  </si>
  <si>
    <t>EDILCASS VB</t>
  </si>
  <si>
    <t>K31629506D</t>
  </si>
  <si>
    <t>104</t>
  </si>
  <si>
    <t>85276557</t>
  </si>
  <si>
    <t>22/03/2011</t>
  </si>
  <si>
    <t>284</t>
  </si>
  <si>
    <t>72642744</t>
  </si>
  <si>
    <t>84242026</t>
  </si>
  <si>
    <t>124</t>
  </si>
  <si>
    <t>84685533</t>
  </si>
  <si>
    <t>08/03/2011</t>
  </si>
  <si>
    <r>
      <t xml:space="preserve">Ploteso </t>
    </r>
    <r>
      <rPr>
        <b/>
        <sz val="12"/>
        <color indexed="8"/>
        <rFont val="Agency FB"/>
        <family val="2"/>
      </rPr>
      <t xml:space="preserve">PO </t>
    </r>
    <r>
      <rPr>
        <sz val="12"/>
        <color indexed="8"/>
        <rFont val="Agency FB"/>
        <family val="2"/>
      </rPr>
      <t xml:space="preserve">nese gjate muajit nuk eshte bere asnje transaksion. </t>
    </r>
  </si>
  <si>
    <t>ALBA-COLOR</t>
  </si>
  <si>
    <t>ALUMIL SKY</t>
  </si>
  <si>
    <t>KUJTIM SINANAJ</t>
  </si>
  <si>
    <t>J66903222T</t>
  </si>
  <si>
    <t>EDILCLASS UB</t>
  </si>
  <si>
    <t>SEJKO MOBILERI</t>
  </si>
  <si>
    <t>K36322202L</t>
  </si>
  <si>
    <t>P PLASA</t>
  </si>
  <si>
    <t>KORCE</t>
  </si>
  <si>
    <t>J64103007F</t>
  </si>
  <si>
    <t>VOLALBA</t>
  </si>
  <si>
    <t>LUSHNJE</t>
  </si>
  <si>
    <t>J64103411L</t>
  </si>
  <si>
    <t>MERKAJ</t>
  </si>
  <si>
    <t>SMALKIT</t>
  </si>
  <si>
    <t>K96825201Q</t>
  </si>
  <si>
    <t>ELEKTROMETAL</t>
  </si>
  <si>
    <t>K21731001O</t>
  </si>
  <si>
    <t>MERKAJ 07</t>
  </si>
  <si>
    <t>ADHJARI</t>
  </si>
  <si>
    <t>KAVAJE</t>
  </si>
  <si>
    <t>K63510803V</t>
  </si>
  <si>
    <t>AMANTIA ANTICA</t>
  </si>
  <si>
    <t>K77421201H</t>
  </si>
  <si>
    <t>A&amp;E AUDITING</t>
  </si>
  <si>
    <t>1)NIPT  K36823207C</t>
  </si>
  <si>
    <t xml:space="preserve">2)Emri i tatimpag AMETI </t>
  </si>
  <si>
    <t>3)Periudha tat Viti  2011  Muaj  JANAR</t>
  </si>
  <si>
    <t>rrethi VLORE</t>
  </si>
  <si>
    <t>Formulari numer E-SIG 027/a    Pasqyra e te punesuarve rishtazi dhe te larguarve nga puna Nr……date ……..</t>
  </si>
  <si>
    <t>Veprimta kryesore  Ndertim</t>
  </si>
  <si>
    <t>3)Periudha tat Viti2011 Muaj  JANAR</t>
  </si>
  <si>
    <t>6)Emri e mbiemri</t>
  </si>
  <si>
    <t>Dety, Fuksi, Profesi apo Puna qe ka kryer</t>
  </si>
  <si>
    <t>7)nr kategorise te te punesuarve per kontributet</t>
  </si>
  <si>
    <t>8)Dite kalendarike pa punuar gjate muajit(e drejta per perfitime nga sigurimet shoqerore)</t>
  </si>
  <si>
    <t xml:space="preserve">        Paga bruto ne leke</t>
  </si>
  <si>
    <t>17)Paga  bruto</t>
  </si>
  <si>
    <t>18)tatimi mbi te ardhurat</t>
  </si>
  <si>
    <t>11)Mbi te cilen llogariten kontributet</t>
  </si>
  <si>
    <t>12)Gjithesej (13+14+15)</t>
  </si>
  <si>
    <t>Personat qe do te fillojne pune per here te pare te subjekti,apo  do te fillojne pune rishtazi.</t>
  </si>
  <si>
    <t>Personat e larguar nga puna</t>
  </si>
  <si>
    <t>Nr i kategorise te te punesuarve per kontribute</t>
  </si>
  <si>
    <t>Veprimtaria dhe rrethi ku do te punoje</t>
  </si>
  <si>
    <t>Detyra,funksioni, apo profesioni qe do kryeje</t>
  </si>
  <si>
    <t>Data e fillimit te punes</t>
  </si>
  <si>
    <t>Data e largimit nga puna</t>
  </si>
  <si>
    <t>K70203096F</t>
  </si>
  <si>
    <t>Ferjat Mehillaj</t>
  </si>
  <si>
    <t>Administr</t>
  </si>
  <si>
    <t>F40109060H</t>
  </si>
  <si>
    <t>Pellumb Hamiti</t>
  </si>
  <si>
    <t>I30409053M</t>
  </si>
  <si>
    <t>Klodian Hamiti</t>
  </si>
  <si>
    <t>KASTRIOT KANTO</t>
  </si>
  <si>
    <t>ORIKUM</t>
  </si>
  <si>
    <t>PANAJOT MECAJ</t>
  </si>
  <si>
    <t>G70209163D</t>
  </si>
  <si>
    <t>Selim Kondi</t>
  </si>
  <si>
    <t>Bojaxhi</t>
  </si>
  <si>
    <t>QENAM KOROMANI</t>
  </si>
  <si>
    <t>SOKRAT CANALIAJ</t>
  </si>
  <si>
    <t>Lufti Hablii</t>
  </si>
  <si>
    <t>GAZMEND LAMÇE</t>
  </si>
  <si>
    <t>Muharrem Qepi</t>
  </si>
  <si>
    <t>MIFTAR NELAJ</t>
  </si>
  <si>
    <t>Rita  Meleq  Velo</t>
  </si>
  <si>
    <t>Kualifikuar</t>
  </si>
  <si>
    <t xml:space="preserve">Ismail Hamiti </t>
  </si>
  <si>
    <t>H70915036B</t>
  </si>
  <si>
    <t>Mariglen Dervishaliaj</t>
  </si>
  <si>
    <t>Milto Shkembi</t>
  </si>
  <si>
    <t>Ideal Myftari</t>
  </si>
  <si>
    <t>Nezo Mehillaj</t>
  </si>
  <si>
    <t xml:space="preserve">Kristo  Leka </t>
  </si>
  <si>
    <t xml:space="preserve">Novruz Havari </t>
  </si>
  <si>
    <t xml:space="preserve">Reiz Alushi </t>
  </si>
  <si>
    <t xml:space="preserve">Rinald Premtaj </t>
  </si>
  <si>
    <t xml:space="preserve">Fatos  Allko </t>
  </si>
  <si>
    <t>Lefter Çela</t>
  </si>
  <si>
    <t xml:space="preserve">Arjan Kanto </t>
  </si>
  <si>
    <t>Farudin Likoramaj</t>
  </si>
  <si>
    <t>19) Listepagesa ka gjithesej _________ Punonjes qe paguajne kontribute;</t>
  </si>
  <si>
    <t>nga keta______ punonjes , qe paguajne kontribute ne nivelin e pages minimale</t>
  </si>
  <si>
    <t>(_____________________) emer,mbiemer firme ne cdo faqe,</t>
  </si>
  <si>
    <t>3)Periudha tat Viti  2011  Muaj  SHKURT</t>
  </si>
  <si>
    <t>FARUDIN LIKORAMAJ</t>
  </si>
  <si>
    <t>24.01.2011</t>
  </si>
  <si>
    <t>3)Periudha tat Viti  2011  Muaj MARS</t>
  </si>
  <si>
    <t>3)Periudha tat Viti2011 Muaj  SHKURT</t>
  </si>
  <si>
    <t>IDEAL MYFTARI</t>
  </si>
  <si>
    <t>KRISTO LEKA</t>
  </si>
  <si>
    <t>NOVRUZ HAVARI</t>
  </si>
  <si>
    <t>REIZ ALUSHAJ</t>
  </si>
  <si>
    <t>RINALD PREMTAJ</t>
  </si>
  <si>
    <t>FATOS ALLKO</t>
  </si>
  <si>
    <t>ARJAN KANTO</t>
  </si>
  <si>
    <t>LEFTER CELA</t>
  </si>
  <si>
    <t>(Ferjat Mehillaj______________________) emer ,mbiemer, firme</t>
  </si>
  <si>
    <t>3)Periudha tat Viti  2011  Mua PRILL</t>
  </si>
  <si>
    <t>3)Periudha tat Viti  2011  Muaj  MAJ</t>
  </si>
  <si>
    <t>3)Periudha tat Viti2011 Muaj  Prill</t>
  </si>
  <si>
    <t xml:space="preserve">Vlore </t>
  </si>
  <si>
    <t>Mesem</t>
  </si>
  <si>
    <t>30,04,2011</t>
  </si>
  <si>
    <t>BKT</t>
  </si>
  <si>
    <t>RAMAZAN RATA</t>
  </si>
  <si>
    <t>RAMAZAN JASHANICA</t>
  </si>
  <si>
    <t>vero beshaj</t>
  </si>
  <si>
    <t>arian belaj</t>
  </si>
  <si>
    <t>lavdosh merkohitaj</t>
  </si>
  <si>
    <t>kristo mehilli</t>
  </si>
  <si>
    <t>viron breshani</t>
  </si>
  <si>
    <t>luljeta hoxhaj</t>
  </si>
  <si>
    <t>BASHKIA  ORIKUM</t>
  </si>
  <si>
    <t>Engjell  Osmenaj</t>
  </si>
  <si>
    <t>Rovena Sela</t>
  </si>
  <si>
    <t>LILJANA NAKO</t>
  </si>
  <si>
    <t>TOMAZO MAZZOCA</t>
  </si>
  <si>
    <t>Hanko Hysolakoj</t>
  </si>
  <si>
    <t>KLIENTE  TE  V 2010</t>
  </si>
  <si>
    <t>NDERTIMI AJ</t>
  </si>
  <si>
    <t>ALBTELEKOM</t>
  </si>
  <si>
    <t>EDIL CENTRO</t>
  </si>
  <si>
    <t>ELDON 2006</t>
  </si>
  <si>
    <t>MARAZZI GROUP SPA</t>
  </si>
  <si>
    <t>COOP LE COMETE</t>
  </si>
  <si>
    <t>RP SERRAMENTA SRL</t>
  </si>
  <si>
    <t>COVRE PIAZZA SRL</t>
  </si>
  <si>
    <t>QATO</t>
  </si>
  <si>
    <t>MILIS GRICK</t>
  </si>
  <si>
    <t>ALBSIG</t>
  </si>
  <si>
    <t>ERLAN</t>
  </si>
  <si>
    <t>MT ARREDO SRL</t>
  </si>
  <si>
    <t>MAT EDIE</t>
  </si>
  <si>
    <t>AL ROSI 2008</t>
  </si>
  <si>
    <t>MUKAJ 09</t>
  </si>
  <si>
    <t>EDISON SRL</t>
  </si>
  <si>
    <t>DULE</t>
  </si>
  <si>
    <t>X.B.P</t>
  </si>
  <si>
    <t>SELIMI</t>
  </si>
  <si>
    <t>EDRO</t>
  </si>
  <si>
    <t>DAPAJ</t>
  </si>
  <si>
    <t>GRANITO FORTE SPA</t>
  </si>
  <si>
    <t>UNITED COLORS</t>
  </si>
  <si>
    <t>REFRAKTARE</t>
  </si>
  <si>
    <t>IKONA</t>
  </si>
  <si>
    <t>COOP . AL. SRL.</t>
  </si>
  <si>
    <t xml:space="preserve">Eskavator </t>
  </si>
  <si>
    <t>Ameti</t>
  </si>
  <si>
    <t>Orikum Vlore</t>
  </si>
  <si>
    <t>25.02.2003</t>
  </si>
  <si>
    <t>Feriat Mehilli</t>
  </si>
  <si>
    <t>Pllaka</t>
  </si>
  <si>
    <t>Dekore</t>
  </si>
  <si>
    <t>Maxirol</t>
  </si>
  <si>
    <t>Alunim</t>
  </si>
  <si>
    <t>Astar</t>
  </si>
  <si>
    <t>Fino</t>
  </si>
  <si>
    <t>Tubo e rakorderi</t>
  </si>
  <si>
    <t>Dyer</t>
  </si>
  <si>
    <t>Noterizime</t>
  </si>
  <si>
    <t>Ultra Color</t>
  </si>
  <si>
    <t>Polistertol</t>
  </si>
  <si>
    <t>Maxikol</t>
  </si>
  <si>
    <t>profil Alumini I lyer</t>
  </si>
  <si>
    <t>Astar +Boj +Hidromat</t>
  </si>
  <si>
    <t>Tubo +Rakorderi</t>
  </si>
  <si>
    <t xml:space="preserve">F.V Dyer </t>
  </si>
  <si>
    <t>Shkum Tubo</t>
  </si>
  <si>
    <t>Kontrata Noteriale</t>
  </si>
  <si>
    <t>Suva me fuqine e vet</t>
  </si>
  <si>
    <t>Shuma e daljeve</t>
  </si>
  <si>
    <t>Mbetur Pa Situacion</t>
  </si>
  <si>
    <t>Super Albaplast Hidromat</t>
  </si>
  <si>
    <t>SI11-00902</t>
  </si>
  <si>
    <t>Panela +Aksesore</t>
  </si>
  <si>
    <t>Dyer e dritare</t>
  </si>
  <si>
    <t>Elektrike</t>
  </si>
  <si>
    <t>Gur i prere</t>
  </si>
  <si>
    <t>Panela te Medhenj</t>
  </si>
  <si>
    <t>Paneal te vegjel</t>
  </si>
  <si>
    <t>Aksesor Plastik</t>
  </si>
  <si>
    <t>Aksesore Metalik</t>
  </si>
  <si>
    <t>Gur I prere</t>
  </si>
  <si>
    <t>Rrjtet Suvatimi</t>
  </si>
  <si>
    <t>Hidrosanitaree</t>
  </si>
  <si>
    <t>Cimento +Hidrosanitare</t>
  </si>
  <si>
    <t>Profile Alumini etj</t>
  </si>
  <si>
    <t>Grila</t>
  </si>
  <si>
    <t>Kontra noteriale</t>
  </si>
  <si>
    <t>Rrjete Kantieri</t>
  </si>
  <si>
    <t>Hidrosanitare</t>
  </si>
  <si>
    <t>Aksesor</t>
  </si>
  <si>
    <t>llastik Xhami</t>
  </si>
  <si>
    <t>Ml</t>
  </si>
  <si>
    <t>Goma</t>
  </si>
  <si>
    <t>Bojra Plastik</t>
  </si>
  <si>
    <t>Profile+ Aksesore</t>
  </si>
  <si>
    <t>Qepena</t>
  </si>
  <si>
    <t>Kas Anig Natyrore</t>
  </si>
  <si>
    <t>Profil Alumini</t>
  </si>
  <si>
    <t>Box  66x220/25At</t>
  </si>
  <si>
    <t>Qepen i thjeshte</t>
  </si>
  <si>
    <t>Kase</t>
  </si>
  <si>
    <t>Fasheta</t>
  </si>
  <si>
    <t>Panel Sanduic</t>
  </si>
  <si>
    <t>Boj PlastikePlaster me ngjyra</t>
  </si>
  <si>
    <t>Liter</t>
  </si>
  <si>
    <t xml:space="preserve">Box </t>
  </si>
  <si>
    <t>Blindusa</t>
  </si>
  <si>
    <t>Sherbim Kontabiliteti</t>
  </si>
  <si>
    <t>Auditim</t>
  </si>
  <si>
    <t>Furcaqe</t>
  </si>
  <si>
    <t>ml</t>
  </si>
  <si>
    <t>Sherbim  + Auditim</t>
  </si>
  <si>
    <t>Muaj</t>
  </si>
  <si>
    <t>Ore</t>
  </si>
  <si>
    <t>Pllake+Dekore</t>
  </si>
  <si>
    <t>Unicolor</t>
  </si>
  <si>
    <t>Boj + super albaplast</t>
  </si>
  <si>
    <t>Bio plastelin</t>
  </si>
  <si>
    <t>Dekore Pllaka+ Ultra Kolor</t>
  </si>
  <si>
    <t>F.V Dere</t>
  </si>
  <si>
    <t>Shkum</t>
  </si>
  <si>
    <t>Profil Alumin i Lyer</t>
  </si>
  <si>
    <t>Boj+Super Albaiplast</t>
  </si>
  <si>
    <t>cimento</t>
  </si>
  <si>
    <t>Panela+Aksesore</t>
  </si>
  <si>
    <t>Shkum Dere</t>
  </si>
  <si>
    <t>Rrjete Suvatimi</t>
  </si>
  <si>
    <t>Hidro Sanitare</t>
  </si>
  <si>
    <t>Profil+ aksesore</t>
  </si>
  <si>
    <t>Profil +aksesore</t>
  </si>
  <si>
    <t>F.V Grila</t>
  </si>
  <si>
    <t>Kontrata</t>
  </si>
  <si>
    <t>Boj +Astar</t>
  </si>
  <si>
    <t>Hidraulike</t>
  </si>
  <si>
    <t>Profil Alumin + Aksesore</t>
  </si>
  <si>
    <t>F.vQepen i thjeshte</t>
  </si>
  <si>
    <t>Kasa+Fasha</t>
  </si>
  <si>
    <t xml:space="preserve">Profil Alumin </t>
  </si>
  <si>
    <t>Bojra</t>
  </si>
  <si>
    <t>Box</t>
  </si>
  <si>
    <t>boj + Astar</t>
  </si>
  <si>
    <t>Profil + Fucaqe</t>
  </si>
  <si>
    <t>F.V Dyer</t>
  </si>
  <si>
    <t xml:space="preserve">Shkum </t>
  </si>
  <si>
    <t>Pllaka+Plindusa</t>
  </si>
  <si>
    <t>Pllaka trotuari</t>
  </si>
  <si>
    <t>Sherbim Kontabel</t>
  </si>
  <si>
    <t>Panela+Profile</t>
  </si>
  <si>
    <t>PASQYRA E LLOGARITJES E TE LIKUIDIMIT TE DETYRIMEVE PER SIGURIMET SHOQERORE ETJ, TE VITIT 2011</t>
  </si>
  <si>
    <t xml:space="preserve">Ameti </t>
  </si>
  <si>
    <t>Fdp</t>
  </si>
  <si>
    <t>Diferenca</t>
  </si>
  <si>
    <t>Banesa 9</t>
  </si>
  <si>
    <t>2008</t>
  </si>
  <si>
    <t xml:space="preserve">SHOQERIA  NDERTIMORE  "  Ameti" SH P K </t>
  </si>
  <si>
    <t>VLERESIMI I PUNIMEVE  ME  FURNIZIM  VENDOSJE  PER  VITIN  2011</t>
  </si>
  <si>
    <t>VLERESIMI I PUNIMEVE  ME   VENDOSJE  PER  VITIN  2011</t>
  </si>
  <si>
    <t>06</t>
  </si>
  <si>
    <t>28</t>
  </si>
  <si>
    <t>67015828</t>
  </si>
  <si>
    <t>30/06/2011</t>
  </si>
  <si>
    <t>372</t>
  </si>
  <si>
    <t>86131122</t>
  </si>
  <si>
    <t>01/06/2011</t>
  </si>
  <si>
    <t>Ol- Vahrom</t>
  </si>
  <si>
    <t>Tirane</t>
  </si>
  <si>
    <t>169</t>
  </si>
  <si>
    <t>72768169</t>
  </si>
  <si>
    <t>02/06/2011</t>
  </si>
  <si>
    <t>Cilataj</t>
  </si>
  <si>
    <t>Fier</t>
  </si>
  <si>
    <t>K22920402W</t>
  </si>
  <si>
    <t>228</t>
  </si>
  <si>
    <t>86476127</t>
  </si>
  <si>
    <t>07/06/2011</t>
  </si>
  <si>
    <t>Alba Color</t>
  </si>
  <si>
    <t>Berat</t>
  </si>
  <si>
    <t>233</t>
  </si>
  <si>
    <t>85276536</t>
  </si>
  <si>
    <t>23/06/2011</t>
  </si>
  <si>
    <t>Edil Cass</t>
  </si>
  <si>
    <t>Durres</t>
  </si>
  <si>
    <t>073</t>
  </si>
  <si>
    <t>86404073</t>
  </si>
  <si>
    <t>Brunes</t>
  </si>
  <si>
    <t>132</t>
  </si>
  <si>
    <t>86404132</t>
  </si>
  <si>
    <t>20/06/2011</t>
  </si>
  <si>
    <t>131</t>
  </si>
  <si>
    <t>86189020</t>
  </si>
  <si>
    <t>21/06/2011</t>
  </si>
  <si>
    <t>Amantia Antika</t>
  </si>
  <si>
    <t>86189021</t>
  </si>
  <si>
    <t>230</t>
  </si>
  <si>
    <t>72786047</t>
  </si>
  <si>
    <t>30/04/2011</t>
  </si>
  <si>
    <t>B-Dks Grup</t>
  </si>
  <si>
    <t>41</t>
  </si>
  <si>
    <t>72786091</t>
  </si>
  <si>
    <t>67</t>
  </si>
  <si>
    <t>84242077</t>
  </si>
  <si>
    <t>17/06/2011</t>
  </si>
  <si>
    <t>Saimira Hoxha</t>
  </si>
  <si>
    <t>51</t>
  </si>
  <si>
    <t>84242061</t>
  </si>
  <si>
    <t>21/05/2011</t>
  </si>
  <si>
    <t>330</t>
  </si>
  <si>
    <t>84685739</t>
  </si>
  <si>
    <t>28/06/2011</t>
  </si>
  <si>
    <t>Apolumil SKY</t>
  </si>
  <si>
    <t>314</t>
  </si>
  <si>
    <t>84685726</t>
  </si>
  <si>
    <t>22/06/2011</t>
  </si>
  <si>
    <t>261</t>
  </si>
  <si>
    <t>84685670</t>
  </si>
  <si>
    <t>297</t>
  </si>
  <si>
    <t>84685706</t>
  </si>
  <si>
    <t>11/06/2011</t>
  </si>
  <si>
    <t>288</t>
  </si>
  <si>
    <t>84685697</t>
  </si>
  <si>
    <t>08/06/2011</t>
  </si>
  <si>
    <t>1363</t>
  </si>
  <si>
    <t>86887263</t>
  </si>
  <si>
    <t>10/06/2011</t>
  </si>
  <si>
    <t xml:space="preserve">Teoren </t>
  </si>
  <si>
    <t>2116</t>
  </si>
  <si>
    <t>33436</t>
  </si>
  <si>
    <t>Volalba</t>
  </si>
  <si>
    <t>Lushnje</t>
  </si>
  <si>
    <t>Hekur cimento</t>
  </si>
  <si>
    <t>F.v Grila</t>
  </si>
  <si>
    <t>Pllake</t>
  </si>
  <si>
    <t>3)Periudha tat Viti  2011  Muaj  Qershor</t>
  </si>
  <si>
    <t>3)Periudha tat Viti  2011  Muaj  Korrik</t>
  </si>
  <si>
    <t>07</t>
  </si>
  <si>
    <t>29</t>
  </si>
  <si>
    <t>67015829</t>
  </si>
  <si>
    <t>31/07/2011</t>
  </si>
  <si>
    <t>38</t>
  </si>
  <si>
    <t>84057886</t>
  </si>
  <si>
    <t>25/06/2011</t>
  </si>
  <si>
    <t>Sinani</t>
  </si>
  <si>
    <t>74</t>
  </si>
  <si>
    <t>84242085</t>
  </si>
  <si>
    <t>03/07/2011</t>
  </si>
  <si>
    <t>7</t>
  </si>
  <si>
    <t>86189407</t>
  </si>
  <si>
    <t>08/07/2011</t>
  </si>
  <si>
    <t>Breshani</t>
  </si>
  <si>
    <t>K56614207W</t>
  </si>
  <si>
    <t>241</t>
  </si>
  <si>
    <t>85276544</t>
  </si>
  <si>
    <t>01/07/2011</t>
  </si>
  <si>
    <t>Edil Class</t>
  </si>
  <si>
    <t>305</t>
  </si>
  <si>
    <t>87850304</t>
  </si>
  <si>
    <t>22/07/2011</t>
  </si>
  <si>
    <t>K13001016T</t>
  </si>
  <si>
    <t>87742281</t>
  </si>
  <si>
    <t>15/07/2011</t>
  </si>
  <si>
    <t>Apolumil Sky</t>
  </si>
  <si>
    <t>398</t>
  </si>
  <si>
    <t>87742307</t>
  </si>
  <si>
    <t>27/07/2011</t>
  </si>
  <si>
    <t>2434</t>
  </si>
  <si>
    <t>33730</t>
  </si>
  <si>
    <t>10/07/2011</t>
  </si>
  <si>
    <t>2412</t>
  </si>
  <si>
    <t>33710</t>
  </si>
  <si>
    <t>07/07/2011</t>
  </si>
  <si>
    <t>2466</t>
  </si>
  <si>
    <t>33762</t>
  </si>
  <si>
    <t>12/07/2011</t>
  </si>
  <si>
    <t>2461</t>
  </si>
  <si>
    <t>33757</t>
  </si>
  <si>
    <t>2326</t>
  </si>
  <si>
    <t>33631</t>
  </si>
  <si>
    <t>2387</t>
  </si>
  <si>
    <t>33686</t>
  </si>
  <si>
    <t>04/07/2011</t>
  </si>
  <si>
    <t>Hidromat</t>
  </si>
  <si>
    <t>Stuko</t>
  </si>
  <si>
    <t>Boj e pregatitur</t>
  </si>
  <si>
    <t>tulla</t>
  </si>
  <si>
    <t>Gure i Sharruar</t>
  </si>
  <si>
    <t>Kontrata Moteriale</t>
  </si>
  <si>
    <t>Komplete Brave</t>
  </si>
  <si>
    <t>Gone</t>
  </si>
  <si>
    <t>Aksesor Alumini</t>
  </si>
  <si>
    <t>Aksesor Metalik</t>
  </si>
  <si>
    <t>Profile alunimi per Grila</t>
  </si>
  <si>
    <t>Profile Alumini i palyer</t>
  </si>
  <si>
    <t>Panela Te medhenj</t>
  </si>
  <si>
    <t>Llastik xhami</t>
  </si>
  <si>
    <t>Profil Alumini i imet</t>
  </si>
  <si>
    <t>Profil alumini i pa lyer</t>
  </si>
  <si>
    <t>Kite</t>
  </si>
  <si>
    <t>Aksesor metalik</t>
  </si>
  <si>
    <t>Aksesor plastik</t>
  </si>
  <si>
    <t>Profil alunimi per grila</t>
  </si>
  <si>
    <t>Profil alumini i palyer</t>
  </si>
  <si>
    <t xml:space="preserve">Aksesor Alumini </t>
  </si>
  <si>
    <t>Pllaka Gipsi</t>
  </si>
  <si>
    <t>Profil CD</t>
  </si>
  <si>
    <t>Thas</t>
  </si>
  <si>
    <t>Profil CVV</t>
  </si>
  <si>
    <t>Vida</t>
  </si>
  <si>
    <t>Upa</t>
  </si>
  <si>
    <t>Kuti</t>
  </si>
  <si>
    <t>kuti</t>
  </si>
  <si>
    <t>Lesh Xhami</t>
  </si>
  <si>
    <t>Profil Alumini pe grila</t>
  </si>
  <si>
    <t>Profil alumini i lyer</t>
  </si>
  <si>
    <t>profil alumini i lyer</t>
  </si>
  <si>
    <t>Profil alumini per grila</t>
  </si>
  <si>
    <t>cope</t>
  </si>
  <si>
    <t>Profile</t>
  </si>
  <si>
    <t>Profile e aksesore</t>
  </si>
  <si>
    <t>08</t>
  </si>
  <si>
    <t>916</t>
  </si>
  <si>
    <t>87478916</t>
  </si>
  <si>
    <t>02/08/2011</t>
  </si>
  <si>
    <t>Shoqeria Ndertimore   "  AMETI    "</t>
  </si>
  <si>
    <t>Pallati Nr 7</t>
  </si>
  <si>
    <t>PASQYRA ANALITIKE E FURNIZIMEVE ME MATERIALE  PER MUAJIN  JANAR 2011</t>
  </si>
  <si>
    <t xml:space="preserve"> Emertimi i  </t>
  </si>
  <si>
    <t>Nj esia</t>
  </si>
  <si>
    <t>Vlera ne</t>
  </si>
  <si>
    <t>Deklaruar te ardhura</t>
  </si>
  <si>
    <t xml:space="preserve">Shuma </t>
  </si>
  <si>
    <t xml:space="preserve">i materialeve </t>
  </si>
  <si>
    <t>e matjes</t>
  </si>
  <si>
    <t>mesatar</t>
  </si>
  <si>
    <t>LEKE</t>
  </si>
  <si>
    <t>OBJEKTI</t>
  </si>
  <si>
    <t>Vlera e tatushme</t>
  </si>
  <si>
    <t>TVSH e llog.</t>
  </si>
  <si>
    <t>TOTALE</t>
  </si>
  <si>
    <t>pllake</t>
  </si>
  <si>
    <t>dekore</t>
  </si>
  <si>
    <t>Shitje mallra</t>
  </si>
  <si>
    <t>ultracolor</t>
  </si>
  <si>
    <t>polisterol</t>
  </si>
  <si>
    <t>maxikol</t>
  </si>
  <si>
    <t>prof. Alumini i lyer</t>
  </si>
  <si>
    <t>cimento gri</t>
  </si>
  <si>
    <t>astar</t>
  </si>
  <si>
    <t>bioplaster me ngjyre</t>
  </si>
  <si>
    <t>fino</t>
  </si>
  <si>
    <t>tubo e rakorderi</t>
  </si>
  <si>
    <t>f.v dyer</t>
  </si>
  <si>
    <t>stukim tubo</t>
  </si>
  <si>
    <t>tulle</t>
  </si>
  <si>
    <t xml:space="preserve">Blerje </t>
  </si>
  <si>
    <t>kontrata</t>
  </si>
  <si>
    <t>Diference</t>
  </si>
  <si>
    <t>Fond page</t>
  </si>
  <si>
    <t>Sig shoq</t>
  </si>
  <si>
    <t>PASQYRA ANALITIKE E FURNIZIMEVE ME MATERIALE  PER MUAJIN  SHKURT  2011</t>
  </si>
  <si>
    <t>hidromat</t>
  </si>
  <si>
    <t>pllaka</t>
  </si>
  <si>
    <t>panele te medhenj</t>
  </si>
  <si>
    <t>panele te vegjel</t>
  </si>
  <si>
    <t>akcesore plastike</t>
  </si>
  <si>
    <t>akcesore metalike</t>
  </si>
  <si>
    <t>profil al i lyer</t>
  </si>
  <si>
    <t>f.v dere kase metalike</t>
  </si>
  <si>
    <t>tubo</t>
  </si>
  <si>
    <t>mat elektrike</t>
  </si>
  <si>
    <t>gur i prere</t>
  </si>
  <si>
    <t>PASQYRA ANALITIKE E FURNIZIMEVE ME MATERIALE  PER MUAJIN  MARS  2011</t>
  </si>
  <si>
    <t>mat hidrosanitare</t>
  </si>
  <si>
    <t>prof al I palyer</t>
  </si>
  <si>
    <t>prof al I  lyer</t>
  </si>
  <si>
    <t>akcesore te #</t>
  </si>
  <si>
    <t>akcesore al</t>
  </si>
  <si>
    <t>f,v grila</t>
  </si>
  <si>
    <t>rrjete suvatii</t>
  </si>
  <si>
    <t>llastik xhami</t>
  </si>
  <si>
    <t>gone</t>
  </si>
  <si>
    <t>kontrate noteriale</t>
  </si>
  <si>
    <t>PASQYRA ANALITIKE E FURNIZIMEVE ME MATERIALE  PER MUAJIN  prill   2011</t>
  </si>
  <si>
    <t>Bojra te #</t>
  </si>
  <si>
    <t>#</t>
  </si>
  <si>
    <t>Materiale hidraulike</t>
  </si>
  <si>
    <t>Alumin i lyer</t>
  </si>
  <si>
    <t>Aksesore metali</t>
  </si>
  <si>
    <t>Kase te #</t>
  </si>
  <si>
    <t>Panel sanuic</t>
  </si>
  <si>
    <t>Çimento</t>
  </si>
  <si>
    <t>F.v. Dyer</t>
  </si>
  <si>
    <t>box</t>
  </si>
  <si>
    <t>PASQYRA ANALITIKE E FURNIZIMEVE ME MATERIALE  PER MUAJIN  Maj  2011</t>
  </si>
  <si>
    <t>Profile alumini+aksesora</t>
  </si>
  <si>
    <t>Boje</t>
  </si>
  <si>
    <t>litra</t>
  </si>
  <si>
    <t>materiale elektrike</t>
  </si>
  <si>
    <t>FV dyer</t>
  </si>
  <si>
    <t>Aksesor dere</t>
  </si>
  <si>
    <t>Blindues</t>
  </si>
  <si>
    <t>Pallati Nr 9</t>
  </si>
  <si>
    <t>PASQYRA ANALITIKE E FURNIZIMEVE ME MATERIALE  PER MUAJIN Qershor 2011</t>
  </si>
  <si>
    <t>Boj E pregatitur</t>
  </si>
  <si>
    <t>SuperAlbaPlast</t>
  </si>
  <si>
    <t>Gur i Sharruar</t>
  </si>
  <si>
    <t>Profil Alumini per grila</t>
  </si>
  <si>
    <t>Profil Alumini per Dyer</t>
  </si>
  <si>
    <t>Aksesore Per dyer e grila</t>
  </si>
  <si>
    <t>Panela te medhenj</t>
  </si>
  <si>
    <t>Notere</t>
  </si>
  <si>
    <t>FOND PAGE</t>
  </si>
  <si>
    <t>SIG SHOQERORE</t>
  </si>
  <si>
    <t>Tvsh Blerje</t>
  </si>
  <si>
    <t>PASQYRA ANALITIKE E FURNIZIMEVE ME MATERIALE  PER MUAJIN   Korrik 2011</t>
  </si>
  <si>
    <t>Qepen I Thjeshte</t>
  </si>
  <si>
    <t>Profil</t>
  </si>
  <si>
    <t>Vida+Upa</t>
  </si>
  <si>
    <t>F. V Grila</t>
  </si>
  <si>
    <t>PASQYRA ANALITIKE E FURNIZIMEVE ME MATERIALE  PER MUAJIN   GUSHT 2011</t>
  </si>
  <si>
    <t>Profil Alumini i Lyer</t>
  </si>
  <si>
    <t>Brava</t>
  </si>
  <si>
    <t>Tapabine</t>
  </si>
  <si>
    <t>Cifte</t>
  </si>
  <si>
    <t>Hidromat+Astar</t>
  </si>
  <si>
    <t>Tubo</t>
  </si>
  <si>
    <t>Sig Prone</t>
  </si>
  <si>
    <t>Armature</t>
  </si>
  <si>
    <t>Punime Alumini Punime +Vendosje</t>
  </si>
  <si>
    <t>Beton M200</t>
  </si>
  <si>
    <t>Lidhje hekuri</t>
  </si>
  <si>
    <t xml:space="preserve">TVSH </t>
  </si>
  <si>
    <t>31/08/2011</t>
  </si>
  <si>
    <t>141</t>
  </si>
  <si>
    <t>87216041</t>
  </si>
  <si>
    <t>A 6 E Auditing</t>
  </si>
  <si>
    <t>L16409203F</t>
  </si>
  <si>
    <t>461</t>
  </si>
  <si>
    <t>87742370</t>
  </si>
  <si>
    <t>22/08/2011</t>
  </si>
  <si>
    <t>Apolumin</t>
  </si>
  <si>
    <t>513</t>
  </si>
  <si>
    <t>88116163</t>
  </si>
  <si>
    <t>24/08/2011</t>
  </si>
  <si>
    <t>AL-Vahrom</t>
  </si>
  <si>
    <t>364</t>
  </si>
  <si>
    <t>87850363</t>
  </si>
  <si>
    <t>20/08/2011</t>
  </si>
  <si>
    <t>81</t>
  </si>
  <si>
    <t>88172681</t>
  </si>
  <si>
    <t>26/08/2011</t>
  </si>
  <si>
    <t>Blu Star</t>
  </si>
  <si>
    <t>87466172</t>
  </si>
  <si>
    <t>28/08/2011</t>
  </si>
  <si>
    <t>Sigal Uniqa Group Austria</t>
  </si>
  <si>
    <t>J91809007H</t>
  </si>
  <si>
    <t>85351907</t>
  </si>
  <si>
    <t>Amus Or</t>
  </si>
  <si>
    <t>L16313205M</t>
  </si>
  <si>
    <t>1958</t>
  </si>
  <si>
    <t>88194608</t>
  </si>
  <si>
    <t>06/08/2011</t>
  </si>
  <si>
    <t>Teoren</t>
  </si>
  <si>
    <t>21052834</t>
  </si>
  <si>
    <t>Esbjerg</t>
  </si>
  <si>
    <t>K61531510S</t>
  </si>
  <si>
    <t>650</t>
  </si>
  <si>
    <t>84071100</t>
  </si>
  <si>
    <t>27/08/2011</t>
  </si>
  <si>
    <t>AAR  Alumin</t>
  </si>
  <si>
    <t>K13512401J</t>
  </si>
  <si>
    <t>667</t>
  </si>
  <si>
    <t>87519497</t>
  </si>
  <si>
    <t>04/08/2011</t>
  </si>
  <si>
    <t>P Plasa</t>
  </si>
  <si>
    <t>Korce</t>
  </si>
  <si>
    <t>78</t>
  </si>
  <si>
    <t>87217878</t>
  </si>
  <si>
    <t>Mehillaj</t>
  </si>
  <si>
    <t>J77207216A</t>
  </si>
  <si>
    <t>79</t>
  </si>
  <si>
    <t>87217879</t>
  </si>
  <si>
    <t>29/08/2011</t>
  </si>
  <si>
    <t>062</t>
  </si>
  <si>
    <t>85852062</t>
  </si>
  <si>
    <t>Hamzaj &amp;11</t>
  </si>
  <si>
    <t>L12512409D</t>
  </si>
  <si>
    <t>063</t>
  </si>
  <si>
    <t>85852063</t>
  </si>
  <si>
    <t>86</t>
  </si>
  <si>
    <t>84242097</t>
  </si>
  <si>
    <t>97</t>
  </si>
  <si>
    <t>84242108</t>
  </si>
  <si>
    <t>30/08/2011</t>
  </si>
  <si>
    <t>SI11-05739</t>
  </si>
  <si>
    <t>105583149</t>
  </si>
  <si>
    <t>EuroTech Cement</t>
  </si>
  <si>
    <t>2731</t>
  </si>
  <si>
    <t>33998</t>
  </si>
  <si>
    <t>3)Periudha tat Viti  2011  Muaj  Gusht</t>
  </si>
  <si>
    <t>Alpha Bank</t>
  </si>
  <si>
    <t>Raiffeisen Bank</t>
  </si>
  <si>
    <t>Kredi  31/12/2010</t>
  </si>
  <si>
    <t>Mbetje Detyrimi</t>
  </si>
  <si>
    <t>Andet 2005 31/12/2010</t>
  </si>
  <si>
    <t>Likujdim   2011</t>
  </si>
  <si>
    <t>Andet 2005 Mbetje Detyrimi</t>
  </si>
  <si>
    <t>Marre borxh nga Mehilli  31/12/2010</t>
  </si>
  <si>
    <t xml:space="preserve">Mbetje detyrimi nga mehillaj </t>
  </si>
  <si>
    <t>L4</t>
  </si>
  <si>
    <t>Raiffeisan Bank</t>
  </si>
  <si>
    <t>Gjendja me 31/12/2011</t>
  </si>
  <si>
    <t>PASQYRA ANALITIKE E FURNIZIMEVE ME MATERIALE  PER MUAJIN    2011</t>
  </si>
  <si>
    <t>Norteri</t>
  </si>
  <si>
    <t>Gur i sharruar</t>
  </si>
  <si>
    <t>Grafiato</t>
  </si>
  <si>
    <t>Punime Katoxhers (F.V)</t>
  </si>
  <si>
    <t>Vleresim Prone</t>
  </si>
  <si>
    <t xml:space="preserve">Lavazho </t>
  </si>
  <si>
    <t>Fshese Lavazho</t>
  </si>
  <si>
    <t>Super Albaryl</t>
  </si>
  <si>
    <t>09</t>
  </si>
  <si>
    <t>31</t>
  </si>
  <si>
    <t>67015831</t>
  </si>
  <si>
    <t>30/09/2011</t>
  </si>
  <si>
    <t>84242113</t>
  </si>
  <si>
    <t>02/09/2011</t>
  </si>
  <si>
    <t>72786152</t>
  </si>
  <si>
    <t>26/09/2011</t>
  </si>
  <si>
    <t>B-D.K.S Grup</t>
  </si>
  <si>
    <t>2490</t>
  </si>
  <si>
    <t>88403990</t>
  </si>
  <si>
    <t>Toren shpk</t>
  </si>
  <si>
    <t>554</t>
  </si>
  <si>
    <t>88116204</t>
  </si>
  <si>
    <t>23/09/2011</t>
  </si>
  <si>
    <t>OL-Vahrom shpk</t>
  </si>
  <si>
    <t>688</t>
  </si>
  <si>
    <t>88463688</t>
  </si>
  <si>
    <t>19/09/2011</t>
  </si>
  <si>
    <t>A.A.R shpk</t>
  </si>
  <si>
    <t>23</t>
  </si>
  <si>
    <t>84789829</t>
  </si>
  <si>
    <t>05/07/2011</t>
  </si>
  <si>
    <t>Ermioni Vongh</t>
  </si>
  <si>
    <t>K86606201G</t>
  </si>
  <si>
    <t>484</t>
  </si>
  <si>
    <t>87205116</t>
  </si>
  <si>
    <t>09/09/2011</t>
  </si>
  <si>
    <t>Fasa-Grup</t>
  </si>
  <si>
    <t>12</t>
  </si>
  <si>
    <t>87222112</t>
  </si>
  <si>
    <t>16/09/2011</t>
  </si>
  <si>
    <t xml:space="preserve">Vellezrit Agalliu </t>
  </si>
  <si>
    <t>K77405201T</t>
  </si>
  <si>
    <t>88842612</t>
  </si>
  <si>
    <t>17/09/2011</t>
  </si>
  <si>
    <t>Alba-Color shpk</t>
  </si>
  <si>
    <t>414</t>
  </si>
  <si>
    <t>88842613</t>
  </si>
  <si>
    <t>2831</t>
  </si>
  <si>
    <t>34083</t>
  </si>
  <si>
    <t>04/09/2011</t>
  </si>
  <si>
    <t>VOL Alba shpk</t>
  </si>
  <si>
    <t>2838</t>
  </si>
  <si>
    <t>34090</t>
  </si>
  <si>
    <t>2847</t>
  </si>
  <si>
    <t>34097</t>
  </si>
  <si>
    <t>05/09/2011</t>
  </si>
  <si>
    <t>2852</t>
  </si>
  <si>
    <t>34102</t>
  </si>
  <si>
    <t>2875</t>
  </si>
  <si>
    <t>34123</t>
  </si>
  <si>
    <t>07/09/2011</t>
  </si>
  <si>
    <t>2876</t>
  </si>
  <si>
    <t>34124</t>
  </si>
  <si>
    <t>3)Periudha tat Viti  2011  Muaj  SHTATOR</t>
  </si>
  <si>
    <t>67015830</t>
  </si>
  <si>
    <t>PASQYRA ANALITIKE E FURNIZIMEVE ME MATERIALE  PER MUAJIN Tetor    2011</t>
  </si>
  <si>
    <t>Rakoderi Prela Lidhjwe te bakrit</t>
  </si>
  <si>
    <t>Rakorderi Polietileni</t>
  </si>
  <si>
    <t>Pjese Tubosh elektrike  Si vegel Pune</t>
  </si>
  <si>
    <t>Rakorderi PVC</t>
  </si>
  <si>
    <t>Ngjites Uji</t>
  </si>
  <si>
    <t>Gr</t>
  </si>
  <si>
    <t>Penarela</t>
  </si>
  <si>
    <t>Ulluqe</t>
  </si>
  <si>
    <t>Xhunto</t>
  </si>
  <si>
    <t>Kendoer</t>
  </si>
  <si>
    <t>Fasheta Metali</t>
  </si>
  <si>
    <t>Shkarkues Fundor Pileto</t>
  </si>
  <si>
    <t xml:space="preserve">Tubo </t>
  </si>
  <si>
    <t>Puseta</t>
  </si>
  <si>
    <t>Kapak</t>
  </si>
  <si>
    <t>Grilla Kendore</t>
  </si>
  <si>
    <t>Canaleta</t>
  </si>
  <si>
    <t>Bicetone PVC</t>
  </si>
  <si>
    <t>Tubo Bakri e Izoluar</t>
  </si>
  <si>
    <t>Tubo Izolante Polietileni</t>
  </si>
  <si>
    <t>Tubo Alumini e veshur me izolues</t>
  </si>
  <si>
    <t>Hirosanitare</t>
  </si>
  <si>
    <t>Pllake Traotuari</t>
  </si>
  <si>
    <t>Kv</t>
  </si>
  <si>
    <t>Tubo e rakorderri Importi</t>
  </si>
  <si>
    <t>PASQYRA ANALITIKE E FURNIZIMEVE ME MATERIALE  PER MUAJIN  Nentor   2011</t>
  </si>
  <si>
    <t>Litra</t>
  </si>
  <si>
    <t>Mermer</t>
  </si>
  <si>
    <t>PASQYRA ANALITIKE E FURNIZIMEVE ME MATERIALE  PER MUAJIN Dhjetor   2011</t>
  </si>
  <si>
    <t>Telefoni</t>
  </si>
  <si>
    <t>Punime+ vendosje baxhaje</t>
  </si>
  <si>
    <t>Credins</t>
  </si>
  <si>
    <t>3)Periudha tat Viti  2011  Muaj   Tetor</t>
  </si>
  <si>
    <t>3)Periudha tat Viti  2011  Muaj   Nentor</t>
  </si>
  <si>
    <t>Dilaver Bregu</t>
  </si>
  <si>
    <t>Murator</t>
  </si>
  <si>
    <t>Sokrat Ferraj</t>
  </si>
  <si>
    <t>Aleksander Menaj</t>
  </si>
  <si>
    <t>Puntor</t>
  </si>
  <si>
    <t>Nertil Zekaj</t>
  </si>
  <si>
    <t>3)Periudha tat Viti  2011  Muaj   Dhjetor</t>
  </si>
  <si>
    <t>Drejtuese Teknike</t>
  </si>
  <si>
    <t>31/10/2011</t>
  </si>
  <si>
    <t>9746</t>
  </si>
  <si>
    <t>15/10/2011</t>
  </si>
  <si>
    <t>NTM</t>
  </si>
  <si>
    <t>Itali</t>
  </si>
  <si>
    <t>S'ka</t>
  </si>
  <si>
    <t>9737</t>
  </si>
  <si>
    <t>Italian Resine</t>
  </si>
  <si>
    <t>9734</t>
  </si>
  <si>
    <t>Fin Edil</t>
  </si>
  <si>
    <t>9751</t>
  </si>
  <si>
    <t>Igiemme</t>
  </si>
  <si>
    <t>9755</t>
  </si>
  <si>
    <t>Nova PDM</t>
  </si>
  <si>
    <t>882</t>
  </si>
  <si>
    <t>88949882</t>
  </si>
  <si>
    <t>01/10/2011</t>
  </si>
  <si>
    <t>2635</t>
  </si>
  <si>
    <t>89299206</t>
  </si>
  <si>
    <t>26/10/2011</t>
  </si>
  <si>
    <t>Rubineteria</t>
  </si>
  <si>
    <t>K11519007S</t>
  </si>
  <si>
    <t>85442968</t>
  </si>
  <si>
    <t>18/10/2011</t>
  </si>
  <si>
    <t>Adhjari</t>
  </si>
  <si>
    <t>Kavaj</t>
  </si>
  <si>
    <t>666</t>
  </si>
  <si>
    <t>87201907</t>
  </si>
  <si>
    <t>08/10/2011</t>
  </si>
  <si>
    <t>Kanina 2000</t>
  </si>
  <si>
    <t>K07303202H</t>
  </si>
  <si>
    <t>860</t>
  </si>
  <si>
    <t>87214860</t>
  </si>
  <si>
    <t>28/10/2011</t>
  </si>
  <si>
    <t>ATZ</t>
  </si>
  <si>
    <t>K06605215J</t>
  </si>
  <si>
    <t>862</t>
  </si>
  <si>
    <t>87214862</t>
  </si>
  <si>
    <t>29/10/2011</t>
  </si>
  <si>
    <t>909</t>
  </si>
  <si>
    <t>88949909</t>
  </si>
  <si>
    <t>06/10/2011</t>
  </si>
  <si>
    <t xml:space="preserve">Brunes </t>
  </si>
  <si>
    <t>948</t>
  </si>
  <si>
    <t>88949948</t>
  </si>
  <si>
    <t>590</t>
  </si>
  <si>
    <t>88949590</t>
  </si>
  <si>
    <t>25/10/2011</t>
  </si>
  <si>
    <t>7412</t>
  </si>
  <si>
    <t>89010312</t>
  </si>
  <si>
    <t>Shijaku</t>
  </si>
  <si>
    <t>Kush Kruje</t>
  </si>
  <si>
    <t>J64103373V</t>
  </si>
  <si>
    <t>K36823204C</t>
  </si>
  <si>
    <t>33</t>
  </si>
  <si>
    <t>67015833</t>
  </si>
  <si>
    <t>30/11/2011</t>
  </si>
  <si>
    <t>118</t>
  </si>
  <si>
    <t>84242129</t>
  </si>
  <si>
    <t>01/09/2011</t>
  </si>
  <si>
    <t>136</t>
  </si>
  <si>
    <t>84242149</t>
  </si>
  <si>
    <t>26/11/2011</t>
  </si>
  <si>
    <t>476</t>
  </si>
  <si>
    <t>88842675</t>
  </si>
  <si>
    <t>27/10/2011</t>
  </si>
  <si>
    <t>144</t>
  </si>
  <si>
    <t>72786204</t>
  </si>
  <si>
    <t>B-DKS Grup</t>
  </si>
  <si>
    <t>87235621</t>
  </si>
  <si>
    <t>20/10/2011</t>
  </si>
  <si>
    <t>Ria Plastik</t>
  </si>
  <si>
    <t>K56408201N</t>
  </si>
  <si>
    <t>189</t>
  </si>
  <si>
    <t>87235639</t>
  </si>
  <si>
    <t>536</t>
  </si>
  <si>
    <t>88224536</t>
  </si>
  <si>
    <t>07/11/2011</t>
  </si>
  <si>
    <t>Hazizah &amp; 11</t>
  </si>
  <si>
    <t>3053</t>
  </si>
  <si>
    <t>00326703</t>
  </si>
  <si>
    <t>16/11/2011</t>
  </si>
  <si>
    <t>67015834</t>
  </si>
  <si>
    <t>31/12/2011</t>
  </si>
  <si>
    <t>3505</t>
  </si>
  <si>
    <t>00570205</t>
  </si>
  <si>
    <t>22/12/2011</t>
  </si>
  <si>
    <t>125</t>
  </si>
  <si>
    <t>88463125</t>
  </si>
  <si>
    <t>17/12/2011</t>
  </si>
  <si>
    <t xml:space="preserve">AAR </t>
  </si>
  <si>
    <t>176</t>
  </si>
  <si>
    <t>87216076</t>
  </si>
  <si>
    <t>04/12/2011</t>
  </si>
  <si>
    <t>A &amp; E Auditing</t>
  </si>
  <si>
    <t>599</t>
  </si>
  <si>
    <t>88224599</t>
  </si>
  <si>
    <t>19/12/2011</t>
  </si>
  <si>
    <t>Hazizaj &amp; 11</t>
  </si>
  <si>
    <t>81154606.8</t>
  </si>
  <si>
    <t>01/12/2011</t>
  </si>
  <si>
    <t>AMC</t>
  </si>
  <si>
    <t>J61814094W</t>
  </si>
  <si>
    <t>Shoqeria  "   Ameti "</t>
  </si>
  <si>
    <t xml:space="preserve">                                                                          PASQYRA E RAKORDIMIT PER T V SH  PER  VITIN  2011</t>
  </si>
  <si>
    <t>Stuko + hidromat</t>
  </si>
  <si>
    <t>Si Makine</t>
  </si>
  <si>
    <t xml:space="preserve"> Hekur Ndertimi</t>
  </si>
  <si>
    <t>Punime Alumini</t>
  </si>
  <si>
    <t xml:space="preserve">Beton </t>
  </si>
  <si>
    <t>Lidhje hekuri +Armature</t>
  </si>
  <si>
    <t>Tapablime</t>
  </si>
  <si>
    <t>Cift</t>
  </si>
  <si>
    <t>22.08</t>
  </si>
  <si>
    <t>F.V Alumin</t>
  </si>
  <si>
    <t>Beton</t>
  </si>
  <si>
    <t>2.08</t>
  </si>
  <si>
    <t>30.08</t>
  </si>
  <si>
    <t>Tapinie</t>
  </si>
  <si>
    <t>Aksesore Plastik</t>
  </si>
  <si>
    <t>Boj +Stuko</t>
  </si>
  <si>
    <t>Boj + Stuko</t>
  </si>
  <si>
    <t>Sig Makine</t>
  </si>
  <si>
    <t>F.V Alumini</t>
  </si>
  <si>
    <t>F.v Bazhur</t>
  </si>
  <si>
    <t>Vleresi Prone</t>
  </si>
  <si>
    <t>Lazazho+ fshesa</t>
  </si>
  <si>
    <t>Super Boj</t>
  </si>
  <si>
    <t>2.09</t>
  </si>
  <si>
    <t>Grafiaro</t>
  </si>
  <si>
    <t>F.v Boxhit</t>
  </si>
  <si>
    <t>Lavazho+ Fshesa</t>
  </si>
  <si>
    <t>F.V Boxhur</t>
  </si>
  <si>
    <t>Lavazo+ fshes magazine</t>
  </si>
  <si>
    <t>Boj</t>
  </si>
  <si>
    <t>Rakorderi</t>
  </si>
  <si>
    <t>Pllake Trotuari</t>
  </si>
  <si>
    <t>Prese Tubosh</t>
  </si>
  <si>
    <t>Ngjites Tubi</t>
  </si>
  <si>
    <t>Ulluqe + kendore+ bashkues</t>
  </si>
  <si>
    <t>Puseta+ Kapake+ Grila plastike</t>
  </si>
  <si>
    <t>Pllake trotuari</t>
  </si>
  <si>
    <t>Ulluqe + Rakorderi</t>
  </si>
  <si>
    <t>Pllaka Trotuari</t>
  </si>
  <si>
    <t>Hekuri</t>
  </si>
  <si>
    <t xml:space="preserve">              </t>
  </si>
  <si>
    <t>Nenetor</t>
  </si>
  <si>
    <t>1.09</t>
  </si>
  <si>
    <t>26.1</t>
  </si>
  <si>
    <t>Punime Boxhuri</t>
  </si>
  <si>
    <t>F.V Baxhure</t>
  </si>
  <si>
    <t>Lavazho e Fshes Kantieri</t>
  </si>
  <si>
    <t>Hamzaj &amp;12</t>
  </si>
  <si>
    <t>Hamzaj &amp;13</t>
  </si>
  <si>
    <t>Hamzaj &amp;14</t>
  </si>
  <si>
    <t>Hamzaj &amp;15</t>
  </si>
  <si>
    <t xml:space="preserve">Tatimpaguesi        </t>
  </si>
  <si>
    <r>
      <t xml:space="preserve">Aktiviteti   </t>
    </r>
    <r>
      <rPr>
        <b/>
        <u/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         </t>
    </r>
  </si>
  <si>
    <t>Al62902262590251230000203562</t>
  </si>
  <si>
    <t>Al23902262580251230003698592</t>
  </si>
  <si>
    <t>Al06202260000000000000524277</t>
  </si>
  <si>
    <t>Al4420526087188738 Cl PRCF Eura</t>
  </si>
  <si>
    <t>000000263253</t>
  </si>
  <si>
    <t>M3</t>
  </si>
  <si>
    <t>Seri</t>
  </si>
  <si>
    <t>Plastiko</t>
  </si>
  <si>
    <t>Akrilor Astar</t>
  </si>
  <si>
    <t>Valiudus</t>
  </si>
  <si>
    <t>Pigmente</t>
  </si>
  <si>
    <t>Furca+ Rula</t>
  </si>
  <si>
    <t>Malla</t>
  </si>
  <si>
    <t>PASQYRA ANALITIKE E FURNIZIMEVE ME MATERIALE  PER MUAJIN Janar    2012</t>
  </si>
  <si>
    <t>Patinim Austike te brendshme</t>
  </si>
  <si>
    <t>PASQYRA ANALITIKE E FURNIZIMEVE ME MATERIALE  PER MUAJIN  Shkurt    2012</t>
  </si>
  <si>
    <t>Albastok</t>
  </si>
  <si>
    <t>Boj Hidromat</t>
  </si>
  <si>
    <t>Rrofil Alumini i lyer</t>
  </si>
  <si>
    <t>Profil alumini gri</t>
  </si>
  <si>
    <t xml:space="preserve">Bolier </t>
  </si>
  <si>
    <t>F.V Ashensor</t>
  </si>
  <si>
    <t>Maxi kol</t>
  </si>
  <si>
    <t>Punime Elektrik</t>
  </si>
  <si>
    <t>F.V Porte</t>
  </si>
  <si>
    <t>Melamine</t>
  </si>
  <si>
    <t>Tula</t>
  </si>
  <si>
    <t>Punime Hidraulike</t>
  </si>
  <si>
    <t xml:space="preserve">" AMETI" SH P K </t>
  </si>
  <si>
    <t>BANESA NR 9</t>
  </si>
  <si>
    <t>LEJA E NDERTIMIT  NR    2 / 8     DATE  30.04.2010</t>
  </si>
  <si>
    <t xml:space="preserve">ORIKUM </t>
  </si>
  <si>
    <t>VITI  2011</t>
  </si>
  <si>
    <t>PALLATI  NR  9</t>
  </si>
  <si>
    <t xml:space="preserve">TREGUESIT  E SHITJES SE APARTAMENTIT NE ORIKUM  (  H O T E L  )     </t>
  </si>
  <si>
    <t xml:space="preserve">Siperfaqja totale </t>
  </si>
  <si>
    <t xml:space="preserve">Pronari i tokes </t>
  </si>
  <si>
    <t>Mbetet bruto</t>
  </si>
  <si>
    <t>Zbritet sip e perbashket</t>
  </si>
  <si>
    <t>Mbetet sip per shitje</t>
  </si>
  <si>
    <t xml:space="preserve">Nga e cila </t>
  </si>
  <si>
    <t>Gjith sip per shit</t>
  </si>
  <si>
    <t>Pr tok</t>
  </si>
  <si>
    <t>Mbet firm</t>
  </si>
  <si>
    <t>Shit v 10</t>
  </si>
  <si>
    <t>Mbet V 10</t>
  </si>
  <si>
    <t>Shit V 11</t>
  </si>
  <si>
    <t>Mbet V 12</t>
  </si>
  <si>
    <t>Apartamente banimi</t>
  </si>
  <si>
    <t>Dyqane K  I</t>
  </si>
  <si>
    <t>Ambiente sher K II</t>
  </si>
  <si>
    <t>Garazhe</t>
  </si>
  <si>
    <t>Siperfaqe e perbashket   932</t>
  </si>
  <si>
    <t>Siperfaqe e perb &gt;  se 8 %</t>
  </si>
  <si>
    <t>ballkone</t>
  </si>
  <si>
    <t xml:space="preserve">TE DHENA LIDHUR ME KOSTON NDERTIMORE </t>
  </si>
  <si>
    <t>EMERTIMI</t>
  </si>
  <si>
    <t>Vlere totale-patvsh</t>
  </si>
  <si>
    <t>7% kos nder</t>
  </si>
  <si>
    <t>Kost nd</t>
  </si>
  <si>
    <t>Sip Ndert</t>
  </si>
  <si>
    <t>Projekti  Gjithesej</t>
  </si>
  <si>
    <t xml:space="preserve">Dekl ne V   2010 </t>
  </si>
  <si>
    <t>Deklaruar V 2011</t>
  </si>
  <si>
    <t xml:space="preserve">SH U M A </t>
  </si>
  <si>
    <t>Dekl deri janar 2012</t>
  </si>
  <si>
    <t>SITUATA FINANCIARE E VITIT 2009</t>
  </si>
  <si>
    <t xml:space="preserve">KOSTO NDERTIMI  E SHPENZIME TJERA </t>
  </si>
  <si>
    <t>Gjendje  kosto ndertimore per vitin  2009</t>
  </si>
  <si>
    <t xml:space="preserve">leke </t>
  </si>
  <si>
    <t xml:space="preserve">VLERE E TATUSHME </t>
  </si>
  <si>
    <t xml:space="preserve">Sip ndertimore e deklaruar gjithesej </t>
  </si>
  <si>
    <t>TVSH E LLOGARITUR</t>
  </si>
  <si>
    <t>E cila perbehet :</t>
  </si>
  <si>
    <t>KOSTO NDERTIMI GJITHESEJ</t>
  </si>
  <si>
    <t xml:space="preserve">3 % I BASHKISE </t>
  </si>
  <si>
    <t>Dyqane ne K  I</t>
  </si>
  <si>
    <t xml:space="preserve">PROJEKTI , TOKA </t>
  </si>
  <si>
    <t>Ambiente sherbimi K  II</t>
  </si>
  <si>
    <t>Zrpp, Ap ban , amb sher, garazhe</t>
  </si>
  <si>
    <t xml:space="preserve">Garazhe  </t>
  </si>
  <si>
    <t>Ballkone</t>
  </si>
  <si>
    <t xml:space="preserve">Pronaret </t>
  </si>
  <si>
    <t>Noteri    E2</t>
  </si>
  <si>
    <t xml:space="preserve">Sip e perbshket </t>
  </si>
  <si>
    <t xml:space="preserve">TOTALI I SHPENZIMEVE </t>
  </si>
  <si>
    <t xml:space="preserve">Ne kushtet e ndryshimit te vazhdueshem te kostos ndertimore e cmimit minimal fiskal , u propozoj qe sip </t>
  </si>
  <si>
    <t>e deklaruar se ndertuari te shitet 100 % , e mbi kete propozim rezultojne :</t>
  </si>
  <si>
    <t>TE ARDHURAT ME CMIMET MINIMALE FISKALE V 2009</t>
  </si>
  <si>
    <t>REZULTATI</t>
  </si>
  <si>
    <t>SIPERFAQE</t>
  </si>
  <si>
    <t>Cmimi Euro</t>
  </si>
  <si>
    <t>TE ARDHURA</t>
  </si>
  <si>
    <t>KOSTO TOTALE</t>
  </si>
  <si>
    <t>FITIMI PARA TATIMIT</t>
  </si>
  <si>
    <t>10 % TATIM FITIMIT</t>
  </si>
  <si>
    <t>Siperfaqe e perb    932</t>
  </si>
  <si>
    <t>7 % i kostos ndert</t>
  </si>
  <si>
    <t>Shuma e tatim fitimi</t>
  </si>
  <si>
    <t>Likuid paradh V 09</t>
  </si>
  <si>
    <t xml:space="preserve">Mbetet per likuidim </t>
  </si>
  <si>
    <t xml:space="preserve">TE  ARDHURA TE PERJASHTUARA </t>
  </si>
  <si>
    <t xml:space="preserve">Shitje  ban </t>
  </si>
  <si>
    <t xml:space="preserve">7 %  I ndertimit </t>
  </si>
  <si>
    <t>&gt;  Tatim mbi fitimin   -  00000000000</t>
  </si>
  <si>
    <t xml:space="preserve">Sit Fiskale </t>
  </si>
  <si>
    <t>Besnik Xhindi</t>
  </si>
  <si>
    <t>Neritan Hamitaj</t>
  </si>
  <si>
    <t>Zyke Jaupi</t>
  </si>
  <si>
    <t>Adem Kabashi</t>
  </si>
  <si>
    <t>Anton Gjoni</t>
  </si>
  <si>
    <t>Artan Ferati</t>
  </si>
  <si>
    <t>Cane Likoj</t>
  </si>
  <si>
    <t xml:space="preserve">Engjell Allushaj </t>
  </si>
  <si>
    <t xml:space="preserve">Fatbardha </t>
  </si>
  <si>
    <t>Klient 2010</t>
  </si>
  <si>
    <t>Saimir Pashaj</t>
  </si>
  <si>
    <t>Vladimir Zoto</t>
  </si>
  <si>
    <t>Vladimir Dardha</t>
  </si>
  <si>
    <t>Viktor Zaka</t>
  </si>
  <si>
    <t>Al0320226000000000002524277</t>
  </si>
  <si>
    <t>Overdraft</t>
  </si>
  <si>
    <t>Al5020526087188738cl prcl Allb</t>
  </si>
  <si>
    <t>Al000000223582</t>
  </si>
  <si>
    <t>Andet 2005 Likujdim 2011  ( Eur)</t>
  </si>
  <si>
    <t>Andet 2005 Marje Kredie  ( All)</t>
  </si>
  <si>
    <t>Debi</t>
  </si>
  <si>
    <t>Kredi</t>
  </si>
  <si>
    <t xml:space="preserve">BKT </t>
  </si>
  <si>
    <t>Faturime</t>
  </si>
  <si>
    <t>Hua Marrje</t>
  </si>
  <si>
    <t>Likujdime All</t>
  </si>
  <si>
    <t>Likujdime Eur</t>
  </si>
  <si>
    <t xml:space="preserve"> &gt;  Huara te tjera       Mehillaj</t>
  </si>
  <si>
    <t>Zrpp+Zyra e rregjistrimit</t>
  </si>
  <si>
    <t>Taxa Infrastukture</t>
  </si>
  <si>
    <t>Prefektura e Qarkut</t>
  </si>
  <si>
    <t>Cez Shperndarje</t>
  </si>
  <si>
    <t>Luan Nelaj Punime Marangozi</t>
  </si>
  <si>
    <t>Eqerem Nexha Riparime Hidrosanitare</t>
  </si>
  <si>
    <t>Kaluar te L4</t>
  </si>
  <si>
    <t>Mikel Gjini</t>
  </si>
  <si>
    <t>Sadik Osmeni</t>
  </si>
  <si>
    <t>Samo Kazheli</t>
  </si>
  <si>
    <t>Kaluar te E2</t>
  </si>
  <si>
    <t xml:space="preserve">          Pasqyra e vleresimit te A Q T  per vitin 2011</t>
  </si>
  <si>
    <t>Komision Bankar</t>
  </si>
  <si>
    <t>Taxa Bashkie</t>
  </si>
  <si>
    <t>Te Ardhurat nga Interesat</t>
  </si>
  <si>
    <t>Interesa Kredie</t>
  </si>
  <si>
    <t>Gjoba</t>
  </si>
  <si>
    <t xml:space="preserve">&gt; Instumenta te tjera  borxhi </t>
  </si>
  <si>
    <t>Kontrata Noteriale  E2</t>
  </si>
  <si>
    <t>Sig Prone  E2</t>
  </si>
  <si>
    <t>Vleresim Prone  E2</t>
  </si>
  <si>
    <t>KALUAR  TE e2 - Interesa kredie</t>
  </si>
  <si>
    <t>Ardh  nga  E2</t>
  </si>
  <si>
    <t xml:space="preserve">Interesa  kredie </t>
  </si>
  <si>
    <t xml:space="preserve">Intereesa  bankare </t>
  </si>
  <si>
    <t xml:space="preserve">Sig pron + vl prone  tj Tj </t>
  </si>
  <si>
    <t xml:space="preserve">TVSH  E NDERTIMIT </t>
  </si>
  <si>
    <t xml:space="preserve">4 % I BASHKISE </t>
  </si>
  <si>
    <t xml:space="preserve">TOKA E PRONAREVE </t>
  </si>
  <si>
    <t xml:space="preserve">INTERESA  BANKARE </t>
  </si>
  <si>
    <t xml:space="preserve">TE  TJERA </t>
  </si>
  <si>
    <t xml:space="preserve">PRONARET  E TOKES </t>
  </si>
  <si>
    <t>D  4-</t>
  </si>
  <si>
    <t>Mallra te pa deklaruar</t>
  </si>
  <si>
    <t xml:space="preserve">Mallra te Brunes </t>
  </si>
  <si>
    <t>&gt; Mallra te pa Deklaruar ne Vitin 2011</t>
  </si>
  <si>
    <t>D4-</t>
  </si>
  <si>
    <t>&gt; Klientet e mallrave te pa Deklaruar</t>
  </si>
  <si>
    <t>D6</t>
  </si>
  <si>
    <t xml:space="preserve">Furnitore  per Mallra te pa Deklaruara </t>
  </si>
  <si>
    <t xml:space="preserve">Shuma e parapaguar per  blerje e sherbime </t>
  </si>
  <si>
    <t>Kaluar te M</t>
  </si>
  <si>
    <t>Mbyllur ne mars</t>
  </si>
  <si>
    <t>KLIENTE  TE  VITIT 2011</t>
  </si>
  <si>
    <t xml:space="preserve">                           ETJ , PER VITIN USHTRIMOR 2011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</si>
</sst>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  <numFmt numFmtId="168" formatCode="0_);\(0\)"/>
    <numFmt numFmtId="169" formatCode="#,##0.000"/>
  </numFmts>
  <fonts count="1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26"/>
      <name val="Algerian"/>
      <family val="5"/>
    </font>
    <font>
      <b/>
      <sz val="10"/>
      <name val="Algerian"/>
      <family val="5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7"/>
      <name val="Arial"/>
      <family val="2"/>
    </font>
    <font>
      <b/>
      <sz val="10"/>
      <name val="Cooper Black"/>
      <family val="1"/>
    </font>
    <font>
      <b/>
      <sz val="14"/>
      <name val="Cooper Black"/>
      <family val="1"/>
    </font>
    <font>
      <b/>
      <sz val="12"/>
      <name val="Castellar"/>
      <family val="1"/>
    </font>
    <font>
      <sz val="9"/>
      <name val="Times New Roman"/>
      <family val="1"/>
    </font>
    <font>
      <sz val="10"/>
      <name val="Castellar"/>
      <family val="1"/>
    </font>
    <font>
      <b/>
      <sz val="16"/>
      <name val="Bell MT"/>
      <family val="1"/>
    </font>
    <font>
      <b/>
      <sz val="10"/>
      <name val="Times New Roman"/>
      <family val="1"/>
    </font>
    <font>
      <b/>
      <sz val="12"/>
      <name val="Arial Rounded MT Bold"/>
      <family val="2"/>
    </font>
    <font>
      <b/>
      <sz val="10"/>
      <name val="Tw Cen MT Condensed"/>
      <family val="2"/>
    </font>
    <font>
      <i/>
      <sz val="9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gency FB"/>
      <family val="2"/>
    </font>
    <font>
      <b/>
      <i/>
      <sz val="12"/>
      <name val="Agency FB"/>
      <family val="2"/>
    </font>
    <font>
      <b/>
      <u/>
      <sz val="12"/>
      <name val="Agency FB"/>
      <family val="2"/>
    </font>
    <font>
      <b/>
      <sz val="10"/>
      <name val="Agency FB"/>
      <family val="2"/>
    </font>
    <font>
      <sz val="10"/>
      <name val="Agency FB"/>
      <family val="2"/>
    </font>
    <font>
      <sz val="8.5"/>
      <color indexed="8"/>
      <name val="Arial BoldMT"/>
    </font>
    <font>
      <b/>
      <sz val="9"/>
      <name val="Arial"/>
      <family val="2"/>
      <charset val="238"/>
    </font>
    <font>
      <b/>
      <u/>
      <sz val="9"/>
      <name val="Arial"/>
      <family val="2"/>
      <charset val="238"/>
    </font>
    <font>
      <sz val="10"/>
      <color indexed="8"/>
      <name val="Agency FB"/>
      <family val="2"/>
    </font>
    <font>
      <b/>
      <sz val="16"/>
      <color indexed="8"/>
      <name val="Agency FB"/>
      <family val="2"/>
    </font>
    <font>
      <sz val="12"/>
      <color indexed="8"/>
      <name val="Agency FB"/>
      <family val="2"/>
    </font>
    <font>
      <b/>
      <sz val="12"/>
      <color indexed="8"/>
      <name val="Agency FB"/>
      <family val="2"/>
    </font>
    <font>
      <b/>
      <i/>
      <sz val="6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1"/>
      <name val="Bodoni MT Black"/>
      <family val="1"/>
    </font>
    <font>
      <b/>
      <sz val="11"/>
      <name val="Bodoni MT Black"/>
      <family val="1"/>
    </font>
    <font>
      <sz val="10"/>
      <name val="Arial"/>
      <family val="2"/>
    </font>
    <font>
      <sz val="10"/>
      <name val="Baskerville Old Face"/>
      <family val="1"/>
    </font>
    <font>
      <b/>
      <sz val="12"/>
      <name val="Baskerville Old Face"/>
      <family val="1"/>
    </font>
    <font>
      <b/>
      <sz val="9"/>
      <name val="Baskerville Old Face"/>
      <family val="1"/>
    </font>
    <font>
      <sz val="9"/>
      <name val="Baskerville Old Face"/>
      <family val="1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gency FB"/>
      <family val="2"/>
    </font>
    <font>
      <b/>
      <sz val="10"/>
      <color theme="1"/>
      <name val="Agency FB"/>
      <family val="2"/>
    </font>
    <font>
      <b/>
      <sz val="1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8"/>
      <color theme="1"/>
      <name val="Agency FB"/>
      <family val="2"/>
    </font>
    <font>
      <sz val="8.5"/>
      <color rgb="FF000000"/>
      <name val="Arial"/>
      <family val="2"/>
    </font>
    <font>
      <sz val="10"/>
      <name val="Arial"/>
      <family val="2"/>
    </font>
    <font>
      <b/>
      <sz val="11"/>
      <color indexed="8"/>
      <name val="Agency FB"/>
      <family val="2"/>
    </font>
    <font>
      <b/>
      <sz val="12"/>
      <color indexed="8"/>
      <name val="Agency FB"/>
      <family val="2"/>
    </font>
    <font>
      <sz val="12"/>
      <color indexed="8"/>
      <name val="Agency FB"/>
      <family val="2"/>
    </font>
    <font>
      <sz val="20"/>
      <name val="Cooper Black"/>
      <family val="1"/>
    </font>
    <font>
      <b/>
      <sz val="8"/>
      <color indexed="8"/>
      <name val="Agency FB"/>
      <family val="2"/>
    </font>
    <font>
      <sz val="8"/>
      <color indexed="8"/>
      <name val="Agency FB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1"/>
      <name val="Baskerville Old Face"/>
      <family val="1"/>
    </font>
    <font>
      <b/>
      <sz val="11"/>
      <name val="Baskerville Old Face"/>
      <family val="1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8"/>
      <color indexed="8"/>
      <name val="Calibri"/>
      <family val="2"/>
    </font>
    <font>
      <sz val="8"/>
      <color indexed="14"/>
      <name val="Arial"/>
      <family val="2"/>
    </font>
    <font>
      <b/>
      <sz val="8"/>
      <color indexed="14"/>
      <name val="Arial"/>
      <family val="2"/>
    </font>
    <font>
      <b/>
      <u/>
      <sz val="9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u/>
      <sz val="8"/>
      <name val="Arial"/>
      <family val="2"/>
    </font>
    <font>
      <b/>
      <sz val="8"/>
      <name val="Agency FB"/>
      <family val="2"/>
    </font>
    <font>
      <sz val="8"/>
      <name val="Agency FB"/>
      <family val="2"/>
    </font>
    <font>
      <sz val="10"/>
      <name val="Times New Roman"/>
      <family val="1"/>
    </font>
    <font>
      <b/>
      <sz val="10"/>
      <name val="Bodoni MT Black"/>
      <family val="1"/>
    </font>
    <font>
      <b/>
      <sz val="9"/>
      <name val="Bodoni MT Black"/>
      <family val="1"/>
    </font>
    <font>
      <b/>
      <sz val="10"/>
      <color rgb="FFFF0000"/>
      <name val="Arial"/>
      <family val="2"/>
    </font>
    <font>
      <sz val="9"/>
      <name val="Bodoni"/>
      <family val="1"/>
    </font>
    <font>
      <b/>
      <sz val="9"/>
      <name val="Bodoni"/>
      <family val="1"/>
    </font>
    <font>
      <b/>
      <sz val="9"/>
      <color indexed="10"/>
      <name val="Bodoni"/>
      <family val="1"/>
    </font>
    <font>
      <sz val="10"/>
      <name val="Bodoni"/>
      <family val="1"/>
    </font>
    <font>
      <sz val="8"/>
      <name val="Bodoni"/>
      <family val="1"/>
    </font>
    <font>
      <b/>
      <sz val="8"/>
      <name val="Bodoni"/>
      <family val="1"/>
    </font>
    <font>
      <b/>
      <sz val="10"/>
      <name val="Bodoni"/>
      <family val="1"/>
    </font>
    <font>
      <b/>
      <sz val="11"/>
      <name val="Bodoni"/>
      <family val="1"/>
    </font>
    <font>
      <b/>
      <sz val="9"/>
      <color rgb="FFFF0000"/>
      <name val="Bodoni"/>
      <family val="1"/>
    </font>
    <font>
      <b/>
      <sz val="10"/>
      <color indexed="10"/>
      <name val="Bodoni"/>
      <family val="1"/>
    </font>
    <font>
      <b/>
      <sz val="8"/>
      <color indexed="10"/>
      <name val="Bodoni"/>
      <family val="1"/>
    </font>
    <font>
      <sz val="8"/>
      <color indexed="10"/>
      <name val="Bodoni"/>
      <family val="1"/>
    </font>
    <font>
      <sz val="10"/>
      <color indexed="10"/>
      <name val="Bodoni"/>
      <family val="1"/>
    </font>
    <font>
      <b/>
      <sz val="16"/>
      <name val="Bodoni"/>
      <family val="1"/>
    </font>
    <font>
      <b/>
      <sz val="10"/>
      <name val="Bodoni MT"/>
      <family val="1"/>
    </font>
    <font>
      <b/>
      <sz val="8"/>
      <color indexed="8"/>
      <name val="Bodoni"/>
      <family val="1"/>
    </font>
    <font>
      <sz val="8"/>
      <color indexed="8"/>
      <name val="Bodoni"/>
      <family val="1"/>
    </font>
    <font>
      <b/>
      <sz val="8"/>
      <color rgb="FFFF0000"/>
      <name val="Bodoni"/>
      <family val="1"/>
    </font>
    <font>
      <sz val="8"/>
      <name val="Times New Roman"/>
      <family val="1"/>
    </font>
    <font>
      <b/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57">
    <xf numFmtId="0" fontId="0" fillId="0" borderId="0" xfId="0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0" xfId="0" applyFont="1"/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14" fillId="0" borderId="8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0" xfId="0" applyFont="1"/>
    <xf numFmtId="0" fontId="15" fillId="0" borderId="0" xfId="0" applyFont="1"/>
    <xf numFmtId="0" fontId="4" fillId="0" borderId="0" xfId="0" applyFont="1"/>
    <xf numFmtId="0" fontId="0" fillId="0" borderId="8" xfId="0" applyBorder="1"/>
    <xf numFmtId="0" fontId="4" fillId="0" borderId="15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1" xfId="0" applyBorder="1"/>
    <xf numFmtId="0" fontId="5" fillId="0" borderId="8" xfId="0" applyFont="1" applyBorder="1"/>
    <xf numFmtId="0" fontId="4" fillId="0" borderId="0" xfId="0" applyFont="1" applyBorder="1"/>
    <xf numFmtId="0" fontId="0" fillId="0" borderId="9" xfId="0" applyBorder="1"/>
    <xf numFmtId="0" fontId="0" fillId="0" borderId="10" xfId="0" applyBorder="1"/>
    <xf numFmtId="0" fontId="5" fillId="0" borderId="9" xfId="0" applyFont="1" applyBorder="1"/>
    <xf numFmtId="0" fontId="16" fillId="0" borderId="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7" fillId="0" borderId="0" xfId="0" applyFont="1" applyBorder="1"/>
    <xf numFmtId="0" fontId="7" fillId="0" borderId="2" xfId="0" applyFont="1" applyBorder="1"/>
    <xf numFmtId="0" fontId="7" fillId="0" borderId="24" xfId="0" applyFont="1" applyBorder="1"/>
    <xf numFmtId="0" fontId="7" fillId="0" borderId="22" xfId="0" applyFont="1" applyBorder="1"/>
    <xf numFmtId="0" fontId="7" fillId="0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Border="1"/>
    <xf numFmtId="0" fontId="5" fillId="0" borderId="8" xfId="0" applyFont="1" applyBorder="1" applyAlignment="1">
      <alignment horizontal="center"/>
    </xf>
    <xf numFmtId="0" fontId="0" fillId="0" borderId="15" xfId="0" applyBorder="1"/>
    <xf numFmtId="0" fontId="0" fillId="0" borderId="26" xfId="0" applyBorder="1"/>
    <xf numFmtId="0" fontId="0" fillId="0" borderId="0" xfId="0" applyFill="1" applyBorder="1"/>
    <xf numFmtId="0" fontId="22" fillId="0" borderId="0" xfId="0" applyFont="1" applyBorder="1" applyAlignment="1">
      <alignment vertical="center"/>
    </xf>
    <xf numFmtId="0" fontId="4" fillId="0" borderId="0" xfId="0" applyFont="1" applyFill="1" applyBorder="1"/>
    <xf numFmtId="0" fontId="13" fillId="0" borderId="0" xfId="0" applyFont="1" applyBorder="1"/>
    <xf numFmtId="0" fontId="2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Fill="1" applyBorder="1"/>
    <xf numFmtId="0" fontId="13" fillId="0" borderId="1" xfId="0" applyFont="1" applyBorder="1"/>
    <xf numFmtId="0" fontId="0" fillId="0" borderId="27" xfId="0" applyBorder="1"/>
    <xf numFmtId="43" fontId="0" fillId="0" borderId="21" xfId="0" applyNumberFormat="1" applyBorder="1"/>
    <xf numFmtId="43" fontId="0" fillId="0" borderId="8" xfId="0" applyNumberFormat="1" applyBorder="1"/>
    <xf numFmtId="0" fontId="4" fillId="0" borderId="21" xfId="0" applyFont="1" applyBorder="1"/>
    <xf numFmtId="0" fontId="4" fillId="0" borderId="28" xfId="0" applyFont="1" applyBorder="1"/>
    <xf numFmtId="0" fontId="4" fillId="0" borderId="8" xfId="0" applyFont="1" applyBorder="1"/>
    <xf numFmtId="0" fontId="4" fillId="0" borderId="27" xfId="0" applyFont="1" applyBorder="1"/>
    <xf numFmtId="0" fontId="4" fillId="0" borderId="8" xfId="0" applyFont="1" applyFill="1" applyBorder="1"/>
    <xf numFmtId="3" fontId="0" fillId="0" borderId="0" xfId="0" applyNumberFormat="1"/>
    <xf numFmtId="3" fontId="15" fillId="0" borderId="0" xfId="0" applyNumberFormat="1" applyFont="1" applyAlignment="1"/>
    <xf numFmtId="3" fontId="15" fillId="0" borderId="0" xfId="0" applyNumberFormat="1" applyFont="1" applyAlignment="1">
      <alignment horizontal="center"/>
    </xf>
    <xf numFmtId="3" fontId="8" fillId="0" borderId="0" xfId="0" applyNumberFormat="1" applyFont="1"/>
    <xf numFmtId="3" fontId="12" fillId="0" borderId="0" xfId="0" applyNumberFormat="1" applyFont="1"/>
    <xf numFmtId="3" fontId="5" fillId="0" borderId="0" xfId="0" applyNumberFormat="1" applyFont="1"/>
    <xf numFmtId="3" fontId="0" fillId="0" borderId="0" xfId="0" applyNumberFormat="1" applyBorder="1"/>
    <xf numFmtId="43" fontId="0" fillId="0" borderId="0" xfId="0" applyNumberFormat="1" applyBorder="1"/>
    <xf numFmtId="3" fontId="15" fillId="0" borderId="0" xfId="0" applyNumberFormat="1" applyFont="1"/>
    <xf numFmtId="3" fontId="6" fillId="0" borderId="0" xfId="0" applyNumberFormat="1" applyFont="1" applyAlignment="1">
      <alignment horizontal="center"/>
    </xf>
    <xf numFmtId="0" fontId="0" fillId="0" borderId="8" xfId="0" applyFill="1" applyBorder="1"/>
    <xf numFmtId="0" fontId="0" fillId="0" borderId="0" xfId="0" applyFill="1"/>
    <xf numFmtId="0" fontId="28" fillId="0" borderId="0" xfId="0" applyFont="1"/>
    <xf numFmtId="0" fontId="19" fillId="0" borderId="0" xfId="0" applyFont="1"/>
    <xf numFmtId="164" fontId="21" fillId="0" borderId="8" xfId="0" applyNumberFormat="1" applyFont="1" applyFill="1" applyBorder="1"/>
    <xf numFmtId="0" fontId="18" fillId="0" borderId="0" xfId="0" applyFont="1" applyFill="1" applyBorder="1"/>
    <xf numFmtId="0" fontId="7" fillId="0" borderId="0" xfId="0" applyFont="1" applyFill="1" applyBorder="1"/>
    <xf numFmtId="166" fontId="19" fillId="0" borderId="0" xfId="1" applyNumberFormat="1" applyFont="1"/>
    <xf numFmtId="0" fontId="21" fillId="0" borderId="21" xfId="0" applyFont="1" applyFill="1" applyBorder="1"/>
    <xf numFmtId="0" fontId="21" fillId="0" borderId="8" xfId="0" applyFont="1" applyFill="1" applyBorder="1"/>
    <xf numFmtId="166" fontId="30" fillId="0" borderId="8" xfId="1" applyNumberFormat="1" applyFont="1" applyBorder="1"/>
    <xf numFmtId="166" fontId="30" fillId="0" borderId="0" xfId="1" applyNumberFormat="1" applyFont="1"/>
    <xf numFmtId="166" fontId="30" fillId="0" borderId="0" xfId="1" applyNumberFormat="1" applyFont="1" applyBorder="1"/>
    <xf numFmtId="166" fontId="30" fillId="2" borderId="0" xfId="1" applyNumberFormat="1" applyFont="1" applyFill="1"/>
    <xf numFmtId="166" fontId="0" fillId="0" borderId="0" xfId="1" applyNumberFormat="1" applyFont="1" applyBorder="1"/>
    <xf numFmtId="166" fontId="7" fillId="0" borderId="8" xfId="1" applyNumberFormat="1" applyFont="1" applyBorder="1"/>
    <xf numFmtId="166" fontId="7" fillId="0" borderId="0" xfId="1" applyNumberFormat="1" applyFont="1" applyBorder="1"/>
    <xf numFmtId="166" fontId="7" fillId="0" borderId="8" xfId="1" applyNumberFormat="1" applyFont="1" applyFill="1" applyBorder="1"/>
    <xf numFmtId="166" fontId="7" fillId="0" borderId="9" xfId="1" applyNumberFormat="1" applyFont="1" applyBorder="1"/>
    <xf numFmtId="166" fontId="7" fillId="0" borderId="30" xfId="1" applyNumberFormat="1" applyFont="1" applyBorder="1"/>
    <xf numFmtId="166" fontId="7" fillId="0" borderId="31" xfId="1" applyNumberFormat="1" applyFont="1" applyBorder="1"/>
    <xf numFmtId="166" fontId="7" fillId="0" borderId="29" xfId="1" applyNumberFormat="1" applyFont="1" applyFill="1" applyBorder="1"/>
    <xf numFmtId="166" fontId="7" fillId="0" borderId="29" xfId="1" applyNumberFormat="1" applyFont="1" applyBorder="1"/>
    <xf numFmtId="0" fontId="17" fillId="0" borderId="0" xfId="0" applyFont="1" applyBorder="1"/>
    <xf numFmtId="0" fontId="5" fillId="0" borderId="0" xfId="0" applyFont="1" applyFill="1" applyBorder="1" applyAlignment="1"/>
    <xf numFmtId="0" fontId="5" fillId="0" borderId="0" xfId="0" applyFont="1" applyFill="1"/>
    <xf numFmtId="166" fontId="18" fillId="2" borderId="33" xfId="1" applyNumberFormat="1" applyFont="1" applyFill="1" applyBorder="1"/>
    <xf numFmtId="0" fontId="0" fillId="0" borderId="30" xfId="0" applyFill="1" applyBorder="1"/>
    <xf numFmtId="166" fontId="30" fillId="3" borderId="0" xfId="1" applyNumberFormat="1" applyFont="1" applyFill="1"/>
    <xf numFmtId="166" fontId="0" fillId="0" borderId="0" xfId="1" applyNumberFormat="1" applyFont="1"/>
    <xf numFmtId="166" fontId="18" fillId="3" borderId="33" xfId="1" applyNumberFormat="1" applyFont="1" applyFill="1" applyBorder="1"/>
    <xf numFmtId="166" fontId="5" fillId="0" borderId="0" xfId="1" applyNumberFormat="1" applyFont="1" applyBorder="1"/>
    <xf numFmtId="166" fontId="5" fillId="0" borderId="0" xfId="1" applyNumberFormat="1" applyFont="1" applyBorder="1" applyAlignment="1">
      <alignment horizontal="center"/>
    </xf>
    <xf numFmtId="166" fontId="0" fillId="0" borderId="13" xfId="1" applyNumberFormat="1" applyFont="1" applyBorder="1"/>
    <xf numFmtId="166" fontId="0" fillId="0" borderId="21" xfId="1" applyNumberFormat="1" applyFont="1" applyBorder="1"/>
    <xf numFmtId="166" fontId="0" fillId="0" borderId="8" xfId="1" applyNumberFormat="1" applyFont="1" applyBorder="1"/>
    <xf numFmtId="166" fontId="0" fillId="0" borderId="8" xfId="1" applyNumberFormat="1" applyFont="1" applyFill="1" applyBorder="1"/>
    <xf numFmtId="166" fontId="0" fillId="0" borderId="4" xfId="1" applyNumberFormat="1" applyFont="1" applyBorder="1"/>
    <xf numFmtId="0" fontId="0" fillId="0" borderId="13" xfId="0" applyFill="1" applyBorder="1"/>
    <xf numFmtId="0" fontId="0" fillId="0" borderId="14" xfId="0" applyFill="1" applyBorder="1"/>
    <xf numFmtId="0" fontId="0" fillId="0" borderId="2" xfId="0" applyFill="1" applyBorder="1"/>
    <xf numFmtId="0" fontId="0" fillId="0" borderId="12" xfId="0" applyFill="1" applyBorder="1"/>
    <xf numFmtId="0" fontId="30" fillId="0" borderId="15" xfId="0" applyFont="1" applyFill="1" applyBorder="1"/>
    <xf numFmtId="166" fontId="30" fillId="0" borderId="36" xfId="1" applyNumberFormat="1" applyFont="1" applyBorder="1"/>
    <xf numFmtId="0" fontId="30" fillId="0" borderId="9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0" fontId="30" fillId="0" borderId="13" xfId="0" applyFont="1" applyFill="1" applyBorder="1"/>
    <xf numFmtId="41" fontId="30" fillId="0" borderId="0" xfId="0" applyNumberFormat="1" applyFont="1" applyFill="1" applyBorder="1"/>
    <xf numFmtId="0" fontId="30" fillId="0" borderId="0" xfId="0" applyFont="1" applyFill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30" fillId="0" borderId="4" xfId="0" applyFont="1" applyFill="1" applyBorder="1"/>
    <xf numFmtId="0" fontId="0" fillId="0" borderId="5" xfId="0" applyFill="1" applyBorder="1"/>
    <xf numFmtId="41" fontId="18" fillId="0" borderId="33" xfId="0" applyNumberFormat="1" applyFont="1" applyFill="1" applyBorder="1"/>
    <xf numFmtId="166" fontId="5" fillId="0" borderId="33" xfId="0" applyNumberFormat="1" applyFont="1" applyBorder="1"/>
    <xf numFmtId="166" fontId="7" fillId="0" borderId="0" xfId="1" applyNumberFormat="1" applyFont="1" applyFill="1" applyBorder="1"/>
    <xf numFmtId="41" fontId="30" fillId="0" borderId="38" xfId="0" applyNumberFormat="1" applyFont="1" applyFill="1" applyBorder="1"/>
    <xf numFmtId="0" fontId="18" fillId="0" borderId="0" xfId="0" applyFont="1"/>
    <xf numFmtId="0" fontId="21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 applyFill="1"/>
    <xf numFmtId="0" fontId="37" fillId="0" borderId="0" xfId="0" applyFont="1"/>
    <xf numFmtId="0" fontId="38" fillId="0" borderId="0" xfId="0" applyFont="1" applyFill="1"/>
    <xf numFmtId="0" fontId="11" fillId="0" borderId="0" xfId="0" applyFont="1" applyFill="1" applyAlignment="1">
      <alignment horizontal="left"/>
    </xf>
    <xf numFmtId="0" fontId="39" fillId="0" borderId="0" xfId="0" applyFont="1" applyFill="1"/>
    <xf numFmtId="0" fontId="40" fillId="0" borderId="0" xfId="0" applyFont="1" applyFill="1"/>
    <xf numFmtId="0" fontId="41" fillId="0" borderId="0" xfId="0" applyFont="1" applyFill="1"/>
    <xf numFmtId="0" fontId="0" fillId="0" borderId="36" xfId="0" applyBorder="1"/>
    <xf numFmtId="0" fontId="42" fillId="0" borderId="0" xfId="0" applyFont="1" applyFill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167" fontId="0" fillId="0" borderId="30" xfId="1" applyNumberFormat="1" applyFont="1" applyBorder="1"/>
    <xf numFmtId="0" fontId="41" fillId="0" borderId="0" xfId="0" applyFont="1" applyFill="1" applyBorder="1"/>
    <xf numFmtId="0" fontId="42" fillId="0" borderId="0" xfId="0" applyFont="1" applyFill="1" applyBorder="1"/>
    <xf numFmtId="0" fontId="0" fillId="0" borderId="42" xfId="0" applyBorder="1"/>
    <xf numFmtId="0" fontId="0" fillId="0" borderId="42" xfId="0" applyFill="1" applyBorder="1"/>
    <xf numFmtId="0" fontId="0" fillId="0" borderId="23" xfId="0" applyFill="1" applyBorder="1"/>
    <xf numFmtId="0" fontId="5" fillId="0" borderId="8" xfId="0" applyFont="1" applyFill="1" applyBorder="1" applyAlignment="1">
      <alignment horizontal="center"/>
    </xf>
    <xf numFmtId="0" fontId="0" fillId="0" borderId="43" xfId="0" applyBorder="1"/>
    <xf numFmtId="0" fontId="0" fillId="0" borderId="43" xfId="0" applyFill="1" applyBorder="1"/>
    <xf numFmtId="0" fontId="0" fillId="0" borderId="44" xfId="0" applyFill="1" applyBorder="1"/>
    <xf numFmtId="0" fontId="42" fillId="0" borderId="0" xfId="0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horizontal="right"/>
    </xf>
    <xf numFmtId="166" fontId="0" fillId="0" borderId="0" xfId="1" applyNumberFormat="1" applyFont="1" applyFill="1" applyBorder="1"/>
    <xf numFmtId="0" fontId="11" fillId="0" borderId="26" xfId="0" applyFont="1" applyBorder="1"/>
    <xf numFmtId="0" fontId="11" fillId="0" borderId="9" xfId="0" applyFont="1" applyBorder="1"/>
    <xf numFmtId="0" fontId="11" fillId="0" borderId="34" xfId="0" applyFont="1" applyBorder="1"/>
    <xf numFmtId="0" fontId="16" fillId="0" borderId="21" xfId="0" applyFont="1" applyBorder="1"/>
    <xf numFmtId="0" fontId="5" fillId="0" borderId="26" xfId="0" applyFont="1" applyBorder="1"/>
    <xf numFmtId="0" fontId="5" fillId="0" borderId="21" xfId="0" applyFont="1" applyFill="1" applyBorder="1"/>
    <xf numFmtId="0" fontId="38" fillId="0" borderId="0" xfId="0" applyFont="1"/>
    <xf numFmtId="0" fontId="45" fillId="0" borderId="0" xfId="0" applyFont="1" applyFill="1" applyBorder="1"/>
    <xf numFmtId="0" fontId="7" fillId="0" borderId="9" xfId="0" applyFont="1" applyBorder="1"/>
    <xf numFmtId="0" fontId="7" fillId="0" borderId="8" xfId="0" applyFont="1" applyBorder="1"/>
    <xf numFmtId="0" fontId="46" fillId="0" borderId="15" xfId="0" applyFont="1" applyFill="1" applyBorder="1"/>
    <xf numFmtId="166" fontId="46" fillId="0" borderId="36" xfId="1" applyNumberFormat="1" applyFont="1" applyBorder="1"/>
    <xf numFmtId="0" fontId="46" fillId="0" borderId="9" xfId="0" applyFont="1" applyFill="1" applyBorder="1"/>
    <xf numFmtId="0" fontId="4" fillId="0" borderId="9" xfId="0" applyFont="1" applyFill="1" applyBorder="1"/>
    <xf numFmtId="166" fontId="0" fillId="0" borderId="29" xfId="1" applyNumberFormat="1" applyFont="1" applyBorder="1"/>
    <xf numFmtId="166" fontId="18" fillId="0" borderId="38" xfId="1" applyNumberFormat="1" applyFont="1" applyFill="1" applyBorder="1"/>
    <xf numFmtId="166" fontId="30" fillId="0" borderId="8" xfId="1" applyNumberFormat="1" applyFont="1" applyFill="1" applyBorder="1"/>
    <xf numFmtId="0" fontId="17" fillId="0" borderId="0" xfId="0" applyFont="1" applyFill="1" applyBorder="1" applyAlignment="1"/>
    <xf numFmtId="0" fontId="5" fillId="6" borderId="33" xfId="0" applyFont="1" applyFill="1" applyBorder="1"/>
    <xf numFmtId="0" fontId="8" fillId="0" borderId="8" xfId="0" applyFont="1" applyFill="1" applyBorder="1"/>
    <xf numFmtId="0" fontId="1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6" fontId="8" fillId="0" borderId="8" xfId="1" applyNumberFormat="1" applyFont="1" applyBorder="1"/>
    <xf numFmtId="166" fontId="8" fillId="0" borderId="30" xfId="1" applyNumberFormat="1" applyFont="1" applyBorder="1"/>
    <xf numFmtId="166" fontId="12" fillId="7" borderId="8" xfId="1" applyNumberFormat="1" applyFont="1" applyFill="1" applyBorder="1"/>
    <xf numFmtId="166" fontId="8" fillId="0" borderId="11" xfId="1" applyNumberFormat="1" applyFont="1" applyBorder="1"/>
    <xf numFmtId="166" fontId="8" fillId="0" borderId="37" xfId="1" applyNumberFormat="1" applyFont="1" applyBorder="1"/>
    <xf numFmtId="166" fontId="8" fillId="0" borderId="9" xfId="1" applyNumberFormat="1" applyFont="1" applyBorder="1"/>
    <xf numFmtId="166" fontId="7" fillId="0" borderId="8" xfId="1" applyNumberFormat="1" applyFont="1" applyBorder="1" applyAlignment="1">
      <alignment horizontal="center"/>
    </xf>
    <xf numFmtId="166" fontId="13" fillId="0" borderId="8" xfId="1" applyNumberFormat="1" applyFont="1" applyBorder="1"/>
    <xf numFmtId="166" fontId="12" fillId="0" borderId="8" xfId="1" applyNumberFormat="1" applyFont="1" applyBorder="1" applyAlignment="1">
      <alignment horizontal="center"/>
    </xf>
    <xf numFmtId="166" fontId="9" fillId="0" borderId="8" xfId="1" applyNumberFormat="1" applyFont="1" applyBorder="1" applyAlignment="1">
      <alignment horizontal="center"/>
    </xf>
    <xf numFmtId="166" fontId="8" fillId="0" borderId="8" xfId="1" applyNumberFormat="1" applyFont="1" applyFill="1" applyBorder="1"/>
    <xf numFmtId="166" fontId="14" fillId="0" borderId="8" xfId="1" applyNumberFormat="1" applyFont="1" applyBorder="1"/>
    <xf numFmtId="166" fontId="12" fillId="0" borderId="9" xfId="1" applyNumberFormat="1" applyFont="1" applyBorder="1"/>
    <xf numFmtId="166" fontId="9" fillId="0" borderId="8" xfId="1" applyNumberFormat="1" applyFont="1" applyFill="1" applyBorder="1"/>
    <xf numFmtId="166" fontId="12" fillId="0" borderId="8" xfId="1" applyNumberFormat="1" applyFont="1" applyFill="1" applyBorder="1" applyAlignment="1">
      <alignment horizontal="center"/>
    </xf>
    <xf numFmtId="166" fontId="8" fillId="0" borderId="30" xfId="1" applyNumberFormat="1" applyFont="1" applyFill="1" applyBorder="1"/>
    <xf numFmtId="166" fontId="9" fillId="7" borderId="8" xfId="1" applyNumberFormat="1" applyFont="1" applyFill="1" applyBorder="1"/>
    <xf numFmtId="166" fontId="8" fillId="0" borderId="10" xfId="1" applyNumberFormat="1" applyFont="1" applyBorder="1"/>
    <xf numFmtId="166" fontId="12" fillId="0" borderId="11" xfId="1" applyNumberFormat="1" applyFont="1" applyBorder="1" applyAlignment="1">
      <alignment horizontal="center"/>
    </xf>
    <xf numFmtId="0" fontId="5" fillId="8" borderId="45" xfId="0" applyFont="1" applyFill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8" borderId="47" xfId="0" applyFont="1" applyFill="1" applyBorder="1" applyAlignment="1">
      <alignment horizontal="center"/>
    </xf>
    <xf numFmtId="0" fontId="4" fillId="7" borderId="9" xfId="0" applyFont="1" applyFill="1" applyBorder="1"/>
    <xf numFmtId="0" fontId="5" fillId="7" borderId="8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7" borderId="47" xfId="0" applyFont="1" applyFill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166" fontId="0" fillId="0" borderId="30" xfId="1" applyNumberFormat="1" applyFont="1" applyBorder="1" applyAlignment="1">
      <alignment horizontal="right"/>
    </xf>
    <xf numFmtId="166" fontId="5" fillId="7" borderId="8" xfId="1" applyNumberFormat="1" applyFont="1" applyFill="1" applyBorder="1" applyAlignment="1">
      <alignment horizontal="right"/>
    </xf>
    <xf numFmtId="166" fontId="5" fillId="0" borderId="8" xfId="1" applyNumberFormat="1" applyFont="1" applyFill="1" applyBorder="1" applyAlignment="1">
      <alignment horizontal="right"/>
    </xf>
    <xf numFmtId="166" fontId="5" fillId="0" borderId="30" xfId="1" applyNumberFormat="1" applyFont="1" applyFill="1" applyBorder="1" applyAlignment="1">
      <alignment horizontal="right"/>
    </xf>
    <xf numFmtId="166" fontId="5" fillId="7" borderId="30" xfId="1" applyNumberFormat="1" applyFont="1" applyFill="1" applyBorder="1" applyAlignment="1">
      <alignment horizontal="right"/>
    </xf>
    <xf numFmtId="166" fontId="47" fillId="7" borderId="8" xfId="1" applyNumberFormat="1" applyFont="1" applyFill="1" applyBorder="1" applyAlignment="1">
      <alignment horizontal="right"/>
    </xf>
    <xf numFmtId="166" fontId="47" fillId="7" borderId="30" xfId="1" applyNumberFormat="1" applyFont="1" applyFill="1" applyBorder="1" applyAlignment="1">
      <alignment horizontal="right"/>
    </xf>
    <xf numFmtId="166" fontId="0" fillId="0" borderId="37" xfId="1" applyNumberFormat="1" applyFont="1" applyBorder="1" applyAlignment="1">
      <alignment horizontal="right"/>
    </xf>
    <xf numFmtId="166" fontId="15" fillId="0" borderId="9" xfId="1" applyNumberFormat="1" applyFont="1" applyBorder="1"/>
    <xf numFmtId="166" fontId="0" fillId="0" borderId="30" xfId="1" applyNumberFormat="1" applyFont="1" applyBorder="1"/>
    <xf numFmtId="166" fontId="16" fillId="0" borderId="8" xfId="1" applyNumberFormat="1" applyFont="1" applyBorder="1"/>
    <xf numFmtId="166" fontId="16" fillId="0" borderId="30" xfId="1" applyNumberFormat="1" applyFont="1" applyBorder="1"/>
    <xf numFmtId="166" fontId="5" fillId="0" borderId="8" xfId="1" applyNumberFormat="1" applyFont="1" applyBorder="1"/>
    <xf numFmtId="166" fontId="5" fillId="0" borderId="30" xfId="1" applyNumberFormat="1" applyFont="1" applyBorder="1"/>
    <xf numFmtId="166" fontId="5" fillId="0" borderId="9" xfId="1" applyNumberFormat="1" applyFont="1" applyBorder="1"/>
    <xf numFmtId="166" fontId="0" fillId="0" borderId="9" xfId="1" applyNumberFormat="1" applyFont="1" applyBorder="1"/>
    <xf numFmtId="166" fontId="0" fillId="0" borderId="10" xfId="1" applyNumberFormat="1" applyFont="1" applyBorder="1"/>
    <xf numFmtId="166" fontId="5" fillId="7" borderId="46" xfId="1" applyNumberFormat="1" applyFont="1" applyFill="1" applyBorder="1" applyAlignment="1">
      <alignment horizontal="center"/>
    </xf>
    <xf numFmtId="166" fontId="5" fillId="7" borderId="47" xfId="1" applyNumberFormat="1" applyFont="1" applyFill="1" applyBorder="1" applyAlignment="1">
      <alignment horizontal="center"/>
    </xf>
    <xf numFmtId="166" fontId="5" fillId="7" borderId="48" xfId="1" applyNumberFormat="1" applyFont="1" applyFill="1" applyBorder="1" applyAlignment="1">
      <alignment horizontal="center"/>
    </xf>
    <xf numFmtId="166" fontId="0" fillId="0" borderId="15" xfId="1" applyNumberFormat="1" applyFont="1" applyBorder="1"/>
    <xf numFmtId="166" fontId="16" fillId="0" borderId="36" xfId="1" applyNumberFormat="1" applyFont="1" applyBorder="1"/>
    <xf numFmtId="166" fontId="0" fillId="0" borderId="36" xfId="1" applyNumberFormat="1" applyFont="1" applyBorder="1"/>
    <xf numFmtId="166" fontId="0" fillId="0" borderId="38" xfId="1" applyNumberFormat="1" applyFont="1" applyBorder="1"/>
    <xf numFmtId="166" fontId="0" fillId="0" borderId="11" xfId="1" applyNumberFormat="1" applyFont="1" applyBorder="1"/>
    <xf numFmtId="166" fontId="0" fillId="0" borderId="37" xfId="1" applyNumberFormat="1" applyFont="1" applyBorder="1"/>
    <xf numFmtId="0" fontId="0" fillId="0" borderId="0" xfId="0" applyBorder="1" applyAlignment="1"/>
    <xf numFmtId="0" fontId="5" fillId="0" borderId="49" xfId="0" applyFont="1" applyBorder="1" applyAlignment="1"/>
    <xf numFmtId="0" fontId="5" fillId="0" borderId="50" xfId="0" applyFont="1" applyBorder="1" applyAlignment="1"/>
    <xf numFmtId="0" fontId="5" fillId="7" borderId="39" xfId="0" applyFont="1" applyFill="1" applyBorder="1" applyAlignment="1">
      <alignment horizontal="center"/>
    </xf>
    <xf numFmtId="0" fontId="5" fillId="7" borderId="40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4" fillId="0" borderId="11" xfId="0" applyFont="1" applyBorder="1"/>
    <xf numFmtId="41" fontId="30" fillId="0" borderId="30" xfId="0" applyNumberFormat="1" applyFont="1" applyFill="1" applyBorder="1"/>
    <xf numFmtId="166" fontId="18" fillId="0" borderId="15" xfId="1" applyNumberFormat="1" applyFont="1" applyFill="1" applyBorder="1"/>
    <xf numFmtId="166" fontId="18" fillId="0" borderId="36" xfId="1" applyNumberFormat="1" applyFont="1" applyFill="1" applyBorder="1"/>
    <xf numFmtId="166" fontId="18" fillId="0" borderId="9" xfId="1" applyNumberFormat="1" applyFont="1" applyFill="1" applyBorder="1"/>
    <xf numFmtId="166" fontId="18" fillId="0" borderId="8" xfId="1" applyNumberFormat="1" applyFont="1" applyFill="1" applyBorder="1"/>
    <xf numFmtId="0" fontId="5" fillId="6" borderId="51" xfId="0" applyFont="1" applyFill="1" applyBorder="1" applyAlignment="1">
      <alignment horizontal="center"/>
    </xf>
    <xf numFmtId="0" fontId="0" fillId="6" borderId="52" xfId="0" applyFill="1" applyBorder="1" applyAlignment="1">
      <alignment horizontal="center"/>
    </xf>
    <xf numFmtId="166" fontId="17" fillId="6" borderId="53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0" fontId="0" fillId="0" borderId="10" xfId="0" applyFill="1" applyBorder="1"/>
    <xf numFmtId="0" fontId="0" fillId="0" borderId="11" xfId="0" applyFill="1" applyBorder="1"/>
    <xf numFmtId="166" fontId="17" fillId="0" borderId="37" xfId="1" applyNumberFormat="1" applyFont="1" applyFill="1" applyBorder="1"/>
    <xf numFmtId="166" fontId="7" fillId="0" borderId="26" xfId="1" applyNumberFormat="1" applyFont="1" applyBorder="1"/>
    <xf numFmtId="166" fontId="7" fillId="0" borderId="21" xfId="1" applyNumberFormat="1" applyFont="1" applyBorder="1"/>
    <xf numFmtId="166" fontId="7" fillId="0" borderId="21" xfId="1" applyNumberFormat="1" applyFont="1" applyFill="1" applyBorder="1"/>
    <xf numFmtId="166" fontId="7" fillId="0" borderId="32" xfId="1" applyNumberFormat="1" applyFont="1" applyBorder="1"/>
    <xf numFmtId="166" fontId="18" fillId="8" borderId="46" xfId="1" applyNumberFormat="1" applyFont="1" applyFill="1" applyBorder="1"/>
    <xf numFmtId="166" fontId="18" fillId="8" borderId="47" xfId="1" applyNumberFormat="1" applyFont="1" applyFill="1" applyBorder="1"/>
    <xf numFmtId="166" fontId="18" fillId="8" borderId="48" xfId="1" applyNumberFormat="1" applyFont="1" applyFill="1" applyBorder="1"/>
    <xf numFmtId="166" fontId="7" fillId="0" borderId="54" xfId="1" applyNumberFormat="1" applyFont="1" applyBorder="1"/>
    <xf numFmtId="166" fontId="18" fillId="4" borderId="46" xfId="1" applyNumberFormat="1" applyFont="1" applyFill="1" applyBorder="1"/>
    <xf numFmtId="166" fontId="18" fillId="4" borderId="47" xfId="1" applyNumberFormat="1" applyFont="1" applyFill="1" applyBorder="1"/>
    <xf numFmtId="166" fontId="18" fillId="4" borderId="48" xfId="1" applyNumberFormat="1" applyFont="1" applyFill="1" applyBorder="1"/>
    <xf numFmtId="0" fontId="5" fillId="8" borderId="48" xfId="0" applyFont="1" applyFill="1" applyBorder="1" applyAlignment="1">
      <alignment horizontal="center"/>
    </xf>
    <xf numFmtId="166" fontId="0" fillId="0" borderId="9" xfId="1" applyNumberFormat="1" applyFont="1" applyFill="1" applyBorder="1"/>
    <xf numFmtId="166" fontId="0" fillId="0" borderId="10" xfId="1" applyNumberFormat="1" applyFont="1" applyFill="1" applyBorder="1"/>
    <xf numFmtId="0" fontId="0" fillId="8" borderId="39" xfId="0" applyFill="1" applyBorder="1"/>
    <xf numFmtId="0" fontId="0" fillId="8" borderId="40" xfId="0" applyFill="1" applyBorder="1"/>
    <xf numFmtId="0" fontId="0" fillId="8" borderId="41" xfId="0" applyFill="1" applyBorder="1"/>
    <xf numFmtId="0" fontId="5" fillId="6" borderId="46" xfId="0" applyFont="1" applyFill="1" applyBorder="1"/>
    <xf numFmtId="0" fontId="5" fillId="6" borderId="47" xfId="0" applyFont="1" applyFill="1" applyBorder="1"/>
    <xf numFmtId="0" fontId="0" fillId="6" borderId="55" xfId="0" applyFill="1" applyBorder="1"/>
    <xf numFmtId="0" fontId="18" fillId="6" borderId="46" xfId="0" applyFont="1" applyFill="1" applyBorder="1" applyAlignment="1"/>
    <xf numFmtId="0" fontId="18" fillId="6" borderId="47" xfId="0" applyFont="1" applyFill="1" applyBorder="1" applyAlignment="1"/>
    <xf numFmtId="166" fontId="47" fillId="6" borderId="33" xfId="1" applyNumberFormat="1" applyFont="1" applyFill="1" applyBorder="1"/>
    <xf numFmtId="0" fontId="5" fillId="8" borderId="6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164" fontId="18" fillId="8" borderId="6" xfId="0" applyNumberFormat="1" applyFont="1" applyFill="1" applyBorder="1" applyAlignment="1">
      <alignment horizontal="center"/>
    </xf>
    <xf numFmtId="164" fontId="5" fillId="8" borderId="6" xfId="0" applyNumberFormat="1" applyFont="1" applyFill="1" applyBorder="1" applyAlignment="1">
      <alignment horizontal="center"/>
    </xf>
    <xf numFmtId="0" fontId="5" fillId="8" borderId="57" xfId="0" applyFont="1" applyFill="1" applyBorder="1" applyAlignment="1">
      <alignment horizontal="center"/>
    </xf>
    <xf numFmtId="0" fontId="5" fillId="8" borderId="33" xfId="0" applyFont="1" applyFill="1" applyBorder="1" applyAlignment="1">
      <alignment horizontal="center"/>
    </xf>
    <xf numFmtId="164" fontId="18" fillId="8" borderId="57" xfId="0" applyNumberFormat="1" applyFont="1" applyFill="1" applyBorder="1" applyAlignment="1">
      <alignment horizontal="center"/>
    </xf>
    <xf numFmtId="164" fontId="5" fillId="8" borderId="57" xfId="0" applyNumberFormat="1" applyFont="1" applyFill="1" applyBorder="1" applyAlignment="1">
      <alignment horizontal="center"/>
    </xf>
    <xf numFmtId="0" fontId="7" fillId="0" borderId="46" xfId="0" applyFont="1" applyFill="1" applyBorder="1" applyAlignment="1">
      <alignment horizontal="left"/>
    </xf>
    <xf numFmtId="0" fontId="7" fillId="0" borderId="47" xfId="0" applyFont="1" applyFill="1" applyBorder="1" applyAlignment="1">
      <alignment horizontal="center"/>
    </xf>
    <xf numFmtId="0" fontId="7" fillId="0" borderId="26" xfId="0" applyFont="1" applyBorder="1"/>
    <xf numFmtId="166" fontId="21" fillId="0" borderId="8" xfId="1" applyNumberFormat="1" applyFont="1" applyFill="1" applyBorder="1"/>
    <xf numFmtId="166" fontId="21" fillId="0" borderId="20" xfId="1" applyNumberFormat="1" applyFont="1" applyFill="1" applyBorder="1"/>
    <xf numFmtId="166" fontId="21" fillId="0" borderId="21" xfId="1" applyNumberFormat="1" applyFont="1" applyFill="1" applyBorder="1"/>
    <xf numFmtId="166" fontId="7" fillId="0" borderId="61" xfId="1" applyNumberFormat="1" applyFont="1" applyBorder="1"/>
    <xf numFmtId="0" fontId="7" fillId="0" borderId="8" xfId="0" applyFont="1" applyFill="1" applyBorder="1" applyAlignment="1">
      <alignment horizontal="left"/>
    </xf>
    <xf numFmtId="166" fontId="7" fillId="0" borderId="8" xfId="1" applyNumberFormat="1" applyFont="1" applyFill="1" applyBorder="1" applyAlignment="1">
      <alignment horizontal="left"/>
    </xf>
    <xf numFmtId="0" fontId="7" fillId="0" borderId="8" xfId="0" applyFont="1" applyFill="1" applyBorder="1"/>
    <xf numFmtId="0" fontId="7" fillId="0" borderId="51" xfId="0" applyFont="1" applyBorder="1"/>
    <xf numFmtId="0" fontId="7" fillId="8" borderId="39" xfId="0" applyFont="1" applyFill="1" applyBorder="1" applyAlignment="1">
      <alignment horizontal="center" vertical="justify"/>
    </xf>
    <xf numFmtId="0" fontId="7" fillId="8" borderId="51" xfId="0" applyFont="1" applyFill="1" applyBorder="1" applyAlignment="1">
      <alignment horizontal="center" vertical="justify"/>
    </xf>
    <xf numFmtId="166" fontId="0" fillId="0" borderId="30" xfId="1" applyNumberFormat="1" applyFont="1" applyFill="1" applyBorder="1"/>
    <xf numFmtId="3" fontId="0" fillId="0" borderId="8" xfId="0" applyNumberFormat="1" applyBorder="1"/>
    <xf numFmtId="0" fontId="73" fillId="0" borderId="0" xfId="0" applyFont="1"/>
    <xf numFmtId="0" fontId="73" fillId="0" borderId="8" xfId="0" applyFont="1" applyBorder="1"/>
    <xf numFmtId="0" fontId="74" fillId="0" borderId="0" xfId="0" applyFont="1"/>
    <xf numFmtId="0" fontId="75" fillId="0" borderId="0" xfId="0" applyFont="1"/>
    <xf numFmtId="0" fontId="76" fillId="0" borderId="0" xfId="0" applyFont="1"/>
    <xf numFmtId="0" fontId="49" fillId="0" borderId="8" xfId="0" applyFont="1" applyBorder="1"/>
    <xf numFmtId="0" fontId="49" fillId="0" borderId="8" xfId="0" applyFont="1" applyBorder="1" applyAlignment="1">
      <alignment horizontal="center"/>
    </xf>
    <xf numFmtId="0" fontId="49" fillId="0" borderId="8" xfId="0" applyFont="1" applyBorder="1" applyAlignment="1">
      <alignment horizontal="left" indent="1"/>
    </xf>
    <xf numFmtId="3" fontId="49" fillId="0" borderId="8" xfId="0" applyNumberFormat="1" applyFont="1" applyBorder="1"/>
    <xf numFmtId="0" fontId="49" fillId="0" borderId="8" xfId="0" applyFont="1" applyBorder="1" applyAlignment="1">
      <alignment vertical="center"/>
    </xf>
    <xf numFmtId="0" fontId="49" fillId="0" borderId="8" xfId="0" applyFont="1" applyBorder="1" applyAlignment="1">
      <alignment vertical="center" wrapText="1"/>
    </xf>
    <xf numFmtId="0" fontId="49" fillId="0" borderId="8" xfId="0" applyFont="1" applyBorder="1" applyAlignment="1">
      <alignment horizontal="center" wrapText="1"/>
    </xf>
    <xf numFmtId="0" fontId="49" fillId="0" borderId="8" xfId="0" applyFont="1" applyBorder="1" applyAlignment="1">
      <alignment horizontal="left" vertical="center" wrapText="1"/>
    </xf>
    <xf numFmtId="0" fontId="50" fillId="0" borderId="8" xfId="0" applyFont="1" applyBorder="1" applyAlignment="1">
      <alignment horizontal="center" wrapText="1"/>
    </xf>
    <xf numFmtId="0" fontId="49" fillId="0" borderId="8" xfId="0" applyFont="1" applyBorder="1" applyAlignment="1">
      <alignment wrapText="1"/>
    </xf>
    <xf numFmtId="0" fontId="52" fillId="0" borderId="8" xfId="0" applyFont="1" applyFill="1" applyBorder="1"/>
    <xf numFmtId="3" fontId="52" fillId="0" borderId="8" xfId="0" applyNumberFormat="1" applyFont="1" applyFill="1" applyBorder="1"/>
    <xf numFmtId="0" fontId="52" fillId="0" borderId="8" xfId="0" applyFont="1" applyBorder="1"/>
    <xf numFmtId="0" fontId="52" fillId="0" borderId="8" xfId="0" applyFont="1" applyFill="1" applyBorder="1" applyAlignment="1">
      <alignment horizontal="right"/>
    </xf>
    <xf numFmtId="0" fontId="52" fillId="0" borderId="8" xfId="0" applyFont="1" applyBorder="1" applyAlignment="1">
      <alignment horizontal="left" indent="2"/>
    </xf>
    <xf numFmtId="0" fontId="53" fillId="0" borderId="8" xfId="0" applyFont="1" applyBorder="1"/>
    <xf numFmtId="3" fontId="53" fillId="0" borderId="8" xfId="0" applyNumberFormat="1" applyFont="1" applyBorder="1"/>
    <xf numFmtId="0" fontId="53" fillId="0" borderId="0" xfId="0" applyFont="1" applyBorder="1"/>
    <xf numFmtId="3" fontId="53" fillId="0" borderId="0" xfId="0" applyNumberFormat="1" applyFont="1" applyBorder="1"/>
    <xf numFmtId="3" fontId="53" fillId="0" borderId="0" xfId="1" applyNumberFormat="1" applyFont="1" applyBorder="1"/>
    <xf numFmtId="0" fontId="77" fillId="0" borderId="8" xfId="0" applyFont="1" applyBorder="1"/>
    <xf numFmtId="0" fontId="78" fillId="0" borderId="8" xfId="0" applyFont="1" applyBorder="1"/>
    <xf numFmtId="0" fontId="78" fillId="0" borderId="8" xfId="0" applyFont="1" applyBorder="1" applyAlignment="1">
      <alignment horizontal="left" indent="2"/>
    </xf>
    <xf numFmtId="0" fontId="53" fillId="0" borderId="8" xfId="0" applyFont="1" applyBorder="1" applyAlignment="1">
      <alignment horizontal="left" vertical="top" wrapText="1"/>
    </xf>
    <xf numFmtId="0" fontId="52" fillId="0" borderId="8" xfId="0" applyFont="1" applyBorder="1" applyAlignment="1">
      <alignment horizontal="left" vertical="top" wrapText="1"/>
    </xf>
    <xf numFmtId="0" fontId="79" fillId="0" borderId="0" xfId="0" applyFont="1" applyAlignment="1"/>
    <xf numFmtId="0" fontId="79" fillId="0" borderId="0" xfId="0" applyFont="1"/>
    <xf numFmtId="0" fontId="17" fillId="0" borderId="0" xfId="0" applyFont="1" applyFill="1"/>
    <xf numFmtId="0" fontId="4" fillId="0" borderId="0" xfId="0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7" fillId="0" borderId="14" xfId="0" applyFont="1" applyFill="1" applyBorder="1"/>
    <xf numFmtId="0" fontId="7" fillId="0" borderId="1" xfId="0" applyFont="1" applyFill="1" applyBorder="1"/>
    <xf numFmtId="0" fontId="7" fillId="0" borderId="2" xfId="0" applyFont="1" applyFill="1" applyBorder="1"/>
    <xf numFmtId="0" fontId="8" fillId="0" borderId="0" xfId="0" applyFont="1" applyBorder="1"/>
    <xf numFmtId="0" fontId="7" fillId="0" borderId="3" xfId="0" applyFont="1" applyFill="1" applyBorder="1"/>
    <xf numFmtId="0" fontId="7" fillId="0" borderId="4" xfId="0" applyFont="1" applyFill="1" applyBorder="1"/>
    <xf numFmtId="0" fontId="7" fillId="0" borderId="5" xfId="0" applyFont="1" applyFill="1" applyBorder="1"/>
    <xf numFmtId="0" fontId="6" fillId="0" borderId="0" xfId="0" applyFont="1" applyAlignment="1">
      <alignment horizontal="center"/>
    </xf>
    <xf numFmtId="166" fontId="7" fillId="0" borderId="0" xfId="1" applyNumberFormat="1" applyFont="1"/>
    <xf numFmtId="166" fontId="18" fillId="0" borderId="0" xfId="1" applyNumberFormat="1" applyFont="1" applyBorder="1" applyAlignment="1"/>
    <xf numFmtId="166" fontId="18" fillId="0" borderId="0" xfId="1" applyNumberFormat="1" applyFont="1" applyBorder="1"/>
    <xf numFmtId="166" fontId="18" fillId="0" borderId="0" xfId="1" applyNumberFormat="1" applyFont="1"/>
    <xf numFmtId="166" fontId="18" fillId="8" borderId="39" xfId="1" applyNumberFormat="1" applyFont="1" applyFill="1" applyBorder="1" applyAlignment="1">
      <alignment horizontal="center"/>
    </xf>
    <xf numFmtId="166" fontId="18" fillId="8" borderId="40" xfId="1" applyNumberFormat="1" applyFont="1" applyFill="1" applyBorder="1" applyAlignment="1">
      <alignment horizontal="center"/>
    </xf>
    <xf numFmtId="166" fontId="18" fillId="8" borderId="64" xfId="1" applyNumberFormat="1" applyFont="1" applyFill="1" applyBorder="1" applyAlignment="1">
      <alignment horizontal="center"/>
    </xf>
    <xf numFmtId="166" fontId="18" fillId="8" borderId="65" xfId="1" applyNumberFormat="1" applyFont="1" applyFill="1" applyBorder="1" applyAlignment="1">
      <alignment horizontal="center"/>
    </xf>
    <xf numFmtId="166" fontId="18" fillId="8" borderId="61" xfId="1" applyNumberFormat="1" applyFont="1" applyFill="1" applyBorder="1" applyAlignment="1">
      <alignment horizontal="center"/>
    </xf>
    <xf numFmtId="166" fontId="18" fillId="8" borderId="29" xfId="1" applyNumberFormat="1" applyFont="1" applyFill="1" applyBorder="1" applyAlignment="1">
      <alignment horizontal="center"/>
    </xf>
    <xf numFmtId="166" fontId="18" fillId="8" borderId="24" xfId="1" applyNumberFormat="1" applyFont="1" applyFill="1" applyBorder="1" applyAlignment="1">
      <alignment horizontal="center"/>
    </xf>
    <xf numFmtId="166" fontId="18" fillId="8" borderId="51" xfId="1" applyNumberFormat="1" applyFont="1" applyFill="1" applyBorder="1" applyAlignment="1">
      <alignment horizontal="center"/>
    </xf>
    <xf numFmtId="166" fontId="18" fillId="8" borderId="52" xfId="1" applyNumberFormat="1" applyFont="1" applyFill="1" applyBorder="1" applyAlignment="1">
      <alignment horizontal="center"/>
    </xf>
    <xf numFmtId="166" fontId="18" fillId="8" borderId="63" xfId="1" applyNumberFormat="1" applyFont="1" applyFill="1" applyBorder="1" applyAlignment="1">
      <alignment horizontal="center"/>
    </xf>
    <xf numFmtId="166" fontId="7" fillId="0" borderId="15" xfId="1" applyNumberFormat="1" applyFont="1" applyBorder="1"/>
    <xf numFmtId="166" fontId="7" fillId="0" borderId="36" xfId="1" applyNumberFormat="1" applyFont="1" applyBorder="1"/>
    <xf numFmtId="166" fontId="7" fillId="6" borderId="46" xfId="1" applyNumberFormat="1" applyFont="1" applyFill="1" applyBorder="1"/>
    <xf numFmtId="166" fontId="18" fillId="6" borderId="47" xfId="1" applyNumberFormat="1" applyFont="1" applyFill="1" applyBorder="1"/>
    <xf numFmtId="166" fontId="80" fillId="6" borderId="0" xfId="1" applyNumberFormat="1" applyFont="1" applyFill="1"/>
    <xf numFmtId="0" fontId="58" fillId="0" borderId="0" xfId="0" applyFont="1"/>
    <xf numFmtId="0" fontId="59" fillId="0" borderId="0" xfId="0" applyFont="1"/>
    <xf numFmtId="0" fontId="6" fillId="0" borderId="0" xfId="0" applyFont="1"/>
    <xf numFmtId="0" fontId="59" fillId="0" borderId="0" xfId="0" applyFont="1" applyBorder="1"/>
    <xf numFmtId="49" fontId="59" fillId="0" borderId="0" xfId="0" applyNumberFormat="1" applyFont="1"/>
    <xf numFmtId="0" fontId="59" fillId="0" borderId="33" xfId="0" applyFont="1" applyBorder="1"/>
    <xf numFmtId="0" fontId="60" fillId="0" borderId="51" xfId="0" applyFont="1" applyBorder="1" applyAlignment="1">
      <alignment horizontal="center" vertical="center" wrapText="1"/>
    </xf>
    <xf numFmtId="0" fontId="60" fillId="0" borderId="52" xfId="0" applyFont="1" applyBorder="1" applyAlignment="1">
      <alignment horizontal="center" vertical="center" wrapText="1"/>
    </xf>
    <xf numFmtId="0" fontId="60" fillId="0" borderId="53" xfId="0" applyFont="1" applyBorder="1" applyAlignment="1">
      <alignment horizontal="center" vertical="center" wrapText="1"/>
    </xf>
    <xf numFmtId="0" fontId="60" fillId="0" borderId="33" xfId="0" applyFont="1" applyBorder="1" applyAlignment="1">
      <alignment horizontal="center" vertical="center" wrapText="1"/>
    </xf>
    <xf numFmtId="0" fontId="59" fillId="0" borderId="46" xfId="0" applyFont="1" applyBorder="1" applyAlignment="1">
      <alignment horizontal="center" vertical="center"/>
    </xf>
    <xf numFmtId="0" fontId="59" fillId="0" borderId="47" xfId="0" applyFont="1" applyBorder="1" applyAlignment="1">
      <alignment horizontal="center" vertical="center"/>
    </xf>
    <xf numFmtId="0" fontId="59" fillId="0" borderId="55" xfId="0" applyFont="1" applyBorder="1" applyAlignment="1">
      <alignment horizontal="center" vertical="center"/>
    </xf>
    <xf numFmtId="0" fontId="59" fillId="0" borderId="48" xfId="0" applyFont="1" applyBorder="1" applyAlignment="1">
      <alignment horizontal="center" vertical="center"/>
    </xf>
    <xf numFmtId="49" fontId="59" fillId="0" borderId="26" xfId="0" applyNumberFormat="1" applyFont="1" applyBorder="1"/>
    <xf numFmtId="49" fontId="59" fillId="0" borderId="21" xfId="0" applyNumberFormat="1" applyFont="1" applyBorder="1"/>
    <xf numFmtId="166" fontId="59" fillId="0" borderId="21" xfId="1" applyNumberFormat="1" applyFont="1" applyBorder="1"/>
    <xf numFmtId="166" fontId="59" fillId="0" borderId="32" xfId="1" applyNumberFormat="1" applyFont="1" applyBorder="1"/>
    <xf numFmtId="166" fontId="60" fillId="0" borderId="45" xfId="1" applyNumberFormat="1" applyFont="1" applyBorder="1"/>
    <xf numFmtId="0" fontId="59" fillId="0" borderId="56" xfId="0" applyFont="1" applyBorder="1" applyAlignment="1">
      <alignment horizontal="center"/>
    </xf>
    <xf numFmtId="43" fontId="0" fillId="0" borderId="0" xfId="0" applyNumberFormat="1"/>
    <xf numFmtId="0" fontId="57" fillId="0" borderId="46" xfId="0" applyFont="1" applyBorder="1" applyAlignment="1">
      <alignment horizontal="center" vertical="center"/>
    </xf>
    <xf numFmtId="0" fontId="57" fillId="0" borderId="47" xfId="0" applyFont="1" applyBorder="1" applyAlignment="1">
      <alignment horizontal="center" vertical="center"/>
    </xf>
    <xf numFmtId="0" fontId="57" fillId="0" borderId="47" xfId="0" applyFont="1" applyBorder="1" applyAlignment="1">
      <alignment horizontal="center" vertical="center" wrapText="1"/>
    </xf>
    <xf numFmtId="168" fontId="59" fillId="0" borderId="21" xfId="1" applyNumberFormat="1" applyFont="1" applyFill="1" applyBorder="1"/>
    <xf numFmtId="168" fontId="59" fillId="0" borderId="32" xfId="1" applyNumberFormat="1" applyFont="1" applyFill="1" applyBorder="1"/>
    <xf numFmtId="0" fontId="59" fillId="0" borderId="33" xfId="0" applyFont="1" applyBorder="1" applyAlignment="1">
      <alignment horizontal="center"/>
    </xf>
    <xf numFmtId="49" fontId="59" fillId="0" borderId="21" xfId="0" applyNumberFormat="1" applyFont="1" applyFill="1" applyBorder="1"/>
    <xf numFmtId="166" fontId="59" fillId="0" borderId="21" xfId="1" applyNumberFormat="1" applyFont="1" applyFill="1" applyBorder="1"/>
    <xf numFmtId="49" fontId="5" fillId="7" borderId="47" xfId="1" applyNumberFormat="1" applyFont="1" applyFill="1" applyBorder="1" applyAlignment="1">
      <alignment horizontal="center" wrapText="1"/>
    </xf>
    <xf numFmtId="3" fontId="4" fillId="0" borderId="8" xfId="0" applyNumberFormat="1" applyFont="1" applyBorder="1"/>
    <xf numFmtId="166" fontId="4" fillId="0" borderId="8" xfId="1" applyNumberFormat="1" applyFont="1" applyBorder="1"/>
    <xf numFmtId="3" fontId="52" fillId="0" borderId="8" xfId="0" applyNumberFormat="1" applyFont="1" applyFill="1" applyBorder="1" applyAlignment="1">
      <alignment vertical="center" wrapText="1"/>
    </xf>
    <xf numFmtId="3" fontId="0" fillId="0" borderId="8" xfId="0" applyNumberFormat="1" applyFont="1" applyBorder="1"/>
    <xf numFmtId="3" fontId="78" fillId="0" borderId="8" xfId="0" applyNumberFormat="1" applyFont="1" applyBorder="1" applyAlignment="1">
      <alignment horizontal="center"/>
    </xf>
    <xf numFmtId="3" fontId="77" fillId="0" borderId="8" xfId="0" applyNumberFormat="1" applyFont="1" applyBorder="1"/>
    <xf numFmtId="3" fontId="79" fillId="0" borderId="0" xfId="0" applyNumberFormat="1" applyFont="1" applyAlignment="1"/>
    <xf numFmtId="0" fontId="44" fillId="0" borderId="0" xfId="0" applyFont="1" applyFill="1" applyBorder="1" applyAlignment="1">
      <alignment vertical="justify"/>
    </xf>
    <xf numFmtId="0" fontId="0" fillId="0" borderId="31" xfId="0" applyBorder="1"/>
    <xf numFmtId="0" fontId="0" fillId="0" borderId="19" xfId="0" applyBorder="1" applyAlignment="1">
      <alignment horizontal="left"/>
    </xf>
    <xf numFmtId="0" fontId="5" fillId="0" borderId="4" xfId="0" applyFont="1" applyBorder="1"/>
    <xf numFmtId="3" fontId="9" fillId="0" borderId="0" xfId="0" applyNumberFormat="1" applyFont="1"/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6" fontId="7" fillId="6" borderId="33" xfId="1" applyNumberFormat="1" applyFont="1" applyFill="1" applyBorder="1"/>
    <xf numFmtId="166" fontId="7" fillId="6" borderId="0" xfId="1" applyNumberFormat="1" applyFont="1" applyFill="1" applyBorder="1"/>
    <xf numFmtId="166" fontId="12" fillId="7" borderId="8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18" fillId="7" borderId="39" xfId="0" applyFont="1" applyFill="1" applyBorder="1" applyAlignment="1">
      <alignment horizontal="center"/>
    </xf>
    <xf numFmtId="0" fontId="5" fillId="10" borderId="12" xfId="0" applyFont="1" applyFill="1" applyBorder="1"/>
    <xf numFmtId="0" fontId="5" fillId="10" borderId="13" xfId="0" applyFont="1" applyFill="1" applyBorder="1"/>
    <xf numFmtId="0" fontId="5" fillId="10" borderId="14" xfId="0" applyFont="1" applyFill="1" applyBorder="1"/>
    <xf numFmtId="0" fontId="5" fillId="10" borderId="1" xfId="0" applyFont="1" applyFill="1" applyBorder="1"/>
    <xf numFmtId="0" fontId="5" fillId="10" borderId="0" xfId="0" applyFont="1" applyFill="1" applyBorder="1"/>
    <xf numFmtId="0" fontId="5" fillId="10" borderId="2" xfId="0" applyFont="1" applyFill="1" applyBorder="1"/>
    <xf numFmtId="0" fontId="5" fillId="10" borderId="0" xfId="0" applyFont="1" applyFill="1" applyBorder="1" applyAlignment="1">
      <alignment horizontal="center"/>
    </xf>
    <xf numFmtId="0" fontId="5" fillId="10" borderId="0" xfId="0" applyFont="1" applyFill="1" applyBorder="1" applyAlignment="1"/>
    <xf numFmtId="0" fontId="26" fillId="10" borderId="0" xfId="0" applyFont="1" applyFill="1" applyBorder="1"/>
    <xf numFmtId="0" fontId="27" fillId="10" borderId="0" xfId="0" applyFont="1" applyFill="1" applyBorder="1" applyAlignment="1"/>
    <xf numFmtId="0" fontId="27" fillId="10" borderId="0" xfId="0" applyFont="1" applyFill="1" applyBorder="1"/>
    <xf numFmtId="0" fontId="6" fillId="10" borderId="0" xfId="0" applyFont="1" applyFill="1" applyBorder="1" applyAlignment="1">
      <alignment horizontal="center"/>
    </xf>
    <xf numFmtId="0" fontId="0" fillId="10" borderId="1" xfId="0" applyFill="1" applyBorder="1"/>
    <xf numFmtId="0" fontId="0" fillId="10" borderId="0" xfId="0" applyFill="1" applyBorder="1"/>
    <xf numFmtId="0" fontId="5" fillId="10" borderId="2" xfId="0" applyFont="1" applyFill="1" applyBorder="1" applyAlignment="1"/>
    <xf numFmtId="0" fontId="0" fillId="10" borderId="2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33" xfId="0" applyFont="1" applyFill="1" applyBorder="1" applyAlignment="1">
      <alignment horizontal="center"/>
    </xf>
    <xf numFmtId="0" fontId="5" fillId="0" borderId="33" xfId="0" applyFont="1" applyFill="1" applyBorder="1"/>
    <xf numFmtId="0" fontId="5" fillId="0" borderId="2" xfId="0" applyFont="1" applyFill="1" applyBorder="1" applyAlignment="1">
      <alignment horizontal="right"/>
    </xf>
    <xf numFmtId="14" fontId="5" fillId="0" borderId="0" xfId="0" applyNumberFormat="1" applyFont="1" applyFill="1" applyBorder="1" applyAlignment="1"/>
    <xf numFmtId="0" fontId="9" fillId="6" borderId="8" xfId="0" applyFont="1" applyFill="1" applyBorder="1"/>
    <xf numFmtId="0" fontId="12" fillId="6" borderId="8" xfId="0" applyFont="1" applyFill="1" applyBorder="1" applyAlignment="1">
      <alignment horizontal="center"/>
    </xf>
    <xf numFmtId="166" fontId="8" fillId="6" borderId="8" xfId="1" applyNumberFormat="1" applyFont="1" applyFill="1" applyBorder="1"/>
    <xf numFmtId="0" fontId="10" fillId="6" borderId="8" xfId="0" applyFont="1" applyFill="1" applyBorder="1"/>
    <xf numFmtId="0" fontId="5" fillId="6" borderId="8" xfId="0" applyFont="1" applyFill="1" applyBorder="1" applyAlignment="1">
      <alignment horizontal="center"/>
    </xf>
    <xf numFmtId="166" fontId="8" fillId="6" borderId="30" xfId="1" applyNumberFormat="1" applyFont="1" applyFill="1" applyBorder="1"/>
    <xf numFmtId="166" fontId="12" fillId="6" borderId="8" xfId="1" applyNumberFormat="1" applyFont="1" applyFill="1" applyBorder="1"/>
    <xf numFmtId="166" fontId="12" fillId="6" borderId="30" xfId="1" applyNumberFormat="1" applyFont="1" applyFill="1" applyBorder="1"/>
    <xf numFmtId="0" fontId="12" fillId="6" borderId="8" xfId="0" applyFont="1" applyFill="1" applyBorder="1"/>
    <xf numFmtId="0" fontId="7" fillId="6" borderId="8" xfId="0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/>
    </xf>
    <xf numFmtId="0" fontId="9" fillId="10" borderId="36" xfId="0" applyFont="1" applyFill="1" applyBorder="1" applyAlignment="1">
      <alignment horizontal="center"/>
    </xf>
    <xf numFmtId="0" fontId="8" fillId="10" borderId="36" xfId="0" applyFont="1" applyFill="1" applyBorder="1" applyAlignment="1">
      <alignment horizontal="center"/>
    </xf>
    <xf numFmtId="166" fontId="12" fillId="10" borderId="36" xfId="1" applyNumberFormat="1" applyFont="1" applyFill="1" applyBorder="1"/>
    <xf numFmtId="0" fontId="9" fillId="10" borderId="9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166" fontId="12" fillId="10" borderId="8" xfId="1" applyNumberFormat="1" applyFont="1" applyFill="1" applyBorder="1"/>
    <xf numFmtId="166" fontId="12" fillId="10" borderId="30" xfId="1" applyNumberFormat="1" applyFont="1" applyFill="1" applyBorder="1"/>
    <xf numFmtId="0" fontId="64" fillId="10" borderId="9" xfId="0" applyFont="1" applyFill="1" applyBorder="1"/>
    <xf numFmtId="0" fontId="64" fillId="10" borderId="8" xfId="0" applyFont="1" applyFill="1" applyBorder="1"/>
    <xf numFmtId="0" fontId="64" fillId="10" borderId="8" xfId="0" applyFont="1" applyFill="1" applyBorder="1" applyAlignment="1">
      <alignment horizontal="center"/>
    </xf>
    <xf numFmtId="166" fontId="65" fillId="10" borderId="8" xfId="1" applyNumberFormat="1" applyFont="1" applyFill="1" applyBorder="1"/>
    <xf numFmtId="166" fontId="7" fillId="7" borderId="8" xfId="1" applyNumberFormat="1" applyFont="1" applyFill="1" applyBorder="1" applyAlignment="1">
      <alignment horizontal="center"/>
    </xf>
    <xf numFmtId="166" fontId="8" fillId="7" borderId="8" xfId="1" applyNumberFormat="1" applyFont="1" applyFill="1" applyBorder="1"/>
    <xf numFmtId="166" fontId="8" fillId="7" borderId="30" xfId="1" applyNumberFormat="1" applyFont="1" applyFill="1" applyBorder="1"/>
    <xf numFmtId="166" fontId="18" fillId="7" borderId="8" xfId="1" applyNumberFormat="1" applyFont="1" applyFill="1" applyBorder="1" applyAlignment="1">
      <alignment horizontal="center"/>
    </xf>
    <xf numFmtId="166" fontId="9" fillId="7" borderId="30" xfId="1" applyNumberFormat="1" applyFont="1" applyFill="1" applyBorder="1"/>
    <xf numFmtId="166" fontId="9" fillId="10" borderId="15" xfId="1" applyNumberFormat="1" applyFont="1" applyFill="1" applyBorder="1" applyAlignment="1">
      <alignment horizontal="center"/>
    </xf>
    <xf numFmtId="166" fontId="9" fillId="10" borderId="36" xfId="1" applyNumberFormat="1" applyFont="1" applyFill="1" applyBorder="1" applyAlignment="1">
      <alignment horizontal="center"/>
    </xf>
    <xf numFmtId="166" fontId="12" fillId="10" borderId="36" xfId="1" applyNumberFormat="1" applyFont="1" applyFill="1" applyBorder="1" applyAlignment="1">
      <alignment horizontal="center"/>
    </xf>
    <xf numFmtId="166" fontId="12" fillId="10" borderId="9" xfId="1" applyNumberFormat="1" applyFont="1" applyFill="1" applyBorder="1"/>
    <xf numFmtId="166" fontId="12" fillId="10" borderId="8" xfId="1" applyNumberFormat="1" applyFont="1" applyFill="1" applyBorder="1" applyAlignment="1">
      <alignment horizontal="center"/>
    </xf>
    <xf numFmtId="166" fontId="9" fillId="10" borderId="8" xfId="1" applyNumberFormat="1" applyFont="1" applyFill="1" applyBorder="1" applyAlignment="1">
      <alignment horizontal="center"/>
    </xf>
    <xf numFmtId="166" fontId="9" fillId="10" borderId="8" xfId="1" applyNumberFormat="1" applyFont="1" applyFill="1" applyBorder="1"/>
    <xf numFmtId="166" fontId="8" fillId="10" borderId="9" xfId="1" applyNumberFormat="1" applyFont="1" applyFill="1" applyBorder="1"/>
    <xf numFmtId="166" fontId="12" fillId="10" borderId="9" xfId="1" applyNumberFormat="1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166" fontId="5" fillId="0" borderId="8" xfId="1" applyNumberFormat="1" applyFont="1" applyBorder="1" applyAlignment="1">
      <alignment horizontal="right"/>
    </xf>
    <xf numFmtId="0" fontId="4" fillId="7" borderId="8" xfId="0" applyFont="1" applyFill="1" applyBorder="1"/>
    <xf numFmtId="0" fontId="5" fillId="7" borderId="15" xfId="0" applyFont="1" applyFill="1" applyBorder="1" applyAlignment="1">
      <alignment horizontal="center"/>
    </xf>
    <xf numFmtId="0" fontId="5" fillId="7" borderId="36" xfId="0" applyFont="1" applyFill="1" applyBorder="1" applyAlignment="1">
      <alignment horizontal="center"/>
    </xf>
    <xf numFmtId="166" fontId="5" fillId="7" borderId="36" xfId="1" applyNumberFormat="1" applyFont="1" applyFill="1" applyBorder="1" applyAlignment="1">
      <alignment horizontal="right"/>
    </xf>
    <xf numFmtId="166" fontId="5" fillId="7" borderId="38" xfId="1" applyNumberFormat="1" applyFont="1" applyFill="1" applyBorder="1" applyAlignment="1">
      <alignment horizontal="right"/>
    </xf>
    <xf numFmtId="166" fontId="5" fillId="0" borderId="30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37" xfId="0" applyNumberFormat="1" applyBorder="1"/>
    <xf numFmtId="166" fontId="11" fillId="7" borderId="15" xfId="1" applyNumberFormat="1" applyFont="1" applyFill="1" applyBorder="1"/>
    <xf numFmtId="166" fontId="9" fillId="7" borderId="36" xfId="1" applyNumberFormat="1" applyFont="1" applyFill="1" applyBorder="1"/>
    <xf numFmtId="166" fontId="4" fillId="7" borderId="36" xfId="1" applyNumberFormat="1" applyFont="1" applyFill="1" applyBorder="1"/>
    <xf numFmtId="166" fontId="4" fillId="7" borderId="38" xfId="1" applyNumberFormat="1" applyFont="1" applyFill="1" applyBorder="1"/>
    <xf numFmtId="166" fontId="11" fillId="7" borderId="9" xfId="1" applyNumberFormat="1" applyFont="1" applyFill="1" applyBorder="1"/>
    <xf numFmtId="166" fontId="4" fillId="7" borderId="8" xfId="1" applyNumberFormat="1" applyFont="1" applyFill="1" applyBorder="1"/>
    <xf numFmtId="166" fontId="4" fillId="7" borderId="30" xfId="1" applyNumberFormat="1" applyFont="1" applyFill="1" applyBorder="1"/>
    <xf numFmtId="166" fontId="4" fillId="7" borderId="9" xfId="1" applyNumberFormat="1" applyFont="1" applyFill="1" applyBorder="1"/>
    <xf numFmtId="166" fontId="16" fillId="7" borderId="8" xfId="1" applyNumberFormat="1" applyFont="1" applyFill="1" applyBorder="1"/>
    <xf numFmtId="166" fontId="5" fillId="7" borderId="8" xfId="1" applyNumberFormat="1" applyFont="1" applyFill="1" applyBorder="1"/>
    <xf numFmtId="166" fontId="5" fillId="7" borderId="30" xfId="1" applyNumberFormat="1" applyFont="1" applyFill="1" applyBorder="1"/>
    <xf numFmtId="166" fontId="47" fillId="10" borderId="10" xfId="1" applyNumberFormat="1" applyFont="1" applyFill="1" applyBorder="1"/>
    <xf numFmtId="166" fontId="5" fillId="10" borderId="11" xfId="1" applyNumberFormat="1" applyFont="1" applyFill="1" applyBorder="1"/>
    <xf numFmtId="166" fontId="47" fillId="10" borderId="11" xfId="1" applyNumberFormat="1" applyFont="1" applyFill="1" applyBorder="1"/>
    <xf numFmtId="166" fontId="47" fillId="10" borderId="37" xfId="1" applyNumberFormat="1" applyFont="1" applyFill="1" applyBorder="1"/>
    <xf numFmtId="166" fontId="47" fillId="0" borderId="37" xfId="1" applyNumberFormat="1" applyFont="1" applyFill="1" applyBorder="1"/>
    <xf numFmtId="0" fontId="4" fillId="10" borderId="9" xfId="0" applyFont="1" applyFill="1" applyBorder="1"/>
    <xf numFmtId="0" fontId="5" fillId="10" borderId="8" xfId="0" applyFont="1" applyFill="1" applyBorder="1"/>
    <xf numFmtId="0" fontId="5" fillId="10" borderId="8" xfId="0" applyFont="1" applyFill="1" applyBorder="1" applyAlignment="1">
      <alignment horizontal="center"/>
    </xf>
    <xf numFmtId="166" fontId="5" fillId="10" borderId="8" xfId="1" applyNumberFormat="1" applyFont="1" applyFill="1" applyBorder="1" applyAlignment="1">
      <alignment horizontal="right"/>
    </xf>
    <xf numFmtId="166" fontId="5" fillId="10" borderId="30" xfId="1" applyNumberFormat="1" applyFont="1" applyFill="1" applyBorder="1" applyAlignment="1">
      <alignment horizontal="right"/>
    </xf>
    <xf numFmtId="166" fontId="47" fillId="0" borderId="38" xfId="1" applyNumberFormat="1" applyFont="1" applyFill="1" applyBorder="1"/>
    <xf numFmtId="166" fontId="47" fillId="0" borderId="30" xfId="1" applyNumberFormat="1" applyFont="1" applyFill="1" applyBorder="1"/>
    <xf numFmtId="166" fontId="47" fillId="7" borderId="39" xfId="1" applyNumberFormat="1" applyFont="1" applyFill="1" applyBorder="1"/>
    <xf numFmtId="166" fontId="16" fillId="7" borderId="40" xfId="1" applyNumberFormat="1" applyFont="1" applyFill="1" applyBorder="1"/>
    <xf numFmtId="166" fontId="47" fillId="7" borderId="40" xfId="1" applyNumberFormat="1" applyFont="1" applyFill="1" applyBorder="1"/>
    <xf numFmtId="166" fontId="47" fillId="7" borderId="41" xfId="1" applyNumberFormat="1" applyFont="1" applyFill="1" applyBorder="1"/>
    <xf numFmtId="166" fontId="47" fillId="7" borderId="65" xfId="1" applyNumberFormat="1" applyFont="1" applyFill="1" applyBorder="1"/>
    <xf numFmtId="166" fontId="16" fillId="7" borderId="61" xfId="1" applyNumberFormat="1" applyFont="1" applyFill="1" applyBorder="1"/>
    <xf numFmtId="166" fontId="47" fillId="7" borderId="61" xfId="1" applyNumberFormat="1" applyFont="1" applyFill="1" applyBorder="1"/>
    <xf numFmtId="166" fontId="47" fillId="7" borderId="62" xfId="1" applyNumberFormat="1" applyFont="1" applyFill="1" applyBorder="1"/>
    <xf numFmtId="166" fontId="47" fillId="10" borderId="51" xfId="1" applyNumberFormat="1" applyFont="1" applyFill="1" applyBorder="1"/>
    <xf numFmtId="166" fontId="16" fillId="10" borderId="52" xfId="1" applyNumberFormat="1" applyFont="1" applyFill="1" applyBorder="1"/>
    <xf numFmtId="166" fontId="47" fillId="10" borderId="52" xfId="1" applyNumberFormat="1" applyFont="1" applyFill="1" applyBorder="1"/>
    <xf numFmtId="166" fontId="47" fillId="10" borderId="53" xfId="1" applyNumberFormat="1" applyFont="1" applyFill="1" applyBorder="1"/>
    <xf numFmtId="166" fontId="30" fillId="0" borderId="36" xfId="1" applyNumberFormat="1" applyFont="1" applyFill="1" applyBorder="1"/>
    <xf numFmtId="166" fontId="30" fillId="0" borderId="9" xfId="1" applyNumberFormat="1" applyFont="1" applyFill="1" applyBorder="1"/>
    <xf numFmtId="166" fontId="30" fillId="7" borderId="6" xfId="1" applyNumberFormat="1" applyFont="1" applyFill="1" applyBorder="1"/>
    <xf numFmtId="166" fontId="30" fillId="7" borderId="6" xfId="1" applyNumberFormat="1" applyFont="1" applyFill="1" applyBorder="1" applyAlignment="1">
      <alignment horizontal="center"/>
    </xf>
    <xf numFmtId="166" fontId="30" fillId="7" borderId="14" xfId="1" applyNumberFormat="1" applyFont="1" applyFill="1" applyBorder="1" applyAlignment="1">
      <alignment horizontal="center"/>
    </xf>
    <xf numFmtId="166" fontId="30" fillId="10" borderId="51" xfId="1" applyNumberFormat="1" applyFont="1" applyFill="1" applyBorder="1"/>
    <xf numFmtId="166" fontId="30" fillId="7" borderId="7" xfId="1" applyNumberFormat="1" applyFont="1" applyFill="1" applyBorder="1"/>
    <xf numFmtId="166" fontId="7" fillId="7" borderId="7" xfId="1" applyNumberFormat="1" applyFont="1" applyFill="1" applyBorder="1" applyAlignment="1">
      <alignment horizontal="center"/>
    </xf>
    <xf numFmtId="166" fontId="7" fillId="7" borderId="2" xfId="1" applyNumberFormat="1" applyFont="1" applyFill="1" applyBorder="1" applyAlignment="1">
      <alignment horizontal="center"/>
    </xf>
    <xf numFmtId="166" fontId="30" fillId="10" borderId="52" xfId="1" applyNumberFormat="1" applyFont="1" applyFill="1" applyBorder="1"/>
    <xf numFmtId="166" fontId="30" fillId="10" borderId="53" xfId="1" applyNumberFormat="1" applyFont="1" applyFill="1" applyBorder="1"/>
    <xf numFmtId="166" fontId="30" fillId="0" borderId="15" xfId="1" applyNumberFormat="1" applyFont="1" applyFill="1" applyBorder="1"/>
    <xf numFmtId="166" fontId="30" fillId="0" borderId="38" xfId="1" applyNumberFormat="1" applyFont="1" applyFill="1" applyBorder="1"/>
    <xf numFmtId="166" fontId="30" fillId="0" borderId="30" xfId="1" applyNumberFormat="1" applyFont="1" applyFill="1" applyBorder="1"/>
    <xf numFmtId="166" fontId="30" fillId="0" borderId="10" xfId="1" applyNumberFormat="1" applyFont="1" applyFill="1" applyBorder="1"/>
    <xf numFmtId="166" fontId="7" fillId="0" borderId="11" xfId="1" applyNumberFormat="1" applyFont="1" applyFill="1" applyBorder="1"/>
    <xf numFmtId="166" fontId="30" fillId="0" borderId="11" xfId="1" applyNumberFormat="1" applyFont="1" applyFill="1" applyBorder="1"/>
    <xf numFmtId="166" fontId="30" fillId="0" borderId="37" xfId="1" applyNumberFormat="1" applyFont="1" applyFill="1" applyBorder="1"/>
    <xf numFmtId="166" fontId="30" fillId="7" borderId="33" xfId="1" applyNumberFormat="1" applyFont="1" applyFill="1" applyBorder="1"/>
    <xf numFmtId="166" fontId="30" fillId="10" borderId="33" xfId="1" applyNumberFormat="1" applyFont="1" applyFill="1" applyBorder="1"/>
    <xf numFmtId="166" fontId="46" fillId="0" borderId="8" xfId="1" applyNumberFormat="1" applyFont="1" applyBorder="1"/>
    <xf numFmtId="166" fontId="46" fillId="0" borderId="38" xfId="1" applyNumberFormat="1" applyFont="1" applyBorder="1"/>
    <xf numFmtId="166" fontId="46" fillId="0" borderId="30" xfId="1" applyNumberFormat="1" applyFont="1" applyBorder="1"/>
    <xf numFmtId="0" fontId="4" fillId="7" borderId="15" xfId="0" applyFont="1" applyFill="1" applyBorder="1"/>
    <xf numFmtId="0" fontId="0" fillId="7" borderId="36" xfId="0" applyFill="1" applyBorder="1"/>
    <xf numFmtId="0" fontId="0" fillId="7" borderId="8" xfId="0" applyFill="1" applyBorder="1"/>
    <xf numFmtId="167" fontId="62" fillId="7" borderId="30" xfId="1" applyNumberFormat="1" applyFont="1" applyFill="1" applyBorder="1"/>
    <xf numFmtId="167" fontId="5" fillId="10" borderId="48" xfId="1" applyNumberFormat="1" applyFont="1" applyFill="1" applyBorder="1"/>
    <xf numFmtId="0" fontId="5" fillId="7" borderId="39" xfId="0" applyFont="1" applyFill="1" applyBorder="1" applyAlignment="1">
      <alignment horizontal="left"/>
    </xf>
    <xf numFmtId="0" fontId="0" fillId="7" borderId="13" xfId="0" applyFill="1" applyBorder="1"/>
    <xf numFmtId="0" fontId="5" fillId="0" borderId="58" xfId="0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3" xfId="0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0" fillId="0" borderId="44" xfId="0" applyBorder="1" applyAlignment="1">
      <alignment horizontal="left"/>
    </xf>
    <xf numFmtId="0" fontId="0" fillId="7" borderId="66" xfId="0" applyFill="1" applyBorder="1"/>
    <xf numFmtId="0" fontId="5" fillId="0" borderId="67" xfId="0" applyFont="1" applyBorder="1" applyAlignment="1">
      <alignment horizontal="left"/>
    </xf>
    <xf numFmtId="0" fontId="0" fillId="0" borderId="67" xfId="0" applyBorder="1"/>
    <xf numFmtId="0" fontId="5" fillId="0" borderId="68" xfId="0" applyFont="1" applyBorder="1" applyAlignment="1">
      <alignment horizontal="center"/>
    </xf>
    <xf numFmtId="166" fontId="18" fillId="7" borderId="41" xfId="1" applyNumberFormat="1" applyFont="1" applyFill="1" applyBorder="1" applyAlignment="1">
      <alignment horizontal="right"/>
    </xf>
    <xf numFmtId="166" fontId="18" fillId="0" borderId="38" xfId="1" applyNumberFormat="1" applyFont="1" applyBorder="1" applyAlignment="1">
      <alignment horizontal="right"/>
    </xf>
    <xf numFmtId="166" fontId="18" fillId="0" borderId="30" xfId="1" applyNumberFormat="1" applyFont="1" applyBorder="1" applyAlignment="1">
      <alignment horizontal="right"/>
    </xf>
    <xf numFmtId="166" fontId="18" fillId="0" borderId="30" xfId="1" applyNumberFormat="1" applyFont="1" applyFill="1" applyBorder="1" applyAlignment="1">
      <alignment horizontal="right"/>
    </xf>
    <xf numFmtId="166" fontId="7" fillId="0" borderId="30" xfId="1" applyNumberFormat="1" applyFont="1" applyBorder="1" applyAlignment="1">
      <alignment horizontal="right"/>
    </xf>
    <xf numFmtId="166" fontId="7" fillId="0" borderId="30" xfId="1" applyNumberFormat="1" applyFont="1" applyFill="1" applyBorder="1" applyAlignment="1">
      <alignment horizontal="right"/>
    </xf>
    <xf numFmtId="166" fontId="63" fillId="0" borderId="30" xfId="1" applyNumberFormat="1" applyFont="1" applyBorder="1"/>
    <xf numFmtId="0" fontId="43" fillId="7" borderId="39" xfId="0" applyFont="1" applyFill="1" applyBorder="1" applyAlignment="1">
      <alignment vertical="justify"/>
    </xf>
    <xf numFmtId="0" fontId="39" fillId="7" borderId="40" xfId="0" applyFont="1" applyFill="1" applyBorder="1" applyAlignment="1">
      <alignment vertical="justify"/>
    </xf>
    <xf numFmtId="0" fontId="39" fillId="7" borderId="41" xfId="0" applyFont="1" applyFill="1" applyBorder="1" applyAlignment="1">
      <alignment vertical="justify"/>
    </xf>
    <xf numFmtId="0" fontId="18" fillId="3" borderId="40" xfId="0" applyFont="1" applyFill="1" applyBorder="1" applyAlignment="1">
      <alignment horizontal="center"/>
    </xf>
    <xf numFmtId="49" fontId="18" fillId="3" borderId="40" xfId="0" applyNumberFormat="1" applyFont="1" applyFill="1" applyBorder="1" applyAlignment="1">
      <alignment horizontal="center" wrapText="1"/>
    </xf>
    <xf numFmtId="3" fontId="18" fillId="3" borderId="40" xfId="0" applyNumberFormat="1" applyFont="1" applyFill="1" applyBorder="1" applyAlignment="1">
      <alignment horizontal="center" wrapText="1"/>
    </xf>
    <xf numFmtId="3" fontId="18" fillId="3" borderId="41" xfId="0" applyNumberFormat="1" applyFont="1" applyFill="1" applyBorder="1" applyAlignment="1">
      <alignment horizontal="center"/>
    </xf>
    <xf numFmtId="0" fontId="48" fillId="0" borderId="8" xfId="0" applyFont="1" applyFill="1" applyBorder="1"/>
    <xf numFmtId="0" fontId="7" fillId="7" borderId="15" xfId="0" applyFont="1" applyFill="1" applyBorder="1"/>
    <xf numFmtId="0" fontId="61" fillId="7" borderId="36" xfId="0" applyFont="1" applyFill="1" applyBorder="1" applyAlignment="1">
      <alignment wrapText="1"/>
    </xf>
    <xf numFmtId="0" fontId="7" fillId="7" borderId="9" xfId="0" applyFont="1" applyFill="1" applyBorder="1"/>
    <xf numFmtId="0" fontId="61" fillId="7" borderId="8" xfId="0" applyFont="1" applyFill="1" applyBorder="1"/>
    <xf numFmtId="0" fontId="61" fillId="7" borderId="8" xfId="0" applyFont="1" applyFill="1" applyBorder="1" applyAlignment="1">
      <alignment wrapText="1"/>
    </xf>
    <xf numFmtId="0" fontId="7" fillId="10" borderId="10" xfId="0" applyFont="1" applyFill="1" applyBorder="1"/>
    <xf numFmtId="0" fontId="61" fillId="10" borderId="11" xfId="0" applyFont="1" applyFill="1" applyBorder="1" applyAlignment="1">
      <alignment wrapText="1"/>
    </xf>
    <xf numFmtId="0" fontId="11" fillId="7" borderId="15" xfId="0" applyFont="1" applyFill="1" applyBorder="1"/>
    <xf numFmtId="0" fontId="9" fillId="7" borderId="36" xfId="0" applyFont="1" applyFill="1" applyBorder="1"/>
    <xf numFmtId="0" fontId="0" fillId="7" borderId="67" xfId="0" applyFill="1" applyBorder="1"/>
    <xf numFmtId="0" fontId="0" fillId="7" borderId="69" xfId="0" applyFill="1" applyBorder="1"/>
    <xf numFmtId="3" fontId="0" fillId="7" borderId="38" xfId="0" applyNumberFormat="1" applyFill="1" applyBorder="1"/>
    <xf numFmtId="0" fontId="11" fillId="7" borderId="26" xfId="0" applyFont="1" applyFill="1" applyBorder="1"/>
    <xf numFmtId="0" fontId="9" fillId="7" borderId="21" xfId="0" applyFont="1" applyFill="1" applyBorder="1"/>
    <xf numFmtId="0" fontId="0" fillId="7" borderId="0" xfId="0" applyFill="1" applyBorder="1"/>
    <xf numFmtId="166" fontId="7" fillId="7" borderId="30" xfId="1" applyNumberFormat="1" applyFont="1" applyFill="1" applyBorder="1"/>
    <xf numFmtId="0" fontId="11" fillId="7" borderId="9" xfId="0" applyFont="1" applyFill="1" applyBorder="1"/>
    <xf numFmtId="0" fontId="9" fillId="7" borderId="8" xfId="0" applyFont="1" applyFill="1" applyBorder="1"/>
    <xf numFmtId="0" fontId="0" fillId="7" borderId="42" xfId="0" applyFill="1" applyBorder="1"/>
    <xf numFmtId="0" fontId="0" fillId="7" borderId="9" xfId="0" applyFill="1" applyBorder="1"/>
    <xf numFmtId="0" fontId="16" fillId="7" borderId="8" xfId="0" applyFont="1" applyFill="1" applyBorder="1"/>
    <xf numFmtId="166" fontId="18" fillId="7" borderId="30" xfId="1" applyNumberFormat="1" applyFont="1" applyFill="1" applyBorder="1"/>
    <xf numFmtId="0" fontId="5" fillId="10" borderId="11" xfId="0" applyFont="1" applyFill="1" applyBorder="1"/>
    <xf numFmtId="0" fontId="5" fillId="10" borderId="10" xfId="0" applyFont="1" applyFill="1" applyBorder="1"/>
    <xf numFmtId="0" fontId="5" fillId="10" borderId="43" xfId="0" applyFont="1" applyFill="1" applyBorder="1"/>
    <xf numFmtId="166" fontId="18" fillId="10" borderId="37" xfId="1" applyNumberFormat="1" applyFont="1" applyFill="1" applyBorder="1"/>
    <xf numFmtId="0" fontId="5" fillId="7" borderId="23" xfId="0" applyFont="1" applyFill="1" applyBorder="1" applyAlignment="1">
      <alignment horizontal="left"/>
    </xf>
    <xf numFmtId="0" fontId="0" fillId="7" borderId="23" xfId="0" applyFill="1" applyBorder="1"/>
    <xf numFmtId="0" fontId="5" fillId="7" borderId="58" xfId="0" applyFont="1" applyFill="1" applyBorder="1" applyAlignment="1">
      <alignment horizontal="center"/>
    </xf>
    <xf numFmtId="166" fontId="18" fillId="7" borderId="30" xfId="1" applyNumberFormat="1" applyFont="1" applyFill="1" applyBorder="1" applyAlignment="1">
      <alignment horizontal="right"/>
    </xf>
    <xf numFmtId="166" fontId="7" fillId="7" borderId="30" xfId="1" applyNumberFormat="1" applyFont="1" applyFill="1" applyBorder="1" applyAlignment="1">
      <alignment horizontal="right"/>
    </xf>
    <xf numFmtId="0" fontId="5" fillId="10" borderId="23" xfId="0" applyFont="1" applyFill="1" applyBorder="1" applyAlignment="1">
      <alignment horizontal="left"/>
    </xf>
    <xf numFmtId="0" fontId="0" fillId="10" borderId="42" xfId="0" applyFill="1" applyBorder="1"/>
    <xf numFmtId="0" fontId="0" fillId="10" borderId="23" xfId="0" applyFill="1" applyBorder="1"/>
    <xf numFmtId="0" fontId="5" fillId="10" borderId="58" xfId="0" applyFont="1" applyFill="1" applyBorder="1" applyAlignment="1">
      <alignment horizontal="center"/>
    </xf>
    <xf numFmtId="166" fontId="18" fillId="10" borderId="30" xfId="1" applyNumberFormat="1" applyFont="1" applyFill="1" applyBorder="1" applyAlignment="1">
      <alignment horizontal="right"/>
    </xf>
    <xf numFmtId="14" fontId="18" fillId="0" borderId="0" xfId="0" applyNumberFormat="1" applyFont="1"/>
    <xf numFmtId="3" fontId="0" fillId="7" borderId="70" xfId="0" applyNumberFormat="1" applyFill="1" applyBorder="1"/>
    <xf numFmtId="3" fontId="5" fillId="10" borderId="33" xfId="0" applyNumberFormat="1" applyFont="1" applyFill="1" applyBorder="1"/>
    <xf numFmtId="0" fontId="4" fillId="7" borderId="36" xfId="0" applyFont="1" applyFill="1" applyBorder="1"/>
    <xf numFmtId="0" fontId="5" fillId="10" borderId="51" xfId="0" applyFont="1" applyFill="1" applyBorder="1"/>
    <xf numFmtId="0" fontId="5" fillId="10" borderId="52" xfId="0" applyFont="1" applyFill="1" applyBorder="1" applyAlignment="1">
      <alignment horizontal="center"/>
    </xf>
    <xf numFmtId="0" fontId="5" fillId="10" borderId="52" xfId="0" applyFont="1" applyFill="1" applyBorder="1"/>
    <xf numFmtId="166" fontId="5" fillId="7" borderId="38" xfId="1" applyNumberFormat="1" applyFont="1" applyFill="1" applyBorder="1"/>
    <xf numFmtId="166" fontId="4" fillId="0" borderId="30" xfId="1" applyNumberFormat="1" applyFont="1" applyBorder="1"/>
    <xf numFmtId="166" fontId="4" fillId="0" borderId="37" xfId="1" applyNumberFormat="1" applyFont="1" applyBorder="1"/>
    <xf numFmtId="166" fontId="5" fillId="10" borderId="53" xfId="1" applyNumberFormat="1" applyFont="1" applyFill="1" applyBorder="1"/>
    <xf numFmtId="0" fontId="0" fillId="10" borderId="46" xfId="0" applyFill="1" applyBorder="1"/>
    <xf numFmtId="0" fontId="0" fillId="10" borderId="47" xfId="0" applyFill="1" applyBorder="1"/>
    <xf numFmtId="166" fontId="7" fillId="10" borderId="47" xfId="1" applyNumberFormat="1" applyFont="1" applyFill="1" applyBorder="1"/>
    <xf numFmtId="166" fontId="7" fillId="10" borderId="48" xfId="1" applyNumberFormat="1" applyFont="1" applyFill="1" applyBorder="1"/>
    <xf numFmtId="166" fontId="7" fillId="10" borderId="33" xfId="1" applyNumberFormat="1" applyFont="1" applyFill="1" applyBorder="1"/>
    <xf numFmtId="0" fontId="4" fillId="0" borderId="2" xfId="0" applyFont="1" applyBorder="1"/>
    <xf numFmtId="0" fontId="5" fillId="7" borderId="48" xfId="0" applyFont="1" applyFill="1" applyBorder="1" applyAlignment="1">
      <alignment horizontal="center"/>
    </xf>
    <xf numFmtId="0" fontId="4" fillId="0" borderId="36" xfId="0" applyFont="1" applyBorder="1"/>
    <xf numFmtId="0" fontId="0" fillId="0" borderId="9" xfId="0" applyFill="1" applyBorder="1"/>
    <xf numFmtId="166" fontId="0" fillId="0" borderId="2" xfId="1" applyNumberFormat="1" applyFont="1" applyBorder="1"/>
    <xf numFmtId="166" fontId="5" fillId="10" borderId="33" xfId="1" applyNumberFormat="1" applyFont="1" applyFill="1" applyBorder="1"/>
    <xf numFmtId="0" fontId="0" fillId="10" borderId="33" xfId="0" applyFill="1" applyBorder="1"/>
    <xf numFmtId="166" fontId="66" fillId="10" borderId="33" xfId="1" applyNumberFormat="1" applyFont="1" applyFill="1" applyBorder="1"/>
    <xf numFmtId="43" fontId="5" fillId="10" borderId="11" xfId="0" applyNumberFormat="1" applyFont="1" applyFill="1" applyBorder="1"/>
    <xf numFmtId="0" fontId="5" fillId="10" borderId="71" xfId="0" applyFont="1" applyFill="1" applyBorder="1"/>
    <xf numFmtId="167" fontId="18" fillId="0" borderId="0" xfId="1" applyNumberFormat="1" applyFont="1" applyFill="1"/>
    <xf numFmtId="165" fontId="18" fillId="0" borderId="0" xfId="1" applyNumberFormat="1" applyFont="1" applyFill="1"/>
    <xf numFmtId="167" fontId="7" fillId="0" borderId="0" xfId="1" applyNumberFormat="1" applyFont="1" applyFill="1"/>
    <xf numFmtId="166" fontId="7" fillId="0" borderId="0" xfId="1" applyNumberFormat="1" applyFont="1" applyFill="1"/>
    <xf numFmtId="165" fontId="7" fillId="0" borderId="0" xfId="1" applyNumberFormat="1" applyFont="1" applyFill="1"/>
    <xf numFmtId="167" fontId="18" fillId="7" borderId="61" xfId="1" applyNumberFormat="1" applyFont="1" applyFill="1" applyBorder="1" applyAlignment="1">
      <alignment horizontal="center"/>
    </xf>
    <xf numFmtId="167" fontId="18" fillId="7" borderId="29" xfId="1" applyNumberFormat="1" applyFont="1" applyFill="1" applyBorder="1" applyAlignment="1">
      <alignment horizontal="center"/>
    </xf>
    <xf numFmtId="165" fontId="18" fillId="7" borderId="29" xfId="1" applyNumberFormat="1" applyFont="1" applyFill="1" applyBorder="1" applyAlignment="1">
      <alignment horizontal="center"/>
    </xf>
    <xf numFmtId="167" fontId="7" fillId="0" borderId="15" xfId="1" applyNumberFormat="1" applyFont="1" applyFill="1" applyBorder="1"/>
    <xf numFmtId="167" fontId="7" fillId="0" borderId="36" xfId="1" applyNumberFormat="1" applyFont="1" applyFill="1" applyBorder="1"/>
    <xf numFmtId="165" fontId="7" fillId="0" borderId="36" xfId="1" applyNumberFormat="1" applyFont="1" applyFill="1" applyBorder="1"/>
    <xf numFmtId="166" fontId="7" fillId="0" borderId="36" xfId="1" applyNumberFormat="1" applyFont="1" applyFill="1" applyBorder="1"/>
    <xf numFmtId="166" fontId="7" fillId="0" borderId="38" xfId="1" applyNumberFormat="1" applyFont="1" applyFill="1" applyBorder="1"/>
    <xf numFmtId="167" fontId="7" fillId="0" borderId="8" xfId="1" applyNumberFormat="1" applyFont="1" applyFill="1" applyBorder="1"/>
    <xf numFmtId="166" fontId="7" fillId="0" borderId="40" xfId="1" applyNumberFormat="1" applyFont="1" applyBorder="1"/>
    <xf numFmtId="167" fontId="7" fillId="0" borderId="9" xfId="1" applyNumberFormat="1" applyFont="1" applyFill="1" applyBorder="1"/>
    <xf numFmtId="165" fontId="7" fillId="0" borderId="8" xfId="1" applyNumberFormat="1" applyFont="1" applyFill="1" applyBorder="1"/>
    <xf numFmtId="166" fontId="7" fillId="0" borderId="30" xfId="1" applyNumberFormat="1" applyFont="1" applyFill="1" applyBorder="1"/>
    <xf numFmtId="0" fontId="7" fillId="0" borderId="11" xfId="0" applyFont="1" applyBorder="1"/>
    <xf numFmtId="166" fontId="7" fillId="0" borderId="11" xfId="1" applyNumberFormat="1" applyFont="1" applyBorder="1"/>
    <xf numFmtId="166" fontId="7" fillId="0" borderId="37" xfId="1" applyNumberFormat="1" applyFont="1" applyBorder="1"/>
    <xf numFmtId="0" fontId="7" fillId="0" borderId="0" xfId="0" applyFont="1"/>
    <xf numFmtId="166" fontId="7" fillId="12" borderId="0" xfId="1" applyNumberFormat="1" applyFont="1" applyFill="1"/>
    <xf numFmtId="166" fontId="0" fillId="0" borderId="0" xfId="0" applyNumberFormat="1"/>
    <xf numFmtId="0" fontId="7" fillId="0" borderId="15" xfId="0" applyFont="1" applyBorder="1"/>
    <xf numFmtId="0" fontId="7" fillId="0" borderId="9" xfId="0" applyFont="1" applyFill="1" applyBorder="1"/>
    <xf numFmtId="166" fontId="4" fillId="0" borderId="0" xfId="1" applyNumberFormat="1" applyFont="1"/>
    <xf numFmtId="166" fontId="4" fillId="0" borderId="0" xfId="1" applyNumberFormat="1" applyFont="1" applyFill="1" applyBorder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0" xfId="0" applyFont="1"/>
    <xf numFmtId="0" fontId="69" fillId="0" borderId="0" xfId="0" applyFont="1" applyAlignment="1">
      <alignment horizontal="center"/>
    </xf>
    <xf numFmtId="0" fontId="70" fillId="8" borderId="6" xfId="0" applyFont="1" applyFill="1" applyBorder="1" applyAlignment="1"/>
    <xf numFmtId="0" fontId="70" fillId="8" borderId="45" xfId="0" applyFont="1" applyFill="1" applyBorder="1" applyAlignment="1"/>
    <xf numFmtId="0" fontId="70" fillId="8" borderId="56" xfId="0" applyFont="1" applyFill="1" applyBorder="1" applyAlignment="1"/>
    <xf numFmtId="0" fontId="70" fillId="8" borderId="7" xfId="0" applyFont="1" applyFill="1" applyBorder="1" applyAlignment="1"/>
    <xf numFmtId="164" fontId="18" fillId="0" borderId="0" xfId="0" applyNumberFormat="1" applyFont="1" applyFill="1" applyBorder="1"/>
    <xf numFmtId="164" fontId="7" fillId="0" borderId="0" xfId="0" applyNumberFormat="1" applyFont="1" applyFill="1" applyBorder="1"/>
    <xf numFmtId="0" fontId="18" fillId="3" borderId="39" xfId="0" applyFont="1" applyFill="1" applyBorder="1"/>
    <xf numFmtId="0" fontId="18" fillId="3" borderId="40" xfId="0" applyFont="1" applyFill="1" applyBorder="1"/>
    <xf numFmtId="0" fontId="18" fillId="3" borderId="6" xfId="0" applyFont="1" applyFill="1" applyBorder="1"/>
    <xf numFmtId="0" fontId="18" fillId="3" borderId="65" xfId="0" applyFont="1" applyFill="1" applyBorder="1"/>
    <xf numFmtId="0" fontId="18" fillId="3" borderId="29" xfId="0" applyFont="1" applyFill="1" applyBorder="1"/>
    <xf numFmtId="0" fontId="18" fillId="3" borderId="61" xfId="0" applyFont="1" applyFill="1" applyBorder="1"/>
    <xf numFmtId="0" fontId="18" fillId="3" borderId="7" xfId="0" applyFont="1" applyFill="1" applyBorder="1"/>
    <xf numFmtId="0" fontId="7" fillId="0" borderId="0" xfId="0" applyFont="1" applyFill="1"/>
    <xf numFmtId="166" fontId="59" fillId="0" borderId="0" xfId="1" applyNumberFormat="1" applyFont="1"/>
    <xf numFmtId="0" fontId="11" fillId="0" borderId="0" xfId="0" applyFont="1"/>
    <xf numFmtId="0" fontId="59" fillId="0" borderId="40" xfId="0" applyFont="1" applyBorder="1" applyAlignment="1">
      <alignment horizontal="center" vertical="center"/>
    </xf>
    <xf numFmtId="166" fontId="59" fillId="0" borderId="36" xfId="1" applyNumberFormat="1" applyFont="1" applyBorder="1"/>
    <xf numFmtId="166" fontId="59" fillId="0" borderId="38" xfId="1" applyNumberFormat="1" applyFont="1" applyBorder="1"/>
    <xf numFmtId="166" fontId="59" fillId="0" borderId="33" xfId="1" applyNumberFormat="1" applyFont="1" applyBorder="1" applyAlignment="1">
      <alignment horizontal="center"/>
    </xf>
    <xf numFmtId="166" fontId="59" fillId="0" borderId="59" xfId="1" applyNumberFormat="1" applyFont="1" applyBorder="1" applyAlignment="1">
      <alignment horizontal="center"/>
    </xf>
    <xf numFmtId="166" fontId="60" fillId="0" borderId="0" xfId="1" applyNumberFormat="1" applyFont="1"/>
    <xf numFmtId="166" fontId="60" fillId="0" borderId="6" xfId="1" applyNumberFormat="1" applyFont="1" applyBorder="1"/>
    <xf numFmtId="43" fontId="0" fillId="0" borderId="0" xfId="1" applyFont="1"/>
    <xf numFmtId="0" fontId="11" fillId="0" borderId="0" xfId="0" applyFont="1" applyBorder="1"/>
    <xf numFmtId="166" fontId="59" fillId="0" borderId="32" xfId="1" applyNumberFormat="1" applyFont="1" applyFill="1" applyBorder="1"/>
    <xf numFmtId="0" fontId="60" fillId="0" borderId="0" xfId="0" applyFont="1"/>
    <xf numFmtId="0" fontId="7" fillId="0" borderId="10" xfId="0" applyFont="1" applyBorder="1"/>
    <xf numFmtId="166" fontId="21" fillId="7" borderId="8" xfId="1" applyNumberFormat="1" applyFont="1" applyFill="1" applyBorder="1"/>
    <xf numFmtId="166" fontId="4" fillId="0" borderId="11" xfId="1" applyNumberFormat="1" applyFont="1" applyBorder="1"/>
    <xf numFmtId="0" fontId="18" fillId="7" borderId="8" xfId="0" applyFont="1" applyFill="1" applyBorder="1" applyAlignment="1">
      <alignment horizontal="center"/>
    </xf>
    <xf numFmtId="0" fontId="7" fillId="7" borderId="8" xfId="0" applyFont="1" applyFill="1" applyBorder="1"/>
    <xf numFmtId="166" fontId="7" fillId="7" borderId="8" xfId="1" applyNumberFormat="1" applyFont="1" applyFill="1" applyBorder="1"/>
    <xf numFmtId="166" fontId="0" fillId="0" borderId="0" xfId="0" applyNumberFormat="1" applyFill="1"/>
    <xf numFmtId="0" fontId="71" fillId="0" borderId="0" xfId="0" applyFont="1" applyBorder="1" applyAlignment="1">
      <alignment horizontal="center" vertical="justify"/>
    </xf>
    <xf numFmtId="49" fontId="21" fillId="0" borderId="0" xfId="0" applyNumberFormat="1" applyFont="1" applyBorder="1"/>
    <xf numFmtId="14" fontId="21" fillId="0" borderId="0" xfId="0" applyNumberFormat="1" applyFont="1" applyBorder="1"/>
    <xf numFmtId="3" fontId="9" fillId="0" borderId="0" xfId="0" applyNumberFormat="1" applyFont="1" applyBorder="1"/>
    <xf numFmtId="166" fontId="80" fillId="0" borderId="0" xfId="1" applyNumberFormat="1" applyFont="1" applyFill="1"/>
    <xf numFmtId="166" fontId="69" fillId="10" borderId="51" xfId="1" applyNumberFormat="1" applyFont="1" applyFill="1" applyBorder="1"/>
    <xf numFmtId="166" fontId="69" fillId="10" borderId="52" xfId="1" applyNumberFormat="1" applyFont="1" applyFill="1" applyBorder="1"/>
    <xf numFmtId="166" fontId="69" fillId="10" borderId="63" xfId="1" applyNumberFormat="1" applyFont="1" applyFill="1" applyBorder="1"/>
    <xf numFmtId="166" fontId="69" fillId="10" borderId="57" xfId="1" applyNumberFormat="1" applyFont="1" applyFill="1" applyBorder="1"/>
    <xf numFmtId="166" fontId="21" fillId="0" borderId="30" xfId="1" applyNumberFormat="1" applyFont="1" applyFill="1" applyBorder="1"/>
    <xf numFmtId="0" fontId="0" fillId="0" borderId="37" xfId="0" applyFill="1" applyBorder="1"/>
    <xf numFmtId="166" fontId="59" fillId="0" borderId="0" xfId="1" applyNumberFormat="1" applyFont="1" applyBorder="1"/>
    <xf numFmtId="166" fontId="0" fillId="0" borderId="0" xfId="0" applyNumberFormat="1" applyBorder="1"/>
    <xf numFmtId="0" fontId="7" fillId="0" borderId="9" xfId="0" applyFont="1" applyFill="1" applyBorder="1" applyAlignment="1">
      <alignment horizontal="center"/>
    </xf>
    <xf numFmtId="0" fontId="60" fillId="6" borderId="57" xfId="0" applyFont="1" applyFill="1" applyBorder="1" applyAlignment="1">
      <alignment horizontal="center" vertical="center" wrapText="1"/>
    </xf>
    <xf numFmtId="0" fontId="57" fillId="6" borderId="47" xfId="0" applyFont="1" applyFill="1" applyBorder="1" applyAlignment="1">
      <alignment horizontal="center" vertical="center"/>
    </xf>
    <xf numFmtId="0" fontId="57" fillId="6" borderId="48" xfId="0" applyFont="1" applyFill="1" applyBorder="1" applyAlignment="1">
      <alignment horizontal="center" vertical="center"/>
    </xf>
    <xf numFmtId="166" fontId="59" fillId="6" borderId="21" xfId="1" applyNumberFormat="1" applyFont="1" applyFill="1" applyBorder="1"/>
    <xf numFmtId="166" fontId="60" fillId="6" borderId="6" xfId="1" applyNumberFormat="1" applyFont="1" applyFill="1" applyBorder="1"/>
    <xf numFmtId="0" fontId="60" fillId="6" borderId="33" xfId="0" applyFont="1" applyFill="1" applyBorder="1" applyAlignment="1">
      <alignment horizontal="center" vertical="center" wrapText="1"/>
    </xf>
    <xf numFmtId="0" fontId="59" fillId="6" borderId="47" xfId="0" applyFont="1" applyFill="1" applyBorder="1" applyAlignment="1">
      <alignment horizontal="center" vertical="center"/>
    </xf>
    <xf numFmtId="0" fontId="59" fillId="6" borderId="48" xfId="0" applyFont="1" applyFill="1" applyBorder="1" applyAlignment="1">
      <alignment horizontal="center" vertical="center"/>
    </xf>
    <xf numFmtId="166" fontId="59" fillId="6" borderId="32" xfId="1" applyNumberFormat="1" applyFont="1" applyFill="1" applyBorder="1"/>
    <xf numFmtId="166" fontId="60" fillId="6" borderId="45" xfId="1" applyNumberFormat="1" applyFont="1" applyFill="1" applyBorder="1"/>
    <xf numFmtId="0" fontId="59" fillId="6" borderId="33" xfId="0" applyFont="1" applyFill="1" applyBorder="1" applyAlignment="1">
      <alignment horizontal="center"/>
    </xf>
    <xf numFmtId="0" fontId="59" fillId="6" borderId="56" xfId="0" applyFont="1" applyFill="1" applyBorder="1" applyAlignment="1">
      <alignment horizontal="center"/>
    </xf>
    <xf numFmtId="166" fontId="7" fillId="0" borderId="10" xfId="1" applyNumberFormat="1" applyFont="1" applyBorder="1"/>
    <xf numFmtId="166" fontId="60" fillId="0" borderId="33" xfId="1" applyNumberFormat="1" applyFont="1" applyBorder="1" applyAlignment="1">
      <alignment horizontal="center" vertical="center" wrapText="1"/>
    </xf>
    <xf numFmtId="166" fontId="59" fillId="0" borderId="47" xfId="1" applyNumberFormat="1" applyFont="1" applyBorder="1" applyAlignment="1">
      <alignment horizontal="center" vertical="center"/>
    </xf>
    <xf numFmtId="166" fontId="59" fillId="0" borderId="55" xfId="1" applyNumberFormat="1" applyFont="1" applyBorder="1" applyAlignment="1">
      <alignment horizontal="center" vertical="center"/>
    </xf>
    <xf numFmtId="166" fontId="59" fillId="0" borderId="48" xfId="1" applyNumberFormat="1" applyFont="1" applyBorder="1" applyAlignment="1">
      <alignment horizontal="center" vertical="center"/>
    </xf>
    <xf numFmtId="166" fontId="59" fillId="0" borderId="56" xfId="1" applyNumberFormat="1" applyFont="1" applyBorder="1" applyAlignment="1">
      <alignment horizontal="center"/>
    </xf>
    <xf numFmtId="166" fontId="57" fillId="0" borderId="47" xfId="1" applyNumberFormat="1" applyFont="1" applyBorder="1" applyAlignment="1">
      <alignment horizontal="center" vertical="center" wrapText="1"/>
    </xf>
    <xf numFmtId="166" fontId="57" fillId="0" borderId="47" xfId="1" applyNumberFormat="1" applyFont="1" applyBorder="1" applyAlignment="1">
      <alignment horizontal="center" vertical="center"/>
    </xf>
    <xf numFmtId="166" fontId="60" fillId="0" borderId="57" xfId="1" applyNumberFormat="1" applyFont="1" applyBorder="1" applyAlignment="1">
      <alignment horizontal="center" vertical="center" wrapText="1"/>
    </xf>
    <xf numFmtId="166" fontId="60" fillId="0" borderId="56" xfId="1" applyNumberFormat="1" applyFont="1" applyBorder="1" applyAlignment="1">
      <alignment horizontal="center" vertical="center" wrapText="1"/>
    </xf>
    <xf numFmtId="166" fontId="60" fillId="0" borderId="3" xfId="1" applyNumberFormat="1" applyFont="1" applyBorder="1" applyAlignment="1">
      <alignment horizontal="center" vertical="center" wrapText="1"/>
    </xf>
    <xf numFmtId="0" fontId="60" fillId="0" borderId="45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8" fillId="0" borderId="14" xfId="0" applyFont="1" applyFill="1" applyBorder="1" applyAlignment="1">
      <alignment horizontal="left"/>
    </xf>
    <xf numFmtId="49" fontId="59" fillId="0" borderId="0" xfId="0" applyNumberFormat="1" applyFont="1" applyAlignment="1">
      <alignment horizontal="left"/>
    </xf>
    <xf numFmtId="0" fontId="59" fillId="0" borderId="66" xfId="0" applyFont="1" applyBorder="1" applyAlignment="1">
      <alignment horizontal="center" vertical="center"/>
    </xf>
    <xf numFmtId="0" fontId="59" fillId="0" borderId="26" xfId="0" applyFont="1" applyBorder="1"/>
    <xf numFmtId="0" fontId="59" fillId="0" borderId="21" xfId="0" applyFont="1" applyBorder="1"/>
    <xf numFmtId="14" fontId="59" fillId="0" borderId="21" xfId="0" applyNumberFormat="1" applyFont="1" applyBorder="1"/>
    <xf numFmtId="166" fontId="59" fillId="0" borderId="25" xfId="1" applyNumberFormat="1" applyFont="1" applyBorder="1"/>
    <xf numFmtId="166" fontId="59" fillId="0" borderId="26" xfId="1" applyNumberFormat="1" applyFont="1" applyBorder="1"/>
    <xf numFmtId="0" fontId="59" fillId="0" borderId="15" xfId="0" applyFont="1" applyBorder="1"/>
    <xf numFmtId="0" fontId="59" fillId="0" borderId="36" xfId="0" applyFont="1" applyBorder="1"/>
    <xf numFmtId="14" fontId="59" fillId="0" borderId="36" xfId="0" applyNumberFormat="1" applyFont="1" applyBorder="1"/>
    <xf numFmtId="166" fontId="60" fillId="0" borderId="33" xfId="1" applyNumberFormat="1" applyFont="1" applyBorder="1"/>
    <xf numFmtId="0" fontId="59" fillId="0" borderId="9" xfId="0" applyFont="1" applyBorder="1"/>
    <xf numFmtId="0" fontId="59" fillId="0" borderId="8" xfId="0" applyFont="1" applyBorder="1"/>
    <xf numFmtId="14" fontId="59" fillId="0" borderId="8" xfId="0" applyNumberFormat="1" applyFont="1" applyBorder="1"/>
    <xf numFmtId="166" fontId="0" fillId="0" borderId="0" xfId="1" applyNumberFormat="1" applyFont="1" applyFill="1"/>
    <xf numFmtId="0" fontId="59" fillId="0" borderId="31" xfId="0" applyFont="1" applyBorder="1"/>
    <xf numFmtId="0" fontId="59" fillId="0" borderId="29" xfId="0" applyFont="1" applyBorder="1"/>
    <xf numFmtId="14" fontId="59" fillId="0" borderId="29" xfId="0" applyNumberFormat="1" applyFont="1" applyBorder="1"/>
    <xf numFmtId="0" fontId="0" fillId="0" borderId="0" xfId="0" applyNumberFormat="1" applyFill="1"/>
    <xf numFmtId="166" fontId="57" fillId="0" borderId="40" xfId="1" applyNumberFormat="1" applyFont="1" applyBorder="1" applyAlignment="1">
      <alignment horizontal="center" vertical="center" wrapText="1"/>
    </xf>
    <xf numFmtId="166" fontId="57" fillId="0" borderId="40" xfId="1" applyNumberFormat="1" applyFont="1" applyBorder="1" applyAlignment="1">
      <alignment horizontal="center" vertical="center"/>
    </xf>
    <xf numFmtId="166" fontId="57" fillId="0" borderId="41" xfId="1" applyNumberFormat="1" applyFont="1" applyBorder="1" applyAlignment="1">
      <alignment horizontal="center" vertical="center"/>
    </xf>
    <xf numFmtId="166" fontId="59" fillId="0" borderId="36" xfId="1" applyNumberFormat="1" applyFont="1" applyFill="1" applyBorder="1"/>
    <xf numFmtId="166" fontId="59" fillId="0" borderId="8" xfId="1" applyNumberFormat="1" applyFont="1" applyBorder="1"/>
    <xf numFmtId="166" fontId="59" fillId="0" borderId="8" xfId="1" applyNumberFormat="1" applyFont="1" applyFill="1" applyBorder="1"/>
    <xf numFmtId="166" fontId="59" fillId="0" borderId="30" xfId="1" applyNumberFormat="1" applyFont="1" applyBorder="1"/>
    <xf numFmtId="166" fontId="60" fillId="0" borderId="8" xfId="1" applyNumberFormat="1" applyFont="1" applyBorder="1"/>
    <xf numFmtId="166" fontId="60" fillId="0" borderId="30" xfId="1" applyNumberFormat="1" applyFont="1" applyBorder="1"/>
    <xf numFmtId="166" fontId="59" fillId="0" borderId="29" xfId="1" applyNumberFormat="1" applyFont="1" applyBorder="1"/>
    <xf numFmtId="166" fontId="59" fillId="0" borderId="29" xfId="1" applyNumberFormat="1" applyFont="1" applyFill="1" applyBorder="1"/>
    <xf numFmtId="166" fontId="60" fillId="0" borderId="29" xfId="1" applyNumberFormat="1" applyFont="1" applyBorder="1"/>
    <xf numFmtId="166" fontId="60" fillId="0" borderId="54" xfId="1" applyNumberFormat="1" applyFont="1" applyBorder="1"/>
    <xf numFmtId="166" fontId="60" fillId="0" borderId="12" xfId="1" applyNumberFormat="1" applyFont="1" applyBorder="1"/>
    <xf numFmtId="166" fontId="57" fillId="0" borderId="48" xfId="1" applyNumberFormat="1" applyFont="1" applyBorder="1" applyAlignment="1">
      <alignment horizontal="center" vertical="center"/>
    </xf>
    <xf numFmtId="166" fontId="85" fillId="0" borderId="6" xfId="1" applyNumberFormat="1" applyFont="1" applyFill="1" applyBorder="1"/>
    <xf numFmtId="166" fontId="59" fillId="0" borderId="0" xfId="1" applyNumberFormat="1" applyFont="1" applyFill="1"/>
    <xf numFmtId="166" fontId="60" fillId="0" borderId="3" xfId="1" applyNumberFormat="1" applyFont="1" applyFill="1" applyBorder="1" applyAlignment="1">
      <alignment horizontal="center" vertical="center" wrapText="1"/>
    </xf>
    <xf numFmtId="166" fontId="60" fillId="0" borderId="57" xfId="1" applyNumberFormat="1" applyFont="1" applyFill="1" applyBorder="1" applyAlignment="1">
      <alignment horizontal="center" vertical="center" wrapText="1"/>
    </xf>
    <xf numFmtId="166" fontId="60" fillId="0" borderId="56" xfId="1" applyNumberFormat="1" applyFont="1" applyFill="1" applyBorder="1" applyAlignment="1">
      <alignment horizontal="center" vertical="center" wrapText="1"/>
    </xf>
    <xf numFmtId="166" fontId="57" fillId="0" borderId="47" xfId="1" applyNumberFormat="1" applyFont="1" applyFill="1" applyBorder="1" applyAlignment="1">
      <alignment horizontal="center" vertical="center"/>
    </xf>
    <xf numFmtId="166" fontId="57" fillId="0" borderId="48" xfId="1" applyNumberFormat="1" applyFont="1" applyFill="1" applyBorder="1" applyAlignment="1">
      <alignment horizontal="center" vertical="center"/>
    </xf>
    <xf numFmtId="166" fontId="60" fillId="0" borderId="8" xfId="1" applyNumberFormat="1" applyFont="1" applyFill="1" applyBorder="1"/>
    <xf numFmtId="166" fontId="60" fillId="0" borderId="30" xfId="1" applyNumberFormat="1" applyFont="1" applyFill="1" applyBorder="1"/>
    <xf numFmtId="166" fontId="60" fillId="0" borderId="6" xfId="1" applyNumberFormat="1" applyFont="1" applyFill="1" applyBorder="1"/>
    <xf numFmtId="166" fontId="59" fillId="0" borderId="33" xfId="1" applyNumberFormat="1" applyFont="1" applyFill="1" applyBorder="1" applyAlignment="1">
      <alignment horizontal="center"/>
    </xf>
    <xf numFmtId="166" fontId="59" fillId="0" borderId="56" xfId="1" applyNumberFormat="1" applyFont="1" applyFill="1" applyBorder="1" applyAlignment="1">
      <alignment horizontal="center"/>
    </xf>
    <xf numFmtId="166" fontId="60" fillId="0" borderId="45" xfId="1" applyNumberFormat="1" applyFont="1" applyFill="1" applyBorder="1" applyAlignment="1">
      <alignment vertical="center" wrapText="1"/>
    </xf>
    <xf numFmtId="166" fontId="60" fillId="0" borderId="59" xfId="1" applyNumberFormat="1" applyFont="1" applyFill="1" applyBorder="1" applyAlignment="1">
      <alignment vertical="center" wrapText="1"/>
    </xf>
    <xf numFmtId="166" fontId="60" fillId="0" borderId="56" xfId="1" applyNumberFormat="1" applyFont="1" applyFill="1" applyBorder="1" applyAlignment="1">
      <alignment vertical="center" wrapText="1"/>
    </xf>
    <xf numFmtId="166" fontId="46" fillId="0" borderId="6" xfId="1" applyNumberFormat="1" applyFont="1" applyFill="1" applyBorder="1" applyAlignment="1">
      <alignment vertical="justify"/>
    </xf>
    <xf numFmtId="166" fontId="46" fillId="0" borderId="45" xfId="1" applyNumberFormat="1" applyFont="1" applyFill="1" applyBorder="1" applyAlignment="1">
      <alignment horizontal="center" vertical="justify"/>
    </xf>
    <xf numFmtId="166" fontId="46" fillId="0" borderId="56" xfId="1" applyNumberFormat="1" applyFont="1" applyFill="1" applyBorder="1" applyAlignment="1">
      <alignment horizontal="center" vertical="justify"/>
    </xf>
    <xf numFmtId="166" fontId="46" fillId="0" borderId="59" xfId="1" applyNumberFormat="1" applyFont="1" applyFill="1" applyBorder="1" applyAlignment="1">
      <alignment horizontal="center" vertical="justify"/>
    </xf>
    <xf numFmtId="0" fontId="17" fillId="0" borderId="4" xfId="0" applyFont="1" applyFill="1" applyBorder="1" applyAlignment="1">
      <alignment horizontal="center"/>
    </xf>
    <xf numFmtId="0" fontId="17" fillId="0" borderId="4" xfId="0" applyFont="1" applyFill="1" applyBorder="1" applyAlignment="1"/>
    <xf numFmtId="166" fontId="46" fillId="0" borderId="7" xfId="1" applyNumberFormat="1" applyFont="1" applyFill="1" applyBorder="1" applyAlignment="1">
      <alignment vertical="justify"/>
    </xf>
    <xf numFmtId="166" fontId="46" fillId="0" borderId="3" xfId="1" applyNumberFormat="1" applyFont="1" applyFill="1" applyBorder="1" applyAlignment="1">
      <alignment horizontal="center" vertical="justify"/>
    </xf>
    <xf numFmtId="166" fontId="46" fillId="0" borderId="4" xfId="1" applyNumberFormat="1" applyFont="1" applyFill="1" applyBorder="1" applyAlignment="1">
      <alignment horizontal="center" vertical="justify"/>
    </xf>
    <xf numFmtId="166" fontId="46" fillId="0" borderId="57" xfId="1" applyNumberFormat="1" applyFont="1" applyFill="1" applyBorder="1" applyAlignment="1">
      <alignment vertical="justify"/>
    </xf>
    <xf numFmtId="166" fontId="46" fillId="0" borderId="33" xfId="1" applyNumberFormat="1" applyFont="1" applyFill="1" applyBorder="1" applyAlignment="1">
      <alignment vertical="justify"/>
    </xf>
    <xf numFmtId="0" fontId="21" fillId="0" borderId="26" xfId="0" applyFont="1" applyFill="1" applyBorder="1" applyAlignment="1">
      <alignment horizontal="center"/>
    </xf>
    <xf numFmtId="0" fontId="84" fillId="0" borderId="25" xfId="0" applyFont="1" applyFill="1" applyBorder="1"/>
    <xf numFmtId="166" fontId="21" fillId="0" borderId="68" xfId="1" applyNumberFormat="1" applyFont="1" applyFill="1" applyBorder="1" applyAlignment="1"/>
    <xf numFmtId="166" fontId="21" fillId="0" borderId="69" xfId="1" applyNumberFormat="1" applyFont="1" applyFill="1" applyBorder="1" applyAlignment="1"/>
    <xf numFmtId="166" fontId="21" fillId="0" borderId="61" xfId="1" applyNumberFormat="1" applyFont="1" applyFill="1" applyBorder="1"/>
    <xf numFmtId="166" fontId="21" fillId="0" borderId="32" xfId="1" applyNumberFormat="1" applyFont="1" applyFill="1" applyBorder="1"/>
    <xf numFmtId="0" fontId="21" fillId="0" borderId="9" xfId="0" applyFont="1" applyFill="1" applyBorder="1" applyAlignment="1">
      <alignment horizontal="center"/>
    </xf>
    <xf numFmtId="0" fontId="84" fillId="0" borderId="8" xfId="0" applyFont="1" applyFill="1" applyBorder="1"/>
    <xf numFmtId="166" fontId="21" fillId="0" borderId="58" xfId="1" applyNumberFormat="1" applyFont="1" applyFill="1" applyBorder="1" applyAlignment="1"/>
    <xf numFmtId="166" fontId="21" fillId="0" borderId="23" xfId="1" applyNumberFormat="1" applyFont="1" applyFill="1" applyBorder="1" applyAlignment="1"/>
    <xf numFmtId="166" fontId="21" fillId="0" borderId="23" xfId="1" applyNumberFormat="1" applyFont="1" applyFill="1" applyBorder="1" applyAlignment="1">
      <alignment horizontal="left"/>
    </xf>
    <xf numFmtId="0" fontId="7" fillId="0" borderId="26" xfId="0" applyFont="1" applyFill="1" applyBorder="1" applyAlignment="1">
      <alignment horizontal="center"/>
    </xf>
    <xf numFmtId="0" fontId="21" fillId="0" borderId="8" xfId="0" applyFont="1" applyFill="1" applyBorder="1" applyAlignment="1"/>
    <xf numFmtId="0" fontId="0" fillId="0" borderId="21" xfId="0" applyFill="1" applyBorder="1"/>
    <xf numFmtId="14" fontId="84" fillId="0" borderId="21" xfId="0" applyNumberFormat="1" applyFont="1" applyFill="1" applyBorder="1"/>
    <xf numFmtId="1" fontId="84" fillId="0" borderId="8" xfId="0" applyNumberFormat="1" applyFont="1" applyFill="1" applyBorder="1" applyAlignment="1">
      <alignment horizontal="center"/>
    </xf>
    <xf numFmtId="14" fontId="0" fillId="0" borderId="32" xfId="0" applyNumberFormat="1" applyFill="1" applyBorder="1"/>
    <xf numFmtId="0" fontId="21" fillId="0" borderId="61" xfId="0" applyFont="1" applyFill="1" applyBorder="1" applyAlignment="1"/>
    <xf numFmtId="0" fontId="0" fillId="0" borderId="58" xfId="0" applyFill="1" applyBorder="1" applyAlignment="1">
      <alignment horizontal="center"/>
    </xf>
    <xf numFmtId="0" fontId="21" fillId="6" borderId="8" xfId="0" applyFont="1" applyFill="1" applyBorder="1" applyAlignment="1"/>
    <xf numFmtId="0" fontId="21" fillId="6" borderId="8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18" fillId="0" borderId="12" xfId="0" applyFont="1" applyFill="1" applyBorder="1" applyAlignment="1">
      <alignment horizontal="left"/>
    </xf>
    <xf numFmtId="166" fontId="5" fillId="0" borderId="46" xfId="1" applyNumberFormat="1" applyFont="1" applyFill="1" applyBorder="1"/>
    <xf numFmtId="166" fontId="4" fillId="0" borderId="22" xfId="1" applyNumberFormat="1" applyFont="1" applyFill="1" applyBorder="1"/>
    <xf numFmtId="166" fontId="4" fillId="0" borderId="61" xfId="1" applyNumberFormat="1" applyFont="1" applyFill="1" applyBorder="1"/>
    <xf numFmtId="166" fontId="4" fillId="0" borderId="62" xfId="1" applyNumberFormat="1" applyFont="1" applyFill="1" applyBorder="1"/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6" fontId="5" fillId="0" borderId="13" xfId="1" applyNumberFormat="1" applyFont="1" applyFill="1" applyBorder="1"/>
    <xf numFmtId="166" fontId="5" fillId="0" borderId="14" xfId="1" applyNumberFormat="1" applyFont="1" applyFill="1" applyBorder="1"/>
    <xf numFmtId="0" fontId="21" fillId="0" borderId="12" xfId="0" applyFont="1" applyBorder="1"/>
    <xf numFmtId="0" fontId="55" fillId="0" borderId="13" xfId="0" applyFont="1" applyBorder="1"/>
    <xf numFmtId="0" fontId="21" fillId="0" borderId="13" xfId="0" applyFont="1" applyBorder="1"/>
    <xf numFmtId="0" fontId="21" fillId="0" borderId="64" xfId="0" applyFont="1" applyBorder="1"/>
    <xf numFmtId="0" fontId="21" fillId="0" borderId="14" xfId="0" applyFont="1" applyBorder="1"/>
    <xf numFmtId="0" fontId="21" fillId="0" borderId="1" xfId="0" applyFont="1" applyBorder="1"/>
    <xf numFmtId="0" fontId="21" fillId="0" borderId="0" xfId="0" applyFont="1" applyBorder="1"/>
    <xf numFmtId="0" fontId="21" fillId="0" borderId="24" xfId="0" applyFont="1" applyBorder="1"/>
    <xf numFmtId="0" fontId="21" fillId="0" borderId="2" xfId="0" applyFont="1" applyBorder="1"/>
    <xf numFmtId="0" fontId="55" fillId="0" borderId="0" xfId="0" applyFont="1" applyBorder="1"/>
    <xf numFmtId="0" fontId="56" fillId="0" borderId="0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63" xfId="0" applyFont="1" applyBorder="1"/>
    <xf numFmtId="0" fontId="7" fillId="0" borderId="4" xfId="0" applyFont="1" applyBorder="1"/>
    <xf numFmtId="0" fontId="21" fillId="0" borderId="5" xfId="0" applyFont="1" applyBorder="1"/>
    <xf numFmtId="0" fontId="7" fillId="0" borderId="8" xfId="0" applyFont="1" applyFill="1" applyBorder="1" applyAlignment="1"/>
    <xf numFmtId="166" fontId="30" fillId="7" borderId="8" xfId="1" applyNumberFormat="1" applyFont="1" applyFill="1" applyBorder="1"/>
    <xf numFmtId="166" fontId="20" fillId="0" borderId="8" xfId="1" applyNumberFormat="1" applyFont="1" applyBorder="1"/>
    <xf numFmtId="41" fontId="7" fillId="0" borderId="8" xfId="0" applyNumberFormat="1" applyFont="1" applyFill="1" applyBorder="1"/>
    <xf numFmtId="41" fontId="0" fillId="0" borderId="0" xfId="0" applyNumberFormat="1" applyFill="1"/>
    <xf numFmtId="166" fontId="20" fillId="0" borderId="8" xfId="1" applyNumberFormat="1" applyFont="1" applyFill="1" applyBorder="1"/>
    <xf numFmtId="166" fontId="5" fillId="0" borderId="33" xfId="1" applyNumberFormat="1" applyFont="1" applyFill="1" applyBorder="1"/>
    <xf numFmtId="0" fontId="0" fillId="10" borderId="0" xfId="0" applyFill="1"/>
    <xf numFmtId="166" fontId="0" fillId="10" borderId="0" xfId="1" applyNumberFormat="1" applyFont="1" applyFill="1"/>
    <xf numFmtId="167" fontId="7" fillId="10" borderId="8" xfId="1" applyNumberFormat="1" applyFont="1" applyFill="1" applyBorder="1"/>
    <xf numFmtId="165" fontId="7" fillId="10" borderId="8" xfId="1" applyNumberFormat="1" applyFont="1" applyFill="1" applyBorder="1"/>
    <xf numFmtId="166" fontId="7" fillId="10" borderId="8" xfId="1" applyNumberFormat="1" applyFont="1" applyFill="1" applyBorder="1"/>
    <xf numFmtId="166" fontId="7" fillId="10" borderId="30" xfId="1" applyNumberFormat="1" applyFont="1" applyFill="1" applyBorder="1"/>
    <xf numFmtId="167" fontId="18" fillId="0" borderId="0" xfId="1" applyNumberFormat="1" applyFont="1" applyFill="1" applyAlignment="1">
      <alignment horizontal="left"/>
    </xf>
    <xf numFmtId="167" fontId="7" fillId="0" borderId="0" xfId="1" applyNumberFormat="1" applyFont="1" applyFill="1" applyAlignment="1">
      <alignment horizontal="left"/>
    </xf>
    <xf numFmtId="167" fontId="18" fillId="7" borderId="61" xfId="1" applyNumberFormat="1" applyFont="1" applyFill="1" applyBorder="1" applyAlignment="1">
      <alignment horizontal="left"/>
    </xf>
    <xf numFmtId="167" fontId="18" fillId="0" borderId="36" xfId="1" applyNumberFormat="1" applyFont="1" applyFill="1" applyBorder="1" applyAlignment="1">
      <alignment horizontal="left"/>
    </xf>
    <xf numFmtId="167" fontId="7" fillId="0" borderId="8" xfId="1" applyNumberFormat="1" applyFont="1" applyFill="1" applyBorder="1" applyAlignment="1">
      <alignment horizontal="left"/>
    </xf>
    <xf numFmtId="167" fontId="7" fillId="10" borderId="8" xfId="1" applyNumberFormat="1" applyFont="1" applyFill="1" applyBorder="1" applyAlignment="1">
      <alignment horizontal="left"/>
    </xf>
    <xf numFmtId="167" fontId="18" fillId="0" borderId="8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6" fontId="81" fillId="7" borderId="38" xfId="1" applyNumberFormat="1" applyFont="1" applyFill="1" applyBorder="1"/>
    <xf numFmtId="166" fontId="81" fillId="7" borderId="30" xfId="1" applyNumberFormat="1" applyFont="1" applyFill="1" applyBorder="1"/>
    <xf numFmtId="166" fontId="60" fillId="0" borderId="33" xfId="1" applyNumberFormat="1" applyFont="1" applyBorder="1" applyAlignment="1">
      <alignment horizontal="center" vertical="center"/>
    </xf>
    <xf numFmtId="166" fontId="60" fillId="0" borderId="56" xfId="1" applyNumberFormat="1" applyFont="1" applyBorder="1" applyAlignment="1">
      <alignment horizontal="center" vertical="center"/>
    </xf>
    <xf numFmtId="166" fontId="59" fillId="0" borderId="46" xfId="1" applyNumberFormat="1" applyFont="1" applyBorder="1" applyAlignment="1">
      <alignment horizontal="center" vertical="center"/>
    </xf>
    <xf numFmtId="166" fontId="60" fillId="0" borderId="45" xfId="1" applyNumberFormat="1" applyFont="1" applyFill="1" applyBorder="1"/>
    <xf numFmtId="166" fontId="60" fillId="0" borderId="33" xfId="1" applyNumberFormat="1" applyFont="1" applyFill="1" applyBorder="1"/>
    <xf numFmtId="166" fontId="86" fillId="0" borderId="33" xfId="1" applyNumberFormat="1" applyFont="1" applyBorder="1" applyAlignment="1">
      <alignment horizontal="center" vertical="center" wrapText="1"/>
    </xf>
    <xf numFmtId="166" fontId="86" fillId="0" borderId="56" xfId="1" applyNumberFormat="1" applyFont="1" applyBorder="1" applyAlignment="1">
      <alignment horizontal="center" vertical="center" wrapText="1"/>
    </xf>
    <xf numFmtId="166" fontId="87" fillId="0" borderId="33" xfId="1" applyNumberFormat="1" applyFont="1" applyBorder="1" applyAlignment="1">
      <alignment horizontal="center"/>
    </xf>
    <xf numFmtId="166" fontId="87" fillId="0" borderId="59" xfId="1" applyNumberFormat="1" applyFont="1" applyBorder="1" applyAlignment="1">
      <alignment horizontal="center"/>
    </xf>
    <xf numFmtId="166" fontId="87" fillId="0" borderId="56" xfId="1" applyNumberFormat="1" applyFont="1" applyBorder="1" applyAlignment="1">
      <alignment horizontal="center"/>
    </xf>
    <xf numFmtId="166" fontId="86" fillId="0" borderId="0" xfId="1" applyNumberFormat="1" applyFont="1"/>
    <xf numFmtId="0" fontId="20" fillId="0" borderId="36" xfId="0" applyFont="1" applyBorder="1"/>
    <xf numFmtId="14" fontId="20" fillId="0" borderId="36" xfId="0" applyNumberFormat="1" applyFont="1" applyBorder="1"/>
    <xf numFmtId="166" fontId="20" fillId="0" borderId="36" xfId="1" applyNumberFormat="1" applyFont="1" applyBorder="1"/>
    <xf numFmtId="166" fontId="20" fillId="0" borderId="38" xfId="1" applyNumberFormat="1" applyFont="1" applyFill="1" applyBorder="1"/>
    <xf numFmtId="0" fontId="20" fillId="0" borderId="8" xfId="0" applyFont="1" applyBorder="1"/>
    <xf numFmtId="14" fontId="20" fillId="0" borderId="8" xfId="0" applyNumberFormat="1" applyFont="1" applyBorder="1"/>
    <xf numFmtId="166" fontId="20" fillId="0" borderId="30" xfId="1" applyNumberFormat="1" applyFont="1" applyFill="1" applyBorder="1"/>
    <xf numFmtId="49" fontId="20" fillId="0" borderId="8" xfId="0" applyNumberFormat="1" applyFont="1" applyBorder="1"/>
    <xf numFmtId="166" fontId="18" fillId="3" borderId="6" xfId="1" applyNumberFormat="1" applyFont="1" applyFill="1" applyBorder="1"/>
    <xf numFmtId="166" fontId="18" fillId="3" borderId="7" xfId="1" applyNumberFormat="1" applyFont="1" applyFill="1" applyBorder="1"/>
    <xf numFmtId="0" fontId="7" fillId="0" borderId="36" xfId="0" applyFont="1" applyFill="1" applyBorder="1"/>
    <xf numFmtId="166" fontId="7" fillId="7" borderId="9" xfId="1" applyNumberFormat="1" applyFont="1" applyFill="1" applyBorder="1"/>
    <xf numFmtId="0" fontId="89" fillId="8" borderId="33" xfId="0" applyFont="1" applyFill="1" applyBorder="1" applyAlignment="1">
      <alignment horizontal="center" vertical="center" wrapText="1"/>
    </xf>
    <xf numFmtId="0" fontId="90" fillId="8" borderId="40" xfId="0" applyFont="1" applyFill="1" applyBorder="1" applyAlignment="1">
      <alignment horizontal="center" vertical="center"/>
    </xf>
    <xf numFmtId="0" fontId="90" fillId="8" borderId="64" xfId="0" applyFont="1" applyFill="1" applyBorder="1" applyAlignment="1">
      <alignment horizontal="center" vertical="center"/>
    </xf>
    <xf numFmtId="0" fontId="90" fillId="8" borderId="41" xfId="0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/>
    </xf>
    <xf numFmtId="166" fontId="18" fillId="3" borderId="41" xfId="1" applyNumberFormat="1" applyFont="1" applyFill="1" applyBorder="1"/>
    <xf numFmtId="166" fontId="18" fillId="3" borderId="62" xfId="1" applyNumberFormat="1" applyFont="1" applyFill="1" applyBorder="1"/>
    <xf numFmtId="166" fontId="80" fillId="6" borderId="46" xfId="1" applyNumberFormat="1" applyFont="1" applyFill="1" applyBorder="1"/>
    <xf numFmtId="166" fontId="80" fillId="6" borderId="47" xfId="1" applyNumberFormat="1" applyFont="1" applyFill="1" applyBorder="1"/>
    <xf numFmtId="166" fontId="80" fillId="6" borderId="48" xfId="1" applyNumberFormat="1" applyFont="1" applyFill="1" applyBorder="1"/>
    <xf numFmtId="0" fontId="60" fillId="0" borderId="3" xfId="0" applyFont="1" applyBorder="1" applyAlignment="1">
      <alignment horizontal="center" vertical="center" wrapText="1"/>
    </xf>
    <xf numFmtId="0" fontId="60" fillId="0" borderId="57" xfId="0" applyFont="1" applyBorder="1" applyAlignment="1">
      <alignment horizontal="center" vertical="center" wrapText="1"/>
    </xf>
    <xf numFmtId="0" fontId="60" fillId="0" borderId="56" xfId="0" applyFont="1" applyBorder="1" applyAlignment="1">
      <alignment horizontal="center" vertical="center" wrapText="1"/>
    </xf>
    <xf numFmtId="0" fontId="60" fillId="6" borderId="56" xfId="0" applyFont="1" applyFill="1" applyBorder="1" applyAlignment="1">
      <alignment horizontal="center" vertical="center" wrapText="1"/>
    </xf>
    <xf numFmtId="0" fontId="60" fillId="6" borderId="3" xfId="0" applyFont="1" applyFill="1" applyBorder="1" applyAlignment="1">
      <alignment horizontal="center" vertical="center" wrapText="1"/>
    </xf>
    <xf numFmtId="166" fontId="46" fillId="0" borderId="3" xfId="1" applyNumberFormat="1" applyFont="1" applyFill="1" applyBorder="1" applyAlignment="1">
      <alignment horizontal="center" vertical="justify"/>
    </xf>
    <xf numFmtId="166" fontId="46" fillId="0" borderId="3" xfId="1" applyNumberFormat="1" applyFont="1" applyFill="1" applyBorder="1" applyAlignment="1">
      <alignment horizontal="center" vertical="justify"/>
    </xf>
    <xf numFmtId="166" fontId="5" fillId="0" borderId="0" xfId="1" applyNumberFormat="1" applyFont="1" applyFill="1" applyBorder="1"/>
    <xf numFmtId="0" fontId="91" fillId="0" borderId="25" xfId="0" applyFont="1" applyFill="1" applyBorder="1"/>
    <xf numFmtId="0" fontId="91" fillId="0" borderId="8" xfId="0" applyFont="1" applyFill="1" applyBorder="1"/>
    <xf numFmtId="0" fontId="60" fillId="0" borderId="45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166" fontId="60" fillId="0" borderId="56" xfId="1" applyNumberFormat="1" applyFont="1" applyBorder="1" applyAlignment="1">
      <alignment horizontal="center" vertical="center" wrapText="1"/>
    </xf>
    <xf numFmtId="166" fontId="5" fillId="0" borderId="74" xfId="1" applyNumberFormat="1" applyFont="1" applyFill="1" applyBorder="1"/>
    <xf numFmtId="166" fontId="60" fillId="6" borderId="33" xfId="1" applyNumberFormat="1" applyFont="1" applyFill="1" applyBorder="1" applyAlignment="1">
      <alignment horizontal="center" vertical="center" wrapText="1"/>
    </xf>
    <xf numFmtId="166" fontId="60" fillId="6" borderId="56" xfId="1" applyNumberFormat="1" applyFont="1" applyFill="1" applyBorder="1" applyAlignment="1">
      <alignment horizontal="center" vertical="center" wrapText="1"/>
    </xf>
    <xf numFmtId="166" fontId="59" fillId="6" borderId="47" xfId="1" applyNumberFormat="1" applyFont="1" applyFill="1" applyBorder="1" applyAlignment="1">
      <alignment horizontal="center" vertical="center"/>
    </xf>
    <xf numFmtId="166" fontId="59" fillId="6" borderId="48" xfId="1" applyNumberFormat="1" applyFont="1" applyFill="1" applyBorder="1" applyAlignment="1">
      <alignment horizontal="center" vertical="center"/>
    </xf>
    <xf numFmtId="166" fontId="60" fillId="6" borderId="33" xfId="1" applyNumberFormat="1" applyFont="1" applyFill="1" applyBorder="1"/>
    <xf numFmtId="166" fontId="59" fillId="6" borderId="33" xfId="1" applyNumberFormat="1" applyFont="1" applyFill="1" applyBorder="1" applyAlignment="1">
      <alignment horizontal="center"/>
    </xf>
    <xf numFmtId="166" fontId="59" fillId="6" borderId="56" xfId="1" applyNumberFormat="1" applyFont="1" applyFill="1" applyBorder="1" applyAlignment="1">
      <alignment horizontal="center"/>
    </xf>
    <xf numFmtId="166" fontId="3" fillId="0" borderId="0" xfId="1" applyNumberFormat="1" applyFont="1"/>
    <xf numFmtId="166" fontId="60" fillId="6" borderId="57" xfId="1" applyNumberFormat="1" applyFont="1" applyFill="1" applyBorder="1" applyAlignment="1">
      <alignment horizontal="center" vertical="center" wrapText="1"/>
    </xf>
    <xf numFmtId="166" fontId="57" fillId="6" borderId="47" xfId="1" applyNumberFormat="1" applyFont="1" applyFill="1" applyBorder="1" applyAlignment="1">
      <alignment horizontal="center" vertical="center"/>
    </xf>
    <xf numFmtId="166" fontId="57" fillId="6" borderId="48" xfId="1" applyNumberFormat="1" applyFont="1" applyFill="1" applyBorder="1" applyAlignment="1">
      <alignment horizontal="center" vertical="center"/>
    </xf>
    <xf numFmtId="166" fontId="4" fillId="0" borderId="0" xfId="0" applyNumberFormat="1" applyFont="1"/>
    <xf numFmtId="166" fontId="60" fillId="0" borderId="57" xfId="1" applyNumberFormat="1" applyFont="1" applyBorder="1" applyAlignment="1">
      <alignment horizontal="center" vertical="center" wrapText="1"/>
    </xf>
    <xf numFmtId="166" fontId="60" fillId="0" borderId="56" xfId="1" applyNumberFormat="1" applyFont="1" applyBorder="1" applyAlignment="1">
      <alignment horizontal="center" vertical="center" wrapText="1"/>
    </xf>
    <xf numFmtId="166" fontId="60" fillId="6" borderId="56" xfId="1" applyNumberFormat="1" applyFont="1" applyFill="1" applyBorder="1" applyAlignment="1">
      <alignment horizontal="center" vertical="center" wrapText="1"/>
    </xf>
    <xf numFmtId="166" fontId="60" fillId="0" borderId="3" xfId="1" applyNumberFormat="1" applyFont="1" applyBorder="1" applyAlignment="1">
      <alignment horizontal="center" vertical="center" wrapText="1"/>
    </xf>
    <xf numFmtId="166" fontId="60" fillId="6" borderId="3" xfId="1" applyNumberFormat="1" applyFont="1" applyFill="1" applyBorder="1" applyAlignment="1">
      <alignment horizontal="center" vertical="center" wrapText="1"/>
    </xf>
    <xf numFmtId="49" fontId="92" fillId="0" borderId="8" xfId="0" applyNumberFormat="1" applyFont="1" applyBorder="1"/>
    <xf numFmtId="166" fontId="93" fillId="0" borderId="8" xfId="1" applyNumberFormat="1" applyFont="1" applyBorder="1"/>
    <xf numFmtId="166" fontId="93" fillId="0" borderId="8" xfId="1" applyNumberFormat="1" applyFont="1" applyFill="1" applyBorder="1"/>
    <xf numFmtId="166" fontId="92" fillId="0" borderId="8" xfId="1" applyNumberFormat="1" applyFont="1" applyFill="1" applyBorder="1"/>
    <xf numFmtId="166" fontId="92" fillId="0" borderId="8" xfId="1" applyNumberFormat="1" applyFont="1" applyBorder="1"/>
    <xf numFmtId="167" fontId="0" fillId="0" borderId="0" xfId="0" applyNumberFormat="1"/>
    <xf numFmtId="0" fontId="92" fillId="0" borderId="8" xfId="0" applyNumberFormat="1" applyFont="1" applyBorder="1"/>
    <xf numFmtId="166" fontId="94" fillId="0" borderId="8" xfId="1" applyNumberFormat="1" applyFont="1" applyBorder="1"/>
    <xf numFmtId="166" fontId="95" fillId="0" borderId="8" xfId="1" applyNumberFormat="1" applyFont="1" applyBorder="1"/>
    <xf numFmtId="167" fontId="18" fillId="10" borderId="8" xfId="1" applyNumberFormat="1" applyFont="1" applyFill="1" applyBorder="1" applyAlignment="1">
      <alignment horizontal="left"/>
    </xf>
    <xf numFmtId="166" fontId="94" fillId="0" borderId="8" xfId="1" applyNumberFormat="1" applyFont="1" applyFill="1" applyBorder="1"/>
    <xf numFmtId="0" fontId="5" fillId="0" borderId="0" xfId="0" applyFont="1" applyAlignment="1">
      <alignment horizontal="center"/>
    </xf>
    <xf numFmtId="49" fontId="59" fillId="0" borderId="9" xfId="0" applyNumberFormat="1" applyFont="1" applyBorder="1"/>
    <xf numFmtId="49" fontId="59" fillId="0" borderId="8" xfId="0" applyNumberFormat="1" applyFont="1" applyBorder="1"/>
    <xf numFmtId="166" fontId="60" fillId="6" borderId="8" xfId="1" applyNumberFormat="1" applyFont="1" applyFill="1" applyBorder="1"/>
    <xf numFmtId="166" fontId="60" fillId="6" borderId="30" xfId="1" applyNumberFormat="1" applyFont="1" applyFill="1" applyBorder="1"/>
    <xf numFmtId="0" fontId="60" fillId="0" borderId="57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56" xfId="0" applyFont="1" applyBorder="1" applyAlignment="1">
      <alignment horizontal="center" vertical="center" wrapText="1"/>
    </xf>
    <xf numFmtId="0" fontId="60" fillId="6" borderId="56" xfId="0" applyFont="1" applyFill="1" applyBorder="1" applyAlignment="1">
      <alignment horizontal="center" vertical="center" wrapText="1"/>
    </xf>
    <xf numFmtId="0" fontId="60" fillId="6" borderId="3" xfId="0" applyFont="1" applyFill="1" applyBorder="1" applyAlignment="1">
      <alignment horizontal="center" vertical="center" wrapText="1"/>
    </xf>
    <xf numFmtId="0" fontId="96" fillId="0" borderId="0" xfId="0" applyFont="1" applyFill="1" applyBorder="1"/>
    <xf numFmtId="0" fontId="97" fillId="0" borderId="0" xfId="0" applyFont="1" applyFill="1" applyBorder="1"/>
    <xf numFmtId="166" fontId="96" fillId="0" borderId="0" xfId="1" applyNumberFormat="1" applyFont="1" applyFill="1" applyBorder="1"/>
    <xf numFmtId="166" fontId="96" fillId="0" borderId="0" xfId="1" applyNumberFormat="1" applyFont="1" applyFill="1" applyBorder="1" applyAlignment="1">
      <alignment horizontal="left"/>
    </xf>
    <xf numFmtId="164" fontId="97" fillId="0" borderId="0" xfId="0" applyNumberFormat="1" applyFont="1" applyFill="1" applyBorder="1" applyAlignment="1">
      <alignment wrapText="1"/>
    </xf>
    <xf numFmtId="0" fontId="96" fillId="0" borderId="0" xfId="0" applyFont="1" applyBorder="1"/>
    <xf numFmtId="164" fontId="96" fillId="0" borderId="0" xfId="0" applyNumberFormat="1" applyFont="1" applyBorder="1"/>
    <xf numFmtId="164" fontId="4" fillId="0" borderId="0" xfId="0" applyNumberFormat="1" applyFont="1" applyBorder="1"/>
    <xf numFmtId="0" fontId="97" fillId="0" borderId="0" xfId="0" applyFont="1" applyFill="1"/>
    <xf numFmtId="0" fontId="97" fillId="0" borderId="0" xfId="0" applyFont="1" applyFill="1" applyAlignment="1">
      <alignment horizontal="left"/>
    </xf>
    <xf numFmtId="164" fontId="97" fillId="0" borderId="0" xfId="0" applyNumberFormat="1" applyFont="1" applyFill="1"/>
    <xf numFmtId="0" fontId="96" fillId="0" borderId="0" xfId="0" applyFont="1" applyFill="1"/>
    <xf numFmtId="0" fontId="97" fillId="0" borderId="0" xfId="0" applyFont="1"/>
    <xf numFmtId="0" fontId="97" fillId="0" borderId="0" xfId="0" applyFont="1" applyAlignment="1">
      <alignment horizontal="left"/>
    </xf>
    <xf numFmtId="164" fontId="97" fillId="0" borderId="0" xfId="0" applyNumberFormat="1" applyFont="1"/>
    <xf numFmtId="0" fontId="96" fillId="0" borderId="0" xfId="0" applyFont="1"/>
    <xf numFmtId="0" fontId="7" fillId="0" borderId="6" xfId="0" applyFont="1" applyFill="1" applyBorder="1"/>
    <xf numFmtId="164" fontId="7" fillId="0" borderId="6" xfId="0" applyNumberFormat="1" applyFont="1" applyFill="1" applyBorder="1"/>
    <xf numFmtId="0" fontId="7" fillId="0" borderId="57" xfId="0" applyFont="1" applyFill="1" applyBorder="1"/>
    <xf numFmtId="164" fontId="7" fillId="0" borderId="57" xfId="0" applyNumberFormat="1" applyFont="1" applyFill="1" applyBorder="1"/>
    <xf numFmtId="0" fontId="7" fillId="0" borderId="33" xfId="0" applyFont="1" applyFill="1" applyBorder="1"/>
    <xf numFmtId="0" fontId="98" fillId="0" borderId="8" xfId="0" applyFont="1" applyBorder="1"/>
    <xf numFmtId="166" fontId="98" fillId="0" borderId="8" xfId="1" applyNumberFormat="1" applyFont="1" applyBorder="1" applyAlignment="1">
      <alignment horizontal="left"/>
    </xf>
    <xf numFmtId="166" fontId="98" fillId="0" borderId="8" xfId="1" applyNumberFormat="1" applyFont="1" applyBorder="1"/>
    <xf numFmtId="166" fontId="98" fillId="0" borderId="30" xfId="1" applyNumberFormat="1" applyFont="1" applyFill="1" applyBorder="1"/>
    <xf numFmtId="164" fontId="4" fillId="0" borderId="21" xfId="0" applyNumberFormat="1" applyFont="1" applyBorder="1"/>
    <xf numFmtId="164" fontId="4" fillId="0" borderId="8" xfId="0" applyNumberFormat="1" applyFont="1" applyBorder="1"/>
    <xf numFmtId="164" fontId="4" fillId="0" borderId="30" xfId="0" applyNumberFormat="1" applyFont="1" applyBorder="1"/>
    <xf numFmtId="0" fontId="98" fillId="0" borderId="29" xfId="0" applyFont="1" applyBorder="1"/>
    <xf numFmtId="166" fontId="98" fillId="0" borderId="29" xfId="1" applyNumberFormat="1" applyFont="1" applyBorder="1" applyAlignment="1">
      <alignment horizontal="left"/>
    </xf>
    <xf numFmtId="166" fontId="98" fillId="0" borderId="54" xfId="1" applyNumberFormat="1" applyFont="1" applyFill="1" applyBorder="1"/>
    <xf numFmtId="166" fontId="4" fillId="0" borderId="8" xfId="1" applyNumberFormat="1" applyFont="1" applyFill="1" applyBorder="1" applyAlignment="1">
      <alignment horizontal="left"/>
    </xf>
    <xf numFmtId="166" fontId="4" fillId="0" borderId="8" xfId="1" applyNumberFormat="1" applyFont="1" applyFill="1" applyBorder="1"/>
    <xf numFmtId="166" fontId="4" fillId="0" borderId="21" xfId="1" applyNumberFormat="1" applyFont="1" applyFill="1" applyBorder="1"/>
    <xf numFmtId="166" fontId="4" fillId="0" borderId="8" xfId="1" applyNumberFormat="1" applyFont="1" applyBorder="1" applyAlignment="1">
      <alignment horizontal="left"/>
    </xf>
    <xf numFmtId="164" fontId="4" fillId="0" borderId="29" xfId="0" applyNumberFormat="1" applyFont="1" applyBorder="1"/>
    <xf numFmtId="164" fontId="4" fillId="0" borderId="54" xfId="0" applyNumberFormat="1" applyFont="1" applyBorder="1"/>
    <xf numFmtId="0" fontId="5" fillId="2" borderId="51" xfId="0" applyFont="1" applyFill="1" applyBorder="1"/>
    <xf numFmtId="166" fontId="4" fillId="2" borderId="52" xfId="1" applyNumberFormat="1" applyFont="1" applyFill="1" applyBorder="1"/>
    <xf numFmtId="166" fontId="4" fillId="2" borderId="52" xfId="1" applyNumberFormat="1" applyFont="1" applyFill="1" applyBorder="1" applyAlignment="1">
      <alignment horizontal="left"/>
    </xf>
    <xf numFmtId="0" fontId="4" fillId="2" borderId="4" xfId="0" applyFont="1" applyFill="1" applyBorder="1"/>
    <xf numFmtId="164" fontId="5" fillId="2" borderId="53" xfId="0" applyNumberFormat="1" applyFont="1" applyFill="1" applyBorder="1" applyAlignment="1">
      <alignment wrapText="1"/>
    </xf>
    <xf numFmtId="0" fontId="4" fillId="0" borderId="60" xfId="0" applyFont="1" applyBorder="1"/>
    <xf numFmtId="164" fontId="4" fillId="0" borderId="11" xfId="0" applyNumberFormat="1" applyFont="1" applyBorder="1"/>
    <xf numFmtId="164" fontId="4" fillId="0" borderId="37" xfId="0" applyNumberFormat="1" applyFont="1" applyBorder="1"/>
    <xf numFmtId="0" fontId="4" fillId="0" borderId="0" xfId="0" applyFont="1" applyAlignment="1">
      <alignment horizontal="left"/>
    </xf>
    <xf numFmtId="164" fontId="4" fillId="0" borderId="0" xfId="0" applyNumberFormat="1" applyFont="1"/>
    <xf numFmtId="166" fontId="99" fillId="0" borderId="21" xfId="1" applyNumberFormat="1" applyFont="1" applyBorder="1"/>
    <xf numFmtId="166" fontId="100" fillId="0" borderId="29" xfId="1" applyNumberFormat="1" applyFont="1" applyFill="1" applyBorder="1"/>
    <xf numFmtId="164" fontId="4" fillId="2" borderId="0" xfId="0" applyNumberFormat="1" applyFont="1" applyFill="1"/>
    <xf numFmtId="0" fontId="18" fillId="0" borderId="33" xfId="0" applyFont="1" applyBorder="1"/>
    <xf numFmtId="3" fontId="4" fillId="0" borderId="0" xfId="0" applyNumberFormat="1" applyFont="1" applyFill="1" applyBorder="1"/>
    <xf numFmtId="166" fontId="5" fillId="0" borderId="11" xfId="1" applyNumberFormat="1" applyFont="1" applyBorder="1"/>
    <xf numFmtId="164" fontId="5" fillId="2" borderId="33" xfId="0" applyNumberFormat="1" applyFont="1" applyFill="1" applyBorder="1"/>
    <xf numFmtId="164" fontId="0" fillId="0" borderId="0" xfId="0" applyNumberFormat="1"/>
    <xf numFmtId="0" fontId="7" fillId="3" borderId="39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166" fontId="7" fillId="3" borderId="40" xfId="1" applyNumberFormat="1" applyFont="1" applyFill="1" applyBorder="1" applyAlignment="1">
      <alignment horizontal="left"/>
    </xf>
    <xf numFmtId="166" fontId="7" fillId="3" borderId="40" xfId="1" applyNumberFormat="1" applyFont="1" applyFill="1" applyBorder="1" applyAlignment="1">
      <alignment horizontal="center"/>
    </xf>
    <xf numFmtId="164" fontId="7" fillId="3" borderId="41" xfId="0" applyNumberFormat="1" applyFont="1" applyFill="1" applyBorder="1" applyAlignment="1">
      <alignment horizontal="center"/>
    </xf>
    <xf numFmtId="0" fontId="7" fillId="3" borderId="65" xfId="0" applyFont="1" applyFill="1" applyBorder="1" applyAlignment="1">
      <alignment horizontal="center"/>
    </xf>
    <xf numFmtId="0" fontId="7" fillId="3" borderId="61" xfId="0" applyFont="1" applyFill="1" applyBorder="1" applyAlignment="1">
      <alignment horizontal="center"/>
    </xf>
    <xf numFmtId="166" fontId="7" fillId="3" borderId="61" xfId="1" applyNumberFormat="1" applyFont="1" applyFill="1" applyBorder="1" applyAlignment="1">
      <alignment horizontal="left"/>
    </xf>
    <xf numFmtId="166" fontId="7" fillId="3" borderId="61" xfId="1" applyNumberFormat="1" applyFont="1" applyFill="1" applyBorder="1" applyAlignment="1">
      <alignment horizontal="center"/>
    </xf>
    <xf numFmtId="164" fontId="7" fillId="3" borderId="61" xfId="0" applyNumberFormat="1" applyFont="1" applyFill="1" applyBorder="1" applyAlignment="1">
      <alignment horizontal="center"/>
    </xf>
    <xf numFmtId="164" fontId="7" fillId="3" borderId="29" xfId="0" applyNumberFormat="1" applyFont="1" applyFill="1" applyBorder="1" applyAlignment="1">
      <alignment horizontal="center"/>
    </xf>
    <xf numFmtId="164" fontId="7" fillId="3" borderId="62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left"/>
    </xf>
    <xf numFmtId="0" fontId="7" fillId="0" borderId="36" xfId="0" applyFont="1" applyFill="1" applyBorder="1" applyAlignment="1">
      <alignment horizontal="center"/>
    </xf>
    <xf numFmtId="166" fontId="7" fillId="0" borderId="36" xfId="1" applyNumberFormat="1" applyFont="1" applyFill="1" applyBorder="1" applyAlignment="1">
      <alignment horizontal="left"/>
    </xf>
    <xf numFmtId="166" fontId="7" fillId="0" borderId="36" xfId="1" applyNumberFormat="1" applyFont="1" applyFill="1" applyBorder="1" applyAlignment="1">
      <alignment horizontal="center"/>
    </xf>
    <xf numFmtId="164" fontId="7" fillId="0" borderId="36" xfId="0" applyNumberFormat="1" applyFont="1" applyFill="1" applyBorder="1" applyAlignment="1">
      <alignment horizontal="center"/>
    </xf>
    <xf numFmtId="164" fontId="7" fillId="0" borderId="3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66" fontId="7" fillId="0" borderId="8" xfId="1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164" fontId="7" fillId="0" borderId="30" xfId="0" applyNumberFormat="1" applyFont="1" applyFill="1" applyBorder="1" applyAlignment="1">
      <alignment horizontal="center"/>
    </xf>
    <xf numFmtId="43" fontId="7" fillId="0" borderId="8" xfId="1" applyFont="1" applyFill="1" applyBorder="1" applyAlignment="1">
      <alignment horizontal="left"/>
    </xf>
    <xf numFmtId="0" fontId="101" fillId="6" borderId="9" xfId="0" applyFont="1" applyFill="1" applyBorder="1"/>
    <xf numFmtId="0" fontId="102" fillId="6" borderId="8" xfId="0" applyFont="1" applyFill="1" applyBorder="1"/>
    <xf numFmtId="0" fontId="101" fillId="6" borderId="8" xfId="0" applyFont="1" applyFill="1" applyBorder="1"/>
    <xf numFmtId="166" fontId="101" fillId="6" borderId="8" xfId="1" applyNumberFormat="1" applyFont="1" applyFill="1" applyBorder="1" applyAlignment="1">
      <alignment horizontal="left"/>
    </xf>
    <xf numFmtId="166" fontId="101" fillId="6" borderId="8" xfId="1" applyNumberFormat="1" applyFont="1" applyFill="1" applyBorder="1"/>
    <xf numFmtId="164" fontId="7" fillId="0" borderId="8" xfId="0" applyNumberFormat="1" applyFont="1" applyBorder="1"/>
    <xf numFmtId="164" fontId="7" fillId="0" borderId="30" xfId="0" applyNumberFormat="1" applyFont="1" applyBorder="1"/>
    <xf numFmtId="0" fontId="101" fillId="3" borderId="9" xfId="0" applyFont="1" applyFill="1" applyBorder="1"/>
    <xf numFmtId="0" fontId="102" fillId="3" borderId="8" xfId="0" applyFont="1" applyFill="1" applyBorder="1"/>
    <xf numFmtId="0" fontId="101" fillId="3" borderId="8" xfId="0" applyFont="1" applyFill="1" applyBorder="1"/>
    <xf numFmtId="166" fontId="101" fillId="3" borderId="8" xfId="1" applyNumberFormat="1" applyFont="1" applyFill="1" applyBorder="1" applyAlignment="1">
      <alignment horizontal="left"/>
    </xf>
    <xf numFmtId="166" fontId="101" fillId="3" borderId="8" xfId="1" applyNumberFormat="1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166" fontId="7" fillId="0" borderId="11" xfId="1" applyNumberFormat="1" applyFont="1" applyFill="1" applyBorder="1" applyAlignment="1">
      <alignment horizontal="left"/>
    </xf>
    <xf numFmtId="164" fontId="7" fillId="0" borderId="11" xfId="0" applyNumberFormat="1" applyFont="1" applyBorder="1"/>
    <xf numFmtId="164" fontId="7" fillId="0" borderId="37" xfId="0" applyNumberFormat="1" applyFont="1" applyBorder="1"/>
    <xf numFmtId="0" fontId="23" fillId="4" borderId="51" xfId="0" applyFont="1" applyFill="1" applyBorder="1"/>
    <xf numFmtId="0" fontId="24" fillId="4" borderId="52" xfId="0" applyFont="1" applyFill="1" applyBorder="1"/>
    <xf numFmtId="0" fontId="23" fillId="4" borderId="52" xfId="0" applyFont="1" applyFill="1" applyBorder="1"/>
    <xf numFmtId="166" fontId="23" fillId="4" borderId="52" xfId="1" applyNumberFormat="1" applyFont="1" applyFill="1" applyBorder="1" applyAlignment="1">
      <alignment horizontal="left"/>
    </xf>
    <xf numFmtId="166" fontId="23" fillId="4" borderId="52" xfId="1" applyNumberFormat="1" applyFont="1" applyFill="1" applyBorder="1"/>
    <xf numFmtId="166" fontId="99" fillId="4" borderId="52" xfId="1" applyNumberFormat="1" applyFont="1" applyFill="1" applyBorder="1"/>
    <xf numFmtId="166" fontId="4" fillId="0" borderId="0" xfId="1" applyNumberFormat="1" applyFont="1" applyAlignment="1">
      <alignment horizontal="left"/>
    </xf>
    <xf numFmtId="0" fontId="17" fillId="0" borderId="0" xfId="0" applyFont="1"/>
    <xf numFmtId="166" fontId="17" fillId="0" borderId="0" xfId="1" applyNumberFormat="1" applyFont="1" applyAlignment="1">
      <alignment horizontal="left"/>
    </xf>
    <xf numFmtId="166" fontId="25" fillId="0" borderId="0" xfId="1" applyNumberFormat="1" applyFont="1"/>
    <xf numFmtId="164" fontId="21" fillId="0" borderId="0" xfId="0" applyNumberFormat="1" applyFont="1"/>
    <xf numFmtId="164" fontId="4" fillId="0" borderId="0" xfId="0" applyNumberFormat="1" applyFont="1" applyFill="1" applyBorder="1"/>
    <xf numFmtId="166" fontId="18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166" fontId="7" fillId="0" borderId="40" xfId="1" applyNumberFormat="1" applyFont="1" applyFill="1" applyBorder="1" applyAlignment="1">
      <alignment horizontal="center"/>
    </xf>
    <xf numFmtId="164" fontId="5" fillId="2" borderId="0" xfId="0" applyNumberFormat="1" applyFont="1" applyFill="1" applyBorder="1"/>
    <xf numFmtId="166" fontId="0" fillId="0" borderId="0" xfId="1" applyNumberFormat="1" applyFont="1" applyAlignment="1">
      <alignment horizontal="left"/>
    </xf>
    <xf numFmtId="166" fontId="46" fillId="0" borderId="3" xfId="1" applyNumberFormat="1" applyFont="1" applyFill="1" applyBorder="1" applyAlignment="1">
      <alignment horizontal="center" vertical="justify"/>
    </xf>
    <xf numFmtId="0" fontId="0" fillId="10" borderId="0" xfId="0" applyFill="1" applyAlignment="1">
      <alignment horizontal="left"/>
    </xf>
    <xf numFmtId="0" fontId="4" fillId="10" borderId="0" xfId="0" applyFont="1" applyFill="1" applyAlignment="1">
      <alignment horizontal="left"/>
    </xf>
    <xf numFmtId="166" fontId="0" fillId="10" borderId="0" xfId="0" applyNumberFormat="1" applyFill="1"/>
    <xf numFmtId="166" fontId="0" fillId="10" borderId="0" xfId="1" applyNumberFormat="1" applyFont="1" applyFill="1" applyBorder="1"/>
    <xf numFmtId="166" fontId="0" fillId="16" borderId="0" xfId="1" applyNumberFormat="1" applyFont="1" applyFill="1"/>
    <xf numFmtId="0" fontId="0" fillId="10" borderId="12" xfId="0" applyFill="1" applyBorder="1"/>
    <xf numFmtId="0" fontId="0" fillId="10" borderId="13" xfId="0" applyFill="1" applyBorder="1"/>
    <xf numFmtId="166" fontId="0" fillId="10" borderId="13" xfId="1" applyNumberFormat="1" applyFont="1" applyFill="1" applyBorder="1"/>
    <xf numFmtId="0" fontId="0" fillId="10" borderId="14" xfId="0" applyFill="1" applyBorder="1"/>
    <xf numFmtId="0" fontId="4" fillId="10" borderId="0" xfId="0" applyFont="1" applyFill="1" applyBorder="1"/>
    <xf numFmtId="166" fontId="0" fillId="10" borderId="4" xfId="1" applyNumberFormat="1" applyFont="1" applyFill="1" applyBorder="1"/>
    <xf numFmtId="166" fontId="5" fillId="15" borderId="33" xfId="1" applyNumberFormat="1" applyFont="1" applyFill="1" applyBorder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6" fontId="101" fillId="6" borderId="30" xfId="1" applyNumberFormat="1" applyFont="1" applyFill="1" applyBorder="1"/>
    <xf numFmtId="166" fontId="101" fillId="3" borderId="30" xfId="1" applyNumberFormat="1" applyFont="1" applyFill="1" applyBorder="1"/>
    <xf numFmtId="0" fontId="59" fillId="0" borderId="59" xfId="0" applyFont="1" applyBorder="1" applyAlignment="1">
      <alignment horizontal="center"/>
    </xf>
    <xf numFmtId="0" fontId="60" fillId="0" borderId="45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0" fontId="60" fillId="0" borderId="56" xfId="0" applyFont="1" applyBorder="1" applyAlignment="1">
      <alignment horizontal="center" vertical="center" wrapText="1"/>
    </xf>
    <xf numFmtId="0" fontId="60" fillId="6" borderId="56" xfId="0" applyFont="1" applyFill="1" applyBorder="1" applyAlignment="1">
      <alignment horizontal="center" vertical="center" wrapText="1"/>
    </xf>
    <xf numFmtId="166" fontId="46" fillId="0" borderId="3" xfId="1" applyNumberFormat="1" applyFont="1" applyFill="1" applyBorder="1" applyAlignment="1">
      <alignment horizontal="center" vertical="justify"/>
    </xf>
    <xf numFmtId="0" fontId="59" fillId="0" borderId="0" xfId="0" applyFont="1" applyFill="1"/>
    <xf numFmtId="0" fontId="60" fillId="0" borderId="3" xfId="0" applyFont="1" applyFill="1" applyBorder="1" applyAlignment="1">
      <alignment horizontal="center" vertical="center" wrapText="1"/>
    </xf>
    <xf numFmtId="0" fontId="60" fillId="0" borderId="57" xfId="0" applyFont="1" applyFill="1" applyBorder="1" applyAlignment="1">
      <alignment horizontal="center" vertical="center" wrapText="1"/>
    </xf>
    <xf numFmtId="0" fontId="60" fillId="0" borderId="56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/>
    </xf>
    <xf numFmtId="0" fontId="57" fillId="0" borderId="48" xfId="0" applyFont="1" applyFill="1" applyBorder="1" applyAlignment="1">
      <alignment horizontal="center" vertical="center"/>
    </xf>
    <xf numFmtId="0" fontId="59" fillId="0" borderId="33" xfId="0" applyFont="1" applyFill="1" applyBorder="1" applyAlignment="1">
      <alignment horizontal="center"/>
    </xf>
    <xf numFmtId="0" fontId="59" fillId="0" borderId="56" xfId="0" applyFont="1" applyFill="1" applyBorder="1" applyAlignment="1">
      <alignment horizontal="center"/>
    </xf>
    <xf numFmtId="0" fontId="60" fillId="0" borderId="0" xfId="0" applyFont="1" applyFill="1"/>
    <xf numFmtId="0" fontId="59" fillId="0" borderId="59" xfId="0" applyFont="1" applyBorder="1" applyAlignment="1">
      <alignment horizontal="center"/>
    </xf>
    <xf numFmtId="0" fontId="60" fillId="0" borderId="45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0" fontId="60" fillId="0" borderId="56" xfId="0" applyFont="1" applyBorder="1" applyAlignment="1">
      <alignment horizontal="center" vertical="center" wrapText="1"/>
    </xf>
    <xf numFmtId="0" fontId="60" fillId="6" borderId="56" xfId="0" applyFont="1" applyFill="1" applyBorder="1" applyAlignment="1">
      <alignment horizontal="center" vertical="center" wrapText="1"/>
    </xf>
    <xf numFmtId="0" fontId="60" fillId="0" borderId="45" xfId="0" applyFont="1" applyFill="1" applyBorder="1" applyAlignment="1">
      <alignment horizontal="center" vertical="center" wrapText="1"/>
    </xf>
    <xf numFmtId="0" fontId="60" fillId="0" borderId="59" xfId="0" applyFont="1" applyFill="1" applyBorder="1" applyAlignment="1">
      <alignment horizontal="center" vertical="center" wrapText="1"/>
    </xf>
    <xf numFmtId="0" fontId="60" fillId="0" borderId="56" xfId="0" applyFont="1" applyFill="1" applyBorder="1" applyAlignment="1">
      <alignment horizontal="center" vertical="center" wrapText="1"/>
    </xf>
    <xf numFmtId="49" fontId="59" fillId="0" borderId="0" xfId="0" applyNumberFormat="1" applyFont="1" applyFill="1"/>
    <xf numFmtId="0" fontId="60" fillId="0" borderId="53" xfId="0" applyFont="1" applyFill="1" applyBorder="1" applyAlignment="1">
      <alignment horizontal="center" vertical="center" wrapText="1"/>
    </xf>
    <xf numFmtId="0" fontId="60" fillId="0" borderId="33" xfId="0" applyFont="1" applyFill="1" applyBorder="1" applyAlignment="1">
      <alignment horizontal="center" vertical="center" wrapText="1"/>
    </xf>
    <xf numFmtId="0" fontId="59" fillId="0" borderId="47" xfId="0" applyFont="1" applyFill="1" applyBorder="1" applyAlignment="1">
      <alignment horizontal="center" vertical="center"/>
    </xf>
    <xf numFmtId="0" fontId="59" fillId="0" borderId="55" xfId="0" applyFont="1" applyFill="1" applyBorder="1" applyAlignment="1">
      <alignment horizontal="center" vertical="center"/>
    </xf>
    <xf numFmtId="0" fontId="59" fillId="0" borderId="48" xfId="0" applyFont="1" applyFill="1" applyBorder="1" applyAlignment="1">
      <alignment horizontal="center" vertical="center"/>
    </xf>
    <xf numFmtId="168" fontId="60" fillId="0" borderId="45" xfId="1" applyNumberFormat="1" applyFont="1" applyFill="1" applyBorder="1"/>
    <xf numFmtId="0" fontId="59" fillId="0" borderId="59" xfId="0" applyFont="1" applyFill="1" applyBorder="1" applyAlignment="1">
      <alignment horizontal="center"/>
    </xf>
    <xf numFmtId="0" fontId="101" fillId="6" borderId="26" xfId="0" applyFont="1" applyFill="1" applyBorder="1"/>
    <xf numFmtId="0" fontId="102" fillId="6" borderId="21" xfId="0" applyFont="1" applyFill="1" applyBorder="1"/>
    <xf numFmtId="0" fontId="101" fillId="6" borderId="21" xfId="0" applyFont="1" applyFill="1" applyBorder="1"/>
    <xf numFmtId="166" fontId="101" fillId="6" borderId="21" xfId="1" applyNumberFormat="1" applyFont="1" applyFill="1" applyBorder="1" applyAlignment="1">
      <alignment horizontal="left"/>
    </xf>
    <xf numFmtId="166" fontId="101" fillId="6" borderId="21" xfId="1" applyNumberFormat="1" applyFont="1" applyFill="1" applyBorder="1"/>
    <xf numFmtId="166" fontId="101" fillId="6" borderId="32" xfId="1" applyNumberFormat="1" applyFont="1" applyFill="1" applyBorder="1"/>
    <xf numFmtId="0" fontId="59" fillId="0" borderId="59" xfId="0" applyFont="1" applyBorder="1" applyAlignment="1">
      <alignment horizontal="center"/>
    </xf>
    <xf numFmtId="0" fontId="60" fillId="0" borderId="57" xfId="0" applyFont="1" applyBorder="1" applyAlignment="1">
      <alignment horizontal="center" vertical="center" wrapText="1"/>
    </xf>
    <xf numFmtId="0" fontId="60" fillId="0" borderId="45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0" fontId="60" fillId="0" borderId="56" xfId="0" applyFont="1" applyBorder="1" applyAlignment="1">
      <alignment horizontal="center" vertical="center" wrapText="1"/>
    </xf>
    <xf numFmtId="0" fontId="60" fillId="6" borderId="56" xfId="0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3" xfId="0" applyFont="1" applyFill="1" applyBorder="1" applyAlignment="1">
      <alignment horizontal="center" vertical="center" wrapText="1"/>
    </xf>
    <xf numFmtId="0" fontId="60" fillId="0" borderId="57" xfId="0" applyFont="1" applyFill="1" applyBorder="1" applyAlignment="1">
      <alignment horizontal="center" vertical="center" wrapText="1"/>
    </xf>
    <xf numFmtId="166" fontId="60" fillId="0" borderId="57" xfId="1" applyNumberFormat="1" applyFont="1" applyBorder="1" applyAlignment="1">
      <alignment horizontal="center" vertical="center" wrapText="1"/>
    </xf>
    <xf numFmtId="166" fontId="60" fillId="0" borderId="56" xfId="1" applyNumberFormat="1" applyFont="1" applyBorder="1" applyAlignment="1">
      <alignment horizontal="center" vertical="center" wrapText="1"/>
    </xf>
    <xf numFmtId="166" fontId="60" fillId="6" borderId="56" xfId="1" applyNumberFormat="1" applyFont="1" applyFill="1" applyBorder="1" applyAlignment="1">
      <alignment horizontal="center" vertical="center" wrapText="1"/>
    </xf>
    <xf numFmtId="166" fontId="60" fillId="0" borderId="3" xfId="1" applyNumberFormat="1" applyFont="1" applyBorder="1" applyAlignment="1">
      <alignment horizontal="center" vertical="center" wrapText="1"/>
    </xf>
    <xf numFmtId="166" fontId="60" fillId="6" borderId="3" xfId="1" applyNumberFormat="1" applyFont="1" applyFill="1" applyBorder="1" applyAlignment="1">
      <alignment horizontal="center" vertical="center" wrapText="1"/>
    </xf>
    <xf numFmtId="0" fontId="60" fillId="6" borderId="3" xfId="0" applyFont="1" applyFill="1" applyBorder="1" applyAlignment="1">
      <alignment horizontal="center" vertical="center" wrapText="1"/>
    </xf>
    <xf numFmtId="0" fontId="59" fillId="0" borderId="56" xfId="0" applyFont="1" applyBorder="1" applyAlignment="1">
      <alignment horizontal="center"/>
    </xf>
    <xf numFmtId="0" fontId="60" fillId="0" borderId="5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1" fillId="0" borderId="0" xfId="0" applyFont="1" applyFill="1"/>
    <xf numFmtId="166" fontId="21" fillId="0" borderId="6" xfId="1" applyNumberFormat="1" applyFont="1" applyFill="1" applyBorder="1" applyAlignment="1">
      <alignment vertical="justify"/>
    </xf>
    <xf numFmtId="166" fontId="21" fillId="0" borderId="45" xfId="1" applyNumberFormat="1" applyFont="1" applyFill="1" applyBorder="1" applyAlignment="1">
      <alignment horizontal="center" vertical="justify"/>
    </xf>
    <xf numFmtId="166" fontId="21" fillId="0" borderId="56" xfId="1" applyNumberFormat="1" applyFont="1" applyFill="1" applyBorder="1" applyAlignment="1">
      <alignment horizontal="center" vertical="justify"/>
    </xf>
    <xf numFmtId="166" fontId="21" fillId="0" borderId="59" xfId="1" applyNumberFormat="1" applyFont="1" applyFill="1" applyBorder="1" applyAlignment="1">
      <alignment horizontal="center" vertical="justify"/>
    </xf>
    <xf numFmtId="166" fontId="21" fillId="0" borderId="7" xfId="1" applyNumberFormat="1" applyFont="1" applyFill="1" applyBorder="1" applyAlignment="1">
      <alignment vertical="justify"/>
    </xf>
    <xf numFmtId="166" fontId="21" fillId="0" borderId="3" xfId="1" applyNumberFormat="1" applyFont="1" applyFill="1" applyBorder="1" applyAlignment="1">
      <alignment horizontal="center" vertical="justify"/>
    </xf>
    <xf numFmtId="166" fontId="21" fillId="0" borderId="4" xfId="1" applyNumberFormat="1" applyFont="1" applyFill="1" applyBorder="1" applyAlignment="1">
      <alignment horizontal="center" vertical="justify"/>
    </xf>
    <xf numFmtId="166" fontId="21" fillId="0" borderId="57" xfId="1" applyNumberFormat="1" applyFont="1" applyFill="1" applyBorder="1" applyAlignment="1">
      <alignment vertical="justify"/>
    </xf>
    <xf numFmtId="166" fontId="21" fillId="0" borderId="33" xfId="1" applyNumberFormat="1" applyFont="1" applyFill="1" applyBorder="1" applyAlignment="1">
      <alignment vertical="justify"/>
    </xf>
    <xf numFmtId="0" fontId="21" fillId="0" borderId="25" xfId="0" applyFont="1" applyFill="1" applyBorder="1"/>
    <xf numFmtId="166" fontId="17" fillId="0" borderId="46" xfId="1" applyNumberFormat="1" applyFont="1" applyFill="1" applyBorder="1"/>
    <xf numFmtId="166" fontId="21" fillId="0" borderId="22" xfId="1" applyNumberFormat="1" applyFont="1" applyFill="1" applyBorder="1"/>
    <xf numFmtId="166" fontId="21" fillId="0" borderId="62" xfId="1" applyNumberFormat="1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66" fontId="17" fillId="0" borderId="13" xfId="1" applyNumberFormat="1" applyFont="1" applyFill="1" applyBorder="1"/>
    <xf numFmtId="166" fontId="17" fillId="0" borderId="14" xfId="1" applyNumberFormat="1" applyFont="1" applyFill="1" applyBorder="1"/>
    <xf numFmtId="0" fontId="17" fillId="0" borderId="13" xfId="0" applyFont="1" applyBorder="1"/>
    <xf numFmtId="0" fontId="103" fillId="0" borderId="0" xfId="0" applyFont="1" applyBorder="1"/>
    <xf numFmtId="166" fontId="48" fillId="0" borderId="6" xfId="1" applyNumberFormat="1" applyFont="1" applyFill="1" applyBorder="1" applyAlignment="1">
      <alignment vertical="justify"/>
    </xf>
    <xf numFmtId="166" fontId="48" fillId="0" borderId="45" xfId="1" applyNumberFormat="1" applyFont="1" applyFill="1" applyBorder="1" applyAlignment="1">
      <alignment horizontal="center" vertical="justify"/>
    </xf>
    <xf numFmtId="166" fontId="48" fillId="0" borderId="56" xfId="1" applyNumberFormat="1" applyFont="1" applyFill="1" applyBorder="1" applyAlignment="1">
      <alignment horizontal="center" vertical="justify"/>
    </xf>
    <xf numFmtId="166" fontId="48" fillId="0" borderId="59" xfId="1" applyNumberFormat="1" applyFont="1" applyFill="1" applyBorder="1" applyAlignment="1">
      <alignment horizontal="center" vertical="justify"/>
    </xf>
    <xf numFmtId="166" fontId="48" fillId="0" borderId="7" xfId="1" applyNumberFormat="1" applyFont="1" applyFill="1" applyBorder="1" applyAlignment="1">
      <alignment vertical="justify"/>
    </xf>
    <xf numFmtId="166" fontId="48" fillId="0" borderId="57" xfId="1" applyNumberFormat="1" applyFont="1" applyFill="1" applyBorder="1" applyAlignment="1">
      <alignment vertical="justify"/>
    </xf>
    <xf numFmtId="166" fontId="48" fillId="0" borderId="33" xfId="1" applyNumberFormat="1" applyFont="1" applyFill="1" applyBorder="1" applyAlignment="1">
      <alignment vertical="justify"/>
    </xf>
    <xf numFmtId="166" fontId="59" fillId="0" borderId="47" xfId="1" applyNumberFormat="1" applyFont="1" applyFill="1" applyBorder="1" applyAlignment="1">
      <alignment horizontal="center" vertical="center"/>
    </xf>
    <xf numFmtId="166" fontId="59" fillId="0" borderId="55" xfId="1" applyNumberFormat="1" applyFont="1" applyFill="1" applyBorder="1" applyAlignment="1">
      <alignment horizontal="center" vertical="center"/>
    </xf>
    <xf numFmtId="166" fontId="59" fillId="0" borderId="48" xfId="1" applyNumberFormat="1" applyFont="1" applyFill="1" applyBorder="1" applyAlignment="1">
      <alignment horizontal="center" vertical="center"/>
    </xf>
    <xf numFmtId="0" fontId="89" fillId="8" borderId="57" xfId="0" applyFont="1" applyFill="1" applyBorder="1" applyAlignment="1">
      <alignment horizontal="center" vertical="center" wrapText="1"/>
    </xf>
    <xf numFmtId="0" fontId="89" fillId="8" borderId="3" xfId="0" applyFont="1" applyFill="1" applyBorder="1" applyAlignment="1">
      <alignment horizontal="center" vertical="center" wrapText="1"/>
    </xf>
    <xf numFmtId="0" fontId="89" fillId="8" borderId="56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justify"/>
    </xf>
    <xf numFmtId="0" fontId="7" fillId="8" borderId="52" xfId="0" applyFont="1" applyFill="1" applyBorder="1" applyAlignment="1">
      <alignment horizontal="center" vertical="justify"/>
    </xf>
    <xf numFmtId="166" fontId="81" fillId="7" borderId="37" xfId="1" applyNumberFormat="1" applyFont="1" applyFill="1" applyBorder="1"/>
    <xf numFmtId="0" fontId="104" fillId="0" borderId="8" xfId="0" applyFont="1" applyBorder="1"/>
    <xf numFmtId="0" fontId="105" fillId="0" borderId="8" xfId="0" applyNumberFormat="1" applyFont="1" applyBorder="1"/>
    <xf numFmtId="49" fontId="105" fillId="0" borderId="8" xfId="0" applyNumberFormat="1" applyFont="1" applyBorder="1"/>
    <xf numFmtId="166" fontId="105" fillId="0" borderId="8" xfId="1" applyNumberFormat="1" applyFont="1" applyBorder="1"/>
    <xf numFmtId="0" fontId="7" fillId="0" borderId="8" xfId="0" applyNumberFormat="1" applyFont="1" applyBorder="1"/>
    <xf numFmtId="167" fontId="7" fillId="6" borderId="8" xfId="1" applyNumberFormat="1" applyFont="1" applyFill="1" applyBorder="1"/>
    <xf numFmtId="166" fontId="81" fillId="0" borderId="30" xfId="1" applyNumberFormat="1" applyFont="1" applyFill="1" applyBorder="1"/>
    <xf numFmtId="166" fontId="7" fillId="0" borderId="0" xfId="1" applyNumberFormat="1" applyFont="1" applyFill="1" applyBorder="1" applyAlignment="1"/>
    <xf numFmtId="166" fontId="7" fillId="7" borderId="37" xfId="1" applyNumberFormat="1" applyFont="1" applyFill="1" applyBorder="1"/>
    <xf numFmtId="0" fontId="7" fillId="0" borderId="8" xfId="0" applyNumberFormat="1" applyFont="1" applyFill="1" applyBorder="1"/>
    <xf numFmtId="0" fontId="20" fillId="0" borderId="8" xfId="0" applyNumberFormat="1" applyFont="1" applyBorder="1"/>
    <xf numFmtId="166" fontId="105" fillId="0" borderId="30" xfId="1" applyNumberFormat="1" applyFont="1" applyBorder="1"/>
    <xf numFmtId="166" fontId="104" fillId="0" borderId="30" xfId="1" applyNumberFormat="1" applyFont="1" applyBorder="1"/>
    <xf numFmtId="166" fontId="105" fillId="0" borderId="8" xfId="1" applyNumberFormat="1" applyFont="1" applyFill="1" applyBorder="1"/>
    <xf numFmtId="0" fontId="104" fillId="0" borderId="10" xfId="0" applyFont="1" applyBorder="1"/>
    <xf numFmtId="0" fontId="0" fillId="13" borderId="0" xfId="0" applyFill="1"/>
    <xf numFmtId="0" fontId="4" fillId="13" borderId="0" xfId="0" applyFont="1" applyFill="1"/>
    <xf numFmtId="166" fontId="7" fillId="8" borderId="11" xfId="1" applyNumberFormat="1" applyFont="1" applyFill="1" applyBorder="1" applyAlignment="1">
      <alignment vertical="justify"/>
    </xf>
    <xf numFmtId="166" fontId="7" fillId="0" borderId="47" xfId="1" applyNumberFormat="1" applyFont="1" applyFill="1" applyBorder="1" applyAlignment="1">
      <alignment horizontal="center"/>
    </xf>
    <xf numFmtId="166" fontId="7" fillId="0" borderId="55" xfId="1" applyNumberFormat="1" applyFont="1" applyFill="1" applyBorder="1" applyAlignment="1">
      <alignment horizontal="center"/>
    </xf>
    <xf numFmtId="166" fontId="7" fillId="0" borderId="48" xfId="1" applyNumberFormat="1" applyFont="1" applyFill="1" applyBorder="1"/>
    <xf numFmtId="166" fontId="108" fillId="0" borderId="36" xfId="1" applyNumberFormat="1" applyFont="1" applyBorder="1"/>
    <xf numFmtId="166" fontId="108" fillId="0" borderId="38" xfId="1" applyNumberFormat="1" applyFont="1" applyBorder="1"/>
    <xf numFmtId="166" fontId="108" fillId="0" borderId="8" xfId="1" applyNumberFormat="1" applyFont="1" applyBorder="1"/>
    <xf numFmtId="166" fontId="108" fillId="0" borderId="30" xfId="1" applyNumberFormat="1" applyFont="1" applyBorder="1"/>
    <xf numFmtId="166" fontId="108" fillId="8" borderId="8" xfId="1" applyNumberFormat="1" applyFont="1" applyFill="1" applyBorder="1"/>
    <xf numFmtId="166" fontId="108" fillId="8" borderId="30" xfId="1" applyNumberFormat="1" applyFont="1" applyFill="1" applyBorder="1"/>
    <xf numFmtId="166" fontId="108" fillId="0" borderId="11" xfId="1" applyNumberFormat="1" applyFont="1" applyBorder="1"/>
    <xf numFmtId="166" fontId="108" fillId="0" borderId="37" xfId="1" applyNumberFormat="1" applyFont="1" applyBorder="1"/>
    <xf numFmtId="166" fontId="108" fillId="2" borderId="36" xfId="1" applyNumberFormat="1" applyFont="1" applyFill="1" applyBorder="1"/>
    <xf numFmtId="0" fontId="90" fillId="8" borderId="47" xfId="0" applyFont="1" applyFill="1" applyBorder="1" applyAlignment="1">
      <alignment horizontal="center" vertical="center"/>
    </xf>
    <xf numFmtId="0" fontId="90" fillId="8" borderId="48" xfId="0" applyFont="1" applyFill="1" applyBorder="1" applyAlignment="1">
      <alignment horizontal="center" vertical="center"/>
    </xf>
    <xf numFmtId="0" fontId="108" fillId="0" borderId="69" xfId="0" applyFont="1" applyBorder="1"/>
    <xf numFmtId="0" fontId="108" fillId="0" borderId="23" xfId="0" applyFont="1" applyBorder="1"/>
    <xf numFmtId="0" fontId="108" fillId="8" borderId="23" xfId="0" applyFont="1" applyFill="1" applyBorder="1"/>
    <xf numFmtId="0" fontId="108" fillId="0" borderId="44" xfId="0" applyFont="1" applyBorder="1"/>
    <xf numFmtId="0" fontId="107" fillId="4" borderId="60" xfId="0" applyFont="1" applyFill="1" applyBorder="1"/>
    <xf numFmtId="166" fontId="107" fillId="4" borderId="52" xfId="1" applyNumberFormat="1" applyFont="1" applyFill="1" applyBorder="1"/>
    <xf numFmtId="0" fontId="109" fillId="0" borderId="12" xfId="0" applyFont="1" applyBorder="1"/>
    <xf numFmtId="0" fontId="109" fillId="0" borderId="13" xfId="0" applyFont="1" applyBorder="1"/>
    <xf numFmtId="0" fontId="109" fillId="0" borderId="14" xfId="0" applyFont="1" applyBorder="1"/>
    <xf numFmtId="0" fontId="109" fillId="0" borderId="1" xfId="0" applyFont="1" applyBorder="1"/>
    <xf numFmtId="0" fontId="109" fillId="0" borderId="0" xfId="0" applyFont="1" applyBorder="1"/>
    <xf numFmtId="0" fontId="109" fillId="0" borderId="2" xfId="0" applyFont="1" applyBorder="1"/>
    <xf numFmtId="166" fontId="109" fillId="0" borderId="0" xfId="1" applyNumberFormat="1" applyFont="1" applyBorder="1"/>
    <xf numFmtId="166" fontId="109" fillId="0" borderId="0" xfId="1" applyNumberFormat="1" applyFont="1" applyFill="1" applyBorder="1"/>
    <xf numFmtId="0" fontId="39" fillId="0" borderId="0" xfId="0" applyFont="1" applyBorder="1"/>
    <xf numFmtId="0" fontId="109" fillId="0" borderId="3" xfId="0" applyFont="1" applyBorder="1"/>
    <xf numFmtId="0" fontId="109" fillId="0" borderId="4" xfId="0" applyFont="1" applyBorder="1"/>
    <xf numFmtId="166" fontId="109" fillId="0" borderId="4" xfId="1" applyNumberFormat="1" applyFont="1" applyBorder="1"/>
    <xf numFmtId="0" fontId="109" fillId="0" borderId="5" xfId="0" applyFont="1" applyBorder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9" fillId="0" borderId="13" xfId="0" applyFont="1" applyBorder="1" applyAlignment="1">
      <alignment horizontal="left"/>
    </xf>
    <xf numFmtId="0" fontId="109" fillId="0" borderId="0" xfId="0" applyFont="1" applyBorder="1" applyAlignment="1">
      <alignment horizontal="left"/>
    </xf>
    <xf numFmtId="0" fontId="109" fillId="0" borderId="0" xfId="0" applyFont="1" applyFill="1" applyBorder="1" applyAlignment="1">
      <alignment horizontal="left"/>
    </xf>
    <xf numFmtId="166" fontId="109" fillId="0" borderId="0" xfId="1" applyNumberFormat="1" applyFont="1" applyBorder="1" applyAlignment="1">
      <alignment horizontal="left"/>
    </xf>
    <xf numFmtId="166" fontId="109" fillId="0" borderId="0" xfId="1" applyNumberFormat="1" applyFont="1" applyFill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109" fillId="0" borderId="4" xfId="0" applyFont="1" applyBorder="1" applyAlignment="1">
      <alignment horizontal="left"/>
    </xf>
    <xf numFmtId="166" fontId="39" fillId="0" borderId="0" xfId="1" applyNumberFormat="1" applyFont="1" applyBorder="1"/>
    <xf numFmtId="166" fontId="21" fillId="7" borderId="0" xfId="1" applyNumberFormat="1" applyFont="1" applyFill="1" applyBorder="1"/>
    <xf numFmtId="166" fontId="21" fillId="0" borderId="0" xfId="1" applyNumberFormat="1" applyFont="1" applyFill="1" applyBorder="1"/>
    <xf numFmtId="166" fontId="0" fillId="15" borderId="0" xfId="0" applyNumberFormat="1" applyFill="1"/>
    <xf numFmtId="166" fontId="21" fillId="15" borderId="0" xfId="1" applyNumberFormat="1" applyFont="1" applyFill="1" applyBorder="1"/>
    <xf numFmtId="43" fontId="7" fillId="0" borderId="8" xfId="1" applyFont="1" applyFill="1" applyBorder="1" applyAlignment="1">
      <alignment horizontal="center"/>
    </xf>
    <xf numFmtId="166" fontId="110" fillId="10" borderId="8" xfId="1" applyNumberFormat="1" applyFont="1" applyFill="1" applyBorder="1"/>
    <xf numFmtId="166" fontId="111" fillId="10" borderId="8" xfId="1" applyNumberFormat="1" applyFont="1" applyFill="1" applyBorder="1"/>
    <xf numFmtId="167" fontId="18" fillId="0" borderId="0" xfId="1" applyNumberFormat="1" applyFont="1"/>
    <xf numFmtId="167" fontId="7" fillId="0" borderId="0" xfId="1" applyNumberFormat="1" applyFont="1"/>
    <xf numFmtId="4" fontId="7" fillId="0" borderId="0" xfId="1" applyNumberFormat="1" applyFont="1"/>
    <xf numFmtId="169" fontId="7" fillId="0" borderId="0" xfId="1" applyNumberFormat="1" applyFont="1"/>
    <xf numFmtId="167" fontId="7" fillId="0" borderId="8" xfId="1" applyNumberFormat="1" applyFont="1" applyBorder="1"/>
    <xf numFmtId="167" fontId="46" fillId="0" borderId="8" xfId="1" applyNumberFormat="1" applyFont="1" applyBorder="1"/>
    <xf numFmtId="167" fontId="18" fillId="0" borderId="0" xfId="1" applyNumberFormat="1" applyFont="1" applyAlignment="1"/>
    <xf numFmtId="167" fontId="7" fillId="0" borderId="0" xfId="1" applyNumberFormat="1" applyFont="1" applyAlignment="1"/>
    <xf numFmtId="167" fontId="7" fillId="0" borderId="8" xfId="1" applyNumberFormat="1" applyFont="1" applyBorder="1" applyAlignment="1">
      <alignment horizontal="center"/>
    </xf>
    <xf numFmtId="167" fontId="7" fillId="0" borderId="0" xfId="1" applyNumberFormat="1" applyFont="1" applyAlignment="1">
      <alignment horizontal="center"/>
    </xf>
    <xf numFmtId="167" fontId="18" fillId="0" borderId="0" xfId="1" applyNumberFormat="1" applyFont="1" applyAlignment="1">
      <alignment horizontal="center"/>
    </xf>
    <xf numFmtId="166" fontId="112" fillId="6" borderId="33" xfId="0" applyNumberFormat="1" applyFont="1" applyFill="1" applyBorder="1"/>
    <xf numFmtId="0" fontId="113" fillId="0" borderId="0" xfId="0" applyFont="1" applyFill="1"/>
    <xf numFmtId="0" fontId="114" fillId="0" borderId="0" xfId="0" applyFont="1" applyFill="1" applyBorder="1"/>
    <xf numFmtId="0" fontId="113" fillId="0" borderId="0" xfId="0" applyFont="1" applyFill="1" applyBorder="1"/>
    <xf numFmtId="0" fontId="114" fillId="0" borderId="0" xfId="0" applyFont="1" applyFill="1"/>
    <xf numFmtId="0" fontId="113" fillId="0" borderId="36" xfId="0" applyFont="1" applyFill="1" applyBorder="1"/>
    <xf numFmtId="166" fontId="113" fillId="0" borderId="36" xfId="1" applyNumberFormat="1" applyFont="1" applyFill="1" applyBorder="1"/>
    <xf numFmtId="166" fontId="113" fillId="0" borderId="36" xfId="1" applyNumberFormat="1" applyFont="1" applyBorder="1"/>
    <xf numFmtId="166" fontId="113" fillId="0" borderId="38" xfId="1" applyNumberFormat="1" applyFont="1" applyFill="1" applyBorder="1"/>
    <xf numFmtId="0" fontId="113" fillId="0" borderId="8" xfId="0" applyFont="1" applyFill="1" applyBorder="1"/>
    <xf numFmtId="166" fontId="113" fillId="0" borderId="8" xfId="1" applyNumberFormat="1" applyFont="1" applyFill="1" applyBorder="1"/>
    <xf numFmtId="166" fontId="113" fillId="0" borderId="8" xfId="1" applyNumberFormat="1" applyFont="1" applyBorder="1"/>
    <xf numFmtId="166" fontId="113" fillId="7" borderId="8" xfId="1" applyNumberFormat="1" applyFont="1" applyFill="1" applyBorder="1"/>
    <xf numFmtId="166" fontId="113" fillId="0" borderId="21" xfId="1" applyNumberFormat="1" applyFont="1" applyFill="1" applyBorder="1"/>
    <xf numFmtId="0" fontId="113" fillId="0" borderId="35" xfId="0" applyFont="1" applyFill="1" applyBorder="1"/>
    <xf numFmtId="166" fontId="113" fillId="6" borderId="46" xfId="1" applyNumberFormat="1" applyFont="1" applyFill="1" applyBorder="1"/>
    <xf numFmtId="166" fontId="113" fillId="0" borderId="0" xfId="1" applyNumberFormat="1" applyFont="1" applyFill="1"/>
    <xf numFmtId="166" fontId="113" fillId="6" borderId="0" xfId="1" applyNumberFormat="1" applyFont="1" applyFill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10" borderId="0" xfId="0" applyFont="1" applyFill="1" applyAlignment="1">
      <alignment horizontal="left"/>
    </xf>
    <xf numFmtId="0" fontId="114" fillId="8" borderId="14" xfId="0" applyFont="1" applyFill="1" applyBorder="1" applyAlignment="1">
      <alignment horizontal="center" vertical="justify"/>
    </xf>
    <xf numFmtId="0" fontId="114" fillId="8" borderId="2" xfId="0" applyFont="1" applyFill="1" applyBorder="1" applyAlignment="1">
      <alignment horizontal="center" vertical="justify"/>
    </xf>
    <xf numFmtId="0" fontId="116" fillId="0" borderId="0" xfId="0" applyFont="1" applyFill="1"/>
    <xf numFmtId="166" fontId="116" fillId="0" borderId="0" xfId="1" applyNumberFormat="1" applyFont="1" applyFill="1"/>
    <xf numFmtId="43" fontId="116" fillId="0" borderId="0" xfId="1" applyFont="1" applyFill="1"/>
    <xf numFmtId="0" fontId="117" fillId="0" borderId="0" xfId="0" applyFont="1" applyFill="1"/>
    <xf numFmtId="0" fontId="118" fillId="0" borderId="0" xfId="0" applyFont="1" applyFill="1"/>
    <xf numFmtId="0" fontId="119" fillId="0" borderId="0" xfId="0" applyFont="1" applyFill="1" applyBorder="1"/>
    <xf numFmtId="166" fontId="119" fillId="0" borderId="0" xfId="1" applyNumberFormat="1" applyFont="1" applyFill="1" applyBorder="1" applyAlignment="1"/>
    <xf numFmtId="43" fontId="119" fillId="0" borderId="0" xfId="1" applyFont="1" applyFill="1" applyBorder="1" applyAlignment="1"/>
    <xf numFmtId="166" fontId="119" fillId="0" borderId="0" xfId="1" applyNumberFormat="1" applyFont="1" applyFill="1" applyBorder="1"/>
    <xf numFmtId="43" fontId="119" fillId="0" borderId="0" xfId="1" applyFont="1" applyFill="1" applyBorder="1"/>
    <xf numFmtId="0" fontId="116" fillId="0" borderId="0" xfId="0" applyFont="1" applyFill="1" applyBorder="1"/>
    <xf numFmtId="166" fontId="116" fillId="0" borderId="0" xfId="1" applyNumberFormat="1" applyFont="1" applyFill="1" applyBorder="1"/>
    <xf numFmtId="43" fontId="116" fillId="0" borderId="0" xfId="1" applyFont="1" applyFill="1" applyBorder="1"/>
    <xf numFmtId="166" fontId="119" fillId="0" borderId="0" xfId="1" applyNumberFormat="1" applyFont="1" applyFill="1"/>
    <xf numFmtId="0" fontId="117" fillId="0" borderId="15" xfId="0" applyFont="1" applyFill="1" applyBorder="1"/>
    <xf numFmtId="0" fontId="117" fillId="0" borderId="36" xfId="0" applyFont="1" applyFill="1" applyBorder="1"/>
    <xf numFmtId="0" fontId="120" fillId="0" borderId="0" xfId="0" applyFont="1" applyFill="1"/>
    <xf numFmtId="166" fontId="120" fillId="0" borderId="0" xfId="1" applyNumberFormat="1" applyFont="1" applyFill="1"/>
    <xf numFmtId="43" fontId="120" fillId="0" borderId="0" xfId="1" applyFont="1" applyFill="1"/>
    <xf numFmtId="0" fontId="117" fillId="0" borderId="9" xfId="0" applyFont="1" applyFill="1" applyBorder="1"/>
    <xf numFmtId="0" fontId="117" fillId="0" borderId="8" xfId="0" applyFont="1" applyFill="1" applyBorder="1"/>
    <xf numFmtId="166" fontId="114" fillId="7" borderId="45" xfId="1" applyNumberFormat="1" applyFont="1" applyFill="1" applyBorder="1" applyAlignment="1">
      <alignment horizontal="center"/>
    </xf>
    <xf numFmtId="43" fontId="114" fillId="7" borderId="56" xfId="1" applyFont="1" applyFill="1" applyBorder="1" applyAlignment="1">
      <alignment horizontal="center"/>
    </xf>
    <xf numFmtId="166" fontId="114" fillId="7" borderId="6" xfId="1" applyNumberFormat="1" applyFont="1" applyFill="1" applyBorder="1" applyAlignment="1">
      <alignment horizontal="center"/>
    </xf>
    <xf numFmtId="166" fontId="114" fillId="7" borderId="14" xfId="1" applyNumberFormat="1" applyFont="1" applyFill="1" applyBorder="1" applyAlignment="1">
      <alignment horizontal="center"/>
    </xf>
    <xf numFmtId="166" fontId="114" fillId="7" borderId="12" xfId="1" applyNumberFormat="1" applyFont="1" applyFill="1" applyBorder="1" applyAlignment="1">
      <alignment horizontal="center"/>
    </xf>
    <xf numFmtId="166" fontId="114" fillId="7" borderId="33" xfId="1" applyNumberFormat="1" applyFont="1" applyFill="1" applyBorder="1" applyAlignment="1">
      <alignment horizontal="center"/>
    </xf>
    <xf numFmtId="43" fontId="114" fillId="7" borderId="33" xfId="1" applyFont="1" applyFill="1" applyBorder="1" applyAlignment="1">
      <alignment horizontal="center"/>
    </xf>
    <xf numFmtId="166" fontId="114" fillId="7" borderId="57" xfId="1" applyNumberFormat="1" applyFont="1" applyFill="1" applyBorder="1" applyAlignment="1">
      <alignment horizontal="center"/>
    </xf>
    <xf numFmtId="166" fontId="114" fillId="7" borderId="5" xfId="1" applyNumberFormat="1" applyFont="1" applyFill="1" applyBorder="1" applyAlignment="1">
      <alignment horizontal="center"/>
    </xf>
    <xf numFmtId="166" fontId="113" fillId="7" borderId="3" xfId="1" applyNumberFormat="1" applyFont="1" applyFill="1" applyBorder="1"/>
    <xf numFmtId="0" fontId="113" fillId="0" borderId="15" xfId="0" applyFont="1" applyFill="1" applyBorder="1"/>
    <xf numFmtId="166" fontId="113" fillId="0" borderId="69" xfId="1" applyNumberFormat="1" applyFont="1" applyFill="1" applyBorder="1"/>
    <xf numFmtId="43" fontId="113" fillId="0" borderId="36" xfId="1" applyFont="1" applyFill="1" applyBorder="1"/>
    <xf numFmtId="0" fontId="113" fillId="0" borderId="9" xfId="0" applyFont="1" applyFill="1" applyBorder="1"/>
    <xf numFmtId="43" fontId="113" fillId="0" borderId="8" xfId="1" applyFont="1" applyFill="1" applyBorder="1"/>
    <xf numFmtId="166" fontId="113" fillId="0" borderId="30" xfId="1" applyNumberFormat="1" applyFont="1" applyFill="1" applyBorder="1"/>
    <xf numFmtId="166" fontId="117" fillId="13" borderId="8" xfId="1" applyNumberFormat="1" applyFont="1" applyFill="1" applyBorder="1"/>
    <xf numFmtId="0" fontId="117" fillId="0" borderId="58" xfId="0" applyFont="1" applyFill="1" applyBorder="1" applyAlignment="1"/>
    <xf numFmtId="0" fontId="118" fillId="7" borderId="59" xfId="0" applyFont="1" applyFill="1" applyBorder="1" applyAlignment="1">
      <alignment horizontal="center"/>
    </xf>
    <xf numFmtId="0" fontId="118" fillId="7" borderId="56" xfId="0" applyFont="1" applyFill="1" applyBorder="1" applyAlignment="1">
      <alignment horizontal="center"/>
    </xf>
    <xf numFmtId="0" fontId="113" fillId="0" borderId="8" xfId="0" applyFont="1" applyFill="1" applyBorder="1" applyAlignment="1">
      <alignment horizontal="right"/>
    </xf>
    <xf numFmtId="0" fontId="115" fillId="0" borderId="8" xfId="0" applyFont="1" applyFill="1" applyBorder="1" applyAlignment="1">
      <alignment horizontal="right"/>
    </xf>
    <xf numFmtId="0" fontId="122" fillId="0" borderId="8" xfId="0" applyFont="1" applyFill="1" applyBorder="1"/>
    <xf numFmtId="0" fontId="116" fillId="0" borderId="8" xfId="0" applyFont="1" applyFill="1" applyBorder="1"/>
    <xf numFmtId="0" fontId="113" fillId="0" borderId="11" xfId="0" applyFont="1" applyFill="1" applyBorder="1" applyAlignment="1">
      <alignment horizontal="right"/>
    </xf>
    <xf numFmtId="0" fontId="117" fillId="0" borderId="0" xfId="0" applyFont="1" applyFill="1" applyBorder="1"/>
    <xf numFmtId="164" fontId="117" fillId="0" borderId="0" xfId="0" applyNumberFormat="1" applyFont="1" applyFill="1" applyBorder="1"/>
    <xf numFmtId="0" fontId="123" fillId="0" borderId="0" xfId="0" applyFont="1" applyFill="1" applyBorder="1"/>
    <xf numFmtId="0" fontId="124" fillId="0" borderId="0" xfId="0" applyFont="1" applyFill="1" applyBorder="1"/>
    <xf numFmtId="164" fontId="114" fillId="7" borderId="6" xfId="0" applyNumberFormat="1" applyFont="1" applyFill="1" applyBorder="1" applyAlignment="1">
      <alignment horizontal="center"/>
    </xf>
    <xf numFmtId="164" fontId="114" fillId="7" borderId="14" xfId="0" applyNumberFormat="1" applyFont="1" applyFill="1" applyBorder="1" applyAlignment="1">
      <alignment horizontal="center"/>
    </xf>
    <xf numFmtId="164" fontId="114" fillId="7" borderId="57" xfId="0" applyNumberFormat="1" applyFont="1" applyFill="1" applyBorder="1" applyAlignment="1">
      <alignment horizontal="center"/>
    </xf>
    <xf numFmtId="164" fontId="114" fillId="7" borderId="5" xfId="0" applyNumberFormat="1" applyFont="1" applyFill="1" applyBorder="1" applyAlignment="1">
      <alignment horizontal="center"/>
    </xf>
    <xf numFmtId="164" fontId="117" fillId="0" borderId="36" xfId="0" applyNumberFormat="1" applyFont="1" applyFill="1" applyBorder="1"/>
    <xf numFmtId="164" fontId="117" fillId="0" borderId="40" xfId="0" applyNumberFormat="1" applyFont="1" applyFill="1" applyBorder="1"/>
    <xf numFmtId="164" fontId="124" fillId="0" borderId="38" xfId="0" applyNumberFormat="1" applyFont="1" applyFill="1" applyBorder="1"/>
    <xf numFmtId="164" fontId="117" fillId="0" borderId="8" xfId="0" applyNumberFormat="1" applyFont="1" applyFill="1" applyBorder="1"/>
    <xf numFmtId="164" fontId="124" fillId="0" borderId="30" xfId="0" applyNumberFormat="1" applyFont="1" applyFill="1" applyBorder="1"/>
    <xf numFmtId="164" fontId="118" fillId="0" borderId="8" xfId="0" applyNumberFormat="1" applyFont="1" applyFill="1" applyBorder="1"/>
    <xf numFmtId="164" fontId="118" fillId="0" borderId="30" xfId="0" applyNumberFormat="1" applyFont="1" applyFill="1" applyBorder="1"/>
    <xf numFmtId="164" fontId="118" fillId="8" borderId="8" xfId="0" applyNumberFormat="1" applyFont="1" applyFill="1" applyBorder="1"/>
    <xf numFmtId="164" fontId="118" fillId="8" borderId="30" xfId="0" applyNumberFormat="1" applyFont="1" applyFill="1" applyBorder="1"/>
    <xf numFmtId="164" fontId="117" fillId="0" borderId="30" xfId="0" applyNumberFormat="1" applyFont="1" applyFill="1" applyBorder="1"/>
    <xf numFmtId="0" fontId="117" fillId="0" borderId="23" xfId="0" applyFont="1" applyFill="1" applyBorder="1" applyAlignment="1"/>
    <xf numFmtId="164" fontId="118" fillId="0" borderId="11" xfId="0" applyNumberFormat="1" applyFont="1" applyFill="1" applyBorder="1"/>
    <xf numFmtId="164" fontId="118" fillId="0" borderId="37" xfId="0" applyNumberFormat="1" applyFont="1" applyFill="1" applyBorder="1"/>
    <xf numFmtId="164" fontId="117" fillId="0" borderId="0" xfId="0" applyNumberFormat="1" applyFont="1" applyFill="1"/>
    <xf numFmtId="166" fontId="117" fillId="0" borderId="0" xfId="1" applyNumberFormat="1" applyFont="1" applyBorder="1"/>
    <xf numFmtId="0" fontId="118" fillId="7" borderId="6" xfId="0" applyFont="1" applyFill="1" applyBorder="1" applyAlignment="1">
      <alignment horizontal="center"/>
    </xf>
    <xf numFmtId="0" fontId="118" fillId="0" borderId="0" xfId="0" applyFont="1" applyFill="1" applyBorder="1"/>
    <xf numFmtId="0" fontId="118" fillId="7" borderId="33" xfId="0" applyFont="1" applyFill="1" applyBorder="1" applyAlignment="1">
      <alignment horizontal="center"/>
    </xf>
    <xf numFmtId="0" fontId="118" fillId="7" borderId="57" xfId="0" applyFont="1" applyFill="1" applyBorder="1" applyAlignment="1">
      <alignment horizontal="center"/>
    </xf>
    <xf numFmtId="46" fontId="113" fillId="0" borderId="8" xfId="0" applyNumberFormat="1" applyFont="1" applyFill="1" applyBorder="1" applyAlignment="1">
      <alignment horizontal="right"/>
    </xf>
    <xf numFmtId="164" fontId="113" fillId="0" borderId="8" xfId="0" applyNumberFormat="1" applyFont="1" applyFill="1" applyBorder="1" applyAlignment="1">
      <alignment horizontal="right"/>
    </xf>
    <xf numFmtId="0" fontId="114" fillId="0" borderId="30" xfId="0" applyFont="1" applyFill="1" applyBorder="1" applyAlignment="1"/>
    <xf numFmtId="21" fontId="113" fillId="0" borderId="8" xfId="0" applyNumberFormat="1" applyFont="1" applyFill="1" applyBorder="1" applyAlignment="1">
      <alignment horizontal="right"/>
    </xf>
    <xf numFmtId="164" fontId="122" fillId="0" borderId="0" xfId="0" applyNumberFormat="1" applyFont="1" applyFill="1" applyBorder="1"/>
    <xf numFmtId="46" fontId="115" fillId="0" borderId="8" xfId="0" applyNumberFormat="1" applyFont="1" applyFill="1" applyBorder="1" applyAlignment="1">
      <alignment horizontal="right"/>
    </xf>
    <xf numFmtId="164" fontId="115" fillId="0" borderId="8" xfId="0" applyNumberFormat="1" applyFont="1" applyFill="1" applyBorder="1" applyAlignment="1">
      <alignment horizontal="right"/>
    </xf>
    <xf numFmtId="0" fontId="115" fillId="0" borderId="30" xfId="0" applyFont="1" applyFill="1" applyBorder="1" applyAlignment="1"/>
    <xf numFmtId="21" fontId="115" fillId="0" borderId="8" xfId="0" applyNumberFormat="1" applyFont="1" applyFill="1" applyBorder="1" applyAlignment="1">
      <alignment horizontal="right"/>
    </xf>
    <xf numFmtId="164" fontId="114" fillId="0" borderId="8" xfId="0" applyNumberFormat="1" applyFont="1" applyFill="1" applyBorder="1" applyAlignment="1">
      <alignment horizontal="right"/>
    </xf>
    <xf numFmtId="21" fontId="122" fillId="0" borderId="8" xfId="0" applyNumberFormat="1" applyFont="1" applyFill="1" applyBorder="1"/>
    <xf numFmtId="164" fontId="122" fillId="0" borderId="8" xfId="0" applyNumberFormat="1" applyFont="1" applyFill="1" applyBorder="1"/>
    <xf numFmtId="0" fontId="122" fillId="0" borderId="30" xfId="0" applyFont="1" applyFill="1" applyBorder="1"/>
    <xf numFmtId="0" fontId="116" fillId="0" borderId="30" xfId="0" applyFont="1" applyFill="1" applyBorder="1"/>
    <xf numFmtId="164" fontId="113" fillId="0" borderId="11" xfId="0" applyNumberFormat="1" applyFont="1" applyFill="1" applyBorder="1" applyAlignment="1">
      <alignment horizontal="right"/>
    </xf>
    <xf numFmtId="0" fontId="116" fillId="0" borderId="37" xfId="0" applyFont="1" applyFill="1" applyBorder="1"/>
    <xf numFmtId="164" fontId="114" fillId="6" borderId="47" xfId="0" applyNumberFormat="1" applyFont="1" applyFill="1" applyBorder="1" applyAlignment="1">
      <alignment horizontal="right"/>
    </xf>
    <xf numFmtId="0" fontId="116" fillId="6" borderId="48" xfId="0" applyFont="1" applyFill="1" applyBorder="1"/>
    <xf numFmtId="0" fontId="124" fillId="0" borderId="0" xfId="0" applyFont="1" applyFill="1"/>
    <xf numFmtId="0" fontId="125" fillId="0" borderId="0" xfId="0" applyFont="1" applyFill="1" applyBorder="1"/>
    <xf numFmtId="21" fontId="125" fillId="0" borderId="0" xfId="0" applyNumberFormat="1" applyFont="1" applyFill="1" applyBorder="1"/>
    <xf numFmtId="164" fontId="125" fillId="0" borderId="0" xfId="0" applyNumberFormat="1" applyFont="1" applyFill="1" applyBorder="1"/>
    <xf numFmtId="166" fontId="117" fillId="0" borderId="8" xfId="1" applyNumberFormat="1" applyFont="1" applyFill="1" applyBorder="1"/>
    <xf numFmtId="0" fontId="5" fillId="0" borderId="9" xfId="0" applyFont="1" applyFill="1" applyBorder="1" applyAlignment="1">
      <alignment horizontal="center"/>
    </xf>
    <xf numFmtId="43" fontId="7" fillId="0" borderId="8" xfId="1" applyFont="1" applyFill="1" applyBorder="1"/>
    <xf numFmtId="49" fontId="7" fillId="0" borderId="8" xfId="0" applyNumberFormat="1" applyFont="1" applyFill="1" applyBorder="1"/>
    <xf numFmtId="166" fontId="0" fillId="0" borderId="26" xfId="1" applyNumberFormat="1" applyFont="1" applyBorder="1"/>
    <xf numFmtId="166" fontId="4" fillId="7" borderId="10" xfId="1" applyNumberFormat="1" applyFont="1" applyFill="1" applyBorder="1"/>
    <xf numFmtId="166" fontId="4" fillId="7" borderId="11" xfId="1" applyNumberFormat="1" applyFont="1" applyFill="1" applyBorder="1"/>
    <xf numFmtId="166" fontId="4" fillId="7" borderId="37" xfId="1" applyNumberFormat="1" applyFont="1" applyFill="1" applyBorder="1"/>
    <xf numFmtId="166" fontId="0" fillId="0" borderId="32" xfId="1" applyNumberFormat="1" applyFont="1" applyBorder="1"/>
    <xf numFmtId="166" fontId="0" fillId="0" borderId="31" xfId="1" applyNumberFormat="1" applyFont="1" applyBorder="1"/>
    <xf numFmtId="166" fontId="0" fillId="0" borderId="54" xfId="1" applyNumberFormat="1" applyFont="1" applyBorder="1"/>
    <xf numFmtId="166" fontId="0" fillId="10" borderId="46" xfId="1" applyNumberFormat="1" applyFont="1" applyFill="1" applyBorder="1"/>
    <xf numFmtId="166" fontId="0" fillId="10" borderId="33" xfId="1" applyNumberFormat="1" applyFont="1" applyFill="1" applyBorder="1"/>
    <xf numFmtId="166" fontId="112" fillId="10" borderId="0" xfId="1" applyNumberFormat="1" applyFont="1" applyFill="1"/>
    <xf numFmtId="166" fontId="112" fillId="6" borderId="33" xfId="1" applyNumberFormat="1" applyFont="1" applyFill="1" applyBorder="1"/>
    <xf numFmtId="166" fontId="9" fillId="0" borderId="8" xfId="1" applyNumberFormat="1" applyFont="1" applyFill="1" applyBorder="1" applyAlignment="1">
      <alignment horizontal="center"/>
    </xf>
    <xf numFmtId="0" fontId="113" fillId="0" borderId="10" xfId="0" applyFont="1" applyFill="1" applyBorder="1"/>
    <xf numFmtId="166" fontId="113" fillId="6" borderId="47" xfId="1" applyNumberFormat="1" applyFont="1" applyFill="1" applyBorder="1"/>
    <xf numFmtId="166" fontId="113" fillId="6" borderId="48" xfId="1" applyNumberFormat="1" applyFont="1" applyFill="1" applyBorder="1"/>
    <xf numFmtId="166" fontId="81" fillId="7" borderId="8" xfId="1" applyNumberFormat="1" applyFont="1" applyFill="1" applyBorder="1"/>
    <xf numFmtId="0" fontId="117" fillId="0" borderId="15" xfId="0" applyFont="1" applyBorder="1"/>
    <xf numFmtId="0" fontId="118" fillId="0" borderId="36" xfId="0" applyFont="1" applyBorder="1"/>
    <xf numFmtId="49" fontId="118" fillId="0" borderId="36" xfId="0" applyNumberFormat="1" applyFont="1" applyBorder="1" applyAlignment="1">
      <alignment horizontal="right"/>
    </xf>
    <xf numFmtId="166" fontId="117" fillId="0" borderId="66" xfId="1" applyNumberFormat="1" applyFont="1" applyBorder="1"/>
    <xf numFmtId="166" fontId="117" fillId="0" borderId="40" xfId="1" applyNumberFormat="1" applyFont="1" applyFill="1" applyBorder="1"/>
    <xf numFmtId="166" fontId="117" fillId="0" borderId="40" xfId="1" applyNumberFormat="1" applyFont="1" applyBorder="1"/>
    <xf numFmtId="166" fontId="117" fillId="0" borderId="64" xfId="1" applyNumberFormat="1" applyFont="1" applyBorder="1"/>
    <xf numFmtId="166" fontId="118" fillId="0" borderId="64" xfId="1" applyNumberFormat="1" applyFont="1" applyBorder="1"/>
    <xf numFmtId="166" fontId="117" fillId="0" borderId="41" xfId="1" applyNumberFormat="1" applyFont="1" applyBorder="1"/>
    <xf numFmtId="0" fontId="117" fillId="0" borderId="9" xfId="0" applyFont="1" applyBorder="1"/>
    <xf numFmtId="0" fontId="118" fillId="9" borderId="8" xfId="0" applyFont="1" applyFill="1" applyBorder="1"/>
    <xf numFmtId="49" fontId="118" fillId="9" borderId="58" xfId="0" applyNumberFormat="1" applyFont="1" applyFill="1" applyBorder="1" applyAlignment="1">
      <alignment horizontal="right"/>
    </xf>
    <xf numFmtId="166" fontId="118" fillId="9" borderId="46" xfId="1" applyNumberFormat="1" applyFont="1" applyFill="1" applyBorder="1"/>
    <xf numFmtId="166" fontId="118" fillId="9" borderId="47" xfId="1" applyNumberFormat="1" applyFont="1" applyFill="1" applyBorder="1"/>
    <xf numFmtId="166" fontId="118" fillId="9" borderId="48" xfId="1" applyNumberFormat="1" applyFont="1" applyFill="1" applyBorder="1"/>
    <xf numFmtId="0" fontId="117" fillId="0" borderId="26" xfId="0" applyFont="1" applyBorder="1"/>
    <xf numFmtId="0" fontId="117" fillId="0" borderId="8" xfId="0" applyFont="1" applyBorder="1"/>
    <xf numFmtId="49" fontId="117" fillId="0" borderId="8" xfId="0" applyNumberFormat="1" applyFont="1" applyBorder="1" applyAlignment="1">
      <alignment horizontal="right"/>
    </xf>
    <xf numFmtId="166" fontId="117" fillId="0" borderId="20" xfId="1" applyNumberFormat="1" applyFont="1" applyBorder="1"/>
    <xf numFmtId="166" fontId="117" fillId="0" borderId="21" xfId="1" applyNumberFormat="1" applyFont="1" applyBorder="1"/>
    <xf numFmtId="166" fontId="117" fillId="0" borderId="25" xfId="1" applyNumberFormat="1" applyFont="1" applyBorder="1"/>
    <xf numFmtId="166" fontId="117" fillId="0" borderId="32" xfId="1" applyNumberFormat="1" applyFont="1" applyFill="1" applyBorder="1"/>
    <xf numFmtId="166" fontId="117" fillId="0" borderId="23" xfId="1" applyNumberFormat="1" applyFont="1" applyBorder="1"/>
    <xf numFmtId="166" fontId="117" fillId="0" borderId="8" xfId="1" applyNumberFormat="1" applyFont="1" applyBorder="1"/>
    <xf numFmtId="166" fontId="117" fillId="0" borderId="58" xfId="1" applyNumberFormat="1" applyFont="1" applyBorder="1"/>
    <xf numFmtId="166" fontId="117" fillId="0" borderId="30" xfId="1" applyNumberFormat="1" applyFont="1" applyFill="1" applyBorder="1"/>
    <xf numFmtId="166" fontId="117" fillId="0" borderId="18" xfId="1" applyNumberFormat="1" applyFont="1" applyBorder="1"/>
    <xf numFmtId="166" fontId="117" fillId="0" borderId="29" xfId="1" applyNumberFormat="1" applyFont="1" applyBorder="1"/>
    <xf numFmtId="166" fontId="117" fillId="0" borderId="16" xfId="1" applyNumberFormat="1" applyFont="1" applyBorder="1"/>
    <xf numFmtId="166" fontId="117" fillId="0" borderId="54" xfId="1" applyNumberFormat="1" applyFont="1" applyFill="1" applyBorder="1"/>
    <xf numFmtId="0" fontId="118" fillId="9" borderId="29" xfId="0" applyFont="1" applyFill="1" applyBorder="1"/>
    <xf numFmtId="49" fontId="117" fillId="9" borderId="16" xfId="0" applyNumberFormat="1" applyFont="1" applyFill="1" applyBorder="1" applyAlignment="1">
      <alignment horizontal="right"/>
    </xf>
    <xf numFmtId="166" fontId="117" fillId="9" borderId="46" xfId="1" applyNumberFormat="1" applyFont="1" applyFill="1" applyBorder="1"/>
    <xf numFmtId="166" fontId="117" fillId="9" borderId="33" xfId="1" applyNumberFormat="1" applyFont="1" applyFill="1" applyBorder="1"/>
    <xf numFmtId="0" fontId="118" fillId="0" borderId="8" xfId="0" applyFont="1" applyBorder="1"/>
    <xf numFmtId="49" fontId="118" fillId="0" borderId="8" xfId="0" applyNumberFormat="1" applyFont="1" applyBorder="1" applyAlignment="1">
      <alignment horizontal="right"/>
    </xf>
    <xf numFmtId="166" fontId="117" fillId="0" borderId="32" xfId="1" applyNumberFormat="1" applyFont="1" applyBorder="1"/>
    <xf numFmtId="0" fontId="117" fillId="0" borderId="31" xfId="0" applyFont="1" applyBorder="1"/>
    <xf numFmtId="0" fontId="117" fillId="6" borderId="29" xfId="0" applyFont="1" applyFill="1" applyBorder="1"/>
    <xf numFmtId="49" fontId="117" fillId="0" borderId="29" xfId="0" applyNumberFormat="1" applyFont="1" applyBorder="1" applyAlignment="1">
      <alignment horizontal="right"/>
    </xf>
    <xf numFmtId="166" fontId="117" fillId="0" borderId="54" xfId="1" applyNumberFormat="1" applyFont="1" applyBorder="1"/>
    <xf numFmtId="166" fontId="117" fillId="0" borderId="30" xfId="1" applyNumberFormat="1" applyFont="1" applyBorder="1"/>
    <xf numFmtId="0" fontId="117" fillId="0" borderId="21" xfId="0" applyFont="1" applyFill="1" applyBorder="1" applyAlignment="1">
      <alignment horizontal="left"/>
    </xf>
    <xf numFmtId="49" fontId="117" fillId="0" borderId="21" xfId="0" applyNumberFormat="1" applyFont="1" applyFill="1" applyBorder="1" applyAlignment="1">
      <alignment horizontal="right"/>
    </xf>
    <xf numFmtId="1" fontId="117" fillId="0" borderId="8" xfId="0" applyNumberFormat="1" applyFont="1" applyFill="1" applyBorder="1" applyAlignment="1">
      <alignment horizontal="left"/>
    </xf>
    <xf numFmtId="49" fontId="117" fillId="0" borderId="8" xfId="0" applyNumberFormat="1" applyFont="1" applyFill="1" applyBorder="1" applyAlignment="1">
      <alignment horizontal="right"/>
    </xf>
    <xf numFmtId="0" fontId="117" fillId="6" borderId="8" xfId="0" applyFont="1" applyFill="1" applyBorder="1"/>
    <xf numFmtId="166" fontId="117" fillId="0" borderId="29" xfId="1" applyNumberFormat="1" applyFont="1" applyFill="1" applyBorder="1"/>
    <xf numFmtId="166" fontId="117" fillId="0" borderId="61" xfId="1" applyNumberFormat="1" applyFont="1" applyBorder="1"/>
    <xf numFmtId="49" fontId="117" fillId="9" borderId="58" xfId="0" applyNumberFormat="1" applyFont="1" applyFill="1" applyBorder="1" applyAlignment="1">
      <alignment horizontal="right"/>
    </xf>
    <xf numFmtId="1" fontId="118" fillId="0" borderId="8" xfId="0" applyNumberFormat="1" applyFont="1" applyFill="1" applyBorder="1" applyAlignment="1">
      <alignment horizontal="left" vertical="justify"/>
    </xf>
    <xf numFmtId="49" fontId="118" fillId="0" borderId="8" xfId="0" applyNumberFormat="1" applyFont="1" applyFill="1" applyBorder="1" applyAlignment="1">
      <alignment horizontal="right"/>
    </xf>
    <xf numFmtId="166" fontId="117" fillId="0" borderId="20" xfId="1" applyNumberFormat="1" applyFont="1" applyFill="1" applyBorder="1"/>
    <xf numFmtId="166" fontId="117" fillId="0" borderId="21" xfId="1" applyNumberFormat="1" applyFont="1" applyFill="1" applyBorder="1"/>
    <xf numFmtId="166" fontId="117" fillId="0" borderId="62" xfId="1" applyNumberFormat="1" applyFont="1" applyBorder="1"/>
    <xf numFmtId="166" fontId="117" fillId="0" borderId="23" xfId="1" applyNumberFormat="1" applyFont="1" applyFill="1" applyBorder="1"/>
    <xf numFmtId="166" fontId="117" fillId="0" borderId="27" xfId="1" applyNumberFormat="1" applyFont="1" applyFill="1" applyBorder="1"/>
    <xf numFmtId="0" fontId="117" fillId="0" borderId="8" xfId="0" applyFont="1" applyFill="1" applyBorder="1" applyAlignment="1">
      <alignment horizontal="left"/>
    </xf>
    <xf numFmtId="166" fontId="117" fillId="0" borderId="18" xfId="1" applyNumberFormat="1" applyFont="1" applyFill="1" applyBorder="1"/>
    <xf numFmtId="166" fontId="117" fillId="0" borderId="72" xfId="1" applyNumberFormat="1" applyFont="1" applyFill="1" applyBorder="1"/>
    <xf numFmtId="166" fontId="118" fillId="9" borderId="8" xfId="1" applyNumberFormat="1" applyFont="1" applyFill="1" applyBorder="1" applyAlignment="1">
      <alignment horizontal="left"/>
    </xf>
    <xf numFmtId="49" fontId="117" fillId="9" borderId="58" xfId="1" applyNumberFormat="1" applyFont="1" applyFill="1" applyBorder="1" applyAlignment="1">
      <alignment horizontal="right"/>
    </xf>
    <xf numFmtId="166" fontId="118" fillId="0" borderId="8" xfId="1" applyNumberFormat="1" applyFont="1" applyFill="1" applyBorder="1" applyAlignment="1">
      <alignment horizontal="left"/>
    </xf>
    <xf numFmtId="49" fontId="118" fillId="0" borderId="8" xfId="1" applyNumberFormat="1" applyFont="1" applyFill="1" applyBorder="1" applyAlignment="1">
      <alignment horizontal="right"/>
    </xf>
    <xf numFmtId="166" fontId="117" fillId="0" borderId="8" xfId="1" applyNumberFormat="1" applyFont="1" applyFill="1" applyBorder="1" applyAlignment="1">
      <alignment horizontal="left"/>
    </xf>
    <xf numFmtId="49" fontId="117" fillId="0" borderId="8" xfId="1" applyNumberFormat="1" applyFont="1" applyFill="1" applyBorder="1" applyAlignment="1">
      <alignment horizontal="right"/>
    </xf>
    <xf numFmtId="166" fontId="117" fillId="6" borderId="29" xfId="1" applyNumberFormat="1" applyFont="1" applyFill="1" applyBorder="1"/>
    <xf numFmtId="0" fontId="117" fillId="9" borderId="58" xfId="0" applyFont="1" applyFill="1" applyBorder="1"/>
    <xf numFmtId="0" fontId="117" fillId="0" borderId="51" xfId="0" applyFont="1" applyBorder="1"/>
    <xf numFmtId="0" fontId="117" fillId="0" borderId="52" xfId="0" applyFont="1" applyBorder="1"/>
    <xf numFmtId="0" fontId="117" fillId="0" borderId="63" xfId="0" applyFont="1" applyBorder="1"/>
    <xf numFmtId="166" fontId="117" fillId="0" borderId="24" xfId="1" applyNumberFormat="1" applyFont="1" applyBorder="1"/>
    <xf numFmtId="166" fontId="117" fillId="0" borderId="22" xfId="1" applyNumberFormat="1" applyFont="1" applyBorder="1"/>
    <xf numFmtId="166" fontId="117" fillId="11" borderId="46" xfId="1" applyNumberFormat="1" applyFont="1" applyFill="1" applyBorder="1"/>
    <xf numFmtId="166" fontId="18" fillId="6" borderId="47" xfId="1" applyNumberFormat="1" applyFont="1" applyFill="1" applyBorder="1" applyAlignment="1"/>
    <xf numFmtId="0" fontId="7" fillId="0" borderId="21" xfId="0" applyFont="1" applyBorder="1"/>
    <xf numFmtId="43" fontId="7" fillId="0" borderId="32" xfId="0" applyNumberFormat="1" applyFont="1" applyBorder="1"/>
    <xf numFmtId="0" fontId="81" fillId="7" borderId="8" xfId="0" applyFont="1" applyFill="1" applyBorder="1"/>
    <xf numFmtId="0" fontId="7" fillId="0" borderId="29" xfId="0" applyFont="1" applyFill="1" applyBorder="1"/>
    <xf numFmtId="0" fontId="7" fillId="0" borderId="29" xfId="0" applyFont="1" applyBorder="1"/>
    <xf numFmtId="0" fontId="119" fillId="8" borderId="40" xfId="0" applyFont="1" applyFill="1" applyBorder="1"/>
    <xf numFmtId="0" fontId="119" fillId="8" borderId="52" xfId="0" applyFont="1" applyFill="1" applyBorder="1"/>
    <xf numFmtId="0" fontId="119" fillId="8" borderId="60" xfId="0" applyFont="1" applyFill="1" applyBorder="1"/>
    <xf numFmtId="0" fontId="119" fillId="8" borderId="47" xfId="0" applyFont="1" applyFill="1" applyBorder="1" applyAlignment="1">
      <alignment horizontal="center"/>
    </xf>
    <xf numFmtId="166" fontId="119" fillId="8" borderId="55" xfId="1" applyNumberFormat="1" applyFont="1" applyFill="1" applyBorder="1" applyAlignment="1">
      <alignment horizontal="center"/>
    </xf>
    <xf numFmtId="0" fontId="119" fillId="8" borderId="48" xfId="0" applyFont="1" applyFill="1" applyBorder="1" applyAlignment="1">
      <alignment horizontal="center"/>
    </xf>
    <xf numFmtId="166" fontId="8" fillId="17" borderId="8" xfId="1" applyNumberFormat="1" applyFont="1" applyFill="1" applyBorder="1"/>
    <xf numFmtId="166" fontId="8" fillId="17" borderId="30" xfId="1" applyNumberFormat="1" applyFont="1" applyFill="1" applyBorder="1"/>
    <xf numFmtId="166" fontId="7" fillId="6" borderId="8" xfId="1" applyNumberFormat="1" applyFont="1" applyFill="1" applyBorder="1"/>
    <xf numFmtId="164" fontId="116" fillId="0" borderId="0" xfId="0" applyNumberFormat="1" applyFont="1" applyFill="1"/>
    <xf numFmtId="49" fontId="59" fillId="0" borderId="0" xfId="0" applyNumberFormat="1" applyFont="1" applyBorder="1"/>
    <xf numFmtId="166" fontId="4" fillId="0" borderId="36" xfId="1" applyNumberFormat="1" applyFont="1" applyBorder="1"/>
    <xf numFmtId="166" fontId="5" fillId="8" borderId="6" xfId="1" applyNumberFormat="1" applyFont="1" applyFill="1" applyBorder="1" applyAlignment="1">
      <alignment horizontal="center"/>
    </xf>
    <xf numFmtId="166" fontId="5" fillId="8" borderId="57" xfId="1" applyNumberFormat="1" applyFont="1" applyFill="1" applyBorder="1" applyAlignment="1">
      <alignment horizontal="center"/>
    </xf>
    <xf numFmtId="0" fontId="0" fillId="0" borderId="29" xfId="0" applyBorder="1"/>
    <xf numFmtId="0" fontId="0" fillId="0" borderId="72" xfId="0" applyBorder="1"/>
    <xf numFmtId="166" fontId="5" fillId="10" borderId="47" xfId="1" applyNumberFormat="1" applyFont="1" applyFill="1" applyBorder="1"/>
    <xf numFmtId="0" fontId="5" fillId="10" borderId="48" xfId="0" applyFont="1" applyFill="1" applyBorder="1"/>
    <xf numFmtId="166" fontId="8" fillId="10" borderId="8" xfId="1" applyNumberFormat="1" applyFont="1" applyFill="1" applyBorder="1"/>
    <xf numFmtId="166" fontId="12" fillId="10" borderId="38" xfId="1" applyNumberFormat="1" applyFont="1" applyFill="1" applyBorder="1"/>
    <xf numFmtId="166" fontId="65" fillId="10" borderId="30" xfId="1" applyNumberFormat="1" applyFont="1" applyFill="1" applyBorder="1"/>
    <xf numFmtId="166" fontId="5" fillId="17" borderId="8" xfId="1" applyNumberFormat="1" applyFont="1" applyFill="1" applyBorder="1" applyAlignment="1">
      <alignment horizontal="right"/>
    </xf>
    <xf numFmtId="0" fontId="117" fillId="0" borderId="23" xfId="0" applyFont="1" applyFill="1" applyBorder="1"/>
    <xf numFmtId="0" fontId="117" fillId="0" borderId="44" xfId="0" applyFont="1" applyFill="1" applyBorder="1"/>
    <xf numFmtId="0" fontId="114" fillId="0" borderId="69" xfId="0" applyFont="1" applyFill="1" applyBorder="1" applyAlignment="1">
      <alignment horizontal="right"/>
    </xf>
    <xf numFmtId="0" fontId="114" fillId="0" borderId="23" xfId="0" applyFont="1" applyFill="1" applyBorder="1" applyAlignment="1">
      <alignment horizontal="right"/>
    </xf>
    <xf numFmtId="0" fontId="114" fillId="0" borderId="44" xfId="0" applyFont="1" applyFill="1" applyBorder="1" applyAlignment="1">
      <alignment horizontal="right"/>
    </xf>
    <xf numFmtId="166" fontId="113" fillId="7" borderId="30" xfId="1" applyNumberFormat="1" applyFont="1" applyFill="1" applyBorder="1"/>
    <xf numFmtId="166" fontId="113" fillId="7" borderId="11" xfId="1" applyNumberFormat="1" applyFont="1" applyFill="1" applyBorder="1"/>
    <xf numFmtId="166" fontId="113" fillId="7" borderId="37" xfId="1" applyNumberFormat="1" applyFont="1" applyFill="1" applyBorder="1"/>
    <xf numFmtId="0" fontId="117" fillId="0" borderId="0" xfId="0" applyFont="1"/>
    <xf numFmtId="0" fontId="118" fillId="0" borderId="0" xfId="0" applyFont="1" applyBorder="1"/>
    <xf numFmtId="0" fontId="118" fillId="0" borderId="0" xfId="0" applyFont="1" applyBorder="1" applyAlignment="1"/>
    <xf numFmtId="0" fontId="117" fillId="0" borderId="0" xfId="0" applyFont="1" applyBorder="1"/>
    <xf numFmtId="0" fontId="118" fillId="0" borderId="0" xfId="0" applyFont="1"/>
    <xf numFmtId="0" fontId="118" fillId="0" borderId="0" xfId="0" applyFont="1" applyAlignment="1">
      <alignment horizontal="center"/>
    </xf>
    <xf numFmtId="1" fontId="118" fillId="3" borderId="69" xfId="0" applyNumberFormat="1" applyFont="1" applyFill="1" applyBorder="1" applyAlignment="1">
      <alignment horizontal="center"/>
    </xf>
    <xf numFmtId="1" fontId="118" fillId="3" borderId="23" xfId="0" applyNumberFormat="1" applyFont="1" applyFill="1" applyBorder="1" applyAlignment="1">
      <alignment horizontal="center"/>
    </xf>
    <xf numFmtId="0" fontId="128" fillId="8" borderId="33" xfId="0" applyFont="1" applyFill="1" applyBorder="1" applyAlignment="1">
      <alignment horizontal="center" vertical="center" wrapText="1"/>
    </xf>
    <xf numFmtId="0" fontId="128" fillId="8" borderId="56" xfId="0" applyFont="1" applyFill="1" applyBorder="1" applyAlignment="1">
      <alignment horizontal="center" vertical="center" wrapText="1"/>
    </xf>
    <xf numFmtId="0" fontId="128" fillId="8" borderId="3" xfId="0" applyFont="1" applyFill="1" applyBorder="1" applyAlignment="1">
      <alignment horizontal="center" vertical="center" wrapText="1"/>
    </xf>
    <xf numFmtId="0" fontId="128" fillId="8" borderId="57" xfId="0" applyFont="1" applyFill="1" applyBorder="1" applyAlignment="1">
      <alignment horizontal="center" vertical="center" wrapText="1"/>
    </xf>
    <xf numFmtId="0" fontId="129" fillId="8" borderId="40" xfId="0" applyFont="1" applyFill="1" applyBorder="1" applyAlignment="1">
      <alignment horizontal="center" vertical="center"/>
    </xf>
    <xf numFmtId="0" fontId="129" fillId="8" borderId="64" xfId="0" applyFont="1" applyFill="1" applyBorder="1" applyAlignment="1">
      <alignment horizontal="center" vertical="center"/>
    </xf>
    <xf numFmtId="0" fontId="129" fillId="8" borderId="41" xfId="0" applyFont="1" applyFill="1" applyBorder="1" applyAlignment="1">
      <alignment horizontal="center" vertical="center"/>
    </xf>
    <xf numFmtId="0" fontId="118" fillId="0" borderId="15" xfId="0" applyFont="1" applyBorder="1"/>
    <xf numFmtId="166" fontId="117" fillId="0" borderId="36" xfId="1" applyNumberFormat="1" applyFont="1" applyBorder="1"/>
    <xf numFmtId="166" fontId="117" fillId="0" borderId="38" xfId="1" applyNumberFormat="1" applyFont="1" applyBorder="1"/>
    <xf numFmtId="0" fontId="117" fillId="0" borderId="15" xfId="0" applyFont="1" applyBorder="1" applyAlignment="1">
      <alignment horizontal="center"/>
    </xf>
    <xf numFmtId="166" fontId="117" fillId="0" borderId="40" xfId="0" applyNumberFormat="1" applyFont="1" applyBorder="1"/>
    <xf numFmtId="0" fontId="117" fillId="0" borderId="36" xfId="0" applyFont="1" applyBorder="1"/>
    <xf numFmtId="0" fontId="117" fillId="0" borderId="38" xfId="0" applyFont="1" applyBorder="1"/>
    <xf numFmtId="0" fontId="118" fillId="0" borderId="9" xfId="0" applyFont="1" applyBorder="1"/>
    <xf numFmtId="0" fontId="117" fillId="0" borderId="9" xfId="0" applyFont="1" applyBorder="1" applyAlignment="1">
      <alignment horizontal="center"/>
    </xf>
    <xf numFmtId="166" fontId="117" fillId="0" borderId="8" xfId="0" applyNumberFormat="1" applyFont="1" applyBorder="1"/>
    <xf numFmtId="0" fontId="117" fillId="0" borderId="30" xfId="0" applyFont="1" applyBorder="1"/>
    <xf numFmtId="166" fontId="117" fillId="0" borderId="61" xfId="0" applyNumberFormat="1" applyFont="1" applyBorder="1"/>
    <xf numFmtId="0" fontId="118" fillId="8" borderId="9" xfId="0" applyFont="1" applyFill="1" applyBorder="1"/>
    <xf numFmtId="166" fontId="117" fillId="8" borderId="8" xfId="1" applyNumberFormat="1" applyFont="1" applyFill="1" applyBorder="1"/>
    <xf numFmtId="166" fontId="117" fillId="8" borderId="30" xfId="1" applyNumberFormat="1" applyFont="1" applyFill="1" applyBorder="1"/>
    <xf numFmtId="0" fontId="117" fillId="7" borderId="9" xfId="0" applyFont="1" applyFill="1" applyBorder="1" applyAlignment="1">
      <alignment horizontal="center"/>
    </xf>
    <xf numFmtId="0" fontId="118" fillId="7" borderId="8" xfId="0" applyFont="1" applyFill="1" applyBorder="1"/>
    <xf numFmtId="166" fontId="117" fillId="7" borderId="8" xfId="0" applyNumberFormat="1" applyFont="1" applyFill="1" applyBorder="1"/>
    <xf numFmtId="0" fontId="117" fillId="7" borderId="8" xfId="0" applyFont="1" applyFill="1" applyBorder="1"/>
    <xf numFmtId="0" fontId="117" fillId="7" borderId="30" xfId="0" applyFont="1" applyFill="1" applyBorder="1"/>
    <xf numFmtId="0" fontId="118" fillId="0" borderId="10" xfId="0" applyFont="1" applyBorder="1"/>
    <xf numFmtId="166" fontId="117" fillId="0" borderId="11" xfId="1" applyNumberFormat="1" applyFont="1" applyBorder="1"/>
    <xf numFmtId="166" fontId="117" fillId="0" borderId="37" xfId="1" applyNumberFormat="1" applyFont="1" applyBorder="1"/>
    <xf numFmtId="0" fontId="117" fillId="0" borderId="10" xfId="0" applyFont="1" applyBorder="1" applyAlignment="1">
      <alignment horizontal="center"/>
    </xf>
    <xf numFmtId="0" fontId="118" fillId="0" borderId="11" xfId="0" applyFont="1" applyBorder="1"/>
    <xf numFmtId="166" fontId="117" fillId="0" borderId="11" xfId="0" applyNumberFormat="1" applyFont="1" applyBorder="1"/>
    <xf numFmtId="0" fontId="117" fillId="0" borderId="11" xfId="0" applyFont="1" applyBorder="1"/>
    <xf numFmtId="0" fontId="117" fillId="0" borderId="37" xfId="0" applyFont="1" applyBorder="1"/>
    <xf numFmtId="0" fontId="118" fillId="4" borderId="51" xfId="0" applyFont="1" applyFill="1" applyBorder="1"/>
    <xf numFmtId="166" fontId="118" fillId="4" borderId="53" xfId="1" applyNumberFormat="1" applyFont="1" applyFill="1" applyBorder="1"/>
    <xf numFmtId="0" fontId="118" fillId="10" borderId="46" xfId="0" applyFont="1" applyFill="1" applyBorder="1"/>
    <xf numFmtId="0" fontId="118" fillId="10" borderId="47" xfId="0" applyFont="1" applyFill="1" applyBorder="1"/>
    <xf numFmtId="166" fontId="118" fillId="10" borderId="47" xfId="0" applyNumberFormat="1" applyFont="1" applyFill="1" applyBorder="1"/>
    <xf numFmtId="166" fontId="118" fillId="0" borderId="0" xfId="1" applyNumberFormat="1" applyFont="1"/>
    <xf numFmtId="166" fontId="118" fillId="0" borderId="13" xfId="1" applyNumberFormat="1" applyFont="1" applyBorder="1" applyAlignment="1"/>
    <xf numFmtId="166" fontId="130" fillId="6" borderId="0" xfId="0" applyNumberFormat="1" applyFont="1" applyFill="1"/>
    <xf numFmtId="166" fontId="117" fillId="0" borderId="0" xfId="0" applyNumberFormat="1" applyFont="1"/>
    <xf numFmtId="166" fontId="5" fillId="6" borderId="33" xfId="1" applyNumberFormat="1" applyFont="1" applyFill="1" applyBorder="1"/>
    <xf numFmtId="0" fontId="30" fillId="0" borderId="31" xfId="0" applyFont="1" applyFill="1" applyBorder="1"/>
    <xf numFmtId="166" fontId="30" fillId="0" borderId="29" xfId="1" applyNumberFormat="1" applyFont="1" applyBorder="1"/>
    <xf numFmtId="41" fontId="30" fillId="0" borderId="54" xfId="0" applyNumberFormat="1" applyFont="1" applyFill="1" applyBorder="1"/>
    <xf numFmtId="41" fontId="31" fillId="10" borderId="47" xfId="0" applyNumberFormat="1" applyFont="1" applyFill="1" applyBorder="1"/>
    <xf numFmtId="41" fontId="31" fillId="10" borderId="48" xfId="0" applyNumberFormat="1" applyFont="1" applyFill="1" applyBorder="1"/>
    <xf numFmtId="0" fontId="73" fillId="0" borderId="21" xfId="0" applyFont="1" applyBorder="1"/>
    <xf numFmtId="0" fontId="73" fillId="7" borderId="46" xfId="0" applyFont="1" applyFill="1" applyBorder="1"/>
    <xf numFmtId="0" fontId="73" fillId="7" borderId="47" xfId="0" applyFont="1" applyFill="1" applyBorder="1"/>
    <xf numFmtId="0" fontId="73" fillId="0" borderId="29" xfId="0" applyFont="1" applyBorder="1"/>
    <xf numFmtId="0" fontId="73" fillId="10" borderId="46" xfId="0" applyFont="1" applyFill="1" applyBorder="1"/>
    <xf numFmtId="0" fontId="73" fillId="10" borderId="47" xfId="0" applyFont="1" applyFill="1" applyBorder="1"/>
    <xf numFmtId="166" fontId="73" fillId="0" borderId="0" xfId="1" applyNumberFormat="1" applyFont="1"/>
    <xf numFmtId="166" fontId="73" fillId="7" borderId="47" xfId="1" applyNumberFormat="1" applyFont="1" applyFill="1" applyBorder="1"/>
    <xf numFmtId="166" fontId="73" fillId="7" borderId="48" xfId="1" applyNumberFormat="1" applyFont="1" applyFill="1" applyBorder="1"/>
    <xf numFmtId="166" fontId="73" fillId="0" borderId="21" xfId="1" applyNumberFormat="1" applyFont="1" applyBorder="1"/>
    <xf numFmtId="166" fontId="73" fillId="0" borderId="8" xfId="1" applyNumberFormat="1" applyFont="1" applyBorder="1"/>
    <xf numFmtId="166" fontId="73" fillId="0" borderId="29" xfId="1" applyNumberFormat="1" applyFont="1" applyBorder="1"/>
    <xf numFmtId="166" fontId="73" fillId="10" borderId="47" xfId="1" applyNumberFormat="1" applyFont="1" applyFill="1" applyBorder="1"/>
    <xf numFmtId="166" fontId="73" fillId="10" borderId="48" xfId="1" applyNumberFormat="1" applyFont="1" applyFill="1" applyBorder="1"/>
    <xf numFmtId="166" fontId="78" fillId="7" borderId="47" xfId="1" applyNumberFormat="1" applyFont="1" applyFill="1" applyBorder="1"/>
    <xf numFmtId="166" fontId="78" fillId="7" borderId="48" xfId="1" applyNumberFormat="1" applyFont="1" applyFill="1" applyBorder="1"/>
    <xf numFmtId="166" fontId="5" fillId="0" borderId="0" xfId="1" applyNumberFormat="1" applyFont="1"/>
    <xf numFmtId="0" fontId="49" fillId="0" borderId="21" xfId="0" applyFont="1" applyBorder="1"/>
    <xf numFmtId="0" fontId="49" fillId="0" borderId="29" xfId="0" applyFont="1" applyBorder="1" applyAlignment="1">
      <alignment vertical="center"/>
    </xf>
    <xf numFmtId="0" fontId="49" fillId="0" borderId="29" xfId="0" applyFont="1" applyBorder="1" applyAlignment="1">
      <alignment vertical="center" wrapText="1"/>
    </xf>
    <xf numFmtId="0" fontId="49" fillId="10" borderId="46" xfId="0" applyFont="1" applyFill="1" applyBorder="1"/>
    <xf numFmtId="0" fontId="51" fillId="10" borderId="47" xfId="0" applyFont="1" applyFill="1" applyBorder="1" applyAlignment="1">
      <alignment horizontal="center"/>
    </xf>
    <xf numFmtId="0" fontId="49" fillId="10" borderId="47" xfId="0" applyFont="1" applyFill="1" applyBorder="1"/>
    <xf numFmtId="166" fontId="74" fillId="0" borderId="0" xfId="1" applyNumberFormat="1" applyFont="1"/>
    <xf numFmtId="166" fontId="76" fillId="0" borderId="0" xfId="1" applyNumberFormat="1" applyFont="1"/>
    <xf numFmtId="166" fontId="49" fillId="7" borderId="11" xfId="1" applyNumberFormat="1" applyFont="1" applyFill="1" applyBorder="1" applyAlignment="1">
      <alignment horizontal="center"/>
    </xf>
    <xf numFmtId="166" fontId="49" fillId="7" borderId="37" xfId="1" applyNumberFormat="1" applyFont="1" applyFill="1" applyBorder="1" applyAlignment="1">
      <alignment horizontal="center"/>
    </xf>
    <xf numFmtId="166" fontId="49" fillId="0" borderId="21" xfId="1" applyNumberFormat="1" applyFont="1" applyBorder="1"/>
    <xf numFmtId="166" fontId="49" fillId="0" borderId="8" xfId="1" applyNumberFormat="1" applyFont="1" applyBorder="1"/>
    <xf numFmtId="166" fontId="49" fillId="0" borderId="8" xfId="1" applyNumberFormat="1" applyFont="1" applyBorder="1" applyAlignment="1">
      <alignment vertical="center"/>
    </xf>
    <xf numFmtId="166" fontId="49" fillId="0" borderId="29" xfId="1" applyNumberFormat="1" applyFont="1" applyBorder="1" applyAlignment="1">
      <alignment vertical="center"/>
    </xf>
    <xf numFmtId="166" fontId="49" fillId="10" borderId="47" xfId="1" applyNumberFormat="1" applyFont="1" applyFill="1" applyBorder="1"/>
    <xf numFmtId="166" fontId="49" fillId="10" borderId="48" xfId="1" applyNumberFormat="1" applyFont="1" applyFill="1" applyBorder="1"/>
    <xf numFmtId="166" fontId="79" fillId="0" borderId="0" xfId="1" applyNumberFormat="1" applyFont="1"/>
    <xf numFmtId="0" fontId="52" fillId="7" borderId="11" xfId="0" applyFont="1" applyFill="1" applyBorder="1" applyAlignment="1">
      <alignment horizontal="center"/>
    </xf>
    <xf numFmtId="0" fontId="52" fillId="7" borderId="37" xfId="0" applyFont="1" applyFill="1" applyBorder="1" applyAlignment="1">
      <alignment horizontal="center"/>
    </xf>
    <xf numFmtId="0" fontId="77" fillId="7" borderId="46" xfId="0" applyFont="1" applyFill="1" applyBorder="1"/>
    <xf numFmtId="0" fontId="52" fillId="7" borderId="47" xfId="0" applyFont="1" applyFill="1" applyBorder="1"/>
    <xf numFmtId="0" fontId="77" fillId="7" borderId="47" xfId="0" applyFont="1" applyFill="1" applyBorder="1"/>
    <xf numFmtId="0" fontId="52" fillId="7" borderId="47" xfId="0" applyFont="1" applyFill="1" applyBorder="1" applyAlignment="1">
      <alignment horizontal="center"/>
    </xf>
    <xf numFmtId="0" fontId="52" fillId="7" borderId="48" xfId="0" applyFont="1" applyFill="1" applyBorder="1" applyAlignment="1">
      <alignment horizontal="center"/>
    </xf>
    <xf numFmtId="0" fontId="53" fillId="10" borderId="51" xfId="0" applyFont="1" applyFill="1" applyBorder="1"/>
    <xf numFmtId="0" fontId="52" fillId="10" borderId="52" xfId="0" applyFont="1" applyFill="1" applyBorder="1"/>
    <xf numFmtId="0" fontId="53" fillId="10" borderId="52" xfId="0" applyFont="1" applyFill="1" applyBorder="1"/>
    <xf numFmtId="37" fontId="52" fillId="10" borderId="52" xfId="0" applyNumberFormat="1" applyFont="1" applyFill="1" applyBorder="1"/>
    <xf numFmtId="37" fontId="52" fillId="10" borderId="53" xfId="0" applyNumberFormat="1" applyFont="1" applyFill="1" applyBorder="1"/>
    <xf numFmtId="0" fontId="53" fillId="0" borderId="15" xfId="0" applyFont="1" applyBorder="1"/>
    <xf numFmtId="0" fontId="52" fillId="0" borderId="36" xfId="0" applyFont="1" applyBorder="1"/>
    <xf numFmtId="0" fontId="53" fillId="0" borderId="36" xfId="0" applyFont="1" applyBorder="1"/>
    <xf numFmtId="3" fontId="53" fillId="0" borderId="36" xfId="0" applyNumberFormat="1" applyFont="1" applyBorder="1"/>
    <xf numFmtId="3" fontId="53" fillId="0" borderId="38" xfId="1" applyNumberFormat="1" applyFont="1" applyBorder="1"/>
    <xf numFmtId="0" fontId="53" fillId="0" borderId="9" xfId="0" applyFont="1" applyBorder="1"/>
    <xf numFmtId="3" fontId="53" fillId="0" borderId="30" xfId="1" applyNumberFormat="1" applyFont="1" applyBorder="1"/>
    <xf numFmtId="0" fontId="77" fillId="0" borderId="9" xfId="0" applyFont="1" applyBorder="1"/>
    <xf numFmtId="0" fontId="77" fillId="0" borderId="30" xfId="0" applyFont="1" applyBorder="1"/>
    <xf numFmtId="0" fontId="77" fillId="0" borderId="10" xfId="0" applyFont="1" applyBorder="1"/>
    <xf numFmtId="0" fontId="78" fillId="0" borderId="11" xfId="0" applyFont="1" applyBorder="1" applyAlignment="1">
      <alignment horizontal="left" indent="2"/>
    </xf>
    <xf numFmtId="0" fontId="77" fillId="0" borderId="11" xfId="0" applyFont="1" applyBorder="1"/>
    <xf numFmtId="0" fontId="53" fillId="0" borderId="11" xfId="0" applyFont="1" applyBorder="1"/>
    <xf numFmtId="0" fontId="77" fillId="0" borderId="37" xfId="0" applyFont="1" applyBorder="1"/>
    <xf numFmtId="0" fontId="52" fillId="0" borderId="15" xfId="0" applyFont="1" applyFill="1" applyBorder="1"/>
    <xf numFmtId="0" fontId="52" fillId="0" borderId="36" xfId="0" applyFont="1" applyFill="1" applyBorder="1"/>
    <xf numFmtId="0" fontId="52" fillId="0" borderId="9" xfId="0" applyFont="1" applyFill="1" applyBorder="1"/>
    <xf numFmtId="0" fontId="52" fillId="0" borderId="9" xfId="0" applyFont="1" applyBorder="1"/>
    <xf numFmtId="0" fontId="52" fillId="0" borderId="10" xfId="0" applyFont="1" applyFill="1" applyBorder="1"/>
    <xf numFmtId="0" fontId="52" fillId="0" borderId="11" xfId="0" applyFont="1" applyBorder="1"/>
    <xf numFmtId="3" fontId="52" fillId="0" borderId="11" xfId="0" applyNumberFormat="1" applyFont="1" applyBorder="1"/>
    <xf numFmtId="37" fontId="52" fillId="0" borderId="36" xfId="0" applyNumberFormat="1" applyFont="1" applyFill="1" applyBorder="1" applyAlignment="1">
      <alignment horizontal="right"/>
    </xf>
    <xf numFmtId="37" fontId="52" fillId="0" borderId="38" xfId="0" applyNumberFormat="1" applyFont="1" applyFill="1" applyBorder="1" applyAlignment="1">
      <alignment horizontal="right"/>
    </xf>
    <xf numFmtId="37" fontId="52" fillId="0" borderId="8" xfId="0" applyNumberFormat="1" applyFont="1" applyFill="1" applyBorder="1" applyAlignment="1">
      <alignment horizontal="right"/>
    </xf>
    <xf numFmtId="37" fontId="52" fillId="0" borderId="30" xfId="0" applyNumberFormat="1" applyFont="1" applyFill="1" applyBorder="1" applyAlignment="1">
      <alignment horizontal="right"/>
    </xf>
    <xf numFmtId="37" fontId="52" fillId="0" borderId="8" xfId="1" applyNumberFormat="1" applyFont="1" applyBorder="1" applyAlignment="1">
      <alignment horizontal="right"/>
    </xf>
    <xf numFmtId="37" fontId="52" fillId="0" borderId="30" xfId="1" applyNumberFormat="1" applyFont="1" applyBorder="1" applyAlignment="1">
      <alignment horizontal="right"/>
    </xf>
    <xf numFmtId="37" fontId="52" fillId="0" borderId="8" xfId="0" applyNumberFormat="1" applyFont="1" applyBorder="1" applyAlignment="1">
      <alignment horizontal="right"/>
    </xf>
    <xf numFmtId="37" fontId="52" fillId="0" borderId="30" xfId="0" applyNumberFormat="1" applyFont="1" applyBorder="1" applyAlignment="1">
      <alignment horizontal="right"/>
    </xf>
    <xf numFmtId="37" fontId="52" fillId="5" borderId="30" xfId="1" applyNumberFormat="1" applyFont="1" applyFill="1" applyBorder="1" applyAlignment="1">
      <alignment horizontal="right"/>
    </xf>
    <xf numFmtId="37" fontId="52" fillId="0" borderId="11" xfId="0" applyNumberFormat="1" applyFont="1" applyBorder="1" applyAlignment="1">
      <alignment horizontal="right"/>
    </xf>
    <xf numFmtId="37" fontId="52" fillId="0" borderId="37" xfId="1" applyNumberFormat="1" applyFont="1" applyBorder="1" applyAlignment="1">
      <alignment horizontal="right"/>
    </xf>
    <xf numFmtId="0" fontId="46" fillId="0" borderId="31" xfId="0" applyFont="1" applyFill="1" applyBorder="1"/>
    <xf numFmtId="0" fontId="46" fillId="10" borderId="46" xfId="0" applyFont="1" applyFill="1" applyBorder="1"/>
    <xf numFmtId="166" fontId="46" fillId="10" borderId="47" xfId="1" applyNumberFormat="1" applyFont="1" applyFill="1" applyBorder="1"/>
    <xf numFmtId="166" fontId="46" fillId="10" borderId="48" xfId="1" applyNumberFormat="1" applyFont="1" applyFill="1" applyBorder="1"/>
    <xf numFmtId="166" fontId="46" fillId="7" borderId="8" xfId="1" applyNumberFormat="1" applyFont="1" applyFill="1" applyBorder="1"/>
    <xf numFmtId="166" fontId="46" fillId="7" borderId="30" xfId="1" applyNumberFormat="1" applyFont="1" applyFill="1" applyBorder="1"/>
    <xf numFmtId="166" fontId="46" fillId="0" borderId="29" xfId="1" applyNumberFormat="1" applyFont="1" applyBorder="1"/>
    <xf numFmtId="166" fontId="46" fillId="0" borderId="54" xfId="1" applyNumberFormat="1" applyFont="1" applyBorder="1"/>
    <xf numFmtId="0" fontId="7" fillId="10" borderId="3" xfId="0" applyFont="1" applyFill="1" applyBorder="1"/>
    <xf numFmtId="0" fontId="7" fillId="10" borderId="63" xfId="0" applyFont="1" applyFill="1" applyBorder="1"/>
    <xf numFmtId="166" fontId="18" fillId="10" borderId="51" xfId="0" applyNumberFormat="1" applyFont="1" applyFill="1" applyBorder="1"/>
    <xf numFmtId="166" fontId="18" fillId="10" borderId="57" xfId="0" applyNumberFormat="1" applyFont="1" applyFill="1" applyBorder="1"/>
    <xf numFmtId="0" fontId="131" fillId="0" borderId="15" xfId="0" applyFont="1" applyFill="1" applyBorder="1" applyAlignment="1">
      <alignment vertical="justify"/>
    </xf>
    <xf numFmtId="0" fontId="7" fillId="0" borderId="9" xfId="0" applyFont="1" applyFill="1" applyBorder="1" applyAlignment="1">
      <alignment vertical="justify"/>
    </xf>
    <xf numFmtId="3" fontId="4" fillId="0" borderId="8" xfId="0" applyNumberFormat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justify"/>
    </xf>
    <xf numFmtId="3" fontId="4" fillId="0" borderId="11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0" fontId="18" fillId="10" borderId="46" xfId="0" applyFont="1" applyFill="1" applyBorder="1" applyAlignment="1">
      <alignment vertical="justify"/>
    </xf>
    <xf numFmtId="3" fontId="132" fillId="10" borderId="47" xfId="0" applyNumberFormat="1" applyFont="1" applyFill="1" applyBorder="1" applyAlignment="1">
      <alignment vertical="center"/>
    </xf>
    <xf numFmtId="3" fontId="132" fillId="10" borderId="48" xfId="0" applyNumberFormat="1" applyFont="1" applyFill="1" applyBorder="1" applyAlignment="1">
      <alignment vertical="center"/>
    </xf>
    <xf numFmtId="0" fontId="131" fillId="0" borderId="36" xfId="0" applyFont="1" applyFill="1" applyBorder="1" applyAlignment="1">
      <alignment vertical="justify"/>
    </xf>
    <xf numFmtId="0" fontId="131" fillId="0" borderId="38" xfId="0" applyFont="1" applyFill="1" applyBorder="1" applyAlignment="1">
      <alignment vertical="justify"/>
    </xf>
    <xf numFmtId="0" fontId="131" fillId="0" borderId="0" xfId="0" applyFont="1" applyFill="1" applyBorder="1" applyAlignment="1">
      <alignment vertical="justify"/>
    </xf>
    <xf numFmtId="3" fontId="36" fillId="0" borderId="0" xfId="0" applyNumberFormat="1" applyFont="1" applyFill="1" applyBorder="1" applyAlignment="1">
      <alignment vertical="center"/>
    </xf>
    <xf numFmtId="166" fontId="48" fillId="7" borderId="36" xfId="1" applyNumberFormat="1" applyFont="1" applyFill="1" applyBorder="1"/>
    <xf numFmtId="166" fontId="48" fillId="7" borderId="8" xfId="1" applyNumberFormat="1" applyFont="1" applyFill="1" applyBorder="1"/>
    <xf numFmtId="166" fontId="48" fillId="0" borderId="8" xfId="1" applyNumberFormat="1" applyFont="1" applyFill="1" applyBorder="1"/>
    <xf numFmtId="166" fontId="18" fillId="10" borderId="11" xfId="1" applyNumberFormat="1" applyFont="1" applyFill="1" applyBorder="1"/>
    <xf numFmtId="0" fontId="0" fillId="0" borderId="0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9" fillId="0" borderId="57" xfId="0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  <xf numFmtId="3" fontId="10" fillId="0" borderId="57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166" fontId="65" fillId="10" borderId="8" xfId="1" applyNumberFormat="1" applyFont="1" applyFill="1" applyBorder="1" applyAlignment="1">
      <alignment horizontal="center"/>
    </xf>
    <xf numFmtId="3" fontId="5" fillId="0" borderId="57" xfId="0" applyNumberFormat="1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3" fontId="5" fillId="0" borderId="7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7" xfId="0" applyBorder="1" applyAlignment="1">
      <alignment horizontal="center"/>
    </xf>
    <xf numFmtId="0" fontId="5" fillId="0" borderId="57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 wrapText="1"/>
    </xf>
    <xf numFmtId="3" fontId="13" fillId="0" borderId="57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2" fillId="7" borderId="36" xfId="0" applyFont="1" applyFill="1" applyBorder="1" applyAlignment="1">
      <alignment horizontal="center" vertical="justify"/>
    </xf>
    <xf numFmtId="0" fontId="32" fillId="7" borderId="29" xfId="0" applyFont="1" applyFill="1" applyBorder="1" applyAlignment="1">
      <alignment horizontal="center" vertical="justify"/>
    </xf>
    <xf numFmtId="0" fontId="18" fillId="10" borderId="45" xfId="0" applyFont="1" applyFill="1" applyBorder="1" applyAlignment="1">
      <alignment horizontal="center"/>
    </xf>
    <xf numFmtId="0" fontId="18" fillId="10" borderId="59" xfId="0" applyFont="1" applyFill="1" applyBorder="1" applyAlignment="1">
      <alignment horizontal="center"/>
    </xf>
    <xf numFmtId="0" fontId="18" fillId="10" borderId="74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 vertical="justify"/>
    </xf>
    <xf numFmtId="0" fontId="18" fillId="7" borderId="7" xfId="0" applyFont="1" applyFill="1" applyBorder="1" applyAlignment="1">
      <alignment horizontal="center" vertical="justify"/>
    </xf>
    <xf numFmtId="0" fontId="18" fillId="7" borderId="14" xfId="0" applyFont="1" applyFill="1" applyBorder="1" applyAlignment="1">
      <alignment horizontal="center" vertical="justify"/>
    </xf>
    <xf numFmtId="0" fontId="18" fillId="7" borderId="2" xfId="0" applyFont="1" applyFill="1" applyBorder="1" applyAlignment="1">
      <alignment horizontal="center" vertical="justify"/>
    </xf>
    <xf numFmtId="166" fontId="5" fillId="0" borderId="0" xfId="1" applyNumberFormat="1" applyFont="1" applyBorder="1" applyAlignment="1">
      <alignment horizontal="center"/>
    </xf>
    <xf numFmtId="0" fontId="32" fillId="7" borderId="15" xfId="0" applyFont="1" applyFill="1" applyBorder="1" applyAlignment="1">
      <alignment horizontal="center" vertical="justify"/>
    </xf>
    <xf numFmtId="0" fontId="32" fillId="7" borderId="31" xfId="0" applyFont="1" applyFill="1" applyBorder="1" applyAlignment="1">
      <alignment horizontal="center" vertical="justify"/>
    </xf>
    <xf numFmtId="166" fontId="7" fillId="0" borderId="0" xfId="1" applyNumberFormat="1" applyFont="1" applyFill="1" applyBorder="1" applyAlignment="1">
      <alignment horizontal="center"/>
    </xf>
    <xf numFmtId="166" fontId="7" fillId="0" borderId="2" xfId="1" applyNumberFormat="1" applyFont="1" applyFill="1" applyBorder="1" applyAlignment="1">
      <alignment horizontal="center"/>
    </xf>
    <xf numFmtId="0" fontId="31" fillId="10" borderId="46" xfId="0" applyFont="1" applyFill="1" applyBorder="1" applyAlignment="1">
      <alignment horizontal="center"/>
    </xf>
    <xf numFmtId="0" fontId="31" fillId="10" borderId="47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 vertical="justify"/>
    </xf>
    <xf numFmtId="0" fontId="5" fillId="8" borderId="31" xfId="0" applyFont="1" applyFill="1" applyBorder="1" applyAlignment="1">
      <alignment horizontal="center" vertical="justify"/>
    </xf>
    <xf numFmtId="0" fontId="5" fillId="8" borderId="36" xfId="0" applyFont="1" applyFill="1" applyBorder="1" applyAlignment="1">
      <alignment horizontal="center" vertical="justify"/>
    </xf>
    <xf numFmtId="0" fontId="5" fillId="8" borderId="29" xfId="0" applyFont="1" applyFill="1" applyBorder="1" applyAlignment="1">
      <alignment horizontal="center" vertical="justify"/>
    </xf>
    <xf numFmtId="0" fontId="0" fillId="0" borderId="0" xfId="0" applyBorder="1" applyAlignment="1">
      <alignment horizontal="center"/>
    </xf>
    <xf numFmtId="0" fontId="18" fillId="8" borderId="6" xfId="0" applyFont="1" applyFill="1" applyBorder="1" applyAlignment="1">
      <alignment horizontal="center" vertical="justify"/>
    </xf>
    <xf numFmtId="0" fontId="18" fillId="8" borderId="7" xfId="0" applyFont="1" applyFill="1" applyBorder="1" applyAlignment="1">
      <alignment horizontal="center" vertical="justify"/>
    </xf>
    <xf numFmtId="0" fontId="18" fillId="8" borderId="14" xfId="0" applyFont="1" applyFill="1" applyBorder="1" applyAlignment="1">
      <alignment horizontal="center" vertical="justify"/>
    </xf>
    <xf numFmtId="0" fontId="18" fillId="8" borderId="2" xfId="0" applyFont="1" applyFill="1" applyBorder="1" applyAlignment="1">
      <alignment horizontal="center" vertical="justify"/>
    </xf>
    <xf numFmtId="0" fontId="126" fillId="0" borderId="0" xfId="0" applyFont="1" applyBorder="1" applyAlignment="1">
      <alignment horizontal="center"/>
    </xf>
    <xf numFmtId="0" fontId="127" fillId="0" borderId="0" xfId="0" applyFont="1" applyAlignment="1">
      <alignment horizontal="center"/>
    </xf>
    <xf numFmtId="0" fontId="5" fillId="10" borderId="43" xfId="0" applyFont="1" applyFill="1" applyBorder="1" applyAlignment="1">
      <alignment horizontal="center"/>
    </xf>
    <xf numFmtId="0" fontId="5" fillId="10" borderId="44" xfId="0" applyFont="1" applyFill="1" applyBorder="1" applyAlignment="1">
      <alignment horizontal="center"/>
    </xf>
    <xf numFmtId="0" fontId="18" fillId="10" borderId="46" xfId="0" applyFont="1" applyFill="1" applyBorder="1" applyAlignment="1">
      <alignment horizontal="center"/>
    </xf>
    <xf numFmtId="0" fontId="18" fillId="10" borderId="47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0" fillId="10" borderId="0" xfId="0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10" borderId="0" xfId="0" applyFill="1" applyAlignment="1">
      <alignment horizontal="left"/>
    </xf>
    <xf numFmtId="0" fontId="4" fillId="10" borderId="0" xfId="0" applyFont="1" applyFill="1" applyBorder="1" applyAlignment="1">
      <alignment horizontal="left"/>
    </xf>
    <xf numFmtId="166" fontId="4" fillId="7" borderId="36" xfId="1" applyNumberFormat="1" applyFont="1" applyFill="1" applyBorder="1" applyAlignment="1">
      <alignment horizontal="center"/>
    </xf>
    <xf numFmtId="166" fontId="4" fillId="7" borderId="38" xfId="1" applyNumberFormat="1" applyFont="1" applyFill="1" applyBorder="1" applyAlignment="1">
      <alignment horizontal="center"/>
    </xf>
    <xf numFmtId="166" fontId="4" fillId="7" borderId="15" xfId="1" applyNumberFormat="1" applyFont="1" applyFill="1" applyBorder="1" applyAlignment="1">
      <alignment horizontal="center"/>
    </xf>
    <xf numFmtId="0" fontId="114" fillId="0" borderId="0" xfId="0" applyFont="1" applyFill="1" applyBorder="1" applyAlignment="1">
      <alignment horizontal="center"/>
    </xf>
    <xf numFmtId="0" fontId="114" fillId="8" borderId="6" xfId="0" applyFont="1" applyFill="1" applyBorder="1" applyAlignment="1">
      <alignment horizontal="center" vertical="justify"/>
    </xf>
    <xf numFmtId="0" fontId="114" fillId="8" borderId="7" xfId="0" applyFont="1" applyFill="1" applyBorder="1" applyAlignment="1">
      <alignment horizontal="center" vertical="justify"/>
    </xf>
    <xf numFmtId="0" fontId="114" fillId="8" borderId="14" xfId="0" applyFont="1" applyFill="1" applyBorder="1" applyAlignment="1">
      <alignment horizontal="center" vertical="justify"/>
    </xf>
    <xf numFmtId="0" fontId="114" fillId="8" borderId="2" xfId="0" applyFont="1" applyFill="1" applyBorder="1" applyAlignment="1">
      <alignment horizontal="center" vertical="justify"/>
    </xf>
    <xf numFmtId="166" fontId="60" fillId="0" borderId="45" xfId="1" applyNumberFormat="1" applyFont="1" applyFill="1" applyBorder="1" applyAlignment="1">
      <alignment horizontal="center" vertical="center" wrapText="1"/>
    </xf>
    <xf numFmtId="166" fontId="60" fillId="0" borderId="56" xfId="1" applyNumberFormat="1" applyFont="1" applyFill="1" applyBorder="1" applyAlignment="1">
      <alignment horizontal="center" vertical="center" wrapText="1"/>
    </xf>
    <xf numFmtId="166" fontId="60" fillId="0" borderId="59" xfId="1" applyNumberFormat="1" applyFont="1" applyFill="1" applyBorder="1" applyAlignment="1">
      <alignment horizontal="center" vertical="center" wrapText="1"/>
    </xf>
    <xf numFmtId="166" fontId="60" fillId="0" borderId="6" xfId="1" applyNumberFormat="1" applyFont="1" applyFill="1" applyBorder="1" applyAlignment="1">
      <alignment horizontal="center" vertical="center" wrapText="1"/>
    </xf>
    <xf numFmtId="166" fontId="60" fillId="0" borderId="57" xfId="1" applyNumberFormat="1" applyFont="1" applyFill="1" applyBorder="1" applyAlignment="1">
      <alignment horizontal="center" vertical="center" wrapText="1"/>
    </xf>
    <xf numFmtId="0" fontId="60" fillId="0" borderId="45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60" fillId="0" borderId="56" xfId="0" applyFont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0" borderId="59" xfId="0" applyFont="1" applyBorder="1" applyAlignment="1">
      <alignment horizontal="center"/>
    </xf>
    <xf numFmtId="0" fontId="60" fillId="0" borderId="75" xfId="0" applyFont="1" applyBorder="1" applyAlignment="1">
      <alignment horizontal="center" vertical="center" wrapText="1"/>
    </xf>
    <xf numFmtId="0" fontId="60" fillId="0" borderId="76" xfId="0" applyFont="1" applyBorder="1" applyAlignment="1">
      <alignment horizontal="center" vertical="center" wrapText="1"/>
    </xf>
    <xf numFmtId="0" fontId="60" fillId="0" borderId="77" xfId="0" applyFont="1" applyBorder="1" applyAlignment="1">
      <alignment horizontal="center" vertical="center" wrapText="1"/>
    </xf>
    <xf numFmtId="0" fontId="60" fillId="0" borderId="6" xfId="0" applyFont="1" applyFill="1" applyBorder="1" applyAlignment="1">
      <alignment horizontal="center" vertical="center" wrapText="1"/>
    </xf>
    <xf numFmtId="0" fontId="60" fillId="0" borderId="7" xfId="0" applyFont="1" applyFill="1" applyBorder="1" applyAlignment="1">
      <alignment horizontal="center" vertical="center" wrapText="1"/>
    </xf>
    <xf numFmtId="0" fontId="60" fillId="0" borderId="57" xfId="0" applyFont="1" applyFill="1" applyBorder="1" applyAlignment="1">
      <alignment horizontal="center" vertical="center" wrapText="1"/>
    </xf>
    <xf numFmtId="0" fontId="60" fillId="0" borderId="45" xfId="0" applyFont="1" applyFill="1" applyBorder="1" applyAlignment="1">
      <alignment horizontal="center" vertical="center" wrapText="1"/>
    </xf>
    <xf numFmtId="0" fontId="60" fillId="0" borderId="59" xfId="0" applyFont="1" applyFill="1" applyBorder="1" applyAlignment="1">
      <alignment horizontal="center" vertical="center" wrapText="1"/>
    </xf>
    <xf numFmtId="0" fontId="60" fillId="0" borderId="56" xfId="0" applyFont="1" applyFill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57" xfId="0" applyFont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166" fontId="0" fillId="0" borderId="56" xfId="1" applyNumberFormat="1" applyFont="1" applyFill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6" borderId="12" xfId="0" applyFont="1" applyFill="1" applyBorder="1" applyAlignment="1">
      <alignment horizontal="center" vertical="center" wrapText="1"/>
    </xf>
    <xf numFmtId="0" fontId="60" fillId="6" borderId="14" xfId="0" applyFont="1" applyFill="1" applyBorder="1" applyAlignment="1">
      <alignment horizontal="center" vertical="center" wrapText="1"/>
    </xf>
    <xf numFmtId="0" fontId="60" fillId="6" borderId="3" xfId="0" applyFont="1" applyFill="1" applyBorder="1" applyAlignment="1">
      <alignment horizontal="center" vertical="center" wrapText="1"/>
    </xf>
    <xf numFmtId="0" fontId="60" fillId="6" borderId="5" xfId="0" applyFont="1" applyFill="1" applyBorder="1" applyAlignment="1">
      <alignment horizontal="center" vertical="center" wrapText="1"/>
    </xf>
    <xf numFmtId="166" fontId="60" fillId="0" borderId="45" xfId="1" applyNumberFormat="1" applyFont="1" applyBorder="1" applyAlignment="1">
      <alignment horizontal="center" vertical="center" wrapText="1"/>
    </xf>
    <xf numFmtId="166" fontId="60" fillId="0" borderId="59" xfId="1" applyNumberFormat="1" applyFont="1" applyBorder="1" applyAlignment="1">
      <alignment horizontal="center" vertical="center" wrapText="1"/>
    </xf>
    <xf numFmtId="166" fontId="60" fillId="0" borderId="56" xfId="1" applyNumberFormat="1" applyFont="1" applyBorder="1" applyAlignment="1">
      <alignment horizontal="center" vertical="center" wrapText="1"/>
    </xf>
    <xf numFmtId="0" fontId="89" fillId="8" borderId="12" xfId="0" applyFont="1" applyFill="1" applyBorder="1" applyAlignment="1">
      <alignment horizontal="center" vertical="center" wrapText="1"/>
    </xf>
    <xf numFmtId="0" fontId="89" fillId="8" borderId="14" xfId="0" applyFont="1" applyFill="1" applyBorder="1" applyAlignment="1">
      <alignment horizontal="center" vertical="center" wrapText="1"/>
    </xf>
    <xf numFmtId="0" fontId="89" fillId="8" borderId="3" xfId="0" applyFont="1" applyFill="1" applyBorder="1" applyAlignment="1">
      <alignment horizontal="center" vertical="center" wrapText="1"/>
    </xf>
    <xf numFmtId="0" fontId="89" fillId="8" borderId="5" xfId="0" applyFont="1" applyFill="1" applyBorder="1" applyAlignment="1">
      <alignment horizontal="center" vertical="center" wrapText="1"/>
    </xf>
    <xf numFmtId="0" fontId="89" fillId="8" borderId="45" xfId="0" applyFont="1" applyFill="1" applyBorder="1" applyAlignment="1">
      <alignment horizontal="center" vertical="center" wrapText="1"/>
    </xf>
    <xf numFmtId="0" fontId="89" fillId="8" borderId="59" xfId="0" applyFont="1" applyFill="1" applyBorder="1" applyAlignment="1">
      <alignment horizontal="center" vertical="center" wrapText="1"/>
    </xf>
    <xf numFmtId="0" fontId="89" fillId="8" borderId="56" xfId="0" applyFont="1" applyFill="1" applyBorder="1" applyAlignment="1">
      <alignment horizontal="center" vertical="center" wrapText="1"/>
    </xf>
    <xf numFmtId="166" fontId="60" fillId="0" borderId="6" xfId="1" applyNumberFormat="1" applyFont="1" applyBorder="1" applyAlignment="1">
      <alignment horizontal="center" vertical="center" wrapText="1"/>
    </xf>
    <xf numFmtId="166" fontId="60" fillId="0" borderId="7" xfId="1" applyNumberFormat="1" applyFont="1" applyBorder="1" applyAlignment="1">
      <alignment horizontal="center" vertical="center" wrapText="1"/>
    </xf>
    <xf numFmtId="166" fontId="60" fillId="0" borderId="57" xfId="1" applyNumberFormat="1" applyFont="1" applyBorder="1" applyAlignment="1">
      <alignment horizontal="center" vertical="center" wrapText="1"/>
    </xf>
    <xf numFmtId="166" fontId="60" fillId="0" borderId="12" xfId="1" applyNumberFormat="1" applyFont="1" applyBorder="1" applyAlignment="1">
      <alignment horizontal="center" vertical="center" wrapText="1"/>
    </xf>
    <xf numFmtId="166" fontId="60" fillId="0" borderId="1" xfId="1" applyNumberFormat="1" applyFont="1" applyBorder="1" applyAlignment="1">
      <alignment horizontal="center" vertical="center" wrapText="1"/>
    </xf>
    <xf numFmtId="166" fontId="60" fillId="0" borderId="3" xfId="1" applyNumberFormat="1" applyFont="1" applyBorder="1" applyAlignment="1">
      <alignment horizontal="center" vertical="center" wrapText="1"/>
    </xf>
    <xf numFmtId="166" fontId="60" fillId="0" borderId="14" xfId="1" applyNumberFormat="1" applyFont="1" applyBorder="1" applyAlignment="1">
      <alignment horizontal="center" vertical="center" wrapText="1"/>
    </xf>
    <xf numFmtId="166" fontId="60" fillId="0" borderId="5" xfId="1" applyNumberFormat="1" applyFont="1" applyBorder="1" applyAlignment="1">
      <alignment horizontal="center" vertical="center" wrapText="1"/>
    </xf>
    <xf numFmtId="166" fontId="0" fillId="0" borderId="56" xfId="1" applyNumberFormat="1" applyFont="1" applyBorder="1" applyAlignment="1">
      <alignment horizontal="center" vertical="center" wrapText="1"/>
    </xf>
    <xf numFmtId="0" fontId="89" fillId="8" borderId="6" xfId="0" applyFont="1" applyFill="1" applyBorder="1" applyAlignment="1">
      <alignment horizontal="center" vertical="center" wrapText="1"/>
    </xf>
    <xf numFmtId="0" fontId="89" fillId="8" borderId="7" xfId="0" applyFont="1" applyFill="1" applyBorder="1" applyAlignment="1">
      <alignment horizontal="center" vertical="center" wrapText="1"/>
    </xf>
    <xf numFmtId="0" fontId="89" fillId="8" borderId="57" xfId="0" applyFont="1" applyFill="1" applyBorder="1" applyAlignment="1">
      <alignment horizontal="center" vertical="center" wrapText="1"/>
    </xf>
    <xf numFmtId="1" fontId="107" fillId="3" borderId="40" xfId="0" applyNumberFormat="1" applyFont="1" applyFill="1" applyBorder="1" applyAlignment="1">
      <alignment horizontal="center" vertical="justify"/>
    </xf>
    <xf numFmtId="1" fontId="107" fillId="3" borderId="61" xfId="0" applyNumberFormat="1" applyFont="1" applyFill="1" applyBorder="1" applyAlignment="1">
      <alignment horizontal="center" vertical="justify"/>
    </xf>
    <xf numFmtId="1" fontId="107" fillId="3" borderId="41" xfId="0" applyNumberFormat="1" applyFont="1" applyFill="1" applyBorder="1" applyAlignment="1">
      <alignment horizontal="center" vertical="justify"/>
    </xf>
    <xf numFmtId="1" fontId="107" fillId="3" borderId="62" xfId="0" applyNumberFormat="1" applyFont="1" applyFill="1" applyBorder="1" applyAlignment="1">
      <alignment horizontal="center" vertical="justify"/>
    </xf>
    <xf numFmtId="0" fontId="108" fillId="8" borderId="56" xfId="0" applyFont="1" applyFill="1" applyBorder="1" applyAlignment="1">
      <alignment horizontal="center" vertical="center" wrapText="1"/>
    </xf>
    <xf numFmtId="0" fontId="108" fillId="8" borderId="13" xfId="0" applyFont="1" applyFill="1" applyBorder="1" applyAlignment="1">
      <alignment horizontal="center"/>
    </xf>
    <xf numFmtId="0" fontId="108" fillId="8" borderId="0" xfId="0" applyFont="1" applyFill="1" applyBorder="1" applyAlignment="1">
      <alignment horizontal="center"/>
    </xf>
    <xf numFmtId="0" fontId="60" fillId="0" borderId="78" xfId="0" applyFont="1" applyBorder="1" applyAlignment="1">
      <alignment horizontal="center" vertical="center" wrapText="1"/>
    </xf>
    <xf numFmtId="1" fontId="107" fillId="3" borderId="31" xfId="0" applyNumberFormat="1" applyFont="1" applyFill="1" applyBorder="1" applyAlignment="1">
      <alignment horizontal="center" vertical="justify"/>
    </xf>
    <xf numFmtId="1" fontId="107" fillId="3" borderId="65" xfId="0" applyNumberFormat="1" applyFont="1" applyFill="1" applyBorder="1" applyAlignment="1">
      <alignment horizontal="center" vertical="justify"/>
    </xf>
    <xf numFmtId="1" fontId="107" fillId="3" borderId="51" xfId="0" applyNumberFormat="1" applyFont="1" applyFill="1" applyBorder="1" applyAlignment="1">
      <alignment horizontal="center" vertical="justify"/>
    </xf>
    <xf numFmtId="0" fontId="85" fillId="0" borderId="45" xfId="0" applyFont="1" applyBorder="1" applyAlignment="1">
      <alignment horizontal="center"/>
    </xf>
    <xf numFmtId="0" fontId="85" fillId="0" borderId="59" xfId="0" applyFont="1" applyBorder="1" applyAlignment="1">
      <alignment horizontal="center"/>
    </xf>
    <xf numFmtId="0" fontId="85" fillId="0" borderId="56" xfId="0" applyFont="1" applyBorder="1" applyAlignment="1">
      <alignment horizontal="center"/>
    </xf>
    <xf numFmtId="0" fontId="59" fillId="0" borderId="56" xfId="0" applyFont="1" applyBorder="1" applyAlignment="1">
      <alignment horizontal="center"/>
    </xf>
    <xf numFmtId="0" fontId="60" fillId="0" borderId="45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0" fontId="60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60" fillId="6" borderId="45" xfId="0" applyFont="1" applyFill="1" applyBorder="1" applyAlignment="1">
      <alignment horizontal="center" vertical="center" wrapText="1"/>
    </xf>
    <xf numFmtId="0" fontId="0" fillId="6" borderId="56" xfId="0" applyFill="1" applyBorder="1" applyAlignment="1">
      <alignment horizontal="center" vertical="center" wrapText="1"/>
    </xf>
    <xf numFmtId="0" fontId="60" fillId="6" borderId="56" xfId="0" applyFont="1" applyFill="1" applyBorder="1" applyAlignment="1">
      <alignment horizontal="center" vertical="center" wrapText="1"/>
    </xf>
    <xf numFmtId="166" fontId="60" fillId="6" borderId="12" xfId="1" applyNumberFormat="1" applyFont="1" applyFill="1" applyBorder="1" applyAlignment="1">
      <alignment horizontal="center" vertical="center" wrapText="1"/>
    </xf>
    <xf numFmtId="166" fontId="60" fillId="6" borderId="14" xfId="1" applyNumberFormat="1" applyFont="1" applyFill="1" applyBorder="1" applyAlignment="1">
      <alignment horizontal="center" vertical="center" wrapText="1"/>
    </xf>
    <xf numFmtId="166" fontId="60" fillId="6" borderId="3" xfId="1" applyNumberFormat="1" applyFont="1" applyFill="1" applyBorder="1" applyAlignment="1">
      <alignment horizontal="center" vertical="center" wrapText="1"/>
    </xf>
    <xf numFmtId="166" fontId="60" fillId="6" borderId="5" xfId="1" applyNumberFormat="1" applyFont="1" applyFill="1" applyBorder="1" applyAlignment="1">
      <alignment horizontal="center" vertical="center" wrapText="1"/>
    </xf>
    <xf numFmtId="166" fontId="2" fillId="0" borderId="56" xfId="1" applyNumberFormat="1" applyFont="1" applyBorder="1" applyAlignment="1">
      <alignment horizontal="center" vertical="center" wrapText="1"/>
    </xf>
    <xf numFmtId="166" fontId="60" fillId="6" borderId="45" xfId="1" applyNumberFormat="1" applyFont="1" applyFill="1" applyBorder="1" applyAlignment="1">
      <alignment horizontal="center" vertical="center" wrapText="1"/>
    </xf>
    <xf numFmtId="166" fontId="2" fillId="6" borderId="56" xfId="1" applyNumberFormat="1" applyFont="1" applyFill="1" applyBorder="1" applyAlignment="1">
      <alignment horizontal="center" vertical="center" wrapText="1"/>
    </xf>
    <xf numFmtId="166" fontId="60" fillId="6" borderId="56" xfId="1" applyNumberFormat="1" applyFont="1" applyFill="1" applyBorder="1" applyAlignment="1">
      <alignment horizontal="center" vertical="center" wrapText="1"/>
    </xf>
    <xf numFmtId="0" fontId="60" fillId="0" borderId="12" xfId="0" applyFont="1" applyFill="1" applyBorder="1" applyAlignment="1">
      <alignment horizontal="center" vertical="center" wrapText="1"/>
    </xf>
    <xf numFmtId="0" fontId="60" fillId="0" borderId="13" xfId="0" applyFont="1" applyFill="1" applyBorder="1" applyAlignment="1">
      <alignment horizontal="center" vertical="center" wrapText="1"/>
    </xf>
    <xf numFmtId="0" fontId="60" fillId="0" borderId="14" xfId="0" applyFont="1" applyFill="1" applyBorder="1" applyAlignment="1">
      <alignment horizontal="center" vertical="center" wrapText="1"/>
    </xf>
    <xf numFmtId="0" fontId="60" fillId="0" borderId="3" xfId="0" applyFont="1" applyFill="1" applyBorder="1" applyAlignment="1">
      <alignment horizontal="center" vertical="center" wrapText="1"/>
    </xf>
    <xf numFmtId="0" fontId="60" fillId="0" borderId="4" xfId="0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center" vertical="center" wrapText="1"/>
    </xf>
    <xf numFmtId="166" fontId="1" fillId="0" borderId="56" xfId="1" applyNumberFormat="1" applyFont="1" applyBorder="1" applyAlignment="1">
      <alignment horizontal="center" vertical="center" wrapText="1"/>
    </xf>
    <xf numFmtId="166" fontId="1" fillId="6" borderId="56" xfId="1" applyNumberFormat="1" applyFont="1" applyFill="1" applyBorder="1" applyAlignment="1">
      <alignment horizontal="center" vertical="center" wrapText="1"/>
    </xf>
    <xf numFmtId="0" fontId="118" fillId="0" borderId="0" xfId="0" applyFont="1" applyBorder="1" applyAlignment="1">
      <alignment horizontal="center"/>
    </xf>
    <xf numFmtId="0" fontId="118" fillId="7" borderId="8" xfId="0" applyFont="1" applyFill="1" applyBorder="1" applyAlignment="1">
      <alignment horizontal="center" wrapText="1"/>
    </xf>
    <xf numFmtId="0" fontId="118" fillId="7" borderId="11" xfId="0" applyFont="1" applyFill="1" applyBorder="1" applyAlignment="1">
      <alignment horizontal="center" wrapText="1"/>
    </xf>
    <xf numFmtId="0" fontId="118" fillId="0" borderId="0" xfId="0" applyFont="1" applyAlignment="1">
      <alignment horizontal="center"/>
    </xf>
    <xf numFmtId="0" fontId="118" fillId="7" borderId="68" xfId="0" applyFont="1" applyFill="1" applyBorder="1" applyAlignment="1">
      <alignment horizontal="center"/>
    </xf>
    <xf numFmtId="0" fontId="118" fillId="7" borderId="67" xfId="0" applyFont="1" applyFill="1" applyBorder="1" applyAlignment="1">
      <alignment horizontal="center"/>
    </xf>
    <xf numFmtId="0" fontId="118" fillId="7" borderId="73" xfId="0" applyFont="1" applyFill="1" applyBorder="1" applyAlignment="1">
      <alignment horizontal="center"/>
    </xf>
    <xf numFmtId="0" fontId="118" fillId="7" borderId="15" xfId="0" applyFont="1" applyFill="1" applyBorder="1" applyAlignment="1"/>
    <xf numFmtId="0" fontId="118" fillId="7" borderId="9" xfId="0" applyFont="1" applyFill="1" applyBorder="1" applyAlignment="1"/>
    <xf numFmtId="0" fontId="118" fillId="7" borderId="10" xfId="0" applyFont="1" applyFill="1" applyBorder="1" applyAlignment="1"/>
    <xf numFmtId="0" fontId="118" fillId="7" borderId="36" xfId="0" applyFont="1" applyFill="1" applyBorder="1" applyAlignment="1"/>
    <xf numFmtId="0" fontId="118" fillId="7" borderId="8" xfId="0" applyFont="1" applyFill="1" applyBorder="1" applyAlignment="1"/>
    <xf numFmtId="0" fontId="118" fillId="7" borderId="11" xfId="0" applyFont="1" applyFill="1" applyBorder="1" applyAlignment="1"/>
    <xf numFmtId="49" fontId="118" fillId="7" borderId="40" xfId="0" applyNumberFormat="1" applyFont="1" applyFill="1" applyBorder="1" applyAlignment="1">
      <alignment wrapText="1"/>
    </xf>
    <xf numFmtId="49" fontId="118" fillId="7" borderId="61" xfId="0" applyNumberFormat="1" applyFont="1" applyFill="1" applyBorder="1" applyAlignment="1">
      <alignment wrapText="1"/>
    </xf>
    <xf numFmtId="49" fontId="118" fillId="7" borderId="52" xfId="0" applyNumberFormat="1" applyFont="1" applyFill="1" applyBorder="1" applyAlignment="1">
      <alignment wrapText="1"/>
    </xf>
    <xf numFmtId="0" fontId="118" fillId="7" borderId="30" xfId="0" applyFont="1" applyFill="1" applyBorder="1" applyAlignment="1">
      <alignment horizontal="center" wrapText="1"/>
    </xf>
    <xf numFmtId="0" fontId="118" fillId="7" borderId="37" xfId="0" applyFont="1" applyFill="1" applyBorder="1" applyAlignment="1">
      <alignment horizontal="center" wrapText="1"/>
    </xf>
    <xf numFmtId="1" fontId="118" fillId="3" borderId="40" xfId="0" applyNumberFormat="1" applyFont="1" applyFill="1" applyBorder="1" applyAlignment="1">
      <alignment horizontal="center" vertical="justify"/>
    </xf>
    <xf numFmtId="1" fontId="118" fillId="3" borderId="61" xfId="0" applyNumberFormat="1" applyFont="1" applyFill="1" applyBorder="1" applyAlignment="1">
      <alignment horizontal="center" vertical="justify"/>
    </xf>
    <xf numFmtId="1" fontId="118" fillId="3" borderId="41" xfId="0" applyNumberFormat="1" applyFont="1" applyFill="1" applyBorder="1" applyAlignment="1">
      <alignment horizontal="center" vertical="justify"/>
    </xf>
    <xf numFmtId="1" fontId="118" fillId="3" borderId="62" xfId="0" applyNumberFormat="1" applyFont="1" applyFill="1" applyBorder="1" applyAlignment="1">
      <alignment horizontal="center" vertical="justify"/>
    </xf>
    <xf numFmtId="0" fontId="128" fillId="8" borderId="6" xfId="0" applyFont="1" applyFill="1" applyBorder="1" applyAlignment="1">
      <alignment horizontal="center" vertical="center" wrapText="1"/>
    </xf>
    <xf numFmtId="0" fontId="128" fillId="8" borderId="57" xfId="0" applyFont="1" applyFill="1" applyBorder="1" applyAlignment="1">
      <alignment horizontal="center" vertical="center" wrapText="1"/>
    </xf>
    <xf numFmtId="0" fontId="128" fillId="8" borderId="45" xfId="0" applyFont="1" applyFill="1" applyBorder="1" applyAlignment="1">
      <alignment horizontal="center" vertical="center" wrapText="1"/>
    </xf>
    <xf numFmtId="0" fontId="117" fillId="8" borderId="56" xfId="0" applyFont="1" applyFill="1" applyBorder="1" applyAlignment="1">
      <alignment horizontal="center" vertical="center" wrapText="1"/>
    </xf>
    <xf numFmtId="0" fontId="128" fillId="8" borderId="56" xfId="0" applyFont="1" applyFill="1" applyBorder="1" applyAlignment="1">
      <alignment horizontal="center" vertical="center" wrapText="1"/>
    </xf>
    <xf numFmtId="1" fontId="118" fillId="3" borderId="29" xfId="0" applyNumberFormat="1" applyFont="1" applyFill="1" applyBorder="1" applyAlignment="1">
      <alignment horizontal="center" vertical="justify"/>
    </xf>
    <xf numFmtId="0" fontId="128" fillId="8" borderId="59" xfId="0" applyFont="1" applyFill="1" applyBorder="1" applyAlignment="1">
      <alignment horizontal="center" vertical="center" wrapText="1"/>
    </xf>
    <xf numFmtId="0" fontId="118" fillId="8" borderId="12" xfId="0" applyFont="1" applyFill="1" applyBorder="1" applyAlignment="1">
      <alignment horizontal="center"/>
    </xf>
    <xf numFmtId="0" fontId="118" fillId="8" borderId="1" xfId="0" applyFont="1" applyFill="1" applyBorder="1" applyAlignment="1">
      <alignment horizontal="center"/>
    </xf>
    <xf numFmtId="0" fontId="128" fillId="8" borderId="7" xfId="0" applyFont="1" applyFill="1" applyBorder="1" applyAlignment="1">
      <alignment horizontal="center" vertical="center" wrapText="1"/>
    </xf>
    <xf numFmtId="0" fontId="128" fillId="8" borderId="12" xfId="0" applyFont="1" applyFill="1" applyBorder="1" applyAlignment="1">
      <alignment horizontal="center" vertical="center" wrapText="1"/>
    </xf>
    <xf numFmtId="0" fontId="128" fillId="8" borderId="14" xfId="0" applyFont="1" applyFill="1" applyBorder="1" applyAlignment="1">
      <alignment horizontal="center" vertical="center" wrapText="1"/>
    </xf>
    <xf numFmtId="0" fontId="128" fillId="8" borderId="3" xfId="0" applyFont="1" applyFill="1" applyBorder="1" applyAlignment="1">
      <alignment horizontal="center" vertical="center" wrapText="1"/>
    </xf>
    <xf numFmtId="0" fontId="128" fillId="8" borderId="5" xfId="0" applyFont="1" applyFill="1" applyBorder="1" applyAlignment="1">
      <alignment horizontal="center" vertical="center" wrapText="1"/>
    </xf>
    <xf numFmtId="0" fontId="121" fillId="7" borderId="58" xfId="0" applyFont="1" applyFill="1" applyBorder="1" applyAlignment="1">
      <alignment horizontal="center"/>
    </xf>
    <xf numFmtId="0" fontId="121" fillId="7" borderId="23" xfId="0" applyFont="1" applyFill="1" applyBorder="1" applyAlignment="1">
      <alignment horizontal="center"/>
    </xf>
    <xf numFmtId="0" fontId="121" fillId="7" borderId="35" xfId="0" applyFont="1" applyFill="1" applyBorder="1" applyAlignment="1">
      <alignment horizontal="center"/>
    </xf>
    <xf numFmtId="0" fontId="121" fillId="7" borderId="44" xfId="0" applyFont="1" applyFill="1" applyBorder="1" applyAlignment="1">
      <alignment horizontal="center"/>
    </xf>
    <xf numFmtId="0" fontId="119" fillId="0" borderId="0" xfId="0" applyFont="1" applyFill="1" applyBorder="1" applyAlignment="1">
      <alignment horizontal="center"/>
    </xf>
    <xf numFmtId="0" fontId="114" fillId="7" borderId="6" xfId="0" applyFont="1" applyFill="1" applyBorder="1" applyAlignment="1">
      <alignment horizontal="center"/>
    </xf>
    <xf numFmtId="0" fontId="114" fillId="7" borderId="57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18" fillId="8" borderId="23" xfId="0" applyFont="1" applyFill="1" applyBorder="1" applyAlignment="1">
      <alignment horizontal="center"/>
    </xf>
    <xf numFmtId="0" fontId="118" fillId="8" borderId="8" xfId="0" applyFont="1" applyFill="1" applyBorder="1" applyAlignment="1">
      <alignment horizontal="center"/>
    </xf>
    <xf numFmtId="0" fontId="118" fillId="0" borderId="23" xfId="0" applyFont="1" applyFill="1" applyBorder="1" applyAlignment="1">
      <alignment horizontal="center"/>
    </xf>
    <xf numFmtId="0" fontId="118" fillId="0" borderId="8" xfId="0" applyFont="1" applyFill="1" applyBorder="1" applyAlignment="1">
      <alignment horizontal="center"/>
    </xf>
    <xf numFmtId="0" fontId="17" fillId="6" borderId="59" xfId="0" applyFont="1" applyFill="1" applyBorder="1" applyAlignment="1">
      <alignment horizontal="right"/>
    </xf>
    <xf numFmtId="0" fontId="21" fillId="6" borderId="59" xfId="0" applyFont="1" applyFill="1" applyBorder="1" applyAlignment="1">
      <alignment horizontal="right"/>
    </xf>
    <xf numFmtId="0" fontId="21" fillId="6" borderId="74" xfId="0" applyFont="1" applyFill="1" applyBorder="1" applyAlignment="1">
      <alignment horizontal="right"/>
    </xf>
    <xf numFmtId="0" fontId="118" fillId="7" borderId="66" xfId="0" applyFont="1" applyFill="1" applyBorder="1" applyAlignment="1">
      <alignment horizontal="center"/>
    </xf>
    <xf numFmtId="0" fontId="118" fillId="7" borderId="60" xfId="0" applyFont="1" applyFill="1" applyBorder="1" applyAlignment="1">
      <alignment horizontal="center"/>
    </xf>
    <xf numFmtId="0" fontId="117" fillId="0" borderId="11" xfId="0" applyFont="1" applyFill="1" applyBorder="1" applyAlignment="1">
      <alignment horizontal="center"/>
    </xf>
    <xf numFmtId="164" fontId="114" fillId="7" borderId="12" xfId="0" applyNumberFormat="1" applyFont="1" applyFill="1" applyBorder="1" applyAlignment="1">
      <alignment horizontal="center"/>
    </xf>
    <xf numFmtId="164" fontId="114" fillId="7" borderId="3" xfId="0" applyNumberFormat="1" applyFont="1" applyFill="1" applyBorder="1" applyAlignment="1">
      <alignment horizontal="center"/>
    </xf>
    <xf numFmtId="164" fontId="118" fillId="6" borderId="7" xfId="0" applyNumberFormat="1" applyFont="1" applyFill="1" applyBorder="1" applyAlignment="1">
      <alignment horizontal="center"/>
    </xf>
    <xf numFmtId="164" fontId="118" fillId="6" borderId="57" xfId="0" applyNumberFormat="1" applyFont="1" applyFill="1" applyBorder="1" applyAlignment="1">
      <alignment horizontal="center"/>
    </xf>
    <xf numFmtId="166" fontId="7" fillId="8" borderId="40" xfId="1" applyNumberFormat="1" applyFont="1" applyFill="1" applyBorder="1" applyAlignment="1">
      <alignment horizontal="center" vertical="justify"/>
    </xf>
    <xf numFmtId="166" fontId="7" fillId="8" borderId="52" xfId="1" applyNumberFormat="1" applyFont="1" applyFill="1" applyBorder="1" applyAlignment="1">
      <alignment horizontal="center" vertical="justify"/>
    </xf>
    <xf numFmtId="166" fontId="7" fillId="8" borderId="68" xfId="1" applyNumberFormat="1" applyFont="1" applyFill="1" applyBorder="1" applyAlignment="1">
      <alignment horizontal="center" vertical="justify"/>
    </xf>
    <xf numFmtId="166" fontId="7" fillId="8" borderId="67" xfId="1" applyNumberFormat="1" applyFont="1" applyFill="1" applyBorder="1" applyAlignment="1">
      <alignment horizontal="center" vertical="justify"/>
    </xf>
    <xf numFmtId="166" fontId="7" fillId="8" borderId="69" xfId="1" applyNumberFormat="1" applyFont="1" applyFill="1" applyBorder="1" applyAlignment="1">
      <alignment horizontal="center" vertical="justify"/>
    </xf>
    <xf numFmtId="0" fontId="7" fillId="8" borderId="40" xfId="0" applyFont="1" applyFill="1" applyBorder="1" applyAlignment="1">
      <alignment horizontal="center" vertical="justify"/>
    </xf>
    <xf numFmtId="0" fontId="7" fillId="8" borderId="52" xfId="0" applyFont="1" applyFill="1" applyBorder="1" applyAlignment="1">
      <alignment horizontal="center" vertical="justify"/>
    </xf>
    <xf numFmtId="166" fontId="7" fillId="8" borderId="6" xfId="1" applyNumberFormat="1" applyFont="1" applyFill="1" applyBorder="1" applyAlignment="1">
      <alignment horizontal="center" wrapText="1" shrinkToFit="1"/>
    </xf>
    <xf numFmtId="166" fontId="7" fillId="8" borderId="57" xfId="1" applyNumberFormat="1" applyFont="1" applyFill="1" applyBorder="1" applyAlignment="1">
      <alignment horizontal="center" wrapText="1" shrinkToFit="1"/>
    </xf>
    <xf numFmtId="0" fontId="118" fillId="11" borderId="45" xfId="0" applyFont="1" applyFill="1" applyBorder="1" applyAlignment="1">
      <alignment horizontal="center"/>
    </xf>
    <xf numFmtId="0" fontId="118" fillId="11" borderId="59" xfId="0" applyFont="1" applyFill="1" applyBorder="1" applyAlignment="1">
      <alignment horizontal="center"/>
    </xf>
    <xf numFmtId="166" fontId="7" fillId="8" borderId="41" xfId="1" applyNumberFormat="1" applyFont="1" applyFill="1" applyBorder="1" applyAlignment="1">
      <alignment horizontal="center" vertical="justify"/>
    </xf>
    <xf numFmtId="166" fontId="7" fillId="8" borderId="53" xfId="1" applyNumberFormat="1" applyFont="1" applyFill="1" applyBorder="1" applyAlignment="1">
      <alignment horizontal="center" vertical="justify"/>
    </xf>
    <xf numFmtId="0" fontId="4" fillId="0" borderId="0" xfId="0" applyFont="1" applyBorder="1" applyAlignment="1">
      <alignment horizontal="center"/>
    </xf>
    <xf numFmtId="0" fontId="119" fillId="8" borderId="39" xfId="0" applyFont="1" applyFill="1" applyBorder="1" applyAlignment="1">
      <alignment horizontal="center"/>
    </xf>
    <xf numFmtId="0" fontId="119" fillId="8" borderId="51" xfId="0" applyFont="1" applyFill="1" applyBorder="1" applyAlignment="1">
      <alignment horizontal="center"/>
    </xf>
    <xf numFmtId="0" fontId="119" fillId="8" borderId="40" xfId="0" applyFont="1" applyFill="1" applyBorder="1" applyAlignment="1">
      <alignment horizontal="center"/>
    </xf>
    <xf numFmtId="0" fontId="119" fillId="8" borderId="52" xfId="0" applyFont="1" applyFill="1" applyBorder="1" applyAlignment="1">
      <alignment horizontal="center"/>
    </xf>
    <xf numFmtId="0" fontId="119" fillId="8" borderId="55" xfId="0" applyFont="1" applyFill="1" applyBorder="1" applyAlignment="1">
      <alignment horizontal="center"/>
    </xf>
    <xf numFmtId="0" fontId="119" fillId="8" borderId="59" xfId="0" applyFont="1" applyFill="1" applyBorder="1" applyAlignment="1">
      <alignment horizontal="center"/>
    </xf>
    <xf numFmtId="0" fontId="119" fillId="8" borderId="56" xfId="0" applyFont="1" applyFill="1" applyBorder="1" applyAlignment="1">
      <alignment horizontal="center"/>
    </xf>
    <xf numFmtId="0" fontId="21" fillId="0" borderId="58" xfId="0" applyFont="1" applyFill="1" applyBorder="1" applyAlignment="1">
      <alignment horizontal="left"/>
    </xf>
    <xf numFmtId="0" fontId="21" fillId="0" borderId="23" xfId="0" applyFont="1" applyFill="1" applyBorder="1" applyAlignment="1">
      <alignment horizontal="left"/>
    </xf>
    <xf numFmtId="166" fontId="21" fillId="0" borderId="58" xfId="1" applyNumberFormat="1" applyFont="1" applyFill="1" applyBorder="1" applyAlignment="1">
      <alignment horizontal="center"/>
    </xf>
    <xf numFmtId="166" fontId="21" fillId="0" borderId="23" xfId="1" applyNumberFormat="1" applyFont="1" applyFill="1" applyBorder="1" applyAlignment="1">
      <alignment horizontal="center"/>
    </xf>
    <xf numFmtId="0" fontId="8" fillId="14" borderId="12" xfId="0" applyFont="1" applyFill="1" applyBorder="1" applyAlignment="1">
      <alignment horizontal="center"/>
    </xf>
    <xf numFmtId="0" fontId="8" fillId="14" borderId="13" xfId="0" applyFont="1" applyFill="1" applyBorder="1" applyAlignment="1">
      <alignment horizontal="center"/>
    </xf>
    <xf numFmtId="0" fontId="8" fillId="14" borderId="14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8" fillId="14" borderId="0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8" fillId="14" borderId="3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166" fontId="46" fillId="0" borderId="12" xfId="1" applyNumberFormat="1" applyFont="1" applyFill="1" applyBorder="1" applyAlignment="1">
      <alignment horizontal="center" vertical="justify"/>
    </xf>
    <xf numFmtId="166" fontId="46" fillId="0" borderId="1" xfId="1" applyNumberFormat="1" applyFont="1" applyFill="1" applyBorder="1" applyAlignment="1">
      <alignment horizontal="center" vertical="justify"/>
    </xf>
    <xf numFmtId="166" fontId="46" fillId="0" borderId="3" xfId="1" applyNumberFormat="1" applyFont="1" applyFill="1" applyBorder="1" applyAlignment="1">
      <alignment horizontal="center" vertical="justify"/>
    </xf>
    <xf numFmtId="166" fontId="46" fillId="0" borderId="14" xfId="1" applyNumberFormat="1" applyFont="1" applyFill="1" applyBorder="1" applyAlignment="1">
      <alignment horizontal="center" vertical="justify"/>
    </xf>
    <xf numFmtId="166" fontId="46" fillId="0" borderId="2" xfId="1" applyNumberFormat="1" applyFont="1" applyFill="1" applyBorder="1" applyAlignment="1">
      <alignment horizontal="center" vertical="justify"/>
    </xf>
    <xf numFmtId="166" fontId="46" fillId="0" borderId="5" xfId="1" applyNumberFormat="1" applyFont="1" applyFill="1" applyBorder="1" applyAlignment="1">
      <alignment horizontal="center" vertical="justify"/>
    </xf>
    <xf numFmtId="166" fontId="46" fillId="0" borderId="6" xfId="1" applyNumberFormat="1" applyFont="1" applyFill="1" applyBorder="1" applyAlignment="1">
      <alignment horizontal="center" vertical="justify" textRotation="90"/>
    </xf>
    <xf numFmtId="166" fontId="46" fillId="0" borderId="7" xfId="1" applyNumberFormat="1" applyFont="1" applyFill="1" applyBorder="1" applyAlignment="1">
      <alignment horizontal="center" vertical="justify" textRotation="90"/>
    </xf>
    <xf numFmtId="166" fontId="46" fillId="0" borderId="57" xfId="1" applyNumberFormat="1" applyFont="1" applyFill="1" applyBorder="1" applyAlignment="1">
      <alignment horizontal="center" vertical="justify" textRotation="90"/>
    </xf>
    <xf numFmtId="166" fontId="46" fillId="0" borderId="6" xfId="1" applyNumberFormat="1" applyFont="1" applyFill="1" applyBorder="1" applyAlignment="1">
      <alignment horizontal="center" vertical="justify"/>
    </xf>
    <xf numFmtId="166" fontId="46" fillId="0" borderId="7" xfId="1" applyNumberFormat="1" applyFont="1" applyFill="1" applyBorder="1" applyAlignment="1">
      <alignment horizontal="center" vertical="justify"/>
    </xf>
    <xf numFmtId="166" fontId="46" fillId="0" borderId="57" xfId="1" applyNumberFormat="1" applyFont="1" applyFill="1" applyBorder="1" applyAlignment="1">
      <alignment horizontal="center" vertical="justify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1" fontId="84" fillId="0" borderId="8" xfId="0" applyNumberFormat="1" applyFont="1" applyFill="1" applyBorder="1" applyAlignment="1">
      <alignment horizontal="center"/>
    </xf>
    <xf numFmtId="1" fontId="84" fillId="0" borderId="11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18" fillId="0" borderId="45" xfId="0" applyFont="1" applyFill="1" applyBorder="1" applyAlignment="1">
      <alignment horizontal="center"/>
    </xf>
    <xf numFmtId="0" fontId="18" fillId="0" borderId="59" xfId="0" applyFont="1" applyFill="1" applyBorder="1" applyAlignment="1">
      <alignment horizontal="center"/>
    </xf>
    <xf numFmtId="0" fontId="18" fillId="0" borderId="5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justify" textRotation="90"/>
    </xf>
    <xf numFmtId="0" fontId="7" fillId="0" borderId="14" xfId="0" applyFont="1" applyFill="1" applyBorder="1" applyAlignment="1">
      <alignment horizontal="center" vertical="justify" textRotation="90"/>
    </xf>
    <xf numFmtId="0" fontId="7" fillId="0" borderId="1" xfId="0" applyFont="1" applyFill="1" applyBorder="1" applyAlignment="1">
      <alignment horizontal="center" vertical="justify" textRotation="90"/>
    </xf>
    <xf numFmtId="0" fontId="7" fillId="0" borderId="2" xfId="0" applyFont="1" applyFill="1" applyBorder="1" applyAlignment="1">
      <alignment horizontal="center" vertical="justify" textRotation="90"/>
    </xf>
    <xf numFmtId="0" fontId="7" fillId="0" borderId="3" xfId="0" applyFont="1" applyFill="1" applyBorder="1" applyAlignment="1">
      <alignment horizontal="center" vertical="justify" textRotation="90"/>
    </xf>
    <xf numFmtId="0" fontId="7" fillId="0" borderId="5" xfId="0" applyFont="1" applyFill="1" applyBorder="1" applyAlignment="1">
      <alignment horizontal="center" vertical="justify" textRotation="90"/>
    </xf>
    <xf numFmtId="0" fontId="21" fillId="6" borderId="58" xfId="0" applyFont="1" applyFill="1" applyBorder="1" applyAlignment="1">
      <alignment horizontal="left"/>
    </xf>
    <xf numFmtId="0" fontId="21" fillId="6" borderId="23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justify"/>
    </xf>
    <xf numFmtId="0" fontId="7" fillId="0" borderId="7" xfId="0" applyFont="1" applyFill="1" applyBorder="1" applyAlignment="1">
      <alignment horizontal="center" vertical="justify"/>
    </xf>
    <xf numFmtId="0" fontId="7" fillId="0" borderId="57" xfId="0" applyFont="1" applyFill="1" applyBorder="1" applyAlignment="1">
      <alignment horizontal="center" vertical="justify"/>
    </xf>
    <xf numFmtId="166" fontId="7" fillId="13" borderId="70" xfId="1" applyNumberFormat="1" applyFont="1" applyFill="1" applyBorder="1" applyAlignment="1">
      <alignment horizontal="center" wrapText="1" shrinkToFit="1"/>
    </xf>
    <xf numFmtId="166" fontId="7" fillId="13" borderId="49" xfId="1" applyNumberFormat="1" applyFont="1" applyFill="1" applyBorder="1" applyAlignment="1">
      <alignment horizontal="center" wrapText="1" shrinkToFit="1"/>
    </xf>
    <xf numFmtId="166" fontId="7" fillId="13" borderId="50" xfId="1" applyNumberFormat="1" applyFont="1" applyFill="1" applyBorder="1" applyAlignment="1">
      <alignment horizontal="center" wrapText="1" shrinkToFit="1"/>
    </xf>
    <xf numFmtId="166" fontId="18" fillId="8" borderId="58" xfId="1" applyNumberFormat="1" applyFont="1" applyFill="1" applyBorder="1" applyAlignment="1">
      <alignment horizontal="center"/>
    </xf>
    <xf numFmtId="166" fontId="18" fillId="8" borderId="42" xfId="1" applyNumberFormat="1" applyFont="1" applyFill="1" applyBorder="1" applyAlignment="1">
      <alignment horizontal="center"/>
    </xf>
    <xf numFmtId="166" fontId="18" fillId="8" borderId="18" xfId="1" applyNumberFormat="1" applyFont="1" applyFill="1" applyBorder="1" applyAlignment="1">
      <alignment horizontal="center"/>
    </xf>
    <xf numFmtId="1" fontId="84" fillId="0" borderId="64" xfId="0" applyNumberFormat="1" applyFont="1" applyFill="1" applyBorder="1" applyAlignment="1">
      <alignment horizontal="center"/>
    </xf>
    <xf numFmtId="1" fontId="84" fillId="0" borderId="66" xfId="0" applyNumberFormat="1" applyFont="1" applyFill="1" applyBorder="1" applyAlignment="1">
      <alignment horizontal="center"/>
    </xf>
    <xf numFmtId="0" fontId="18" fillId="0" borderId="45" xfId="0" applyFont="1" applyFill="1" applyBorder="1" applyAlignment="1">
      <alignment horizontal="center" vertical="justify"/>
    </xf>
    <xf numFmtId="0" fontId="18" fillId="0" borderId="59" xfId="0" applyFont="1" applyFill="1" applyBorder="1" applyAlignment="1">
      <alignment horizontal="center" vertical="justify"/>
    </xf>
    <xf numFmtId="0" fontId="18" fillId="0" borderId="56" xfId="0" applyFont="1" applyFill="1" applyBorder="1" applyAlignment="1">
      <alignment horizontal="center" vertical="justify"/>
    </xf>
    <xf numFmtId="0" fontId="5" fillId="0" borderId="0" xfId="0" applyFont="1" applyAlignment="1">
      <alignment horizontal="center"/>
    </xf>
    <xf numFmtId="166" fontId="18" fillId="8" borderId="68" xfId="1" applyNumberFormat="1" applyFont="1" applyFill="1" applyBorder="1" applyAlignment="1">
      <alignment horizontal="center"/>
    </xf>
    <xf numFmtId="166" fontId="18" fillId="8" borderId="69" xfId="1" applyNumberFormat="1" applyFont="1" applyFill="1" applyBorder="1" applyAlignment="1">
      <alignment horizontal="center"/>
    </xf>
    <xf numFmtId="166" fontId="18" fillId="8" borderId="67" xfId="1" applyNumberFormat="1" applyFont="1" applyFill="1" applyBorder="1" applyAlignment="1">
      <alignment horizontal="center"/>
    </xf>
    <xf numFmtId="166" fontId="21" fillId="0" borderId="12" xfId="1" applyNumberFormat="1" applyFont="1" applyFill="1" applyBorder="1" applyAlignment="1">
      <alignment horizontal="center" vertical="justify"/>
    </xf>
    <xf numFmtId="166" fontId="21" fillId="0" borderId="1" xfId="1" applyNumberFormat="1" applyFont="1" applyFill="1" applyBorder="1" applyAlignment="1">
      <alignment horizontal="center" vertical="justify"/>
    </xf>
    <xf numFmtId="166" fontId="21" fillId="0" borderId="3" xfId="1" applyNumberFormat="1" applyFont="1" applyFill="1" applyBorder="1" applyAlignment="1">
      <alignment horizontal="center" vertical="justify"/>
    </xf>
    <xf numFmtId="166" fontId="21" fillId="0" borderId="14" xfId="1" applyNumberFormat="1" applyFont="1" applyFill="1" applyBorder="1" applyAlignment="1">
      <alignment horizontal="center" vertical="justify"/>
    </xf>
    <xf numFmtId="166" fontId="21" fillId="0" borderId="2" xfId="1" applyNumberFormat="1" applyFont="1" applyFill="1" applyBorder="1" applyAlignment="1">
      <alignment horizontal="center" vertical="justify"/>
    </xf>
    <xf numFmtId="166" fontId="21" fillId="0" borderId="5" xfId="1" applyNumberFormat="1" applyFont="1" applyFill="1" applyBorder="1" applyAlignment="1">
      <alignment horizontal="center" vertical="justify"/>
    </xf>
    <xf numFmtId="166" fontId="21" fillId="0" borderId="6" xfId="1" applyNumberFormat="1" applyFont="1" applyFill="1" applyBorder="1" applyAlignment="1">
      <alignment horizontal="center" vertical="justify" textRotation="90"/>
    </xf>
    <xf numFmtId="166" fontId="21" fillId="0" borderId="7" xfId="1" applyNumberFormat="1" applyFont="1" applyFill="1" applyBorder="1" applyAlignment="1">
      <alignment horizontal="center" vertical="justify" textRotation="90"/>
    </xf>
    <xf numFmtId="166" fontId="21" fillId="0" borderId="57" xfId="1" applyNumberFormat="1" applyFont="1" applyFill="1" applyBorder="1" applyAlignment="1">
      <alignment horizontal="center" vertical="justify" textRotation="90"/>
    </xf>
    <xf numFmtId="166" fontId="21" fillId="0" borderId="6" xfId="1" applyNumberFormat="1" applyFont="1" applyFill="1" applyBorder="1" applyAlignment="1">
      <alignment horizontal="center" vertical="justify"/>
    </xf>
    <xf numFmtId="166" fontId="21" fillId="0" borderId="7" xfId="1" applyNumberFormat="1" applyFont="1" applyFill="1" applyBorder="1" applyAlignment="1">
      <alignment horizontal="center" vertical="justify"/>
    </xf>
    <xf numFmtId="166" fontId="21" fillId="0" borderId="57" xfId="1" applyNumberFormat="1" applyFont="1" applyFill="1" applyBorder="1" applyAlignment="1">
      <alignment horizontal="center" vertical="justify"/>
    </xf>
    <xf numFmtId="0" fontId="21" fillId="14" borderId="12" xfId="0" applyFont="1" applyFill="1" applyBorder="1" applyAlignment="1">
      <alignment horizontal="center"/>
    </xf>
    <xf numFmtId="0" fontId="21" fillId="14" borderId="13" xfId="0" applyFont="1" applyFill="1" applyBorder="1" applyAlignment="1">
      <alignment horizontal="center"/>
    </xf>
    <xf numFmtId="0" fontId="21" fillId="14" borderId="14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/>
    </xf>
    <xf numFmtId="0" fontId="21" fillId="14" borderId="0" xfId="0" applyFont="1" applyFill="1" applyBorder="1" applyAlignment="1">
      <alignment horizontal="center"/>
    </xf>
    <xf numFmtId="0" fontId="21" fillId="14" borderId="2" xfId="0" applyFont="1" applyFill="1" applyBorder="1" applyAlignment="1">
      <alignment horizontal="center"/>
    </xf>
    <xf numFmtId="0" fontId="21" fillId="14" borderId="3" xfId="0" applyFont="1" applyFill="1" applyBorder="1" applyAlignment="1">
      <alignment horizontal="center"/>
    </xf>
    <xf numFmtId="0" fontId="21" fillId="14" borderId="4" xfId="0" applyFont="1" applyFill="1" applyBorder="1" applyAlignment="1">
      <alignment horizontal="center"/>
    </xf>
    <xf numFmtId="0" fontId="21" fillId="14" borderId="5" xfId="0" applyFont="1" applyFill="1" applyBorder="1" applyAlignment="1">
      <alignment horizontal="center"/>
    </xf>
    <xf numFmtId="0" fontId="17" fillId="14" borderId="12" xfId="0" applyFont="1" applyFill="1" applyBorder="1" applyAlignment="1">
      <alignment horizontal="center"/>
    </xf>
    <xf numFmtId="0" fontId="17" fillId="14" borderId="13" xfId="0" applyFont="1" applyFill="1" applyBorder="1" applyAlignment="1">
      <alignment horizontal="center"/>
    </xf>
    <xf numFmtId="0" fontId="17" fillId="14" borderId="14" xfId="0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/>
    </xf>
    <xf numFmtId="0" fontId="17" fillId="14" borderId="0" xfId="0" applyFont="1" applyFill="1" applyBorder="1" applyAlignment="1">
      <alignment horizontal="center"/>
    </xf>
    <xf numFmtId="0" fontId="17" fillId="14" borderId="2" xfId="0" applyFont="1" applyFill="1" applyBorder="1" applyAlignment="1">
      <alignment horizontal="center"/>
    </xf>
    <xf numFmtId="0" fontId="17" fillId="14" borderId="3" xfId="0" applyFont="1" applyFill="1" applyBorder="1" applyAlignment="1">
      <alignment horizontal="center"/>
    </xf>
    <xf numFmtId="0" fontId="17" fillId="14" borderId="4" xfId="0" applyFont="1" applyFill="1" applyBorder="1" applyAlignment="1">
      <alignment horizontal="center"/>
    </xf>
    <xf numFmtId="0" fontId="17" fillId="14" borderId="5" xfId="0" applyFont="1" applyFill="1" applyBorder="1" applyAlignment="1">
      <alignment horizontal="center"/>
    </xf>
    <xf numFmtId="166" fontId="48" fillId="0" borderId="12" xfId="1" applyNumberFormat="1" applyFont="1" applyFill="1" applyBorder="1" applyAlignment="1">
      <alignment horizontal="center" vertical="justify"/>
    </xf>
    <xf numFmtId="166" fontId="48" fillId="0" borderId="1" xfId="1" applyNumberFormat="1" applyFont="1" applyFill="1" applyBorder="1" applyAlignment="1">
      <alignment horizontal="center" vertical="justify"/>
    </xf>
    <xf numFmtId="166" fontId="48" fillId="0" borderId="3" xfId="1" applyNumberFormat="1" applyFont="1" applyFill="1" applyBorder="1" applyAlignment="1">
      <alignment horizontal="center" vertical="justify"/>
    </xf>
    <xf numFmtId="166" fontId="48" fillId="0" borderId="14" xfId="1" applyNumberFormat="1" applyFont="1" applyFill="1" applyBorder="1" applyAlignment="1">
      <alignment horizontal="center" vertical="justify"/>
    </xf>
    <xf numFmtId="166" fontId="48" fillId="0" borderId="2" xfId="1" applyNumberFormat="1" applyFont="1" applyFill="1" applyBorder="1" applyAlignment="1">
      <alignment horizontal="center" vertical="justify"/>
    </xf>
    <xf numFmtId="166" fontId="48" fillId="0" borderId="5" xfId="1" applyNumberFormat="1" applyFont="1" applyFill="1" applyBorder="1" applyAlignment="1">
      <alignment horizontal="center" vertical="justify"/>
    </xf>
    <xf numFmtId="166" fontId="48" fillId="0" borderId="6" xfId="1" applyNumberFormat="1" applyFont="1" applyFill="1" applyBorder="1" applyAlignment="1">
      <alignment horizontal="center" vertical="justify" textRotation="90"/>
    </xf>
    <xf numFmtId="166" fontId="48" fillId="0" borderId="7" xfId="1" applyNumberFormat="1" applyFont="1" applyFill="1" applyBorder="1" applyAlignment="1">
      <alignment horizontal="center" vertical="justify" textRotation="90"/>
    </xf>
    <xf numFmtId="166" fontId="48" fillId="0" borderId="57" xfId="1" applyNumberFormat="1" applyFont="1" applyFill="1" applyBorder="1" applyAlignment="1">
      <alignment horizontal="center" vertical="justify" textRotation="90"/>
    </xf>
    <xf numFmtId="166" fontId="48" fillId="0" borderId="6" xfId="1" applyNumberFormat="1" applyFont="1" applyFill="1" applyBorder="1" applyAlignment="1">
      <alignment horizontal="center" vertical="justify"/>
    </xf>
    <xf numFmtId="166" fontId="48" fillId="0" borderId="7" xfId="1" applyNumberFormat="1" applyFont="1" applyFill="1" applyBorder="1" applyAlignment="1">
      <alignment horizontal="center" vertical="justify"/>
    </xf>
    <xf numFmtId="166" fontId="48" fillId="0" borderId="57" xfId="1" applyNumberFormat="1" applyFont="1" applyFill="1" applyBorder="1" applyAlignment="1">
      <alignment horizontal="center" vertical="justify"/>
    </xf>
    <xf numFmtId="166" fontId="48" fillId="0" borderId="45" xfId="1" applyNumberFormat="1" applyFont="1" applyFill="1" applyBorder="1" applyAlignment="1">
      <alignment horizontal="center" vertical="justify"/>
    </xf>
    <xf numFmtId="166" fontId="48" fillId="0" borderId="56" xfId="1" applyNumberFormat="1" applyFont="1" applyFill="1" applyBorder="1" applyAlignment="1">
      <alignment horizontal="center" vertical="justify"/>
    </xf>
    <xf numFmtId="0" fontId="7" fillId="3" borderId="68" xfId="0" applyFont="1" applyFill="1" applyBorder="1" applyAlignment="1">
      <alignment horizontal="center"/>
    </xf>
    <xf numFmtId="0" fontId="7" fillId="3" borderId="67" xfId="0" applyFont="1" applyFill="1" applyBorder="1" applyAlignment="1">
      <alignment horizontal="center"/>
    </xf>
    <xf numFmtId="0" fontId="7" fillId="3" borderId="69" xfId="0" applyFont="1" applyFill="1" applyBorder="1" applyAlignment="1">
      <alignment horizontal="center"/>
    </xf>
    <xf numFmtId="166" fontId="7" fillId="0" borderId="29" xfId="1" applyNumberFormat="1" applyFont="1" applyFill="1" applyBorder="1" applyAlignment="1">
      <alignment horizontal="center"/>
    </xf>
    <xf numFmtId="166" fontId="7" fillId="0" borderId="21" xfId="1" applyNumberFormat="1" applyFont="1" applyFill="1" applyBorder="1" applyAlignment="1">
      <alignment horizontal="center"/>
    </xf>
    <xf numFmtId="166" fontId="7" fillId="0" borderId="61" xfId="1" applyNumberFormat="1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5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6" fontId="7" fillId="8" borderId="6" xfId="1" applyNumberFormat="1" applyFont="1" applyFill="1" applyBorder="1" applyAlignment="1">
      <alignment horizontal="center" vertical="justify"/>
    </xf>
    <xf numFmtId="166" fontId="7" fillId="8" borderId="7" xfId="1" applyNumberFormat="1" applyFont="1" applyFill="1" applyBorder="1" applyAlignment="1">
      <alignment horizontal="center" vertical="justify"/>
    </xf>
    <xf numFmtId="166" fontId="18" fillId="8" borderId="59" xfId="1" applyNumberFormat="1" applyFont="1" applyFill="1" applyBorder="1" applyAlignment="1">
      <alignment horizontal="center" vertical="justify"/>
    </xf>
    <xf numFmtId="166" fontId="18" fillId="8" borderId="56" xfId="1" applyNumberFormat="1" applyFont="1" applyFill="1" applyBorder="1" applyAlignment="1">
      <alignment horizontal="center" vertical="justify"/>
    </xf>
    <xf numFmtId="166" fontId="18" fillId="8" borderId="14" xfId="1" applyNumberFormat="1" applyFont="1" applyFill="1" applyBorder="1" applyAlignment="1">
      <alignment horizontal="center" vertical="justify"/>
    </xf>
    <xf numFmtId="166" fontId="18" fillId="8" borderId="2" xfId="1" applyNumberFormat="1" applyFont="1" applyFill="1" applyBorder="1" applyAlignment="1">
      <alignment horizontal="center" vertical="justify"/>
    </xf>
    <xf numFmtId="166" fontId="18" fillId="8" borderId="6" xfId="1" applyNumberFormat="1" applyFont="1" applyFill="1" applyBorder="1" applyAlignment="1">
      <alignment horizontal="center" vertical="justify"/>
    </xf>
    <xf numFmtId="166" fontId="18" fillId="8" borderId="7" xfId="1" applyNumberFormat="1" applyFont="1" applyFill="1" applyBorder="1" applyAlignment="1">
      <alignment horizontal="center" vertical="justify"/>
    </xf>
    <xf numFmtId="166" fontId="18" fillId="7" borderId="6" xfId="1" applyNumberFormat="1" applyFont="1" applyFill="1" applyBorder="1" applyAlignment="1">
      <alignment horizontal="center"/>
    </xf>
    <xf numFmtId="166" fontId="18" fillId="7" borderId="7" xfId="1" applyNumberFormat="1" applyFont="1" applyFill="1" applyBorder="1" applyAlignment="1">
      <alignment horizontal="center"/>
    </xf>
    <xf numFmtId="166" fontId="18" fillId="7" borderId="59" xfId="1" applyNumberFormat="1" applyFont="1" applyFill="1" applyBorder="1" applyAlignment="1">
      <alignment horizontal="center"/>
    </xf>
    <xf numFmtId="166" fontId="18" fillId="7" borderId="56" xfId="1" applyNumberFormat="1" applyFont="1" applyFill="1" applyBorder="1" applyAlignment="1">
      <alignment horizontal="center"/>
    </xf>
    <xf numFmtId="167" fontId="18" fillId="7" borderId="45" xfId="1" applyNumberFormat="1" applyFont="1" applyFill="1" applyBorder="1" applyAlignment="1">
      <alignment horizontal="center"/>
    </xf>
    <xf numFmtId="167" fontId="18" fillId="7" borderId="59" xfId="1" applyNumberFormat="1" applyFont="1" applyFill="1" applyBorder="1" applyAlignment="1">
      <alignment horizontal="center"/>
    </xf>
    <xf numFmtId="167" fontId="18" fillId="7" borderId="56" xfId="1" applyNumberFormat="1" applyFont="1" applyFill="1" applyBorder="1" applyAlignment="1">
      <alignment horizontal="center"/>
    </xf>
    <xf numFmtId="167" fontId="18" fillId="7" borderId="12" xfId="1" applyNumberFormat="1" applyFont="1" applyFill="1" applyBorder="1" applyAlignment="1">
      <alignment horizontal="center"/>
    </xf>
    <xf numFmtId="167" fontId="18" fillId="7" borderId="1" xfId="1" applyNumberFormat="1" applyFont="1" applyFill="1" applyBorder="1" applyAlignment="1">
      <alignment horizontal="center"/>
    </xf>
    <xf numFmtId="167" fontId="18" fillId="7" borderId="68" xfId="1" applyNumberFormat="1" applyFont="1" applyFill="1" applyBorder="1" applyAlignment="1">
      <alignment horizontal="left"/>
    </xf>
    <xf numFmtId="167" fontId="18" fillId="7" borderId="69" xfId="1" applyNumberFormat="1" applyFont="1" applyFill="1" applyBorder="1" applyAlignment="1">
      <alignment horizontal="left"/>
    </xf>
    <xf numFmtId="167" fontId="7" fillId="7" borderId="41" xfId="1" applyNumberFormat="1" applyFont="1" applyFill="1" applyBorder="1" applyAlignment="1">
      <alignment horizontal="center"/>
    </xf>
    <xf numFmtId="167" fontId="7" fillId="7" borderId="62" xfId="1" applyNumberFormat="1" applyFont="1" applyFill="1" applyBorder="1" applyAlignment="1">
      <alignment horizontal="center"/>
    </xf>
    <xf numFmtId="167" fontId="7" fillId="7" borderId="6" xfId="1" applyNumberFormat="1" applyFont="1" applyFill="1" applyBorder="1" applyAlignment="1">
      <alignment horizontal="center"/>
    </xf>
    <xf numFmtId="167" fontId="7" fillId="7" borderId="7" xfId="1" applyNumberFormat="1" applyFont="1" applyFill="1" applyBorder="1" applyAlignment="1">
      <alignment horizontal="center"/>
    </xf>
    <xf numFmtId="0" fontId="81" fillId="7" borderId="11" xfId="0" applyFont="1" applyFill="1" applyBorder="1" applyAlignment="1">
      <alignment horizontal="center"/>
    </xf>
    <xf numFmtId="0" fontId="81" fillId="7" borderId="8" xfId="0" applyFont="1" applyFill="1" applyBorder="1" applyAlignment="1">
      <alignment horizontal="center"/>
    </xf>
    <xf numFmtId="0" fontId="18" fillId="3" borderId="68" xfId="0" applyFont="1" applyFill="1" applyBorder="1" applyAlignment="1">
      <alignment horizontal="center"/>
    </xf>
    <xf numFmtId="0" fontId="18" fillId="3" borderId="69" xfId="0" applyFont="1" applyFill="1" applyBorder="1" applyAlignment="1">
      <alignment horizontal="center"/>
    </xf>
    <xf numFmtId="0" fontId="18" fillId="3" borderId="45" xfId="0" applyFont="1" applyFill="1" applyBorder="1" applyAlignment="1">
      <alignment horizontal="center"/>
    </xf>
    <xf numFmtId="0" fontId="18" fillId="7" borderId="56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88" fillId="0" borderId="0" xfId="0" applyFont="1" applyAlignment="1">
      <alignment horizontal="center"/>
    </xf>
    <xf numFmtId="0" fontId="70" fillId="8" borderId="45" xfId="0" applyFont="1" applyFill="1" applyBorder="1" applyAlignment="1">
      <alignment horizontal="center"/>
    </xf>
    <xf numFmtId="0" fontId="70" fillId="8" borderId="59" xfId="0" applyFont="1" applyFill="1" applyBorder="1" applyAlignment="1">
      <alignment horizontal="center"/>
    </xf>
    <xf numFmtId="0" fontId="70" fillId="8" borderId="56" xfId="0" applyFont="1" applyFill="1" applyBorder="1" applyAlignment="1">
      <alignment horizontal="center"/>
    </xf>
    <xf numFmtId="167" fontId="7" fillId="0" borderId="58" xfId="1" applyNumberFormat="1" applyFont="1" applyBorder="1" applyAlignment="1">
      <alignment horizontal="center"/>
    </xf>
    <xf numFmtId="167" fontId="7" fillId="0" borderId="42" xfId="1" applyNumberFormat="1" applyFont="1" applyBorder="1" applyAlignment="1">
      <alignment horizontal="center"/>
    </xf>
    <xf numFmtId="167" fontId="7" fillId="0" borderId="23" xfId="1" applyNumberFormat="1" applyFont="1" applyBorder="1" applyAlignment="1">
      <alignment horizontal="center"/>
    </xf>
    <xf numFmtId="167" fontId="18" fillId="0" borderId="0" xfId="1" applyNumberFormat="1" applyFont="1" applyFill="1" applyAlignment="1">
      <alignment horizontal="center"/>
    </xf>
    <xf numFmtId="167" fontId="18" fillId="6" borderId="0" xfId="1" applyNumberFormat="1" applyFont="1" applyFill="1" applyAlignment="1">
      <alignment horizontal="center"/>
    </xf>
    <xf numFmtId="167" fontId="18" fillId="0" borderId="0" xfId="1" applyNumberFormat="1" applyFont="1" applyAlignment="1">
      <alignment horizontal="center"/>
    </xf>
    <xf numFmtId="167" fontId="7" fillId="0" borderId="0" xfId="1" applyNumberFormat="1" applyFont="1" applyAlignment="1">
      <alignment horizontal="center"/>
    </xf>
    <xf numFmtId="167" fontId="7" fillId="0" borderId="8" xfId="1" applyNumberFormat="1" applyFont="1" applyBorder="1" applyAlignment="1">
      <alignment horizontal="center"/>
    </xf>
    <xf numFmtId="0" fontId="72" fillId="0" borderId="0" xfId="0" applyFont="1" applyAlignment="1">
      <alignment horizontal="left"/>
    </xf>
    <xf numFmtId="0" fontId="82" fillId="0" borderId="0" xfId="0" applyFont="1" applyAlignment="1">
      <alignment horizontal="center"/>
    </xf>
    <xf numFmtId="0" fontId="49" fillId="7" borderId="79" xfId="0" applyFont="1" applyFill="1" applyBorder="1" applyAlignment="1">
      <alignment horizontal="center"/>
    </xf>
    <xf numFmtId="0" fontId="49" fillId="7" borderId="67" xfId="0" applyFont="1" applyFill="1" applyBorder="1" applyAlignment="1">
      <alignment horizontal="center"/>
    </xf>
    <xf numFmtId="0" fontId="49" fillId="7" borderId="73" xfId="0" applyFont="1" applyFill="1" applyBorder="1" applyAlignment="1">
      <alignment horizontal="center"/>
    </xf>
    <xf numFmtId="0" fontId="49" fillId="7" borderId="31" xfId="0" applyFont="1" applyFill="1" applyBorder="1" applyAlignment="1">
      <alignment horizontal="center" vertical="center"/>
    </xf>
    <xf numFmtId="0" fontId="49" fillId="7" borderId="51" xfId="0" applyFont="1" applyFill="1" applyBorder="1" applyAlignment="1">
      <alignment horizontal="center" vertical="center"/>
    </xf>
    <xf numFmtId="0" fontId="49" fillId="7" borderId="29" xfId="0" applyFont="1" applyFill="1" applyBorder="1" applyAlignment="1">
      <alignment horizontal="center" vertical="center"/>
    </xf>
    <xf numFmtId="0" fontId="49" fillId="7" borderId="52" xfId="0" applyFont="1" applyFill="1" applyBorder="1" applyAlignment="1">
      <alignment horizontal="center" vertical="center"/>
    </xf>
    <xf numFmtId="0" fontId="49" fillId="7" borderId="29" xfId="0" applyFont="1" applyFill="1" applyBorder="1" applyAlignment="1">
      <alignment horizontal="center" vertical="center" wrapText="1"/>
    </xf>
    <xf numFmtId="0" fontId="49" fillId="7" borderId="52" xfId="0" applyFont="1" applyFill="1" applyBorder="1" applyAlignment="1">
      <alignment horizontal="center" vertical="center" wrapText="1"/>
    </xf>
    <xf numFmtId="166" fontId="49" fillId="7" borderId="58" xfId="1" applyNumberFormat="1" applyFont="1" applyFill="1" applyBorder="1" applyAlignment="1">
      <alignment horizontal="center" vertical="center"/>
    </xf>
    <xf numFmtId="166" fontId="49" fillId="7" borderId="27" xfId="1" applyNumberFormat="1" applyFont="1" applyFill="1" applyBorder="1" applyAlignment="1">
      <alignment horizontal="center" vertical="center"/>
    </xf>
    <xf numFmtId="0" fontId="79" fillId="0" borderId="0" xfId="0" applyFont="1" applyAlignment="1">
      <alignment horizontal="center"/>
    </xf>
    <xf numFmtId="0" fontId="52" fillId="7" borderId="39" xfId="0" applyFont="1" applyFill="1" applyBorder="1" applyAlignment="1">
      <alignment horizontal="center" vertical="center"/>
    </xf>
    <xf numFmtId="0" fontId="52" fillId="7" borderId="51" xfId="0" applyFont="1" applyFill="1" applyBorder="1" applyAlignment="1">
      <alignment horizontal="center" vertical="center"/>
    </xf>
    <xf numFmtId="0" fontId="52" fillId="7" borderId="40" xfId="0" applyFont="1" applyFill="1" applyBorder="1" applyAlignment="1">
      <alignment horizontal="center" vertical="center"/>
    </xf>
    <xf numFmtId="0" fontId="52" fillId="7" borderId="52" xfId="0" applyFont="1" applyFill="1" applyBorder="1" applyAlignment="1">
      <alignment horizontal="center" vertical="center"/>
    </xf>
    <xf numFmtId="0" fontId="52" fillId="7" borderId="40" xfId="0" applyFont="1" applyFill="1" applyBorder="1" applyAlignment="1">
      <alignment horizontal="center" vertical="center" wrapText="1"/>
    </xf>
    <xf numFmtId="0" fontId="52" fillId="7" borderId="52" xfId="0" applyFont="1" applyFill="1" applyBorder="1" applyAlignment="1">
      <alignment horizontal="center" vertical="center" wrapText="1"/>
    </xf>
    <xf numFmtId="0" fontId="52" fillId="7" borderId="68" xfId="0" applyFont="1" applyFill="1" applyBorder="1" applyAlignment="1">
      <alignment horizontal="center" vertical="center"/>
    </xf>
    <xf numFmtId="0" fontId="52" fillId="7" borderId="73" xfId="0" applyFont="1" applyFill="1" applyBorder="1" applyAlignment="1">
      <alignment horizontal="center" vertical="center"/>
    </xf>
    <xf numFmtId="0" fontId="83" fillId="0" borderId="8" xfId="0" applyFont="1" applyBorder="1" applyAlignment="1">
      <alignment horizontal="left" vertical="top" wrapText="1" indent="2"/>
    </xf>
    <xf numFmtId="0" fontId="7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FFCC"/>
      <color rgb="FFFFFF6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274</xdr:row>
      <xdr:rowOff>133350</xdr:rowOff>
    </xdr:from>
    <xdr:to>
      <xdr:col>11</xdr:col>
      <xdr:colOff>581025</xdr:colOff>
      <xdr:row>274</xdr:row>
      <xdr:rowOff>142875</xdr:rowOff>
    </xdr:to>
    <xdr:sp macro="" textlink="">
      <xdr:nvSpPr>
        <xdr:cNvPr id="3190" name="Line 11"/>
        <xdr:cNvSpPr>
          <a:spLocks noChangeShapeType="1"/>
        </xdr:cNvSpPr>
      </xdr:nvSpPr>
      <xdr:spPr bwMode="auto">
        <a:xfrm flipH="1">
          <a:off x="7915275" y="37471350"/>
          <a:ext cx="19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NDERTIMI\2%20-%20VLERESIME%20PER%20SHITJE%20NDERTIMI%2004-2011\NDERTIME%20V%20%202009-2010%20-%202011\AMETI%20E%20SISTEMUAR\AMETI%202%20%20E%20SISTEMU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6"/>
      <sheetName val="Pallati  Nr 4"/>
      <sheetName val="Sheet1"/>
      <sheetName val="Pallati  Nr 5"/>
      <sheetName val="Pallati  Nr 1"/>
      <sheetName val="Pallati Nr 2"/>
      <sheetName val="pallati  Nr 3"/>
      <sheetName val="Pallati Nr 6"/>
      <sheetName val="Pallati Nr 7"/>
      <sheetName val="pallati  Nr  8"/>
      <sheetName val="  HOTEL  Nr 9 ( banese)"/>
      <sheetName val="Sheet3"/>
      <sheetName val="Sheet4"/>
      <sheetName val="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7">
          <cell r="D87">
            <v>559.98560000000009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64"/>
  <sheetViews>
    <sheetView workbookViewId="0">
      <selection sqref="A1:M60"/>
    </sheetView>
  </sheetViews>
  <sheetFormatPr defaultRowHeight="12.75"/>
  <cols>
    <col min="1" max="1" width="4" customWidth="1"/>
    <col min="2" max="2" width="3.28515625" customWidth="1"/>
    <col min="4" max="4" width="7.28515625" customWidth="1"/>
    <col min="5" max="5" width="10.140625" bestFit="1" customWidth="1"/>
    <col min="7" max="7" width="4.140625" customWidth="1"/>
    <col min="8" max="8" width="4" customWidth="1"/>
    <col min="12" max="12" width="11.28515625" customWidth="1"/>
    <col min="13" max="13" width="5" customWidth="1"/>
    <col min="14" max="14" width="3.5703125" customWidth="1"/>
  </cols>
  <sheetData>
    <row r="1" spans="2:13" ht="13.5" thickBot="1"/>
    <row r="2" spans="2:13">
      <c r="B2" s="430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2"/>
    </row>
    <row r="3" spans="2:13">
      <c r="B3" s="433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5"/>
    </row>
    <row r="4" spans="2:13">
      <c r="B4" s="433"/>
      <c r="C4" s="434"/>
      <c r="D4" s="434"/>
      <c r="E4" s="434"/>
      <c r="F4" s="434" t="s">
        <v>1224</v>
      </c>
      <c r="G4" s="434"/>
      <c r="H4" s="1715"/>
      <c r="I4" s="1715"/>
      <c r="J4" s="1715"/>
      <c r="K4" s="436"/>
      <c r="L4" s="437"/>
      <c r="M4" s="435"/>
    </row>
    <row r="5" spans="2:13">
      <c r="B5" s="433"/>
      <c r="C5" s="434"/>
      <c r="D5" s="434"/>
      <c r="E5" s="434"/>
      <c r="F5" s="434"/>
      <c r="G5" s="434"/>
      <c r="H5" s="1715"/>
      <c r="I5" s="1715"/>
      <c r="J5" s="1715"/>
      <c r="K5" s="436"/>
      <c r="L5" s="436"/>
      <c r="M5" s="435"/>
    </row>
    <row r="6" spans="2:13">
      <c r="B6" s="433"/>
      <c r="C6" s="434"/>
      <c r="D6" s="434"/>
      <c r="E6" s="434"/>
      <c r="F6" s="434"/>
      <c r="G6" s="1715"/>
      <c r="H6" s="1715"/>
      <c r="I6" s="1715"/>
      <c r="J6" s="1715"/>
      <c r="K6" s="436"/>
      <c r="L6" s="436"/>
      <c r="M6" s="435"/>
    </row>
    <row r="7" spans="2:13">
      <c r="B7" s="433"/>
      <c r="C7" s="434"/>
      <c r="D7" s="434"/>
      <c r="E7" s="434"/>
      <c r="F7" s="434"/>
      <c r="G7" s="434"/>
      <c r="H7" s="434"/>
      <c r="I7" s="1715"/>
      <c r="J7" s="1715"/>
      <c r="K7" s="436"/>
      <c r="L7" s="436"/>
      <c r="M7" s="435"/>
    </row>
    <row r="8" spans="2:13" ht="37.5">
      <c r="B8" s="433"/>
      <c r="C8" s="434"/>
      <c r="D8" s="438" t="s">
        <v>352</v>
      </c>
      <c r="E8" s="438"/>
      <c r="F8" s="438"/>
      <c r="G8" s="438"/>
      <c r="H8" s="439"/>
      <c r="I8" s="439"/>
      <c r="J8" s="440"/>
      <c r="K8" s="440"/>
      <c r="L8" s="440"/>
      <c r="M8" s="435"/>
    </row>
    <row r="9" spans="2:13">
      <c r="B9" s="433"/>
      <c r="C9" s="434"/>
      <c r="D9" s="434"/>
      <c r="E9" s="434"/>
      <c r="F9" s="434"/>
      <c r="G9" s="434"/>
      <c r="H9" s="1715"/>
      <c r="I9" s="1715"/>
      <c r="J9" s="434"/>
      <c r="K9" s="434"/>
      <c r="L9" s="434"/>
      <c r="M9" s="435"/>
    </row>
    <row r="10" spans="2:13">
      <c r="B10" s="433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5"/>
    </row>
    <row r="11" spans="2:13">
      <c r="B11" s="433"/>
      <c r="C11" s="434"/>
      <c r="D11" s="434"/>
      <c r="E11" s="434"/>
      <c r="F11" s="434"/>
      <c r="G11" s="1715"/>
      <c r="H11" s="1715"/>
      <c r="I11" s="1715"/>
      <c r="J11" s="1715"/>
      <c r="K11" s="1715"/>
      <c r="L11" s="1715"/>
      <c r="M11" s="1718"/>
    </row>
    <row r="12" spans="2:13">
      <c r="B12" s="433"/>
      <c r="C12" s="434"/>
      <c r="D12" s="434"/>
      <c r="E12" s="434"/>
      <c r="F12" s="434"/>
      <c r="G12" s="1715"/>
      <c r="H12" s="1715"/>
      <c r="I12" s="1715"/>
      <c r="J12" s="1715"/>
      <c r="K12" s="436"/>
      <c r="L12" s="436"/>
      <c r="M12" s="435"/>
    </row>
    <row r="13" spans="2:13">
      <c r="B13" s="433"/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5"/>
    </row>
    <row r="14" spans="2:13">
      <c r="B14" s="433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5"/>
    </row>
    <row r="15" spans="2:13">
      <c r="B15" s="433"/>
      <c r="C15" s="437" t="s">
        <v>353</v>
      </c>
      <c r="D15" s="437"/>
      <c r="E15" s="437"/>
      <c r="F15" s="437"/>
      <c r="G15" s="437"/>
      <c r="H15" s="437"/>
      <c r="I15" s="437"/>
      <c r="J15" s="437"/>
      <c r="K15" s="437"/>
      <c r="L15" s="437"/>
      <c r="M15" s="435"/>
    </row>
    <row r="16" spans="2:13">
      <c r="B16" s="1716" t="s">
        <v>354</v>
      </c>
      <c r="C16" s="1715"/>
      <c r="D16" s="1715"/>
      <c r="E16" s="1715"/>
      <c r="F16" s="1715"/>
      <c r="G16" s="1715"/>
      <c r="H16" s="1715"/>
      <c r="I16" s="1715"/>
      <c r="J16" s="1715"/>
      <c r="K16" s="1715"/>
      <c r="L16" s="1715"/>
      <c r="M16" s="435"/>
    </row>
    <row r="17" spans="2:13">
      <c r="B17" s="433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5"/>
    </row>
    <row r="18" spans="2:13">
      <c r="B18" s="433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5"/>
    </row>
    <row r="19" spans="2:13">
      <c r="B19" s="433"/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435"/>
    </row>
    <row r="20" spans="2:13" ht="18">
      <c r="B20" s="433"/>
      <c r="C20" s="434"/>
      <c r="D20" s="1717"/>
      <c r="E20" s="1717"/>
      <c r="F20" s="1717"/>
      <c r="G20" s="1717"/>
      <c r="H20" s="1717"/>
      <c r="I20" s="1717"/>
      <c r="J20" s="1717"/>
      <c r="K20" s="441"/>
      <c r="L20" s="441"/>
      <c r="M20" s="435"/>
    </row>
    <row r="21" spans="2:13">
      <c r="B21" s="433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5"/>
    </row>
    <row r="22" spans="2:13">
      <c r="B22" s="433"/>
      <c r="C22" s="434"/>
      <c r="D22" s="434"/>
      <c r="E22" s="434"/>
      <c r="F22" s="434"/>
      <c r="G22" s="434"/>
      <c r="H22" s="434"/>
      <c r="I22" s="434"/>
      <c r="J22" s="434"/>
      <c r="K22" s="434"/>
      <c r="L22" s="434"/>
      <c r="M22" s="435"/>
    </row>
    <row r="23" spans="2:13" ht="18">
      <c r="B23" s="433"/>
      <c r="C23" s="434"/>
      <c r="D23" s="1717"/>
      <c r="E23" s="1717"/>
      <c r="F23" s="1717"/>
      <c r="G23" s="1717"/>
      <c r="H23" s="1717"/>
      <c r="I23" s="1717"/>
      <c r="J23" s="1717"/>
      <c r="K23" s="1717"/>
      <c r="L23" s="1717"/>
      <c r="M23" s="1719"/>
    </row>
    <row r="24" spans="2:13">
      <c r="B24" s="442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35"/>
    </row>
    <row r="25" spans="2:13">
      <c r="B25" s="442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35"/>
    </row>
    <row r="26" spans="2:13">
      <c r="B26" s="433"/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5"/>
    </row>
    <row r="27" spans="2:13">
      <c r="B27" s="433"/>
      <c r="C27" s="434"/>
      <c r="D27" s="434"/>
      <c r="E27" s="434"/>
      <c r="F27" s="434"/>
      <c r="G27" s="434"/>
      <c r="H27" s="434"/>
      <c r="I27" s="434"/>
      <c r="J27" s="434"/>
      <c r="K27" s="434"/>
      <c r="L27" s="434"/>
      <c r="M27" s="435"/>
    </row>
    <row r="28" spans="2:13">
      <c r="B28" s="433"/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5"/>
    </row>
    <row r="29" spans="2:13">
      <c r="B29" s="433"/>
      <c r="C29" s="434"/>
      <c r="D29" s="434"/>
      <c r="E29" s="434" t="s">
        <v>377</v>
      </c>
      <c r="F29" s="434">
        <v>2011</v>
      </c>
      <c r="G29" s="434"/>
      <c r="H29" s="434"/>
      <c r="I29" s="434"/>
      <c r="J29" s="434"/>
      <c r="K29" s="434"/>
      <c r="L29" s="434"/>
      <c r="M29" s="435"/>
    </row>
    <row r="30" spans="2:13">
      <c r="B30" s="433"/>
      <c r="C30" s="434"/>
      <c r="D30" s="434"/>
      <c r="E30" s="434"/>
      <c r="F30" s="434"/>
      <c r="G30" s="434"/>
      <c r="H30" s="434"/>
      <c r="I30" s="434"/>
      <c r="J30" s="434"/>
      <c r="K30" s="434"/>
      <c r="L30" s="434"/>
      <c r="M30" s="435"/>
    </row>
    <row r="31" spans="2:13">
      <c r="B31" s="433"/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35"/>
    </row>
    <row r="32" spans="2:13">
      <c r="B32" s="433"/>
      <c r="C32" s="434"/>
      <c r="D32" s="434"/>
      <c r="E32" s="434"/>
      <c r="F32" s="434"/>
      <c r="G32" s="434"/>
      <c r="H32" s="434"/>
      <c r="I32" s="434"/>
      <c r="J32" s="434"/>
      <c r="K32" s="434"/>
      <c r="L32" s="434"/>
      <c r="M32" s="435"/>
    </row>
    <row r="33" spans="2:13">
      <c r="B33" s="433"/>
      <c r="C33" s="434"/>
      <c r="D33" s="434"/>
      <c r="E33" s="434"/>
      <c r="F33" s="434"/>
      <c r="G33" s="434"/>
      <c r="H33" s="434"/>
      <c r="I33" s="434"/>
      <c r="J33" s="434"/>
      <c r="K33" s="434"/>
      <c r="L33" s="434"/>
      <c r="M33" s="435"/>
    </row>
    <row r="34" spans="2:13">
      <c r="B34" s="433"/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5"/>
    </row>
    <row r="35" spans="2:13">
      <c r="B35" s="433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5"/>
    </row>
    <row r="36" spans="2:13">
      <c r="B36" s="433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5"/>
    </row>
    <row r="37" spans="2:13">
      <c r="B37" s="433"/>
      <c r="C37" s="434"/>
      <c r="D37" s="434"/>
      <c r="E37" s="434"/>
      <c r="F37" s="434"/>
      <c r="G37" s="434"/>
      <c r="H37" s="434"/>
      <c r="I37" s="434"/>
      <c r="J37" s="434"/>
      <c r="K37" s="434"/>
      <c r="L37" s="434"/>
      <c r="M37" s="435"/>
    </row>
    <row r="38" spans="2:13" ht="13.5" thickBot="1">
      <c r="B38" s="433"/>
      <c r="C38" s="434"/>
      <c r="D38" s="434"/>
      <c r="E38" s="434"/>
      <c r="F38" s="434"/>
      <c r="G38" s="434"/>
      <c r="H38" s="434"/>
      <c r="I38" s="434"/>
      <c r="J38" s="434"/>
      <c r="K38" s="434"/>
      <c r="L38" s="434"/>
      <c r="M38" s="435"/>
    </row>
    <row r="39" spans="2:13">
      <c r="B39" s="433"/>
      <c r="C39" s="449"/>
      <c r="D39" s="450"/>
      <c r="E39" s="450"/>
      <c r="F39" s="450"/>
      <c r="G39" s="451"/>
      <c r="H39" s="434"/>
      <c r="I39" s="449"/>
      <c r="J39" s="450"/>
      <c r="K39" s="450"/>
      <c r="L39" s="451"/>
      <c r="M39" s="435"/>
    </row>
    <row r="40" spans="2:13">
      <c r="B40" s="433"/>
      <c r="C40" s="452" t="s">
        <v>355</v>
      </c>
      <c r="D40" s="108"/>
      <c r="E40" s="108"/>
      <c r="F40" s="108"/>
      <c r="G40" s="453"/>
      <c r="H40" s="434"/>
      <c r="I40" s="1710" t="s">
        <v>356</v>
      </c>
      <c r="J40" s="1711"/>
      <c r="K40" s="1711"/>
      <c r="L40" s="1714"/>
      <c r="M40" s="435"/>
    </row>
    <row r="41" spans="2:13" ht="13.5" thickBot="1">
      <c r="B41" s="433"/>
      <c r="C41" s="454"/>
      <c r="D41" s="3"/>
      <c r="E41" s="3"/>
      <c r="F41" s="3"/>
      <c r="G41" s="455"/>
      <c r="H41" s="434"/>
      <c r="I41" s="454"/>
      <c r="J41" s="3"/>
      <c r="K41" s="3"/>
      <c r="L41" s="455"/>
      <c r="M41" s="435"/>
    </row>
    <row r="42" spans="2:13" ht="13.5" thickBot="1">
      <c r="B42" s="433"/>
      <c r="C42" s="454" t="s">
        <v>357</v>
      </c>
      <c r="D42" s="108" t="str">
        <f>F4</f>
        <v>Ameti</v>
      </c>
      <c r="E42" s="108"/>
      <c r="F42" s="108"/>
      <c r="G42" s="453"/>
      <c r="H42" s="434"/>
      <c r="I42" s="454"/>
      <c r="J42" s="3"/>
      <c r="K42" s="460" t="s">
        <v>358</v>
      </c>
      <c r="L42" s="455" t="s">
        <v>359</v>
      </c>
      <c r="M42" s="435"/>
    </row>
    <row r="43" spans="2:13" ht="13.5" thickBot="1">
      <c r="B43" s="433"/>
      <c r="C43" s="454"/>
      <c r="D43" s="3"/>
      <c r="E43" s="3"/>
      <c r="F43" s="3"/>
      <c r="G43" s="455"/>
      <c r="H43" s="434"/>
      <c r="I43" s="1710" t="s">
        <v>360</v>
      </c>
      <c r="J43" s="1711"/>
      <c r="K43" s="3"/>
      <c r="L43" s="455"/>
      <c r="M43" s="435"/>
    </row>
    <row r="44" spans="2:13" ht="13.5" thickBot="1">
      <c r="B44" s="433"/>
      <c r="C44" s="454" t="s">
        <v>361</v>
      </c>
      <c r="D44" s="108" t="s">
        <v>974</v>
      </c>
      <c r="E44" s="108"/>
      <c r="F44" s="108"/>
      <c r="G44" s="453"/>
      <c r="H44" s="434"/>
      <c r="I44" s="454"/>
      <c r="J44" s="3"/>
      <c r="K44" s="461"/>
      <c r="L44" s="455" t="s">
        <v>362</v>
      </c>
      <c r="M44" s="435"/>
    </row>
    <row r="45" spans="2:13">
      <c r="B45" s="433"/>
      <c r="C45" s="454"/>
      <c r="D45" s="3"/>
      <c r="E45" s="3"/>
      <c r="F45" s="3"/>
      <c r="G45" s="455"/>
      <c r="H45" s="434"/>
      <c r="I45" s="454"/>
      <c r="J45" s="108"/>
      <c r="K45" s="108"/>
      <c r="L45" s="453"/>
      <c r="M45" s="435"/>
    </row>
    <row r="46" spans="2:13" ht="13.5" thickBot="1">
      <c r="B46" s="433"/>
      <c r="C46" s="454" t="s">
        <v>363</v>
      </c>
      <c r="D46" s="108" t="s">
        <v>1225</v>
      </c>
      <c r="E46" s="108"/>
      <c r="F46" s="108"/>
      <c r="G46" s="453"/>
      <c r="H46" s="434"/>
      <c r="I46" s="454"/>
      <c r="J46" s="108"/>
      <c r="K46" s="108"/>
      <c r="L46" s="453"/>
      <c r="M46" s="444"/>
    </row>
    <row r="47" spans="2:13" ht="13.5" thickBot="1">
      <c r="B47" s="433"/>
      <c r="C47" s="454"/>
      <c r="D47" s="108"/>
      <c r="E47" s="108"/>
      <c r="F47" s="108"/>
      <c r="G47" s="453"/>
      <c r="H47" s="434"/>
      <c r="I47" s="1710" t="s">
        <v>364</v>
      </c>
      <c r="J47" s="1714"/>
      <c r="K47" s="460" t="s">
        <v>358</v>
      </c>
      <c r="L47" s="462" t="s">
        <v>365</v>
      </c>
      <c r="M47" s="444"/>
    </row>
    <row r="48" spans="2:13" ht="13.5" thickBot="1">
      <c r="B48" s="433"/>
      <c r="C48" s="454"/>
      <c r="D48" s="3"/>
      <c r="E48" s="3"/>
      <c r="F48" s="3"/>
      <c r="G48" s="455"/>
      <c r="H48" s="434"/>
      <c r="I48" s="454"/>
      <c r="J48" s="3"/>
      <c r="K48" s="3"/>
      <c r="L48" s="462"/>
      <c r="M48" s="444"/>
    </row>
    <row r="49" spans="1:13" ht="13.5" thickBot="1">
      <c r="B49" s="433"/>
      <c r="C49" s="454" t="s">
        <v>366</v>
      </c>
      <c r="D49" s="3"/>
      <c r="E49" s="463" t="s">
        <v>1226</v>
      </c>
      <c r="F49" s="108"/>
      <c r="G49" s="453"/>
      <c r="H49" s="434"/>
      <c r="I49" s="454"/>
      <c r="J49" s="3"/>
      <c r="K49" s="461"/>
      <c r="L49" s="462" t="s">
        <v>351</v>
      </c>
      <c r="M49" s="444"/>
    </row>
    <row r="50" spans="1:13">
      <c r="B50" s="433"/>
      <c r="C50" s="454"/>
      <c r="D50" s="3"/>
      <c r="E50" s="3"/>
      <c r="F50" s="3"/>
      <c r="G50" s="455"/>
      <c r="H50" s="434"/>
      <c r="I50" s="134"/>
      <c r="J50" s="56"/>
      <c r="K50" s="56"/>
      <c r="L50" s="124"/>
      <c r="M50" s="435"/>
    </row>
    <row r="51" spans="1:13">
      <c r="B51" s="433"/>
      <c r="C51" s="454" t="s">
        <v>367</v>
      </c>
      <c r="D51" s="3"/>
      <c r="E51" s="108">
        <v>23239</v>
      </c>
      <c r="F51" s="108"/>
      <c r="G51" s="453"/>
      <c r="H51" s="434"/>
      <c r="I51" s="1710" t="s">
        <v>368</v>
      </c>
      <c r="J51" s="1711"/>
      <c r="K51" s="1711">
        <v>0</v>
      </c>
      <c r="L51" s="1714"/>
      <c r="M51" s="435"/>
    </row>
    <row r="52" spans="1:13">
      <c r="B52" s="433"/>
      <c r="C52" s="454"/>
      <c r="D52" s="3"/>
      <c r="E52" s="3"/>
      <c r="F52" s="3"/>
      <c r="G52" s="455"/>
      <c r="H52" s="434"/>
      <c r="I52" s="134"/>
      <c r="J52" s="56"/>
      <c r="K52" s="427"/>
      <c r="L52" s="456"/>
      <c r="M52" s="435"/>
    </row>
    <row r="53" spans="1:13">
      <c r="B53" s="433"/>
      <c r="C53" s="454"/>
      <c r="D53" s="3"/>
      <c r="E53" s="3"/>
      <c r="F53" s="3"/>
      <c r="G53" s="455"/>
      <c r="H53" s="434"/>
      <c r="I53" s="1710" t="s">
        <v>369</v>
      </c>
      <c r="J53" s="1711"/>
      <c r="K53" s="1711"/>
      <c r="L53" s="1714"/>
      <c r="M53" s="435"/>
    </row>
    <row r="54" spans="1:13">
      <c r="B54" s="442"/>
      <c r="C54" s="454" t="s">
        <v>370</v>
      </c>
      <c r="D54" s="3"/>
      <c r="E54" s="1711" t="s">
        <v>618</v>
      </c>
      <c r="F54" s="1711"/>
      <c r="G54" s="1714"/>
      <c r="H54" s="443"/>
      <c r="I54" s="454"/>
      <c r="J54" s="108"/>
      <c r="K54" s="108"/>
      <c r="L54" s="453"/>
      <c r="M54" s="445"/>
    </row>
    <row r="55" spans="1:13">
      <c r="B55" s="433"/>
      <c r="C55" s="1710"/>
      <c r="D55" s="1711"/>
      <c r="E55" s="1711"/>
      <c r="F55" s="1711"/>
      <c r="G55" s="1714"/>
      <c r="H55" s="434"/>
      <c r="I55" s="1710" t="s">
        <v>840</v>
      </c>
      <c r="J55" s="1711"/>
      <c r="K55" s="1711" t="s">
        <v>841</v>
      </c>
      <c r="L55" s="1714"/>
      <c r="M55" s="444"/>
    </row>
    <row r="56" spans="1:13">
      <c r="B56" s="433"/>
      <c r="C56" s="454" t="s">
        <v>850</v>
      </c>
      <c r="D56" s="108"/>
      <c r="E56" s="108" t="s">
        <v>1227</v>
      </c>
      <c r="F56" s="108"/>
      <c r="G56" s="453"/>
      <c r="H56" s="434"/>
      <c r="I56" s="134"/>
      <c r="J56" s="56"/>
      <c r="K56" s="56"/>
      <c r="L56" s="124"/>
      <c r="M56" s="435"/>
    </row>
    <row r="57" spans="1:13">
      <c r="B57" s="433"/>
      <c r="C57" s="454"/>
      <c r="D57" s="3"/>
      <c r="E57" s="3"/>
      <c r="F57" s="3"/>
      <c r="G57" s="455"/>
      <c r="H57" s="434"/>
      <c r="I57" s="1710" t="s">
        <v>371</v>
      </c>
      <c r="J57" s="1711"/>
      <c r="K57" s="1712" t="s">
        <v>842</v>
      </c>
      <c r="L57" s="1713"/>
      <c r="M57" s="435"/>
    </row>
    <row r="58" spans="1:13" ht="13.5" thickBot="1">
      <c r="B58" s="433"/>
      <c r="C58" s="457"/>
      <c r="D58" s="458"/>
      <c r="E58" s="458"/>
      <c r="F58" s="458"/>
      <c r="G58" s="459"/>
      <c r="H58" s="434"/>
      <c r="I58" s="457"/>
      <c r="J58" s="458"/>
      <c r="K58" s="458"/>
      <c r="L58" s="459"/>
      <c r="M58" s="435"/>
    </row>
    <row r="59" spans="1:13">
      <c r="B59" s="433"/>
      <c r="C59" s="434"/>
      <c r="D59" s="434"/>
      <c r="E59" s="434"/>
      <c r="F59" s="434"/>
      <c r="G59" s="434"/>
      <c r="H59" s="434"/>
      <c r="I59" s="434"/>
      <c r="J59" s="434"/>
      <c r="K59" s="434"/>
      <c r="L59" s="434"/>
      <c r="M59" s="435"/>
    </row>
    <row r="60" spans="1:13" ht="13.5" thickBot="1">
      <c r="B60" s="446"/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8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3">
      <c r="A63" s="1"/>
      <c r="B63" s="1"/>
      <c r="C63" s="1"/>
      <c r="D63" s="1709"/>
      <c r="E63" s="1709"/>
      <c r="F63" s="1709"/>
      <c r="G63" s="1709"/>
      <c r="H63" s="1709"/>
      <c r="I63" s="1709"/>
      <c r="J63" s="1709"/>
      <c r="K63" s="1709"/>
      <c r="L63" s="85"/>
    </row>
    <row r="64" spans="1:13">
      <c r="B64" s="1"/>
      <c r="C64" s="1"/>
      <c r="D64" s="1"/>
      <c r="E64" s="1"/>
      <c r="F64" s="1"/>
      <c r="G64" s="1"/>
      <c r="H64" s="1"/>
      <c r="I64" s="1"/>
      <c r="J64" s="1"/>
    </row>
  </sheetData>
  <mergeCells count="23">
    <mergeCell ref="I47:J47"/>
    <mergeCell ref="H4:J4"/>
    <mergeCell ref="I40:L40"/>
    <mergeCell ref="I43:J43"/>
    <mergeCell ref="H5:J5"/>
    <mergeCell ref="G6:J6"/>
    <mergeCell ref="I7:J7"/>
    <mergeCell ref="H9:I9"/>
    <mergeCell ref="B16:L16"/>
    <mergeCell ref="D20:J20"/>
    <mergeCell ref="G11:M11"/>
    <mergeCell ref="D23:M23"/>
    <mergeCell ref="G12:J12"/>
    <mergeCell ref="D63:K63"/>
    <mergeCell ref="I57:J57"/>
    <mergeCell ref="K57:L57"/>
    <mergeCell ref="I51:J51"/>
    <mergeCell ref="K51:L51"/>
    <mergeCell ref="I55:J55"/>
    <mergeCell ref="K55:L55"/>
    <mergeCell ref="I53:L53"/>
    <mergeCell ref="C55:G55"/>
    <mergeCell ref="E54:G54"/>
  </mergeCells>
  <phoneticPr fontId="7" type="noConversion"/>
  <pageMargins left="0" right="0" top="0" bottom="0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CC"/>
  </sheetPr>
  <dimension ref="B3:K52"/>
  <sheetViews>
    <sheetView workbookViewId="0">
      <selection activeCell="J32" sqref="A1:J32"/>
    </sheetView>
  </sheetViews>
  <sheetFormatPr defaultRowHeight="12.75"/>
  <cols>
    <col min="1" max="1" width="2.140625" customWidth="1"/>
    <col min="2" max="2" width="3.28515625" customWidth="1"/>
    <col min="3" max="3" width="4.7109375" customWidth="1"/>
    <col min="4" max="4" width="24.7109375" customWidth="1"/>
    <col min="5" max="5" width="25.42578125" customWidth="1"/>
    <col min="6" max="6" width="18.28515625" customWidth="1"/>
    <col min="7" max="7" width="13.140625" customWidth="1"/>
    <col min="8" max="8" width="12.85546875" customWidth="1"/>
    <col min="9" max="9" width="16.28515625" customWidth="1"/>
    <col min="10" max="10" width="6.42578125" customWidth="1"/>
    <col min="11" max="11" width="4.85546875" customWidth="1"/>
    <col min="12" max="12" width="6.42578125" customWidth="1"/>
    <col min="13" max="13" width="5.42578125" customWidth="1"/>
    <col min="14" max="14" width="4.7109375" customWidth="1"/>
  </cols>
  <sheetData>
    <row r="3" spans="2:11">
      <c r="B3" s="2"/>
      <c r="C3" s="49"/>
      <c r="D3" s="49"/>
      <c r="E3" s="49"/>
      <c r="F3" s="49"/>
      <c r="G3" s="2"/>
      <c r="H3" s="2"/>
    </row>
    <row r="4" spans="2:11">
      <c r="B4" s="52"/>
      <c r="C4" s="2" t="str">
        <f>'Kopertina '!F4</f>
        <v>Ameti</v>
      </c>
      <c r="D4" s="2"/>
      <c r="E4" s="2"/>
      <c r="F4" s="2"/>
      <c r="G4" s="2"/>
      <c r="H4" s="2"/>
    </row>
    <row r="5" spans="2:11">
      <c r="B5" s="1"/>
      <c r="C5" s="1"/>
      <c r="D5" s="1"/>
      <c r="E5" s="1"/>
      <c r="F5" s="1"/>
      <c r="G5" s="2"/>
      <c r="H5" s="2"/>
      <c r="I5" s="2"/>
      <c r="J5" s="2"/>
      <c r="K5" s="2" t="s">
        <v>226</v>
      </c>
    </row>
    <row r="6" spans="2:11">
      <c r="B6" s="1"/>
      <c r="C6" s="1741" t="s">
        <v>135</v>
      </c>
      <c r="D6" s="1741"/>
      <c r="E6" s="1741"/>
      <c r="F6" s="1741"/>
      <c r="G6" s="1741"/>
      <c r="H6" s="1741"/>
      <c r="I6" s="1741"/>
    </row>
    <row r="7" spans="2:11">
      <c r="B7" s="1"/>
      <c r="C7" s="1"/>
      <c r="D7" s="1"/>
      <c r="E7" s="1"/>
      <c r="F7" s="1"/>
      <c r="G7" s="1"/>
      <c r="H7" s="2" t="s">
        <v>132</v>
      </c>
      <c r="I7" s="21"/>
      <c r="J7" s="21">
        <f>'Kopertina '!F29</f>
        <v>2011</v>
      </c>
    </row>
    <row r="8" spans="2:11">
      <c r="B8" s="1"/>
      <c r="C8" s="1"/>
      <c r="D8" s="1"/>
      <c r="E8" s="1"/>
      <c r="F8" s="1"/>
      <c r="G8" s="1"/>
      <c r="H8" s="1"/>
    </row>
    <row r="9" spans="2:11" ht="13.5" thickBot="1"/>
    <row r="10" spans="2:11" ht="23.25" customHeight="1" thickBot="1">
      <c r="C10" s="255" t="s">
        <v>1</v>
      </c>
      <c r="D10" s="256" t="s">
        <v>487</v>
      </c>
      <c r="E10" s="256" t="s">
        <v>488</v>
      </c>
      <c r="F10" s="256" t="s">
        <v>489</v>
      </c>
      <c r="G10" s="256" t="s">
        <v>381</v>
      </c>
      <c r="H10" s="256" t="s">
        <v>393</v>
      </c>
      <c r="I10" s="257" t="s">
        <v>490</v>
      </c>
    </row>
    <row r="11" spans="2:11">
      <c r="C11" s="422" t="s">
        <v>73</v>
      </c>
      <c r="D11" s="505" t="s">
        <v>881</v>
      </c>
      <c r="E11" s="643"/>
      <c r="F11" s="643"/>
      <c r="G11" s="513"/>
      <c r="H11" s="513"/>
      <c r="I11" s="647">
        <f>SUM(I12:I15)</f>
        <v>2422854.4526999998</v>
      </c>
    </row>
    <row r="12" spans="2:11">
      <c r="C12" s="1413"/>
      <c r="D12" s="311" t="s">
        <v>1678</v>
      </c>
      <c r="E12" s="311" t="s">
        <v>1957</v>
      </c>
      <c r="F12" s="311" t="s">
        <v>346</v>
      </c>
      <c r="G12" s="101">
        <v>0</v>
      </c>
      <c r="H12" s="1414">
        <v>138.93</v>
      </c>
      <c r="I12" s="683">
        <f t="shared" ref="I12:I31" si="0">G12*H12</f>
        <v>0</v>
      </c>
    </row>
    <row r="13" spans="2:11">
      <c r="C13" s="1413"/>
      <c r="D13" s="311" t="s">
        <v>1180</v>
      </c>
      <c r="E13" s="311" t="s">
        <v>1960</v>
      </c>
      <c r="F13" s="311" t="s">
        <v>346</v>
      </c>
      <c r="G13" s="101">
        <v>237.95</v>
      </c>
      <c r="H13" s="1414">
        <v>138.93</v>
      </c>
      <c r="I13" s="683">
        <f t="shared" si="0"/>
        <v>33058.393499999998</v>
      </c>
    </row>
    <row r="14" spans="2:11">
      <c r="C14" s="1413"/>
      <c r="D14" s="311" t="s">
        <v>1679</v>
      </c>
      <c r="E14" s="311" t="s">
        <v>1959</v>
      </c>
      <c r="F14" s="311" t="s">
        <v>346</v>
      </c>
      <c r="G14" s="101">
        <v>17180.28</v>
      </c>
      <c r="H14" s="1414">
        <v>138.93</v>
      </c>
      <c r="I14" s="683">
        <f t="shared" si="0"/>
        <v>2386856.3004000001</v>
      </c>
    </row>
    <row r="15" spans="2:11">
      <c r="C15" s="1413"/>
      <c r="D15" s="311" t="s">
        <v>1788</v>
      </c>
      <c r="E15" s="1415" t="s">
        <v>1961</v>
      </c>
      <c r="F15" s="311" t="s">
        <v>346</v>
      </c>
      <c r="G15" s="101">
        <v>21.16</v>
      </c>
      <c r="H15" s="1414">
        <v>138.93</v>
      </c>
      <c r="I15" s="683">
        <f t="shared" si="0"/>
        <v>2939.7588000000001</v>
      </c>
    </row>
    <row r="16" spans="2:11">
      <c r="C16" s="423" t="s">
        <v>79</v>
      </c>
      <c r="D16" s="729" t="s">
        <v>519</v>
      </c>
      <c r="E16" s="730"/>
      <c r="F16" s="730"/>
      <c r="G16" s="731"/>
      <c r="H16" s="731"/>
      <c r="I16" s="625">
        <f>SUM(I17:I20)</f>
        <v>57707.38</v>
      </c>
    </row>
    <row r="17" spans="3:9">
      <c r="C17" s="1413"/>
      <c r="D17" s="311" t="s">
        <v>1678</v>
      </c>
      <c r="E17" s="311" t="s">
        <v>1958</v>
      </c>
      <c r="F17" s="311" t="s">
        <v>345</v>
      </c>
      <c r="G17" s="101">
        <v>3501.2</v>
      </c>
      <c r="H17" s="101">
        <v>1</v>
      </c>
      <c r="I17" s="683">
        <f t="shared" si="0"/>
        <v>3501.2</v>
      </c>
    </row>
    <row r="18" spans="3:9">
      <c r="C18" s="423"/>
      <c r="D18" s="311" t="s">
        <v>1180</v>
      </c>
      <c r="E18" s="182" t="s">
        <v>2079</v>
      </c>
      <c r="F18" s="182" t="s">
        <v>345</v>
      </c>
      <c r="G18" s="99">
        <v>31040.720000000001</v>
      </c>
      <c r="H18" s="99">
        <v>1</v>
      </c>
      <c r="I18" s="103">
        <f t="shared" si="0"/>
        <v>31040.720000000001</v>
      </c>
    </row>
    <row r="19" spans="3:9">
      <c r="C19" s="423"/>
      <c r="D19" s="311" t="s">
        <v>1679</v>
      </c>
      <c r="E19" s="182" t="s">
        <v>2077</v>
      </c>
      <c r="F19" s="182" t="s">
        <v>345</v>
      </c>
      <c r="G19" s="99" t="s">
        <v>2078</v>
      </c>
      <c r="H19" s="99"/>
      <c r="I19" s="103"/>
    </row>
    <row r="20" spans="3:9">
      <c r="C20" s="423"/>
      <c r="D20" s="311" t="s">
        <v>1788</v>
      </c>
      <c r="E20" s="182" t="s">
        <v>2080</v>
      </c>
      <c r="F20" s="182" t="s">
        <v>345</v>
      </c>
      <c r="G20" s="99">
        <v>23165.46</v>
      </c>
      <c r="H20" s="99">
        <v>1</v>
      </c>
      <c r="I20" s="103">
        <f t="shared" si="0"/>
        <v>23165.46</v>
      </c>
    </row>
    <row r="21" spans="3:9">
      <c r="C21" s="423" t="s">
        <v>84</v>
      </c>
      <c r="D21" s="222" t="s">
        <v>882</v>
      </c>
      <c r="E21" s="503"/>
      <c r="F21" s="503"/>
      <c r="G21" s="516"/>
      <c r="H21" s="516"/>
      <c r="I21" s="521">
        <f>I22+I23+I24+I25</f>
        <v>0</v>
      </c>
    </row>
    <row r="22" spans="3:9">
      <c r="C22" s="423"/>
      <c r="D22" s="71" t="s">
        <v>1679</v>
      </c>
      <c r="E22" s="71"/>
      <c r="F22" s="71"/>
      <c r="G22" s="411"/>
      <c r="H22" s="411"/>
      <c r="I22" s="648">
        <f>I27+I28+I29+I30+I31</f>
        <v>0</v>
      </c>
    </row>
    <row r="23" spans="3:9">
      <c r="C23" s="423"/>
      <c r="D23" s="71"/>
      <c r="E23" s="71"/>
      <c r="F23" s="71"/>
      <c r="G23" s="411"/>
      <c r="H23" s="411"/>
      <c r="I23" s="648">
        <f t="shared" si="0"/>
        <v>0</v>
      </c>
    </row>
    <row r="24" spans="3:9">
      <c r="C24" s="423"/>
      <c r="D24" s="71"/>
      <c r="E24" s="71"/>
      <c r="F24" s="71"/>
      <c r="G24" s="411"/>
      <c r="H24" s="411"/>
      <c r="I24" s="648">
        <f t="shared" si="0"/>
        <v>0</v>
      </c>
    </row>
    <row r="25" spans="3:9">
      <c r="C25" s="423"/>
      <c r="D25" s="71"/>
      <c r="E25" s="71"/>
      <c r="F25" s="71"/>
      <c r="G25" s="411"/>
      <c r="H25" s="411"/>
      <c r="I25" s="648">
        <f t="shared" si="0"/>
        <v>0</v>
      </c>
    </row>
    <row r="26" spans="3:9">
      <c r="C26" s="423" t="s">
        <v>115</v>
      </c>
      <c r="D26" s="222" t="s">
        <v>883</v>
      </c>
      <c r="E26" s="503"/>
      <c r="F26" s="503"/>
      <c r="G26" s="516"/>
      <c r="H26" s="516"/>
      <c r="I26" s="521">
        <f t="shared" si="0"/>
        <v>0</v>
      </c>
    </row>
    <row r="27" spans="3:9">
      <c r="C27" s="423"/>
      <c r="D27" s="71"/>
      <c r="E27" s="71"/>
      <c r="F27" s="71"/>
      <c r="G27" s="411"/>
      <c r="H27" s="411"/>
      <c r="I27" s="648">
        <f t="shared" si="0"/>
        <v>0</v>
      </c>
    </row>
    <row r="28" spans="3:9">
      <c r="C28" s="423"/>
      <c r="D28" s="71"/>
      <c r="E28" s="71"/>
      <c r="F28" s="71"/>
      <c r="G28" s="411"/>
      <c r="H28" s="411"/>
      <c r="I28" s="648">
        <f t="shared" si="0"/>
        <v>0</v>
      </c>
    </row>
    <row r="29" spans="3:9">
      <c r="C29" s="423"/>
      <c r="D29" s="71"/>
      <c r="E29" s="71"/>
      <c r="F29" s="71"/>
      <c r="G29" s="411"/>
      <c r="H29" s="411"/>
      <c r="I29" s="648">
        <f t="shared" si="0"/>
        <v>0</v>
      </c>
    </row>
    <row r="30" spans="3:9">
      <c r="C30" s="423"/>
      <c r="D30" s="71"/>
      <c r="E30" s="71"/>
      <c r="F30" s="71"/>
      <c r="G30" s="411"/>
      <c r="H30" s="411"/>
      <c r="I30" s="648">
        <f t="shared" si="0"/>
        <v>0</v>
      </c>
    </row>
    <row r="31" spans="3:9" ht="13.5" thickBot="1">
      <c r="C31" s="27"/>
      <c r="D31" s="258"/>
      <c r="E31" s="258"/>
      <c r="F31" s="258"/>
      <c r="G31" s="728"/>
      <c r="H31" s="728"/>
      <c r="I31" s="649">
        <f t="shared" si="0"/>
        <v>0</v>
      </c>
    </row>
    <row r="32" spans="3:9" ht="19.5" customHeight="1" thickBot="1">
      <c r="C32" s="644"/>
      <c r="D32" s="645" t="s">
        <v>167</v>
      </c>
      <c r="E32" s="646"/>
      <c r="F32" s="646"/>
      <c r="G32" s="646"/>
      <c r="H32" s="646"/>
      <c r="I32" s="650">
        <f>I11+I16+I21+I26</f>
        <v>2480561.8326999997</v>
      </c>
    </row>
    <row r="50" spans="2:1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">
    <mergeCell ref="C6:I6"/>
  </mergeCells>
  <phoneticPr fontId="7" type="noConversion"/>
  <pageMargins left="0.25" right="0.25" top="0.25" bottom="0.25" header="0.25" footer="0.2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CC"/>
  </sheetPr>
  <dimension ref="B1:J55"/>
  <sheetViews>
    <sheetView workbookViewId="0">
      <selection activeCell="I55" sqref="A1:I55"/>
    </sheetView>
  </sheetViews>
  <sheetFormatPr defaultRowHeight="12.75"/>
  <cols>
    <col min="1" max="1" width="3.85546875" style="85" customWidth="1"/>
    <col min="2" max="2" width="4.85546875" style="85" customWidth="1"/>
    <col min="3" max="3" width="23.28515625" style="85" customWidth="1"/>
    <col min="4" max="4" width="12.42578125" style="85" customWidth="1"/>
    <col min="5" max="5" width="13.42578125" style="85" customWidth="1"/>
    <col min="6" max="6" width="13.7109375" style="85" customWidth="1"/>
    <col min="7" max="7" width="17.140625" style="133" customWidth="1"/>
    <col min="8" max="8" width="5.42578125" style="85" customWidth="1"/>
    <col min="9" max="9" width="6.7109375" style="85" customWidth="1"/>
    <col min="10" max="10" width="7" style="85" customWidth="1"/>
    <col min="11" max="11" width="5.42578125" style="85" customWidth="1"/>
    <col min="12" max="16384" width="9.140625" style="85"/>
  </cols>
  <sheetData>
    <row r="1" spans="2:10">
      <c r="B1" s="3"/>
      <c r="C1" s="108"/>
      <c r="D1" s="108"/>
      <c r="E1" s="108"/>
      <c r="F1" s="108"/>
      <c r="G1" s="129"/>
    </row>
    <row r="2" spans="2:10">
      <c r="B2" s="3"/>
      <c r="C2" s="3" t="str">
        <f>'Kopertina '!F4</f>
        <v>Ameti</v>
      </c>
      <c r="D2" s="3"/>
      <c r="E2" s="3"/>
      <c r="F2" s="3"/>
      <c r="G2" s="129"/>
      <c r="I2" s="3" t="s">
        <v>118</v>
      </c>
    </row>
    <row r="3" spans="2:10">
      <c r="B3" s="56"/>
      <c r="C3" s="56"/>
      <c r="D3" s="56"/>
      <c r="E3" s="56"/>
      <c r="F3" s="56"/>
      <c r="G3" s="129"/>
      <c r="H3" s="3"/>
      <c r="I3" s="3"/>
    </row>
    <row r="4" spans="2:10">
      <c r="B4" s="56"/>
      <c r="C4" s="1711" t="s">
        <v>136</v>
      </c>
      <c r="D4" s="1711"/>
      <c r="E4" s="1711"/>
      <c r="F4" s="1711"/>
      <c r="G4" s="1711"/>
      <c r="H4" s="1711"/>
    </row>
    <row r="5" spans="2:10">
      <c r="B5" s="56"/>
      <c r="C5" s="56"/>
      <c r="D5" s="56"/>
      <c r="E5" s="56"/>
      <c r="F5" s="56"/>
      <c r="G5" s="129" t="s">
        <v>132</v>
      </c>
      <c r="H5" s="109"/>
      <c r="I5" s="109">
        <f>'Kopertina '!F29</f>
        <v>2011</v>
      </c>
    </row>
    <row r="6" spans="2:10" ht="13.5" thickBot="1">
      <c r="B6" s="56"/>
      <c r="C6" s="56"/>
      <c r="D6" s="56"/>
      <c r="E6" s="56"/>
      <c r="F6" s="56"/>
      <c r="G6" s="130"/>
    </row>
    <row r="7" spans="2:10" ht="13.5" thickBot="1">
      <c r="B7" s="125"/>
      <c r="C7" s="122"/>
      <c r="D7" s="122"/>
      <c r="E7" s="122"/>
      <c r="F7" s="122"/>
      <c r="G7" s="131"/>
      <c r="H7" s="122"/>
      <c r="I7" s="123"/>
      <c r="J7" s="56"/>
    </row>
    <row r="8" spans="2:10" ht="12.75" customHeight="1">
      <c r="B8" s="1758" t="s">
        <v>187</v>
      </c>
      <c r="C8" s="1760" t="s">
        <v>375</v>
      </c>
      <c r="D8" s="1760" t="s">
        <v>853</v>
      </c>
      <c r="E8" s="1760" t="s">
        <v>390</v>
      </c>
      <c r="F8" s="1760" t="s">
        <v>388</v>
      </c>
      <c r="G8" s="1760" t="s">
        <v>391</v>
      </c>
      <c r="H8" s="56"/>
      <c r="I8" s="124"/>
      <c r="J8" s="56"/>
    </row>
    <row r="9" spans="2:10" ht="13.5" thickBot="1">
      <c r="B9" s="1759"/>
      <c r="C9" s="1761"/>
      <c r="D9" s="1761"/>
      <c r="E9" s="1761"/>
      <c r="F9" s="1761"/>
      <c r="G9" s="1761"/>
      <c r="H9" s="56"/>
      <c r="I9" s="124"/>
      <c r="J9" s="56"/>
    </row>
    <row r="10" spans="2:10">
      <c r="B10" s="126">
        <v>1</v>
      </c>
      <c r="C10" s="127" t="s">
        <v>973</v>
      </c>
      <c r="D10" s="127">
        <v>0</v>
      </c>
      <c r="E10" s="127"/>
      <c r="F10" s="127"/>
      <c r="G10" s="142">
        <f>D10+E10-F10</f>
        <v>0</v>
      </c>
      <c r="H10" s="56"/>
      <c r="I10" s="124"/>
      <c r="J10" s="56"/>
    </row>
    <row r="11" spans="2:10">
      <c r="B11" s="128">
        <v>2</v>
      </c>
      <c r="C11" s="94" t="s">
        <v>1181</v>
      </c>
      <c r="D11" s="94">
        <v>-1377930</v>
      </c>
      <c r="E11" s="94"/>
      <c r="F11" s="94"/>
      <c r="G11" s="259">
        <f>D11+E11-F11</f>
        <v>-1377930</v>
      </c>
      <c r="H11" s="56"/>
      <c r="I11" s="124"/>
      <c r="J11" s="56"/>
    </row>
    <row r="12" spans="2:10">
      <c r="B12" s="128">
        <v>3</v>
      </c>
      <c r="C12" s="94" t="s">
        <v>1182</v>
      </c>
      <c r="D12" s="94">
        <v>-1103680</v>
      </c>
      <c r="E12" s="94"/>
      <c r="F12" s="94"/>
      <c r="G12" s="259">
        <f t="shared" ref="G12:G29" si="0">D12+E12-F12</f>
        <v>-1103680</v>
      </c>
      <c r="H12" s="56"/>
      <c r="I12" s="124"/>
      <c r="J12" s="56"/>
    </row>
    <row r="13" spans="2:10">
      <c r="B13" s="128">
        <v>4</v>
      </c>
      <c r="C13" s="94" t="s">
        <v>1183</v>
      </c>
      <c r="D13" s="94">
        <v>-1918000</v>
      </c>
      <c r="E13" s="94"/>
      <c r="F13" s="94"/>
      <c r="G13" s="259">
        <f t="shared" si="0"/>
        <v>-1918000</v>
      </c>
      <c r="H13" s="56"/>
      <c r="I13" s="124"/>
      <c r="J13" s="56"/>
    </row>
    <row r="14" spans="2:10">
      <c r="B14" s="128">
        <v>5</v>
      </c>
      <c r="C14" s="94" t="s">
        <v>1184</v>
      </c>
      <c r="D14" s="94">
        <v>-2468049</v>
      </c>
      <c r="E14" s="94"/>
      <c r="F14" s="94">
        <v>503309</v>
      </c>
      <c r="G14" s="259">
        <f t="shared" si="0"/>
        <v>-2971358</v>
      </c>
      <c r="H14" s="56"/>
      <c r="I14" s="124"/>
      <c r="J14" s="56"/>
    </row>
    <row r="15" spans="2:10">
      <c r="B15" s="128">
        <v>6</v>
      </c>
      <c r="C15" s="94" t="s">
        <v>1185</v>
      </c>
      <c r="D15" s="94">
        <v>-5762855</v>
      </c>
      <c r="E15" s="94"/>
      <c r="F15" s="94"/>
      <c r="G15" s="259">
        <f t="shared" si="0"/>
        <v>-5762855</v>
      </c>
      <c r="H15" s="56"/>
      <c r="I15" s="124"/>
      <c r="J15" s="56"/>
    </row>
    <row r="16" spans="2:10">
      <c r="B16" s="128">
        <v>7</v>
      </c>
      <c r="C16" s="94" t="s">
        <v>1186</v>
      </c>
      <c r="D16" s="94">
        <v>-1089680</v>
      </c>
      <c r="E16" s="94"/>
      <c r="F16" s="94"/>
      <c r="G16" s="259">
        <f t="shared" si="0"/>
        <v>-1089680</v>
      </c>
      <c r="H16" s="56"/>
      <c r="I16" s="124"/>
      <c r="J16" s="56"/>
    </row>
    <row r="17" spans="2:10">
      <c r="B17" s="128">
        <v>8</v>
      </c>
      <c r="C17" s="94" t="s">
        <v>1187</v>
      </c>
      <c r="D17" s="94">
        <v>-3035120</v>
      </c>
      <c r="E17" s="94"/>
      <c r="F17" s="94"/>
      <c r="G17" s="259">
        <f t="shared" si="0"/>
        <v>-3035120</v>
      </c>
      <c r="H17" s="56"/>
      <c r="I17" s="124"/>
      <c r="J17" s="56"/>
    </row>
    <row r="18" spans="2:10">
      <c r="B18" s="128">
        <v>9</v>
      </c>
      <c r="C18" s="94" t="s">
        <v>1188</v>
      </c>
      <c r="D18" s="94">
        <v>-2897160</v>
      </c>
      <c r="E18" s="94"/>
      <c r="F18" s="94"/>
      <c r="G18" s="259">
        <f t="shared" si="0"/>
        <v>-2897160</v>
      </c>
      <c r="H18" s="56"/>
      <c r="I18" s="124"/>
      <c r="J18" s="56"/>
    </row>
    <row r="19" spans="2:10">
      <c r="B19" s="128">
        <v>10</v>
      </c>
      <c r="C19" s="94" t="s">
        <v>1189</v>
      </c>
      <c r="D19" s="94">
        <v>0</v>
      </c>
      <c r="E19" s="94"/>
      <c r="F19" s="94"/>
      <c r="G19" s="259">
        <f t="shared" si="0"/>
        <v>0</v>
      </c>
      <c r="H19" s="56"/>
      <c r="I19" s="124"/>
      <c r="J19" s="56"/>
    </row>
    <row r="20" spans="2:10">
      <c r="B20" s="128">
        <v>11</v>
      </c>
      <c r="C20" s="94" t="s">
        <v>1190</v>
      </c>
      <c r="D20" s="94">
        <v>-4000000</v>
      </c>
      <c r="E20" s="94"/>
      <c r="F20" s="94"/>
      <c r="G20" s="259">
        <f t="shared" si="0"/>
        <v>-4000000</v>
      </c>
      <c r="H20" s="56"/>
      <c r="I20" s="124"/>
      <c r="J20" s="56"/>
    </row>
    <row r="21" spans="2:10">
      <c r="B21" s="128">
        <v>12</v>
      </c>
      <c r="C21" s="94" t="s">
        <v>1191</v>
      </c>
      <c r="D21" s="94">
        <v>-1102024</v>
      </c>
      <c r="E21" s="94"/>
      <c r="F21" s="94"/>
      <c r="G21" s="259">
        <f t="shared" si="0"/>
        <v>-1102024</v>
      </c>
      <c r="H21" s="56"/>
      <c r="I21" s="124"/>
    </row>
    <row r="22" spans="2:10">
      <c r="B22" s="128">
        <v>13</v>
      </c>
      <c r="C22" s="94" t="s">
        <v>1192</v>
      </c>
      <c r="D22" s="94">
        <v>-4132592</v>
      </c>
      <c r="E22" s="94"/>
      <c r="F22" s="94"/>
      <c r="G22" s="259">
        <f t="shared" si="0"/>
        <v>-4132592</v>
      </c>
      <c r="H22" s="56"/>
      <c r="I22" s="124"/>
    </row>
    <row r="23" spans="2:10">
      <c r="B23" s="128">
        <v>14</v>
      </c>
      <c r="C23" s="94" t="s">
        <v>1193</v>
      </c>
      <c r="D23" s="94">
        <v>-1376152</v>
      </c>
      <c r="E23" s="94"/>
      <c r="F23" s="94"/>
      <c r="G23" s="259">
        <f t="shared" si="0"/>
        <v>-1376152</v>
      </c>
      <c r="H23" s="56"/>
      <c r="I23" s="124"/>
    </row>
    <row r="24" spans="2:10">
      <c r="B24" s="128">
        <v>15</v>
      </c>
      <c r="C24" s="99" t="s">
        <v>2063</v>
      </c>
      <c r="D24" s="94"/>
      <c r="E24" s="94"/>
      <c r="F24" s="94">
        <v>524500</v>
      </c>
      <c r="G24" s="259">
        <f t="shared" si="0"/>
        <v>-524500</v>
      </c>
      <c r="H24" s="56"/>
      <c r="I24" s="124"/>
    </row>
    <row r="25" spans="2:10">
      <c r="B25" s="128">
        <v>16</v>
      </c>
      <c r="C25" s="99" t="s">
        <v>2064</v>
      </c>
      <c r="D25" s="94"/>
      <c r="E25" s="94"/>
      <c r="F25" s="94">
        <v>2400000</v>
      </c>
      <c r="G25" s="259">
        <f t="shared" si="0"/>
        <v>-2400000</v>
      </c>
      <c r="H25" s="56"/>
      <c r="I25" s="124"/>
    </row>
    <row r="26" spans="2:10">
      <c r="B26" s="128">
        <v>17</v>
      </c>
      <c r="C26" s="99" t="s">
        <v>1381</v>
      </c>
      <c r="D26" s="94"/>
      <c r="E26" s="94"/>
      <c r="F26" s="94">
        <v>180000</v>
      </c>
      <c r="G26" s="259">
        <f t="shared" si="0"/>
        <v>-180000</v>
      </c>
      <c r="H26" s="56"/>
      <c r="I26" s="124"/>
    </row>
    <row r="27" spans="2:10">
      <c r="B27" s="128">
        <v>18</v>
      </c>
      <c r="C27" s="99" t="s">
        <v>2065</v>
      </c>
      <c r="D27" s="94"/>
      <c r="E27" s="94"/>
      <c r="F27" s="94">
        <v>1567000</v>
      </c>
      <c r="G27" s="259">
        <f t="shared" si="0"/>
        <v>-1567000</v>
      </c>
      <c r="H27" s="56"/>
      <c r="I27" s="124"/>
    </row>
    <row r="28" spans="2:10">
      <c r="B28" s="128">
        <v>19</v>
      </c>
      <c r="C28" s="94"/>
      <c r="D28" s="94">
        <v>350297823</v>
      </c>
      <c r="E28" s="94"/>
      <c r="F28" s="94"/>
      <c r="G28" s="259">
        <f t="shared" si="0"/>
        <v>350297823</v>
      </c>
      <c r="H28" s="56"/>
      <c r="I28" s="124"/>
    </row>
    <row r="29" spans="2:10">
      <c r="B29" s="128">
        <v>20</v>
      </c>
      <c r="C29" s="887" t="s">
        <v>1195</v>
      </c>
      <c r="D29" s="888">
        <v>130549323</v>
      </c>
      <c r="E29" s="94"/>
      <c r="F29" s="94">
        <f>3450000+D29*0.356-18666589</f>
        <v>31258969.987999998</v>
      </c>
      <c r="G29" s="259">
        <f t="shared" si="0"/>
        <v>99290353.011999995</v>
      </c>
      <c r="H29" s="56"/>
      <c r="I29" s="124"/>
    </row>
    <row r="30" spans="2:10">
      <c r="B30" s="128">
        <v>21</v>
      </c>
      <c r="C30" s="886"/>
      <c r="D30" s="886">
        <f>SUM(D10:D29)</f>
        <v>450583904</v>
      </c>
      <c r="E30" s="886">
        <f t="shared" ref="E30:G30" si="1">SUM(E10:E29)</f>
        <v>0</v>
      </c>
      <c r="F30" s="886">
        <f t="shared" si="1"/>
        <v>36433778.987999998</v>
      </c>
      <c r="G30" s="886">
        <f t="shared" si="1"/>
        <v>414150125.01199996</v>
      </c>
      <c r="H30" s="56"/>
      <c r="I30" s="124"/>
    </row>
    <row r="31" spans="2:10">
      <c r="B31" s="128">
        <v>22</v>
      </c>
      <c r="C31" s="99" t="s">
        <v>2066</v>
      </c>
      <c r="D31" s="94"/>
      <c r="E31" s="94"/>
      <c r="F31" s="94">
        <v>55000</v>
      </c>
      <c r="G31" s="259">
        <f t="shared" ref="G31:G49" si="2">D31+E31-F31</f>
        <v>-55000</v>
      </c>
      <c r="H31" s="56"/>
      <c r="I31" s="124"/>
    </row>
    <row r="32" spans="2:10">
      <c r="B32" s="128">
        <v>23</v>
      </c>
      <c r="C32" s="94" t="s">
        <v>1194</v>
      </c>
      <c r="D32" s="94">
        <v>-19970</v>
      </c>
      <c r="E32" s="94"/>
      <c r="F32" s="94"/>
      <c r="G32" s="259">
        <f t="shared" si="2"/>
        <v>-19970</v>
      </c>
      <c r="H32" s="56"/>
      <c r="I32" s="124"/>
    </row>
    <row r="33" spans="2:9">
      <c r="B33" s="128">
        <v>24</v>
      </c>
      <c r="C33" s="99" t="s">
        <v>2067</v>
      </c>
      <c r="D33" s="94"/>
      <c r="E33" s="94"/>
      <c r="F33" s="94">
        <v>27500</v>
      </c>
      <c r="G33" s="259">
        <f t="shared" si="2"/>
        <v>-27500</v>
      </c>
      <c r="H33" s="56"/>
      <c r="I33" s="124"/>
    </row>
    <row r="34" spans="2:9">
      <c r="B34" s="128">
        <v>25</v>
      </c>
      <c r="C34" s="99" t="s">
        <v>2068</v>
      </c>
      <c r="D34" s="94"/>
      <c r="E34" s="94"/>
      <c r="F34" s="94">
        <v>20000</v>
      </c>
      <c r="G34" s="259">
        <f t="shared" si="2"/>
        <v>-20000</v>
      </c>
      <c r="H34" s="56"/>
      <c r="I34" s="124"/>
    </row>
    <row r="35" spans="2:9">
      <c r="B35" s="128">
        <v>26</v>
      </c>
      <c r="C35" s="99" t="s">
        <v>2069</v>
      </c>
      <c r="D35" s="94"/>
      <c r="E35" s="94"/>
      <c r="F35" s="94">
        <v>8000</v>
      </c>
      <c r="G35" s="259">
        <f t="shared" si="2"/>
        <v>-8000</v>
      </c>
      <c r="H35" s="56"/>
      <c r="I35" s="124"/>
    </row>
    <row r="36" spans="2:9">
      <c r="B36" s="128">
        <v>27</v>
      </c>
      <c r="C36" s="99" t="s">
        <v>2070</v>
      </c>
      <c r="D36" s="94"/>
      <c r="E36" s="94"/>
      <c r="F36" s="94">
        <v>4995</v>
      </c>
      <c r="G36" s="259">
        <f t="shared" si="2"/>
        <v>-4995</v>
      </c>
      <c r="H36" s="56"/>
      <c r="I36" s="124"/>
    </row>
    <row r="37" spans="2:9">
      <c r="B37" s="128">
        <v>28</v>
      </c>
      <c r="C37" s="99" t="s">
        <v>2071</v>
      </c>
      <c r="D37" s="94"/>
      <c r="E37" s="94"/>
      <c r="F37" s="94">
        <v>10000</v>
      </c>
      <c r="G37" s="259">
        <f t="shared" si="2"/>
        <v>-10000</v>
      </c>
      <c r="H37" s="56"/>
      <c r="I37" s="124"/>
    </row>
    <row r="38" spans="2:9">
      <c r="B38" s="128">
        <v>29</v>
      </c>
      <c r="C38" s="99" t="s">
        <v>2072</v>
      </c>
      <c r="D38" s="94"/>
      <c r="E38" s="94"/>
      <c r="F38" s="94">
        <v>5000</v>
      </c>
      <c r="G38" s="259">
        <f t="shared" si="2"/>
        <v>-5000</v>
      </c>
      <c r="H38" s="56"/>
      <c r="I38" s="124"/>
    </row>
    <row r="39" spans="2:9">
      <c r="B39" s="128">
        <v>30</v>
      </c>
      <c r="C39" s="99" t="s">
        <v>1188</v>
      </c>
      <c r="D39" s="94"/>
      <c r="E39" s="94"/>
      <c r="F39" s="94">
        <v>14000</v>
      </c>
      <c r="G39" s="259">
        <f t="shared" si="2"/>
        <v>-14000</v>
      </c>
      <c r="H39" s="56"/>
      <c r="I39" s="124"/>
    </row>
    <row r="40" spans="2:9">
      <c r="B40" s="128">
        <v>31</v>
      </c>
      <c r="C40" s="99" t="s">
        <v>2073</v>
      </c>
      <c r="D40" s="94">
        <v>-20000</v>
      </c>
      <c r="E40" s="94"/>
      <c r="F40" s="94">
        <v>17100</v>
      </c>
      <c r="G40" s="259">
        <f t="shared" si="2"/>
        <v>-37100</v>
      </c>
      <c r="H40" s="56"/>
      <c r="I40" s="124"/>
    </row>
    <row r="41" spans="2:9">
      <c r="B41" s="128">
        <v>32</v>
      </c>
      <c r="C41" s="99" t="s">
        <v>2074</v>
      </c>
      <c r="D41" s="94"/>
      <c r="E41" s="94"/>
      <c r="F41" s="94">
        <v>10000</v>
      </c>
      <c r="G41" s="259">
        <f t="shared" si="2"/>
        <v>-10000</v>
      </c>
      <c r="H41" s="56"/>
      <c r="I41" s="124"/>
    </row>
    <row r="42" spans="2:9">
      <c r="B42" s="128">
        <v>33</v>
      </c>
      <c r="C42" s="99" t="s">
        <v>2075</v>
      </c>
      <c r="D42" s="94"/>
      <c r="E42" s="94"/>
      <c r="F42" s="94">
        <v>2000</v>
      </c>
      <c r="G42" s="259">
        <f t="shared" si="2"/>
        <v>-2000</v>
      </c>
      <c r="H42" s="56"/>
      <c r="I42" s="124"/>
    </row>
    <row r="43" spans="2:9">
      <c r="B43" s="128">
        <v>34</v>
      </c>
      <c r="C43" s="99" t="s">
        <v>2076</v>
      </c>
      <c r="D43" s="94"/>
      <c r="E43" s="94"/>
      <c r="F43" s="94">
        <v>20000</v>
      </c>
      <c r="G43" s="259">
        <f t="shared" si="2"/>
        <v>-20000</v>
      </c>
      <c r="H43" s="56"/>
      <c r="I43" s="124"/>
    </row>
    <row r="44" spans="2:9">
      <c r="B44" s="128">
        <v>35</v>
      </c>
      <c r="C44" s="99" t="s">
        <v>2065</v>
      </c>
      <c r="D44" s="94"/>
      <c r="E44" s="94"/>
      <c r="F44" s="94">
        <v>29230</v>
      </c>
      <c r="G44" s="259">
        <f t="shared" si="2"/>
        <v>-29230</v>
      </c>
      <c r="H44" s="56"/>
      <c r="I44" s="124"/>
    </row>
    <row r="45" spans="2:9">
      <c r="B45" s="128">
        <v>36</v>
      </c>
      <c r="C45" s="886"/>
      <c r="D45" s="886">
        <f>SUM(D31:D44)</f>
        <v>-39970</v>
      </c>
      <c r="E45" s="886">
        <f t="shared" ref="E45:G45" si="3">SUM(E31:E44)</f>
        <v>0</v>
      </c>
      <c r="F45" s="886">
        <f t="shared" si="3"/>
        <v>222825</v>
      </c>
      <c r="G45" s="886">
        <f t="shared" si="3"/>
        <v>-262795</v>
      </c>
      <c r="H45" s="56"/>
      <c r="I45" s="124"/>
    </row>
    <row r="46" spans="2:9">
      <c r="B46" s="128">
        <v>37</v>
      </c>
      <c r="C46" s="94"/>
      <c r="D46" s="94"/>
      <c r="E46" s="94"/>
      <c r="F46" s="94"/>
      <c r="G46" s="259">
        <f t="shared" si="2"/>
        <v>0</v>
      </c>
      <c r="H46" s="56"/>
      <c r="I46" s="124"/>
    </row>
    <row r="47" spans="2:9">
      <c r="B47" s="128">
        <v>38</v>
      </c>
      <c r="C47" s="99" t="s">
        <v>2122</v>
      </c>
      <c r="D47" s="94"/>
      <c r="E47" s="94">
        <f>210739300*0.356</f>
        <v>75023190.799999997</v>
      </c>
      <c r="F47" s="94">
        <v>75023191</v>
      </c>
      <c r="G47" s="259">
        <f t="shared" si="2"/>
        <v>-0.20000000298023224</v>
      </c>
      <c r="H47" s="56"/>
      <c r="I47" s="124"/>
    </row>
    <row r="48" spans="2:9">
      <c r="B48" s="128">
        <v>39</v>
      </c>
      <c r="C48" s="99" t="s">
        <v>2134</v>
      </c>
      <c r="D48" s="94"/>
      <c r="E48" s="94">
        <f>'Pas E Shitjes Ndertiimi I'!F56-E47</f>
        <v>135716109.64390397</v>
      </c>
      <c r="F48" s="94"/>
      <c r="G48" s="259">
        <f t="shared" si="2"/>
        <v>135716109.64390397</v>
      </c>
      <c r="H48" s="56"/>
      <c r="I48" s="124"/>
    </row>
    <row r="49" spans="2:9" ht="13.5" thickBot="1">
      <c r="B49" s="1595">
        <v>40</v>
      </c>
      <c r="C49" s="1596"/>
      <c r="D49" s="1596"/>
      <c r="E49" s="1596">
        <v>0</v>
      </c>
      <c r="F49" s="1596"/>
      <c r="G49" s="1597">
        <f t="shared" si="2"/>
        <v>0</v>
      </c>
      <c r="H49" s="56"/>
      <c r="I49" s="124"/>
    </row>
    <row r="50" spans="2:9" ht="13.5" thickBot="1">
      <c r="B50" s="1756" t="s">
        <v>374</v>
      </c>
      <c r="C50" s="1757"/>
      <c r="D50" s="1598">
        <f>+D30+D45*137.96</f>
        <v>445069642.80000001</v>
      </c>
      <c r="E50" s="1598">
        <f>+E30+E45*137.96</f>
        <v>0</v>
      </c>
      <c r="F50" s="1598">
        <f>+F30+F45*137.96</f>
        <v>67174715.988000005</v>
      </c>
      <c r="G50" s="1599">
        <f>+G30+G45*138.93+G47+G48+G49</f>
        <v>513356125.10590392</v>
      </c>
      <c r="H50" s="56"/>
      <c r="I50" s="124"/>
    </row>
    <row r="51" spans="2:9" ht="13.5" thickBot="1">
      <c r="B51" s="134"/>
      <c r="C51" s="56"/>
      <c r="D51" s="56"/>
      <c r="E51" s="56"/>
      <c r="F51" s="56"/>
      <c r="G51" s="132"/>
      <c r="H51" s="56"/>
      <c r="I51" s="124"/>
    </row>
    <row r="52" spans="2:9" ht="13.5" thickBot="1">
      <c r="B52" s="134"/>
      <c r="C52" s="56"/>
      <c r="D52" s="56"/>
      <c r="E52" s="1711" t="s">
        <v>167</v>
      </c>
      <c r="F52" s="1711"/>
      <c r="G52" s="139">
        <f>SUM(G50:G51)</f>
        <v>513356125.10590392</v>
      </c>
      <c r="H52" s="56"/>
      <c r="I52" s="124"/>
    </row>
    <row r="53" spans="2:9" ht="13.5" thickBot="1">
      <c r="B53" s="135"/>
      <c r="C53" s="136"/>
      <c r="D53" s="136"/>
      <c r="E53" s="136"/>
      <c r="F53" s="136"/>
      <c r="G53" s="137"/>
      <c r="H53" s="136"/>
      <c r="I53" s="138"/>
    </row>
    <row r="55" spans="2:9">
      <c r="D55" s="889"/>
    </row>
  </sheetData>
  <mergeCells count="9">
    <mergeCell ref="E52:F52"/>
    <mergeCell ref="C4:H4"/>
    <mergeCell ref="B50:C50"/>
    <mergeCell ref="B8:B9"/>
    <mergeCell ref="C8:C9"/>
    <mergeCell ref="D8:D9"/>
    <mergeCell ref="E8:E9"/>
    <mergeCell ref="F8:F9"/>
    <mergeCell ref="G8:G9"/>
  </mergeCells>
  <phoneticPr fontId="7" type="noConversion"/>
  <pageMargins left="0" right="0" top="0" bottom="0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3:J55"/>
  <sheetViews>
    <sheetView workbookViewId="0">
      <selection activeCell="D15" sqref="D15"/>
    </sheetView>
  </sheetViews>
  <sheetFormatPr defaultRowHeight="12.75"/>
  <cols>
    <col min="1" max="1" width="3" customWidth="1"/>
    <col min="2" max="2" width="5" customWidth="1"/>
    <col min="3" max="3" width="21" customWidth="1"/>
    <col min="4" max="4" width="11.7109375" customWidth="1"/>
    <col min="5" max="5" width="11.85546875" customWidth="1"/>
    <col min="6" max="6" width="10.7109375" customWidth="1"/>
    <col min="7" max="7" width="14.85546875" customWidth="1"/>
    <col min="8" max="8" width="5.28515625" customWidth="1"/>
    <col min="9" max="9" width="6.140625" customWidth="1"/>
    <col min="10" max="10" width="5.140625" customWidth="1"/>
    <col min="11" max="11" width="6.85546875" customWidth="1"/>
    <col min="12" max="12" width="5.5703125" customWidth="1"/>
  </cols>
  <sheetData>
    <row r="3" spans="2:10">
      <c r="B3" s="2"/>
      <c r="C3" s="49"/>
      <c r="D3" s="49"/>
      <c r="E3" s="49"/>
      <c r="F3" s="49"/>
      <c r="G3" s="2"/>
      <c r="H3" s="2"/>
    </row>
    <row r="4" spans="2:10">
      <c r="B4" s="52"/>
      <c r="C4" s="2" t="str">
        <f>'Kopertina '!F4</f>
        <v>Ameti</v>
      </c>
      <c r="D4" s="2"/>
      <c r="E4" s="2"/>
      <c r="F4" s="2"/>
      <c r="G4" s="2"/>
      <c r="H4" s="2"/>
    </row>
    <row r="5" spans="2:10">
      <c r="B5" s="1"/>
      <c r="C5" s="1"/>
      <c r="D5" s="1"/>
      <c r="E5" s="1"/>
      <c r="F5" s="1"/>
      <c r="G5" s="2"/>
      <c r="H5" s="2"/>
      <c r="I5" s="2"/>
      <c r="J5" s="2" t="s">
        <v>119</v>
      </c>
    </row>
    <row r="6" spans="2:10">
      <c r="B6" s="1"/>
      <c r="C6" s="49" t="s">
        <v>148</v>
      </c>
      <c r="D6" s="49"/>
      <c r="E6" s="49"/>
      <c r="F6" s="49"/>
      <c r="G6" s="49"/>
      <c r="H6" s="49"/>
    </row>
    <row r="7" spans="2:10">
      <c r="B7" s="1"/>
      <c r="C7" s="1"/>
      <c r="D7" s="1"/>
      <c r="E7" s="1"/>
      <c r="F7" s="1"/>
      <c r="G7" s="1"/>
      <c r="H7" s="2" t="s">
        <v>132</v>
      </c>
      <c r="I7" s="21">
        <f>'Kopertina '!F29</f>
        <v>2011</v>
      </c>
    </row>
    <row r="8" spans="2:10" ht="13.5" thickBot="1">
      <c r="B8" s="1"/>
      <c r="C8" s="1"/>
      <c r="D8" s="1"/>
      <c r="E8" s="1"/>
      <c r="F8" s="1"/>
      <c r="G8" s="1"/>
      <c r="H8" s="1"/>
    </row>
    <row r="9" spans="2:10" ht="13.5" thickBot="1">
      <c r="B9" s="18"/>
      <c r="C9" s="19"/>
      <c r="D9" s="19"/>
      <c r="E9" s="19"/>
      <c r="F9" s="19"/>
      <c r="G9" s="19"/>
      <c r="H9" s="19"/>
      <c r="I9" s="19"/>
      <c r="J9" s="20"/>
    </row>
    <row r="10" spans="2:10">
      <c r="B10" s="5"/>
      <c r="C10" s="1763" t="s">
        <v>373</v>
      </c>
      <c r="D10" s="1763" t="s">
        <v>823</v>
      </c>
      <c r="E10" s="1763" t="s">
        <v>387</v>
      </c>
      <c r="F10" s="1765" t="s">
        <v>388</v>
      </c>
      <c r="G10" s="1763" t="s">
        <v>389</v>
      </c>
      <c r="H10" s="1"/>
      <c r="I10" s="1"/>
      <c r="J10" s="6"/>
    </row>
    <row r="11" spans="2:10" ht="13.5" thickBot="1">
      <c r="B11" s="5"/>
      <c r="C11" s="1764"/>
      <c r="D11" s="1764"/>
      <c r="E11" s="1764"/>
      <c r="F11" s="1766"/>
      <c r="G11" s="1764"/>
      <c r="H11" s="1"/>
      <c r="I11" s="1"/>
      <c r="J11" s="6"/>
    </row>
    <row r="12" spans="2:10">
      <c r="B12" s="5"/>
      <c r="C12" s="260"/>
      <c r="D12" s="261"/>
      <c r="E12" s="261"/>
      <c r="F12" s="261"/>
      <c r="G12" s="188">
        <f>D12+E12-F12</f>
        <v>0</v>
      </c>
      <c r="H12" s="1"/>
      <c r="I12" s="1"/>
      <c r="J12" s="6"/>
    </row>
    <row r="13" spans="2:10">
      <c r="B13" s="5"/>
      <c r="C13" s="262"/>
      <c r="D13" s="263"/>
      <c r="E13" s="263"/>
      <c r="F13" s="263"/>
      <c r="G13" s="267">
        <f t="shared" ref="G13:G20" si="0">D13+E13-F13</f>
        <v>0</v>
      </c>
      <c r="H13" s="1"/>
      <c r="I13" s="1"/>
      <c r="J13" s="6"/>
    </row>
    <row r="14" spans="2:10">
      <c r="B14" s="5"/>
      <c r="C14" s="262"/>
      <c r="D14" s="263"/>
      <c r="E14" s="263"/>
      <c r="F14" s="263"/>
      <c r="G14" s="267">
        <f t="shared" si="0"/>
        <v>0</v>
      </c>
      <c r="H14" s="1"/>
      <c r="I14" s="1"/>
      <c r="J14" s="6"/>
    </row>
    <row r="15" spans="2:10">
      <c r="B15" s="5"/>
      <c r="C15" s="186"/>
      <c r="D15" s="73"/>
      <c r="E15" s="73"/>
      <c r="F15" s="73"/>
      <c r="G15" s="267">
        <f t="shared" si="0"/>
        <v>0</v>
      </c>
      <c r="H15" s="1"/>
      <c r="I15" s="1"/>
      <c r="J15" s="6"/>
    </row>
    <row r="16" spans="2:10">
      <c r="B16" s="5"/>
      <c r="C16" s="186"/>
      <c r="D16" s="73"/>
      <c r="E16" s="73"/>
      <c r="F16" s="73"/>
      <c r="G16" s="267">
        <f t="shared" si="0"/>
        <v>0</v>
      </c>
      <c r="H16" s="1"/>
      <c r="I16" s="1"/>
      <c r="J16" s="6"/>
    </row>
    <row r="17" spans="2:10">
      <c r="B17" s="5"/>
      <c r="C17" s="186"/>
      <c r="D17" s="73"/>
      <c r="E17" s="73"/>
      <c r="F17" s="73"/>
      <c r="G17" s="267">
        <f t="shared" si="0"/>
        <v>0</v>
      </c>
      <c r="H17" s="1"/>
      <c r="I17" s="1"/>
      <c r="J17" s="6"/>
    </row>
    <row r="18" spans="2:10">
      <c r="B18" s="5"/>
      <c r="C18" s="186"/>
      <c r="D18" s="73"/>
      <c r="E18" s="73"/>
      <c r="F18" s="73"/>
      <c r="G18" s="267">
        <f t="shared" si="0"/>
        <v>0</v>
      </c>
      <c r="H18" s="1"/>
      <c r="I18" s="1"/>
      <c r="J18" s="6"/>
    </row>
    <row r="19" spans="2:10">
      <c r="B19" s="5"/>
      <c r="C19" s="186"/>
      <c r="D19" s="73"/>
      <c r="E19" s="73"/>
      <c r="F19" s="73"/>
      <c r="G19" s="267">
        <f t="shared" si="0"/>
        <v>0</v>
      </c>
      <c r="H19" s="1"/>
      <c r="I19" s="1"/>
      <c r="J19" s="6"/>
    </row>
    <row r="20" spans="2:10">
      <c r="B20" s="5"/>
      <c r="C20" s="186"/>
      <c r="D20" s="73"/>
      <c r="E20" s="73"/>
      <c r="F20" s="73"/>
      <c r="G20" s="267">
        <f t="shared" si="0"/>
        <v>0</v>
      </c>
      <c r="H20" s="1"/>
      <c r="I20" s="1"/>
      <c r="J20" s="6"/>
    </row>
    <row r="21" spans="2:10" ht="13.5" thickBot="1">
      <c r="B21" s="5"/>
      <c r="C21" s="268"/>
      <c r="D21" s="269"/>
      <c r="E21" s="269"/>
      <c r="F21" s="269"/>
      <c r="G21" s="270"/>
      <c r="H21" s="1"/>
      <c r="I21" s="1"/>
      <c r="J21" s="6"/>
    </row>
    <row r="22" spans="2:10" ht="13.5" thickBot="1">
      <c r="B22" s="5"/>
      <c r="C22" s="264" t="s">
        <v>167</v>
      </c>
      <c r="D22" s="265"/>
      <c r="E22" s="265"/>
      <c r="F22" s="265"/>
      <c r="G22" s="266">
        <f>SUM(G12:G21)</f>
        <v>0</v>
      </c>
      <c r="H22" s="1"/>
      <c r="I22" s="1"/>
      <c r="J22" s="6"/>
    </row>
    <row r="23" spans="2:10">
      <c r="B23" s="5"/>
      <c r="C23" s="1"/>
      <c r="D23" s="1"/>
      <c r="E23" s="1"/>
      <c r="F23" s="1"/>
      <c r="G23" s="1"/>
      <c r="H23" s="1"/>
      <c r="I23" s="1"/>
      <c r="J23" s="6"/>
    </row>
    <row r="24" spans="2:10">
      <c r="B24" s="5"/>
      <c r="C24" s="1"/>
      <c r="D24" s="1"/>
      <c r="E24" s="1"/>
      <c r="F24" s="1"/>
      <c r="G24" s="1"/>
      <c r="H24" s="1"/>
      <c r="I24" s="1"/>
      <c r="J24" s="6"/>
    </row>
    <row r="25" spans="2:10">
      <c r="B25" s="5"/>
      <c r="C25" s="1"/>
      <c r="D25" s="1"/>
      <c r="E25" s="1"/>
      <c r="F25" s="1"/>
      <c r="G25" s="1"/>
      <c r="H25" s="1"/>
      <c r="I25" s="1"/>
      <c r="J25" s="6"/>
    </row>
    <row r="26" spans="2:10">
      <c r="B26" s="5"/>
      <c r="C26" s="1"/>
      <c r="D26" s="1"/>
      <c r="E26" s="1"/>
      <c r="F26" s="1"/>
      <c r="G26" s="1"/>
      <c r="H26" s="1"/>
      <c r="I26" s="1"/>
      <c r="J26" s="6"/>
    </row>
    <row r="27" spans="2:10">
      <c r="B27" s="5"/>
      <c r="C27" s="1"/>
      <c r="D27" s="1"/>
      <c r="E27" s="1"/>
      <c r="F27" s="1"/>
      <c r="G27" s="1"/>
      <c r="H27" s="1"/>
      <c r="I27" s="1"/>
      <c r="J27" s="6"/>
    </row>
    <row r="28" spans="2:10">
      <c r="B28" s="5"/>
      <c r="C28" s="1"/>
      <c r="D28" s="1"/>
      <c r="E28" s="1"/>
      <c r="F28" s="1"/>
      <c r="G28" s="1"/>
      <c r="H28" s="1"/>
      <c r="I28" s="1"/>
      <c r="J28" s="6"/>
    </row>
    <row r="29" spans="2:10">
      <c r="B29" s="5"/>
      <c r="C29" s="1"/>
      <c r="D29" s="1"/>
      <c r="E29" s="1"/>
      <c r="F29" s="1"/>
      <c r="G29" s="1"/>
      <c r="H29" s="1"/>
      <c r="I29" s="1"/>
      <c r="J29" s="6"/>
    </row>
    <row r="30" spans="2:10">
      <c r="B30" s="5"/>
      <c r="C30" s="1"/>
      <c r="D30" s="1"/>
      <c r="E30" s="1"/>
      <c r="F30" s="1"/>
      <c r="G30" s="1"/>
      <c r="H30" s="1"/>
      <c r="I30" s="1"/>
      <c r="J30" s="6"/>
    </row>
    <row r="31" spans="2:10">
      <c r="B31" s="5"/>
      <c r="C31" s="1"/>
      <c r="D31" s="1"/>
      <c r="E31" s="1"/>
      <c r="F31" s="1"/>
      <c r="G31" s="1"/>
      <c r="H31" s="1"/>
      <c r="I31" s="1"/>
      <c r="J31" s="6"/>
    </row>
    <row r="32" spans="2:10">
      <c r="B32" s="5"/>
      <c r="C32" s="1"/>
      <c r="D32" s="1"/>
      <c r="E32" s="1"/>
      <c r="F32" s="1"/>
      <c r="G32" s="1"/>
      <c r="H32" s="1"/>
      <c r="I32" s="1"/>
      <c r="J32" s="6"/>
    </row>
    <row r="33" spans="2:10">
      <c r="B33" s="5"/>
      <c r="C33" s="1"/>
      <c r="D33" s="1"/>
      <c r="E33" s="1"/>
      <c r="F33" s="1"/>
      <c r="G33" s="1"/>
      <c r="H33" s="1"/>
      <c r="I33" s="1"/>
      <c r="J33" s="6"/>
    </row>
    <row r="34" spans="2:10">
      <c r="B34" s="5"/>
      <c r="C34" s="1"/>
      <c r="D34" s="1"/>
      <c r="E34" s="1"/>
      <c r="F34" s="1"/>
      <c r="G34" s="1"/>
      <c r="H34" s="1"/>
      <c r="I34" s="1"/>
      <c r="J34" s="6"/>
    </row>
    <row r="35" spans="2:10">
      <c r="B35" s="5"/>
      <c r="C35" s="1"/>
      <c r="D35" s="1"/>
      <c r="E35" s="1"/>
      <c r="F35" s="1"/>
      <c r="G35" s="1"/>
      <c r="H35" s="1"/>
      <c r="I35" s="1"/>
      <c r="J35" s="6"/>
    </row>
    <row r="36" spans="2:10">
      <c r="B36" s="5"/>
      <c r="C36" s="1"/>
      <c r="D36" s="1"/>
      <c r="E36" s="1"/>
      <c r="F36" s="1"/>
      <c r="G36" s="1"/>
      <c r="H36" s="1"/>
      <c r="I36" s="1"/>
      <c r="J36" s="6"/>
    </row>
    <row r="37" spans="2:10">
      <c r="B37" s="5"/>
      <c r="C37" s="1"/>
      <c r="D37" s="1"/>
      <c r="E37" s="1"/>
      <c r="F37" s="1"/>
      <c r="G37" s="1"/>
      <c r="H37" s="1"/>
      <c r="I37" s="1"/>
      <c r="J37" s="6"/>
    </row>
    <row r="38" spans="2:10">
      <c r="B38" s="5"/>
      <c r="C38" s="1"/>
      <c r="D38" s="1"/>
      <c r="E38" s="1"/>
      <c r="F38" s="1"/>
      <c r="G38" s="1"/>
      <c r="H38" s="1"/>
      <c r="I38" s="1"/>
      <c r="J38" s="6"/>
    </row>
    <row r="39" spans="2:10">
      <c r="B39" s="5"/>
      <c r="C39" s="1"/>
      <c r="D39" s="1"/>
      <c r="E39" s="1"/>
      <c r="F39" s="1"/>
      <c r="G39" s="1"/>
      <c r="H39" s="1"/>
      <c r="I39" s="1"/>
      <c r="J39" s="6"/>
    </row>
    <row r="40" spans="2:10">
      <c r="B40" s="5"/>
      <c r="C40" s="1"/>
      <c r="D40" s="1"/>
      <c r="E40" s="1"/>
      <c r="F40" s="1"/>
      <c r="G40" s="1"/>
      <c r="H40" s="1"/>
      <c r="I40" s="1"/>
      <c r="J40" s="6"/>
    </row>
    <row r="41" spans="2:10" ht="13.5" thickBot="1">
      <c r="B41" s="5"/>
      <c r="C41" s="1"/>
      <c r="D41" s="1"/>
      <c r="E41" s="1"/>
      <c r="F41" s="1"/>
      <c r="G41" s="1"/>
      <c r="H41" s="1"/>
      <c r="I41" s="1"/>
      <c r="J41" s="6"/>
    </row>
    <row r="42" spans="2:10" ht="13.5" thickBot="1">
      <c r="B42" s="5"/>
      <c r="C42" s="1"/>
      <c r="D42" s="1762"/>
      <c r="E42" s="1762"/>
      <c r="F42" s="1762"/>
      <c r="G42" s="1762"/>
      <c r="H42" s="1762"/>
      <c r="I42" s="140"/>
      <c r="J42" s="6"/>
    </row>
    <row r="43" spans="2:10">
      <c r="B43" s="5"/>
      <c r="C43" s="1"/>
      <c r="D43" s="1"/>
      <c r="E43" s="1"/>
      <c r="F43" s="1"/>
      <c r="G43" s="1"/>
      <c r="H43" s="1"/>
      <c r="I43" s="1"/>
      <c r="J43" s="6"/>
    </row>
    <row r="44" spans="2:10">
      <c r="B44" s="5"/>
      <c r="C44" s="1"/>
      <c r="D44" s="1"/>
      <c r="E44" s="1"/>
      <c r="F44" s="1"/>
      <c r="G44" s="1"/>
      <c r="H44" s="1"/>
      <c r="I44" s="1"/>
      <c r="J44" s="6"/>
    </row>
    <row r="45" spans="2:10">
      <c r="B45" s="5"/>
      <c r="C45" s="1"/>
      <c r="D45" s="1"/>
      <c r="E45" s="1"/>
      <c r="F45" s="1"/>
      <c r="G45" s="1"/>
      <c r="H45" s="1"/>
      <c r="I45" s="1"/>
      <c r="J45" s="6"/>
    </row>
    <row r="46" spans="2:10">
      <c r="B46" s="5"/>
      <c r="C46" s="1"/>
      <c r="D46" s="1"/>
      <c r="E46" s="1"/>
      <c r="F46" s="1"/>
      <c r="G46" s="1"/>
      <c r="H46" s="1"/>
      <c r="I46" s="1"/>
      <c r="J46" s="6"/>
    </row>
    <row r="47" spans="2:10">
      <c r="B47" s="5"/>
      <c r="C47" s="1"/>
      <c r="D47" s="1"/>
      <c r="E47" s="1"/>
      <c r="F47" s="1"/>
      <c r="G47" s="1"/>
      <c r="H47" s="1"/>
      <c r="I47" s="1"/>
      <c r="J47" s="6"/>
    </row>
    <row r="48" spans="2:10">
      <c r="B48" s="5"/>
      <c r="C48" s="1"/>
      <c r="D48" s="1"/>
      <c r="E48" s="1"/>
      <c r="F48" s="1"/>
      <c r="G48" s="1"/>
      <c r="H48" s="1"/>
      <c r="I48" s="1"/>
      <c r="J48" s="6"/>
    </row>
    <row r="49" spans="2:10">
      <c r="B49" s="5"/>
      <c r="C49" s="1"/>
      <c r="D49" s="1"/>
      <c r="E49" s="1"/>
      <c r="F49" s="1"/>
      <c r="G49" s="1"/>
      <c r="H49" s="1"/>
      <c r="I49" s="1"/>
      <c r="J49" s="6"/>
    </row>
    <row r="50" spans="2:10">
      <c r="B50" s="5"/>
      <c r="C50" s="1"/>
      <c r="D50" s="1"/>
      <c r="E50" s="1"/>
      <c r="F50" s="1"/>
      <c r="G50" s="1"/>
      <c r="H50" s="1"/>
      <c r="I50" s="1"/>
      <c r="J50" s="6"/>
    </row>
    <row r="51" spans="2:10">
      <c r="B51" s="5"/>
      <c r="C51" s="1"/>
      <c r="D51" s="1"/>
      <c r="E51" s="1"/>
      <c r="F51" s="1"/>
      <c r="G51" s="1"/>
      <c r="H51" s="1"/>
      <c r="I51" s="1"/>
      <c r="J51" s="6"/>
    </row>
    <row r="52" spans="2:10">
      <c r="B52" s="5"/>
      <c r="C52" s="1"/>
      <c r="D52" s="1"/>
      <c r="E52" s="1"/>
      <c r="F52" s="1"/>
      <c r="G52" s="1"/>
      <c r="H52" s="1"/>
      <c r="I52" s="1"/>
      <c r="J52" s="6"/>
    </row>
    <row r="53" spans="2:10">
      <c r="B53" s="5"/>
      <c r="C53" s="1"/>
      <c r="D53" s="1"/>
      <c r="E53" s="1"/>
      <c r="F53" s="1"/>
      <c r="G53" s="1"/>
      <c r="H53" s="1"/>
      <c r="I53" s="1"/>
      <c r="J53" s="6"/>
    </row>
    <row r="54" spans="2:10">
      <c r="B54" s="5"/>
      <c r="C54" s="1"/>
      <c r="D54" s="1"/>
      <c r="E54" s="1"/>
      <c r="F54" s="1"/>
      <c r="G54" s="1"/>
      <c r="H54" s="1"/>
      <c r="I54" s="1"/>
      <c r="J54" s="6"/>
    </row>
    <row r="55" spans="2:10" ht="13.5" thickBot="1">
      <c r="B55" s="7"/>
      <c r="C55" s="8"/>
      <c r="D55" s="8"/>
      <c r="E55" s="8"/>
      <c r="F55" s="8"/>
      <c r="G55" s="8"/>
      <c r="H55" s="8"/>
      <c r="I55" s="8"/>
      <c r="J55" s="9"/>
    </row>
  </sheetData>
  <mergeCells count="6">
    <mergeCell ref="D42:H42"/>
    <mergeCell ref="C10:C11"/>
    <mergeCell ref="D10:D11"/>
    <mergeCell ref="E10:E11"/>
    <mergeCell ref="F10:F11"/>
    <mergeCell ref="G10:G11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CC"/>
  </sheetPr>
  <dimension ref="B3:M62"/>
  <sheetViews>
    <sheetView topLeftCell="A31" workbookViewId="0">
      <selection activeCell="K62" sqref="A1:K62"/>
    </sheetView>
  </sheetViews>
  <sheetFormatPr defaultRowHeight="12.75"/>
  <cols>
    <col min="1" max="1" width="4.42578125" customWidth="1"/>
    <col min="2" max="2" width="6.5703125" customWidth="1"/>
    <col min="3" max="4" width="13.42578125" customWidth="1"/>
    <col min="5" max="5" width="15.140625" style="85" customWidth="1"/>
    <col min="6" max="6" width="12.28515625" customWidth="1"/>
    <col min="7" max="7" width="7.42578125" customWidth="1"/>
    <col min="8" max="8" width="7.85546875" customWidth="1"/>
    <col min="9" max="9" width="4.85546875" customWidth="1"/>
    <col min="10" max="10" width="7" customWidth="1"/>
    <col min="11" max="11" width="7.140625" customWidth="1"/>
    <col min="13" max="13" width="10.85546875" bestFit="1" customWidth="1"/>
  </cols>
  <sheetData>
    <row r="3" spans="2:11">
      <c r="B3" s="2"/>
      <c r="C3" s="49"/>
      <c r="D3" s="49"/>
      <c r="E3" s="108"/>
      <c r="F3" s="49"/>
      <c r="G3" s="2"/>
      <c r="H3" s="2"/>
    </row>
    <row r="4" spans="2:11">
      <c r="B4" s="2"/>
      <c r="C4" s="2" t="str">
        <f>'Kopertina '!F4</f>
        <v>Ameti</v>
      </c>
      <c r="D4" s="2"/>
      <c r="E4" s="3"/>
      <c r="F4" s="2"/>
      <c r="G4" s="2"/>
      <c r="H4" s="2"/>
    </row>
    <row r="5" spans="2:11">
      <c r="B5" s="1"/>
      <c r="C5" s="1"/>
      <c r="D5" s="1"/>
      <c r="E5" s="56"/>
      <c r="F5" s="1"/>
      <c r="G5" s="2"/>
      <c r="H5" s="2"/>
      <c r="I5" s="2"/>
      <c r="J5" s="2"/>
      <c r="K5" s="2" t="s">
        <v>120</v>
      </c>
    </row>
    <row r="6" spans="2:11">
      <c r="B6" s="1"/>
      <c r="C6" s="1741" t="s">
        <v>149</v>
      </c>
      <c r="D6" s="1741"/>
      <c r="E6" s="1741"/>
      <c r="F6" s="1741"/>
      <c r="G6" s="1741"/>
      <c r="H6" s="1741"/>
      <c r="I6" s="1741"/>
    </row>
    <row r="7" spans="2:11">
      <c r="B7" s="1"/>
      <c r="C7" s="1"/>
      <c r="D7" s="1"/>
      <c r="E7" s="56"/>
      <c r="F7" s="1"/>
      <c r="G7" s="1"/>
      <c r="H7" s="2" t="s">
        <v>132</v>
      </c>
      <c r="I7" s="21"/>
      <c r="J7" s="21">
        <f>'Kopertina '!F29</f>
        <v>2011</v>
      </c>
    </row>
    <row r="8" spans="2:11" ht="13.5" thickBot="1">
      <c r="B8" s="1"/>
      <c r="C8" s="1"/>
      <c r="D8" s="1"/>
      <c r="E8" s="56"/>
      <c r="F8" s="1"/>
      <c r="G8" s="1"/>
      <c r="H8" s="1"/>
    </row>
    <row r="9" spans="2:11">
      <c r="B9" s="18"/>
      <c r="C9" s="19"/>
      <c r="D9" s="19"/>
      <c r="E9" s="122"/>
      <c r="F9" s="19"/>
      <c r="G9" s="19"/>
      <c r="H9" s="19"/>
      <c r="I9" s="19"/>
      <c r="J9" s="19"/>
      <c r="K9" s="20"/>
    </row>
    <row r="10" spans="2:11">
      <c r="B10" s="5"/>
      <c r="C10" s="1"/>
      <c r="D10" s="1"/>
      <c r="E10" s="56"/>
      <c r="F10" s="1"/>
      <c r="G10" s="1"/>
      <c r="H10" s="1"/>
      <c r="I10" s="1"/>
      <c r="J10" s="1"/>
      <c r="K10" s="6"/>
    </row>
    <row r="11" spans="2:11" ht="13.5" thickBot="1">
      <c r="B11" s="5"/>
      <c r="C11" s="1"/>
      <c r="D11" s="1"/>
      <c r="E11" s="56"/>
      <c r="F11" s="1"/>
      <c r="G11" s="1"/>
      <c r="H11" s="1"/>
      <c r="I11" s="1"/>
      <c r="J11" s="1"/>
      <c r="K11" s="6"/>
    </row>
    <row r="12" spans="2:11" ht="18" customHeight="1" thickBot="1">
      <c r="B12" s="275" t="s">
        <v>1</v>
      </c>
      <c r="C12" s="276" t="s">
        <v>169</v>
      </c>
      <c r="D12" s="276" t="s">
        <v>241</v>
      </c>
      <c r="E12" s="276" t="s">
        <v>240</v>
      </c>
      <c r="F12" s="277" t="s">
        <v>242</v>
      </c>
      <c r="G12" s="2"/>
      <c r="H12" s="1"/>
      <c r="I12" s="1"/>
      <c r="J12" s="1"/>
      <c r="K12" s="6"/>
    </row>
    <row r="13" spans="2:11">
      <c r="B13" s="271">
        <v>1</v>
      </c>
      <c r="C13" s="272" t="s">
        <v>197</v>
      </c>
      <c r="D13" s="272">
        <v>852487</v>
      </c>
      <c r="E13" s="273">
        <v>852487</v>
      </c>
      <c r="F13" s="274">
        <f>+E13</f>
        <v>852487</v>
      </c>
      <c r="G13" s="1"/>
      <c r="H13" s="1"/>
      <c r="I13" s="1"/>
      <c r="J13" s="1"/>
      <c r="K13" s="6"/>
    </row>
    <row r="14" spans="2:11">
      <c r="B14" s="102">
        <v>2</v>
      </c>
      <c r="C14" s="99" t="s">
        <v>232</v>
      </c>
      <c r="D14" s="99">
        <v>852487</v>
      </c>
      <c r="E14" s="101">
        <v>852487</v>
      </c>
      <c r="F14" s="103">
        <f>F13+E14</f>
        <v>1704974</v>
      </c>
      <c r="G14" s="1"/>
      <c r="H14" s="1"/>
      <c r="I14" s="1"/>
      <c r="J14" s="1"/>
      <c r="K14" s="6"/>
    </row>
    <row r="15" spans="2:11">
      <c r="B15" s="102">
        <v>3</v>
      </c>
      <c r="C15" s="101" t="s">
        <v>198</v>
      </c>
      <c r="D15" s="99">
        <v>852487</v>
      </c>
      <c r="E15" s="101">
        <v>852487</v>
      </c>
      <c r="F15" s="103">
        <f t="shared" ref="F15:F25" si="0">F14+E15</f>
        <v>2557461</v>
      </c>
      <c r="G15" s="1"/>
      <c r="H15" s="1"/>
      <c r="I15" s="1"/>
      <c r="J15" s="1"/>
      <c r="K15" s="6"/>
    </row>
    <row r="16" spans="2:11">
      <c r="B16" s="102">
        <v>4</v>
      </c>
      <c r="C16" s="101" t="s">
        <v>199</v>
      </c>
      <c r="D16" s="99"/>
      <c r="E16" s="101">
        <v>852487</v>
      </c>
      <c r="F16" s="103">
        <f t="shared" si="0"/>
        <v>3409948</v>
      </c>
      <c r="G16" s="1"/>
      <c r="H16" s="1"/>
      <c r="I16" s="1"/>
      <c r="J16" s="1"/>
      <c r="K16" s="6"/>
    </row>
    <row r="17" spans="2:13">
      <c r="B17" s="102">
        <v>5</v>
      </c>
      <c r="C17" s="101" t="s">
        <v>200</v>
      </c>
      <c r="D17" s="99">
        <v>669043</v>
      </c>
      <c r="E17" s="101">
        <v>669043</v>
      </c>
      <c r="F17" s="103">
        <f t="shared" si="0"/>
        <v>4078991</v>
      </c>
      <c r="G17" s="1"/>
      <c r="H17" s="1"/>
      <c r="I17" s="1"/>
      <c r="J17" s="1"/>
      <c r="K17" s="656"/>
    </row>
    <row r="18" spans="2:13">
      <c r="B18" s="102">
        <v>6</v>
      </c>
      <c r="C18" s="101" t="s">
        <v>201</v>
      </c>
      <c r="D18" s="99"/>
      <c r="E18" s="101"/>
      <c r="F18" s="103">
        <f t="shared" si="0"/>
        <v>4078991</v>
      </c>
      <c r="G18" s="1"/>
      <c r="H18" s="1"/>
      <c r="I18" s="1"/>
      <c r="J18" s="1"/>
      <c r="K18" s="6"/>
    </row>
    <row r="19" spans="2:13">
      <c r="B19" s="102">
        <v>7</v>
      </c>
      <c r="C19" s="101" t="s">
        <v>243</v>
      </c>
      <c r="D19" s="99">
        <v>669043</v>
      </c>
      <c r="E19" s="101">
        <v>669043</v>
      </c>
      <c r="F19" s="103">
        <f t="shared" si="0"/>
        <v>4748034</v>
      </c>
      <c r="G19" s="1"/>
      <c r="H19" s="1"/>
      <c r="I19" s="1"/>
      <c r="J19" s="1"/>
      <c r="K19" s="6"/>
    </row>
    <row r="20" spans="2:13">
      <c r="B20" s="102">
        <v>8</v>
      </c>
      <c r="C20" s="101" t="s">
        <v>203</v>
      </c>
      <c r="D20" s="99"/>
      <c r="E20" s="101"/>
      <c r="F20" s="103">
        <f t="shared" si="0"/>
        <v>4748034</v>
      </c>
      <c r="G20" s="1"/>
      <c r="H20" s="1"/>
      <c r="I20" s="1"/>
      <c r="J20" s="1"/>
      <c r="K20" s="6"/>
    </row>
    <row r="21" spans="2:13">
      <c r="B21" s="102">
        <v>9</v>
      </c>
      <c r="C21" s="101" t="s">
        <v>204</v>
      </c>
      <c r="D21" s="99"/>
      <c r="E21" s="101"/>
      <c r="F21" s="103">
        <f t="shared" si="0"/>
        <v>4748034</v>
      </c>
      <c r="G21" s="1"/>
      <c r="H21" s="1"/>
      <c r="I21" s="1"/>
      <c r="J21" s="1"/>
      <c r="K21" s="6"/>
    </row>
    <row r="22" spans="2:13">
      <c r="B22" s="102">
        <v>10</v>
      </c>
      <c r="C22" s="101" t="s">
        <v>205</v>
      </c>
      <c r="D22" s="99"/>
      <c r="E22" s="101">
        <v>669043</v>
      </c>
      <c r="F22" s="103">
        <f t="shared" si="0"/>
        <v>5417077</v>
      </c>
      <c r="G22" s="1"/>
      <c r="H22" s="1"/>
      <c r="I22" s="1"/>
      <c r="J22" s="1"/>
      <c r="K22" s="6"/>
    </row>
    <row r="23" spans="2:13">
      <c r="B23" s="102">
        <v>11</v>
      </c>
      <c r="C23" s="101" t="s">
        <v>206</v>
      </c>
      <c r="D23" s="99"/>
      <c r="E23" s="101">
        <v>669043</v>
      </c>
      <c r="F23" s="103">
        <f t="shared" si="0"/>
        <v>6086120</v>
      </c>
      <c r="G23" s="1"/>
      <c r="H23" s="1"/>
      <c r="I23" s="1"/>
      <c r="J23" s="1"/>
      <c r="K23" s="6"/>
    </row>
    <row r="24" spans="2:13">
      <c r="B24" s="102">
        <v>12</v>
      </c>
      <c r="C24" s="101" t="s">
        <v>207</v>
      </c>
      <c r="D24" s="99"/>
      <c r="E24" s="101">
        <v>669043</v>
      </c>
      <c r="F24" s="103">
        <f t="shared" si="0"/>
        <v>6755163</v>
      </c>
      <c r="G24" s="1"/>
      <c r="H24" s="1"/>
      <c r="I24" s="1"/>
      <c r="J24" s="1"/>
      <c r="K24" s="6"/>
    </row>
    <row r="25" spans="2:13" ht="13.5" thickBot="1">
      <c r="B25" s="104"/>
      <c r="C25" s="105" t="s">
        <v>893</v>
      </c>
      <c r="D25" s="106"/>
      <c r="E25" s="105"/>
      <c r="F25" s="278">
        <f t="shared" si="0"/>
        <v>6755163</v>
      </c>
      <c r="G25" s="1"/>
      <c r="H25" s="1"/>
      <c r="I25" s="1"/>
      <c r="J25" s="1"/>
      <c r="K25" s="6"/>
    </row>
    <row r="26" spans="2:13" ht="17.25" customHeight="1" thickBot="1">
      <c r="B26" s="279"/>
      <c r="C26" s="280" t="s">
        <v>208</v>
      </c>
      <c r="D26" s="280">
        <f>SUM(D13:D25)</f>
        <v>3895547</v>
      </c>
      <c r="E26" s="280">
        <f>SUM(E13:E25)</f>
        <v>6755163</v>
      </c>
      <c r="F26" s="281">
        <f>F24</f>
        <v>6755163</v>
      </c>
      <c r="G26" s="1"/>
      <c r="H26" s="1"/>
      <c r="I26" s="1"/>
      <c r="J26" s="1"/>
      <c r="K26" s="6"/>
    </row>
    <row r="27" spans="2:13" ht="13.5" thickBot="1">
      <c r="B27" s="5"/>
      <c r="C27" s="1"/>
      <c r="D27" s="1" t="s">
        <v>2062</v>
      </c>
      <c r="E27" s="141">
        <v>8551117</v>
      </c>
      <c r="F27" s="100"/>
      <c r="G27" s="1"/>
      <c r="H27" s="1"/>
      <c r="I27" s="1"/>
      <c r="J27" s="1"/>
      <c r="K27" s="6"/>
    </row>
    <row r="28" spans="2:13" ht="17.25" customHeight="1" thickBot="1">
      <c r="B28" s="5"/>
      <c r="C28" s="3" t="s">
        <v>516</v>
      </c>
      <c r="D28" s="1"/>
      <c r="E28" s="141"/>
      <c r="F28" s="424">
        <v>1795954</v>
      </c>
      <c r="G28" s="1"/>
      <c r="H28" s="1"/>
      <c r="I28" s="1"/>
      <c r="J28" s="1"/>
      <c r="K28" s="6"/>
    </row>
    <row r="29" spans="2:13" ht="13.5" thickBot="1">
      <c r="B29" s="5"/>
      <c r="C29" s="1"/>
      <c r="D29" s="1"/>
      <c r="E29" s="141"/>
      <c r="F29" s="100"/>
      <c r="G29" s="1"/>
      <c r="H29" s="1"/>
      <c r="I29" s="1"/>
      <c r="J29" s="1"/>
      <c r="K29" s="6"/>
    </row>
    <row r="30" spans="2:13" ht="18.75" customHeight="1" thickBot="1">
      <c r="B30" s="5"/>
      <c r="C30" s="651" t="s">
        <v>95</v>
      </c>
      <c r="D30" s="652"/>
      <c r="E30" s="653"/>
      <c r="F30" s="654">
        <f>F26+F28</f>
        <v>8551117</v>
      </c>
      <c r="G30" s="1"/>
      <c r="H30" s="1"/>
      <c r="I30" s="1"/>
      <c r="J30" s="1"/>
      <c r="K30" s="6"/>
      <c r="M30" s="1294">
        <f>8551117-F26</f>
        <v>1795954</v>
      </c>
    </row>
    <row r="31" spans="2:13">
      <c r="B31" s="5"/>
      <c r="C31" s="1"/>
      <c r="D31" s="1"/>
      <c r="E31" s="141"/>
      <c r="F31" s="100"/>
      <c r="G31" s="1"/>
      <c r="H31" s="1"/>
      <c r="I31" s="1"/>
      <c r="J31" s="1"/>
      <c r="K31" s="6"/>
    </row>
    <row r="32" spans="2:13">
      <c r="B32" s="5"/>
      <c r="C32" s="1"/>
      <c r="D32" s="1"/>
      <c r="E32" s="141"/>
      <c r="F32" s="100"/>
      <c r="G32" s="1"/>
      <c r="H32" s="1"/>
      <c r="I32" s="1"/>
      <c r="J32" s="1"/>
      <c r="K32" s="6"/>
    </row>
    <row r="33" spans="2:13">
      <c r="B33" s="5"/>
      <c r="C33" s="1" t="s">
        <v>244</v>
      </c>
      <c r="D33" s="1"/>
      <c r="E33" s="141"/>
      <c r="F33" s="425">
        <f>'Ardh e shp - natyres'!E37</f>
        <v>7433090.2212065822</v>
      </c>
      <c r="G33" s="1"/>
      <c r="H33" s="1"/>
      <c r="I33" s="1"/>
      <c r="J33" s="1"/>
      <c r="K33" s="6"/>
    </row>
    <row r="34" spans="2:13">
      <c r="B34" s="5"/>
      <c r="C34" s="1"/>
      <c r="D34" s="1"/>
      <c r="E34" s="141"/>
      <c r="F34" s="100"/>
      <c r="G34" s="1"/>
      <c r="H34" s="1"/>
      <c r="I34" s="1"/>
      <c r="J34" s="1"/>
      <c r="K34" s="6"/>
    </row>
    <row r="35" spans="2:13" ht="13.5" thickBot="1">
      <c r="B35" s="5"/>
      <c r="C35" s="1"/>
      <c r="D35" s="1"/>
      <c r="E35" s="141"/>
      <c r="F35" s="100"/>
      <c r="G35" s="1"/>
      <c r="H35" s="1"/>
      <c r="I35" s="1"/>
      <c r="J35" s="1"/>
      <c r="K35" s="6"/>
      <c r="M35" s="689">
        <f>+M30-'AKTIVI '!F14</f>
        <v>-4178963</v>
      </c>
    </row>
    <row r="36" spans="2:13" ht="13.5" thickBot="1">
      <c r="B36" s="5"/>
      <c r="C36" s="1" t="s">
        <v>245</v>
      </c>
      <c r="D36" s="1"/>
      <c r="E36" s="141"/>
      <c r="F36" s="655">
        <f>F33-F30</f>
        <v>-1118026.7787934178</v>
      </c>
      <c r="G36" s="1"/>
      <c r="H36" s="1"/>
      <c r="I36" s="1"/>
      <c r="J36" s="1"/>
      <c r="K36" s="6"/>
    </row>
    <row r="37" spans="2:13">
      <c r="B37" s="5"/>
      <c r="C37" s="1"/>
      <c r="D37" s="1"/>
      <c r="E37" s="141"/>
      <c r="F37" s="100"/>
      <c r="G37" s="1"/>
      <c r="H37" s="1"/>
      <c r="I37" s="1"/>
      <c r="J37" s="1"/>
      <c r="K37" s="6"/>
    </row>
    <row r="38" spans="2:13">
      <c r="B38" s="5"/>
      <c r="C38" s="1"/>
      <c r="D38" s="1"/>
      <c r="E38" s="141"/>
      <c r="F38" s="100"/>
      <c r="G38" s="1"/>
      <c r="H38" s="1"/>
      <c r="I38" s="1"/>
      <c r="J38" s="1"/>
      <c r="K38" s="6"/>
    </row>
    <row r="39" spans="2:13">
      <c r="B39" s="5"/>
      <c r="C39" s="1"/>
      <c r="D39" s="1"/>
      <c r="E39" s="141"/>
      <c r="F39" s="100"/>
      <c r="G39" s="1"/>
      <c r="H39" s="1"/>
      <c r="I39" s="1"/>
      <c r="J39" s="1"/>
      <c r="K39" s="6"/>
    </row>
    <row r="40" spans="2:13">
      <c r="B40" s="5"/>
      <c r="C40" s="1"/>
      <c r="D40" s="1"/>
      <c r="E40" s="56"/>
      <c r="F40" s="1"/>
      <c r="G40" s="1"/>
      <c r="H40" s="1"/>
      <c r="I40" s="1"/>
      <c r="J40" s="1"/>
      <c r="K40" s="6"/>
    </row>
    <row r="41" spans="2:13">
      <c r="B41" s="5"/>
      <c r="C41" s="1"/>
      <c r="D41" s="1"/>
      <c r="E41" s="56"/>
      <c r="F41" s="1"/>
      <c r="G41" s="1"/>
      <c r="H41" s="1"/>
      <c r="I41" s="1"/>
      <c r="J41" s="1"/>
      <c r="K41" s="6"/>
    </row>
    <row r="42" spans="2:13">
      <c r="B42" s="5"/>
      <c r="C42" s="1"/>
      <c r="D42" s="1"/>
      <c r="E42" s="56"/>
      <c r="F42" s="1"/>
      <c r="G42" s="1"/>
      <c r="H42" s="1"/>
      <c r="I42" s="1"/>
      <c r="J42" s="1"/>
      <c r="K42" s="6"/>
    </row>
    <row r="43" spans="2:13">
      <c r="B43" s="5"/>
      <c r="C43" s="1"/>
      <c r="D43" s="1"/>
      <c r="E43" s="56"/>
      <c r="F43" s="1"/>
      <c r="G43" s="1"/>
      <c r="H43" s="1"/>
      <c r="I43" s="1"/>
      <c r="J43" s="1"/>
      <c r="K43" s="6"/>
    </row>
    <row r="44" spans="2:13">
      <c r="B44" s="5"/>
      <c r="C44" s="1"/>
      <c r="D44" s="1"/>
      <c r="E44" s="56"/>
      <c r="F44" s="1"/>
      <c r="G44" s="1"/>
      <c r="H44" s="1"/>
      <c r="I44" s="1"/>
      <c r="J44" s="1"/>
      <c r="K44" s="6"/>
    </row>
    <row r="45" spans="2:13">
      <c r="B45" s="5"/>
      <c r="C45" s="1"/>
      <c r="D45" s="1"/>
      <c r="E45" s="56"/>
      <c r="F45" s="1"/>
      <c r="G45" s="1"/>
      <c r="H45" s="1"/>
      <c r="I45" s="1"/>
      <c r="J45" s="1"/>
      <c r="K45" s="6"/>
    </row>
    <row r="46" spans="2:13">
      <c r="B46" s="5"/>
      <c r="C46" s="1"/>
      <c r="D46" s="1"/>
      <c r="E46" s="56"/>
      <c r="F46" s="1"/>
      <c r="G46" s="1"/>
      <c r="H46" s="1"/>
      <c r="I46" s="1"/>
      <c r="J46" s="1"/>
      <c r="K46" s="6"/>
    </row>
    <row r="47" spans="2:13">
      <c r="B47" s="5"/>
      <c r="C47" s="1"/>
      <c r="D47" s="1"/>
      <c r="E47" s="56"/>
      <c r="F47" s="1"/>
      <c r="G47" s="1"/>
      <c r="H47" s="1"/>
      <c r="I47" s="1"/>
      <c r="J47" s="1"/>
      <c r="K47" s="6"/>
    </row>
    <row r="48" spans="2:13">
      <c r="B48" s="5"/>
      <c r="C48" s="1"/>
      <c r="D48" s="1"/>
      <c r="E48" s="56"/>
      <c r="F48" s="1"/>
      <c r="G48" s="1"/>
      <c r="H48" s="1"/>
      <c r="I48" s="1"/>
      <c r="J48" s="1"/>
      <c r="K48" s="6"/>
    </row>
    <row r="49" spans="2:11">
      <c r="B49" s="5"/>
      <c r="C49" s="1"/>
      <c r="D49" s="1"/>
      <c r="E49" s="56"/>
      <c r="F49" s="1"/>
      <c r="G49" s="1"/>
      <c r="H49" s="1"/>
      <c r="I49" s="1"/>
      <c r="J49" s="1"/>
      <c r="K49" s="6"/>
    </row>
    <row r="50" spans="2:11">
      <c r="B50" s="5"/>
      <c r="C50" s="1"/>
      <c r="D50" s="1"/>
      <c r="E50" s="56"/>
      <c r="F50" s="1"/>
      <c r="G50" s="1"/>
      <c r="H50" s="1"/>
      <c r="I50" s="1"/>
      <c r="J50" s="1"/>
      <c r="K50" s="6"/>
    </row>
    <row r="51" spans="2:11">
      <c r="B51" s="5"/>
      <c r="C51" s="1"/>
      <c r="D51" s="1"/>
      <c r="E51" s="56"/>
      <c r="F51" s="1"/>
      <c r="G51" s="1"/>
      <c r="H51" s="1"/>
      <c r="I51" s="1"/>
      <c r="J51" s="1"/>
      <c r="K51" s="6"/>
    </row>
    <row r="52" spans="2:11">
      <c r="B52" s="5"/>
      <c r="C52" s="1"/>
      <c r="D52" s="1"/>
      <c r="E52" s="56"/>
      <c r="F52" s="1"/>
      <c r="G52" s="1"/>
      <c r="H52" s="1"/>
      <c r="I52" s="1"/>
      <c r="J52" s="1"/>
      <c r="K52" s="6"/>
    </row>
    <row r="53" spans="2:11">
      <c r="B53" s="5"/>
      <c r="C53" s="1"/>
      <c r="D53" s="1"/>
      <c r="E53" s="56"/>
      <c r="F53" s="1"/>
      <c r="G53" s="1"/>
      <c r="H53" s="1"/>
      <c r="I53" s="1"/>
      <c r="J53" s="1"/>
      <c r="K53" s="6"/>
    </row>
    <row r="54" spans="2:11">
      <c r="B54" s="5"/>
      <c r="C54" s="1"/>
      <c r="D54" s="1"/>
      <c r="E54" s="56"/>
      <c r="F54" s="1"/>
      <c r="G54" s="1"/>
      <c r="H54" s="1"/>
      <c r="I54" s="1"/>
      <c r="J54" s="1"/>
      <c r="K54" s="6"/>
    </row>
    <row r="55" spans="2:11">
      <c r="B55" s="5"/>
      <c r="C55" s="1"/>
      <c r="D55" s="1"/>
      <c r="E55" s="56"/>
      <c r="F55" s="1"/>
      <c r="G55" s="1"/>
      <c r="H55" s="1"/>
      <c r="I55" s="1"/>
      <c r="J55" s="1"/>
      <c r="K55" s="6"/>
    </row>
    <row r="56" spans="2:11">
      <c r="B56" s="5"/>
      <c r="C56" s="1"/>
      <c r="D56" s="1"/>
      <c r="E56" s="56"/>
      <c r="F56" s="1"/>
      <c r="G56" s="1"/>
      <c r="H56" s="1"/>
      <c r="I56" s="1"/>
      <c r="J56" s="1"/>
      <c r="K56" s="6"/>
    </row>
    <row r="57" spans="2:11">
      <c r="B57" s="5"/>
      <c r="C57" s="1"/>
      <c r="D57" s="1"/>
      <c r="E57" s="56"/>
      <c r="F57" s="1"/>
      <c r="G57" s="1"/>
      <c r="H57" s="1"/>
      <c r="I57" s="1"/>
      <c r="J57" s="1"/>
      <c r="K57" s="6"/>
    </row>
    <row r="58" spans="2:11">
      <c r="B58" s="5"/>
      <c r="C58" s="1"/>
      <c r="D58" s="1"/>
      <c r="E58" s="56"/>
      <c r="F58" s="1"/>
      <c r="G58" s="1"/>
      <c r="H58" s="1"/>
      <c r="I58" s="1"/>
      <c r="J58" s="1"/>
      <c r="K58" s="6"/>
    </row>
    <row r="59" spans="2:11">
      <c r="B59" s="5"/>
      <c r="C59" s="1"/>
      <c r="D59" s="1"/>
      <c r="E59" s="56"/>
      <c r="F59" s="1"/>
      <c r="G59" s="1"/>
      <c r="H59" s="1"/>
      <c r="I59" s="1"/>
      <c r="J59" s="1"/>
      <c r="K59" s="6"/>
    </row>
    <row r="60" spans="2:11">
      <c r="B60" s="5"/>
      <c r="C60" s="1"/>
      <c r="D60" s="1"/>
      <c r="E60" s="56"/>
      <c r="F60" s="1"/>
      <c r="G60" s="1"/>
      <c r="H60" s="1"/>
      <c r="I60" s="1"/>
      <c r="J60" s="1"/>
      <c r="K60" s="6"/>
    </row>
    <row r="61" spans="2:11">
      <c r="B61" s="5"/>
      <c r="C61" s="1"/>
      <c r="D61" s="1"/>
      <c r="E61" s="56"/>
      <c r="F61" s="1"/>
      <c r="G61" s="1"/>
      <c r="H61" s="1"/>
      <c r="I61" s="1"/>
      <c r="J61" s="1"/>
      <c r="K61" s="6"/>
    </row>
    <row r="62" spans="2:11" ht="13.5" thickBot="1">
      <c r="B62" s="7"/>
      <c r="C62" s="8"/>
      <c r="D62" s="8"/>
      <c r="E62" s="136"/>
      <c r="F62" s="8"/>
      <c r="G62" s="8"/>
      <c r="H62" s="8"/>
      <c r="I62" s="8"/>
      <c r="J62" s="8"/>
      <c r="K62" s="9"/>
    </row>
  </sheetData>
  <mergeCells count="1">
    <mergeCell ref="C6:I6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S42" sqref="S42"/>
    </sheetView>
  </sheetViews>
  <sheetFormatPr defaultRowHeight="12.75"/>
  <cols>
    <col min="1" max="1" width="4.5703125" customWidth="1"/>
    <col min="2" max="2" width="7.5703125" customWidth="1"/>
    <col min="3" max="3" width="6" customWidth="1"/>
    <col min="4" max="4" width="22.42578125" customWidth="1"/>
    <col min="5" max="5" width="5.7109375" hidden="1" customWidth="1"/>
    <col min="6" max="6" width="8.85546875" customWidth="1"/>
    <col min="7" max="7" width="8.140625" customWidth="1"/>
    <col min="8" max="8" width="9.42578125" customWidth="1"/>
    <col min="9" max="9" width="15.85546875" customWidth="1"/>
    <col min="10" max="10" width="6.5703125" customWidth="1"/>
    <col min="11" max="11" width="6.28515625" customWidth="1"/>
    <col min="12" max="12" width="6" customWidth="1"/>
  </cols>
  <sheetData>
    <row r="1" spans="1:10">
      <c r="A1" t="s">
        <v>134</v>
      </c>
    </row>
    <row r="3" spans="1:10">
      <c r="B3" s="2"/>
      <c r="C3" s="49"/>
      <c r="D3" s="49"/>
      <c r="E3" s="49"/>
      <c r="F3" s="49"/>
      <c r="G3" s="2"/>
    </row>
    <row r="4" spans="1:10">
      <c r="B4" s="2" t="s">
        <v>131</v>
      </c>
      <c r="C4" s="2" t="str">
        <f>'Kopertina '!F4</f>
        <v>Ameti</v>
      </c>
      <c r="D4" s="2"/>
      <c r="E4" s="2"/>
      <c r="F4" s="2"/>
      <c r="G4" s="2"/>
    </row>
    <row r="5" spans="1:10">
      <c r="B5" s="1"/>
      <c r="C5" s="1"/>
      <c r="D5" s="1"/>
      <c r="E5" s="1"/>
      <c r="F5" s="1"/>
      <c r="G5" s="2"/>
      <c r="H5" s="2"/>
      <c r="I5" s="2"/>
      <c r="J5" s="2" t="s">
        <v>137</v>
      </c>
    </row>
    <row r="6" spans="1:10">
      <c r="B6" s="1"/>
      <c r="C6" s="1741" t="s">
        <v>150</v>
      </c>
      <c r="D6" s="1741"/>
      <c r="E6" s="1741"/>
      <c r="F6" s="1741"/>
      <c r="G6" s="1741"/>
      <c r="H6" s="1741"/>
    </row>
    <row r="7" spans="1:10">
      <c r="B7" s="1"/>
      <c r="C7" s="1"/>
      <c r="D7" s="1"/>
      <c r="E7" s="1"/>
      <c r="F7" s="1"/>
      <c r="G7" s="2" t="s">
        <v>132</v>
      </c>
      <c r="H7" s="21"/>
      <c r="I7" s="21">
        <f>'Kopertina '!F29</f>
        <v>2011</v>
      </c>
    </row>
    <row r="8" spans="1:10" ht="13.5" thickBot="1">
      <c r="B8" s="1"/>
      <c r="C8" s="1"/>
      <c r="D8" s="1"/>
      <c r="E8" s="1"/>
      <c r="F8" s="1"/>
      <c r="G8" s="1"/>
    </row>
    <row r="9" spans="1:10">
      <c r="B9" s="18"/>
      <c r="C9" s="19"/>
      <c r="D9" s="19"/>
      <c r="E9" s="19"/>
      <c r="F9" s="19"/>
      <c r="G9" s="19"/>
      <c r="H9" s="19"/>
      <c r="I9" s="19"/>
      <c r="J9" s="20"/>
    </row>
    <row r="10" spans="1:10" ht="13.5" thickBot="1">
      <c r="B10" s="5"/>
      <c r="C10" s="1"/>
      <c r="D10" s="1"/>
      <c r="E10" s="1"/>
      <c r="F10" s="1"/>
      <c r="G10" s="1"/>
      <c r="H10" s="1"/>
      <c r="I10" s="1"/>
      <c r="J10" s="6"/>
    </row>
    <row r="11" spans="1:10" ht="21" customHeight="1" thickBot="1">
      <c r="B11" s="5"/>
      <c r="C11" s="218" t="s">
        <v>1</v>
      </c>
      <c r="D11" s="219" t="s">
        <v>379</v>
      </c>
      <c r="E11" s="219" t="s">
        <v>380</v>
      </c>
      <c r="F11" s="219" t="s">
        <v>380</v>
      </c>
      <c r="G11" s="219" t="s">
        <v>381</v>
      </c>
      <c r="H11" s="219" t="s">
        <v>255</v>
      </c>
      <c r="I11" s="282" t="s">
        <v>382</v>
      </c>
      <c r="J11" s="6"/>
    </row>
    <row r="12" spans="1:10">
      <c r="B12" s="5"/>
      <c r="C12" s="246">
        <v>1</v>
      </c>
      <c r="D12" s="248"/>
      <c r="E12" s="248"/>
      <c r="F12" s="248"/>
      <c r="G12" s="248"/>
      <c r="H12" s="248"/>
      <c r="I12" s="249">
        <f>G12*H12</f>
        <v>0</v>
      </c>
      <c r="J12" s="6"/>
    </row>
    <row r="13" spans="1:10">
      <c r="B13" s="5"/>
      <c r="C13" s="241">
        <v>2</v>
      </c>
      <c r="D13" s="119"/>
      <c r="E13" s="119"/>
      <c r="F13" s="119"/>
      <c r="G13" s="119"/>
      <c r="H13" s="119"/>
      <c r="I13" s="235">
        <f t="shared" ref="I13:I40" si="0">G13*H13</f>
        <v>0</v>
      </c>
      <c r="J13" s="6"/>
    </row>
    <row r="14" spans="1:10">
      <c r="B14" s="5"/>
      <c r="C14" s="241">
        <v>3</v>
      </c>
      <c r="D14" s="119"/>
      <c r="E14" s="119"/>
      <c r="F14" s="119"/>
      <c r="G14" s="119"/>
      <c r="H14" s="119"/>
      <c r="I14" s="235">
        <f t="shared" si="0"/>
        <v>0</v>
      </c>
      <c r="J14" s="6"/>
    </row>
    <row r="15" spans="1:10">
      <c r="B15" s="5"/>
      <c r="C15" s="283">
        <v>4</v>
      </c>
      <c r="D15" s="119"/>
      <c r="E15" s="119"/>
      <c r="F15" s="119"/>
      <c r="G15" s="119"/>
      <c r="H15" s="119"/>
      <c r="I15" s="235">
        <f t="shared" si="0"/>
        <v>0</v>
      </c>
      <c r="J15" s="6"/>
    </row>
    <row r="16" spans="1:10">
      <c r="B16" s="5"/>
      <c r="C16" s="283">
        <v>5</v>
      </c>
      <c r="D16" s="119"/>
      <c r="E16" s="119"/>
      <c r="F16" s="119"/>
      <c r="G16" s="119"/>
      <c r="H16" s="119"/>
      <c r="I16" s="235">
        <f t="shared" si="0"/>
        <v>0</v>
      </c>
      <c r="J16" s="6"/>
    </row>
    <row r="17" spans="2:10">
      <c r="B17" s="5"/>
      <c r="C17" s="241">
        <v>6</v>
      </c>
      <c r="D17" s="119"/>
      <c r="E17" s="119"/>
      <c r="F17" s="119"/>
      <c r="G17" s="119"/>
      <c r="H17" s="119"/>
      <c r="I17" s="235">
        <f t="shared" si="0"/>
        <v>0</v>
      </c>
      <c r="J17" s="6"/>
    </row>
    <row r="18" spans="2:10">
      <c r="B18" s="5"/>
      <c r="C18" s="241">
        <v>7</v>
      </c>
      <c r="D18" s="119"/>
      <c r="E18" s="119"/>
      <c r="F18" s="119"/>
      <c r="G18" s="119"/>
      <c r="H18" s="119"/>
      <c r="I18" s="235">
        <f t="shared" si="0"/>
        <v>0</v>
      </c>
      <c r="J18" s="6"/>
    </row>
    <row r="19" spans="2:10">
      <c r="B19" s="5"/>
      <c r="C19" s="241">
        <v>8</v>
      </c>
      <c r="D19" s="119"/>
      <c r="E19" s="119"/>
      <c r="F19" s="119"/>
      <c r="G19" s="119"/>
      <c r="H19" s="119"/>
      <c r="I19" s="235">
        <f t="shared" si="0"/>
        <v>0</v>
      </c>
      <c r="J19" s="6"/>
    </row>
    <row r="20" spans="2:10">
      <c r="B20" s="5"/>
      <c r="C20" s="283">
        <v>9</v>
      </c>
      <c r="D20" s="119"/>
      <c r="E20" s="119"/>
      <c r="F20" s="119"/>
      <c r="G20" s="119"/>
      <c r="H20" s="119"/>
      <c r="I20" s="235">
        <f t="shared" si="0"/>
        <v>0</v>
      </c>
      <c r="J20" s="6"/>
    </row>
    <row r="21" spans="2:10">
      <c r="B21" s="5"/>
      <c r="C21" s="283">
        <v>10</v>
      </c>
      <c r="D21" s="119"/>
      <c r="E21" s="119"/>
      <c r="F21" s="119"/>
      <c r="G21" s="119"/>
      <c r="H21" s="119"/>
      <c r="I21" s="235">
        <f t="shared" si="0"/>
        <v>0</v>
      </c>
      <c r="J21" s="6"/>
    </row>
    <row r="22" spans="2:10">
      <c r="B22" s="5"/>
      <c r="C22" s="241">
        <v>11</v>
      </c>
      <c r="D22" s="119"/>
      <c r="E22" s="119"/>
      <c r="F22" s="119"/>
      <c r="G22" s="119"/>
      <c r="H22" s="119"/>
      <c r="I22" s="235">
        <f t="shared" si="0"/>
        <v>0</v>
      </c>
      <c r="J22" s="6"/>
    </row>
    <row r="23" spans="2:10">
      <c r="B23" s="5"/>
      <c r="C23" s="241">
        <v>12</v>
      </c>
      <c r="D23" s="119"/>
      <c r="E23" s="119"/>
      <c r="F23" s="119"/>
      <c r="G23" s="119"/>
      <c r="H23" s="119"/>
      <c r="I23" s="235">
        <f t="shared" si="0"/>
        <v>0</v>
      </c>
      <c r="J23" s="6"/>
    </row>
    <row r="24" spans="2:10">
      <c r="B24" s="5"/>
      <c r="C24" s="241">
        <v>13</v>
      </c>
      <c r="D24" s="119"/>
      <c r="E24" s="119"/>
      <c r="F24" s="119"/>
      <c r="G24" s="119"/>
      <c r="H24" s="119"/>
      <c r="I24" s="235">
        <f t="shared" si="0"/>
        <v>0</v>
      </c>
      <c r="J24" s="6"/>
    </row>
    <row r="25" spans="2:10">
      <c r="B25" s="5"/>
      <c r="C25" s="283">
        <v>14</v>
      </c>
      <c r="D25" s="119"/>
      <c r="E25" s="119"/>
      <c r="F25" s="119"/>
      <c r="G25" s="119"/>
      <c r="H25" s="119"/>
      <c r="I25" s="235">
        <f t="shared" si="0"/>
        <v>0</v>
      </c>
      <c r="J25" s="6"/>
    </row>
    <row r="26" spans="2:10">
      <c r="B26" s="5"/>
      <c r="C26" s="283">
        <v>15</v>
      </c>
      <c r="D26" s="119"/>
      <c r="E26" s="119"/>
      <c r="F26" s="119"/>
      <c r="G26" s="119"/>
      <c r="H26" s="119"/>
      <c r="I26" s="235">
        <f t="shared" si="0"/>
        <v>0</v>
      </c>
      <c r="J26" s="6"/>
    </row>
    <row r="27" spans="2:10">
      <c r="B27" s="5"/>
      <c r="C27" s="241">
        <v>16</v>
      </c>
      <c r="D27" s="119"/>
      <c r="E27" s="119"/>
      <c r="F27" s="119"/>
      <c r="G27" s="119"/>
      <c r="H27" s="119"/>
      <c r="I27" s="235">
        <f t="shared" si="0"/>
        <v>0</v>
      </c>
      <c r="J27" s="6"/>
    </row>
    <row r="28" spans="2:10">
      <c r="B28" s="5"/>
      <c r="C28" s="241">
        <v>17</v>
      </c>
      <c r="D28" s="119"/>
      <c r="E28" s="119"/>
      <c r="F28" s="119"/>
      <c r="G28" s="119"/>
      <c r="H28" s="119"/>
      <c r="I28" s="235">
        <f t="shared" si="0"/>
        <v>0</v>
      </c>
      <c r="J28" s="6"/>
    </row>
    <row r="29" spans="2:10">
      <c r="B29" s="5"/>
      <c r="C29" s="241">
        <v>18</v>
      </c>
      <c r="D29" s="119"/>
      <c r="E29" s="119"/>
      <c r="F29" s="119"/>
      <c r="G29" s="119"/>
      <c r="H29" s="119"/>
      <c r="I29" s="235">
        <f t="shared" si="0"/>
        <v>0</v>
      </c>
      <c r="J29" s="6"/>
    </row>
    <row r="30" spans="2:10">
      <c r="B30" s="5"/>
      <c r="C30" s="283">
        <v>19</v>
      </c>
      <c r="D30" s="119"/>
      <c r="E30" s="119"/>
      <c r="F30" s="119"/>
      <c r="G30" s="119"/>
      <c r="H30" s="119"/>
      <c r="I30" s="235">
        <f t="shared" si="0"/>
        <v>0</v>
      </c>
      <c r="J30" s="6"/>
    </row>
    <row r="31" spans="2:10">
      <c r="B31" s="5"/>
      <c r="C31" s="283">
        <v>20</v>
      </c>
      <c r="D31" s="119"/>
      <c r="E31" s="119"/>
      <c r="F31" s="119"/>
      <c r="G31" s="119"/>
      <c r="H31" s="119"/>
      <c r="I31" s="235">
        <f t="shared" si="0"/>
        <v>0</v>
      </c>
      <c r="J31" s="6"/>
    </row>
    <row r="32" spans="2:10">
      <c r="B32" s="5"/>
      <c r="C32" s="241">
        <v>21</v>
      </c>
      <c r="D32" s="119"/>
      <c r="E32" s="119"/>
      <c r="F32" s="119"/>
      <c r="G32" s="119"/>
      <c r="H32" s="119"/>
      <c r="I32" s="235">
        <f t="shared" si="0"/>
        <v>0</v>
      </c>
      <c r="J32" s="6"/>
    </row>
    <row r="33" spans="2:10">
      <c r="B33" s="5"/>
      <c r="C33" s="241">
        <v>22</v>
      </c>
      <c r="D33" s="119"/>
      <c r="E33" s="119"/>
      <c r="F33" s="119"/>
      <c r="G33" s="119"/>
      <c r="H33" s="119"/>
      <c r="I33" s="235">
        <f t="shared" si="0"/>
        <v>0</v>
      </c>
      <c r="J33" s="6"/>
    </row>
    <row r="34" spans="2:10">
      <c r="B34" s="5"/>
      <c r="C34" s="241">
        <v>23</v>
      </c>
      <c r="D34" s="119"/>
      <c r="E34" s="119"/>
      <c r="F34" s="119"/>
      <c r="G34" s="119"/>
      <c r="H34" s="119"/>
      <c r="I34" s="235">
        <f t="shared" si="0"/>
        <v>0</v>
      </c>
      <c r="J34" s="6"/>
    </row>
    <row r="35" spans="2:10">
      <c r="B35" s="5"/>
      <c r="C35" s="283">
        <v>24</v>
      </c>
      <c r="D35" s="119"/>
      <c r="E35" s="119"/>
      <c r="F35" s="119"/>
      <c r="G35" s="119"/>
      <c r="H35" s="119"/>
      <c r="I35" s="235">
        <f t="shared" si="0"/>
        <v>0</v>
      </c>
      <c r="J35" s="6"/>
    </row>
    <row r="36" spans="2:10">
      <c r="B36" s="5"/>
      <c r="C36" s="283">
        <v>25</v>
      </c>
      <c r="D36" s="119"/>
      <c r="E36" s="119"/>
      <c r="F36" s="119"/>
      <c r="G36" s="119"/>
      <c r="H36" s="119"/>
      <c r="I36" s="235">
        <f t="shared" si="0"/>
        <v>0</v>
      </c>
      <c r="J36" s="6"/>
    </row>
    <row r="37" spans="2:10">
      <c r="B37" s="5"/>
      <c r="C37" s="241">
        <v>26</v>
      </c>
      <c r="D37" s="119"/>
      <c r="E37" s="119"/>
      <c r="F37" s="119"/>
      <c r="G37" s="119"/>
      <c r="H37" s="119"/>
      <c r="I37" s="235">
        <f t="shared" si="0"/>
        <v>0</v>
      </c>
      <c r="J37" s="6"/>
    </row>
    <row r="38" spans="2:10">
      <c r="B38" s="5"/>
      <c r="C38" s="241">
        <v>27</v>
      </c>
      <c r="D38" s="119"/>
      <c r="E38" s="119"/>
      <c r="F38" s="119"/>
      <c r="G38" s="119"/>
      <c r="H38" s="119"/>
      <c r="I38" s="235">
        <f t="shared" si="0"/>
        <v>0</v>
      </c>
      <c r="J38" s="6"/>
    </row>
    <row r="39" spans="2:10">
      <c r="B39" s="5"/>
      <c r="C39" s="241">
        <v>28</v>
      </c>
      <c r="D39" s="119"/>
      <c r="E39" s="119"/>
      <c r="F39" s="119"/>
      <c r="G39" s="119"/>
      <c r="H39" s="119"/>
      <c r="I39" s="235">
        <f t="shared" si="0"/>
        <v>0</v>
      </c>
      <c r="J39" s="6"/>
    </row>
    <row r="40" spans="2:10" ht="13.5" thickBot="1">
      <c r="B40" s="5"/>
      <c r="C40" s="284"/>
      <c r="D40" s="250"/>
      <c r="E40" s="250"/>
      <c r="F40" s="250"/>
      <c r="G40" s="250"/>
      <c r="H40" s="250"/>
      <c r="I40" s="251">
        <f t="shared" si="0"/>
        <v>0</v>
      </c>
      <c r="J40" s="6"/>
    </row>
    <row r="41" spans="2:10" ht="13.5" thickBot="1">
      <c r="B41" s="5"/>
      <c r="C41" s="1"/>
      <c r="D41" s="1741" t="s">
        <v>167</v>
      </c>
      <c r="E41" s="1741"/>
      <c r="F41" s="1741"/>
      <c r="G41" s="2"/>
      <c r="H41" s="2"/>
      <c r="I41" s="191">
        <f>SUM(I12:I40)</f>
        <v>0</v>
      </c>
      <c r="J41" s="6"/>
    </row>
    <row r="42" spans="2:10">
      <c r="B42" s="5"/>
      <c r="C42" s="1"/>
      <c r="D42" s="1"/>
      <c r="E42" s="1"/>
      <c r="F42" s="1"/>
      <c r="G42" s="1"/>
      <c r="H42" s="1"/>
      <c r="I42" s="1"/>
      <c r="J42" s="6"/>
    </row>
    <row r="43" spans="2:10">
      <c r="B43" s="5"/>
      <c r="C43" s="1"/>
      <c r="D43" s="1"/>
      <c r="E43" s="1"/>
      <c r="F43" s="1"/>
      <c r="G43" s="1"/>
      <c r="H43" s="1"/>
      <c r="I43" s="1"/>
      <c r="J43" s="6"/>
    </row>
    <row r="44" spans="2:10">
      <c r="B44" s="5"/>
      <c r="C44" s="1"/>
      <c r="D44" s="1"/>
      <c r="E44" s="1"/>
      <c r="F44" s="1"/>
      <c r="G44" s="1"/>
      <c r="H44" s="1"/>
      <c r="I44" s="1"/>
      <c r="J44" s="6"/>
    </row>
    <row r="45" spans="2:10">
      <c r="B45" s="5"/>
      <c r="C45" s="1"/>
      <c r="D45" s="1"/>
      <c r="E45" s="1"/>
      <c r="F45" s="1"/>
      <c r="G45" s="1"/>
      <c r="H45" s="1"/>
      <c r="I45" s="1"/>
      <c r="J45" s="6"/>
    </row>
    <row r="46" spans="2:10" ht="13.5" thickBot="1">
      <c r="B46" s="7"/>
      <c r="C46" s="8"/>
      <c r="D46" s="8"/>
      <c r="E46" s="8"/>
      <c r="F46" s="8"/>
      <c r="G46" s="8"/>
      <c r="H46" s="8"/>
      <c r="I46" s="8"/>
      <c r="J46" s="9"/>
    </row>
  </sheetData>
  <mergeCells count="2">
    <mergeCell ref="C6:H6"/>
    <mergeCell ref="D41:F41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B3:I56"/>
  <sheetViews>
    <sheetView workbookViewId="0">
      <selection activeCell="C10" sqref="C10:H10"/>
    </sheetView>
  </sheetViews>
  <sheetFormatPr defaultRowHeight="12.75"/>
  <cols>
    <col min="1" max="1" width="3.28515625" customWidth="1"/>
    <col min="2" max="3" width="5.140625" customWidth="1"/>
    <col min="4" max="4" width="21.42578125" customWidth="1"/>
    <col min="5" max="5" width="8.28515625" customWidth="1"/>
    <col min="6" max="6" width="10.5703125" customWidth="1"/>
    <col min="7" max="8" width="15" customWidth="1"/>
    <col min="9" max="9" width="6.5703125" customWidth="1"/>
    <col min="10" max="10" width="6.140625" customWidth="1"/>
    <col min="11" max="11" width="5.28515625" customWidth="1"/>
  </cols>
  <sheetData>
    <row r="3" spans="2:9">
      <c r="B3" s="2"/>
      <c r="C3" s="49"/>
      <c r="D3" s="49"/>
      <c r="E3" s="49"/>
      <c r="F3" s="2"/>
      <c r="G3" s="2"/>
    </row>
    <row r="4" spans="2:9">
      <c r="B4" s="2" t="s">
        <v>131</v>
      </c>
      <c r="C4" s="2" t="str">
        <f>'Kopertina '!F4</f>
        <v>Ameti</v>
      </c>
      <c r="D4" s="2"/>
      <c r="E4" s="2"/>
      <c r="F4" s="2"/>
      <c r="G4" s="2"/>
    </row>
    <row r="5" spans="2:9">
      <c r="B5" s="1"/>
      <c r="C5" s="1"/>
      <c r="D5" s="1"/>
      <c r="E5" s="1"/>
      <c r="F5" s="2"/>
      <c r="G5" s="2"/>
      <c r="H5" s="2"/>
      <c r="I5" s="2"/>
    </row>
    <row r="6" spans="2:9">
      <c r="B6" s="1"/>
      <c r="C6" s="1741" t="s">
        <v>152</v>
      </c>
      <c r="D6" s="1741"/>
      <c r="E6" s="1741"/>
      <c r="F6" s="1741"/>
      <c r="G6" s="1741"/>
      <c r="H6" s="1741"/>
    </row>
    <row r="7" spans="2:9">
      <c r="B7" s="1"/>
      <c r="C7" s="1"/>
      <c r="D7" s="1"/>
      <c r="E7" s="1"/>
      <c r="F7" s="1"/>
      <c r="G7" s="2" t="s">
        <v>132</v>
      </c>
      <c r="H7" s="21"/>
      <c r="I7" s="21">
        <f>'Kopertina '!F29</f>
        <v>2011</v>
      </c>
    </row>
    <row r="8" spans="2:9" ht="13.5" thickBot="1">
      <c r="B8" s="1"/>
      <c r="C8" s="1"/>
      <c r="D8" s="1"/>
      <c r="E8" s="1"/>
      <c r="F8" s="1"/>
      <c r="G8" s="1"/>
    </row>
    <row r="9" spans="2:9" ht="13.5" thickBot="1">
      <c r="B9" s="18"/>
      <c r="C9" s="19"/>
      <c r="D9" s="19"/>
      <c r="E9" s="19"/>
      <c r="F9" s="19"/>
      <c r="G9" s="19"/>
      <c r="H9" s="20"/>
      <c r="I9" s="1"/>
    </row>
    <row r="10" spans="2:9" ht="21" customHeight="1" thickBot="1">
      <c r="B10" s="5"/>
      <c r="C10" s="223" t="s">
        <v>1</v>
      </c>
      <c r="D10" s="224" t="s">
        <v>379</v>
      </c>
      <c r="E10" s="224" t="s">
        <v>380</v>
      </c>
      <c r="F10" s="224" t="s">
        <v>381</v>
      </c>
      <c r="G10" s="224" t="s">
        <v>255</v>
      </c>
      <c r="H10" s="657" t="s">
        <v>382</v>
      </c>
      <c r="I10" s="1"/>
    </row>
    <row r="11" spans="2:9">
      <c r="B11" s="5"/>
      <c r="C11" s="54">
        <v>1</v>
      </c>
      <c r="D11" s="658" t="s">
        <v>874</v>
      </c>
      <c r="E11" s="658" t="s">
        <v>365</v>
      </c>
      <c r="F11" s="155">
        <v>1</v>
      </c>
      <c r="G11" s="155"/>
      <c r="H11" s="249">
        <f t="shared" ref="H11:H41" si="0">F11*G11</f>
        <v>0</v>
      </c>
      <c r="I11" s="1"/>
    </row>
    <row r="12" spans="2:9">
      <c r="B12" s="5"/>
      <c r="C12" s="31">
        <v>2</v>
      </c>
      <c r="D12" s="24"/>
      <c r="E12" s="24"/>
      <c r="F12" s="24"/>
      <c r="G12" s="24"/>
      <c r="H12" s="235">
        <f t="shared" si="0"/>
        <v>0</v>
      </c>
      <c r="I12" s="1"/>
    </row>
    <row r="13" spans="2:9">
      <c r="B13" s="5"/>
      <c r="C13" s="31">
        <v>3</v>
      </c>
      <c r="D13" s="24"/>
      <c r="E13" s="24"/>
      <c r="F13" s="24"/>
      <c r="G13" s="24"/>
      <c r="H13" s="235">
        <f t="shared" si="0"/>
        <v>0</v>
      </c>
      <c r="I13" s="1"/>
    </row>
    <row r="14" spans="2:9">
      <c r="B14" s="5"/>
      <c r="C14" s="659">
        <v>4</v>
      </c>
      <c r="D14" s="24"/>
      <c r="E14" s="24"/>
      <c r="F14" s="24"/>
      <c r="G14" s="24"/>
      <c r="H14" s="235">
        <f t="shared" si="0"/>
        <v>0</v>
      </c>
      <c r="I14" s="1"/>
    </row>
    <row r="15" spans="2:9">
      <c r="B15" s="5"/>
      <c r="C15" s="659">
        <v>5</v>
      </c>
      <c r="D15" s="24"/>
      <c r="E15" s="24"/>
      <c r="F15" s="24"/>
      <c r="G15" s="24"/>
      <c r="H15" s="235">
        <f t="shared" si="0"/>
        <v>0</v>
      </c>
      <c r="I15" s="1"/>
    </row>
    <row r="16" spans="2:9">
      <c r="B16" s="5"/>
      <c r="C16" s="31">
        <v>6</v>
      </c>
      <c r="D16" s="24"/>
      <c r="E16" s="24"/>
      <c r="F16" s="24"/>
      <c r="G16" s="24"/>
      <c r="H16" s="235">
        <f t="shared" si="0"/>
        <v>0</v>
      </c>
      <c r="I16" s="1"/>
    </row>
    <row r="17" spans="2:9">
      <c r="B17" s="5"/>
      <c r="C17" s="31">
        <v>7</v>
      </c>
      <c r="D17" s="24"/>
      <c r="E17" s="24"/>
      <c r="F17" s="24"/>
      <c r="G17" s="24"/>
      <c r="H17" s="235">
        <f t="shared" si="0"/>
        <v>0</v>
      </c>
      <c r="I17" s="1"/>
    </row>
    <row r="18" spans="2:9">
      <c r="B18" s="5"/>
      <c r="C18" s="31">
        <v>8</v>
      </c>
      <c r="D18" s="24"/>
      <c r="E18" s="24"/>
      <c r="F18" s="24"/>
      <c r="G18" s="24"/>
      <c r="H18" s="235">
        <f t="shared" si="0"/>
        <v>0</v>
      </c>
      <c r="I18" s="1"/>
    </row>
    <row r="19" spans="2:9">
      <c r="B19" s="5"/>
      <c r="C19" s="659">
        <v>9</v>
      </c>
      <c r="D19" s="24"/>
      <c r="E19" s="24"/>
      <c r="F19" s="24"/>
      <c r="G19" s="24"/>
      <c r="H19" s="235">
        <f t="shared" si="0"/>
        <v>0</v>
      </c>
      <c r="I19" s="1"/>
    </row>
    <row r="20" spans="2:9">
      <c r="B20" s="5"/>
      <c r="C20" s="659">
        <v>10</v>
      </c>
      <c r="D20" s="24"/>
      <c r="E20" s="24"/>
      <c r="F20" s="24"/>
      <c r="G20" s="24"/>
      <c r="H20" s="235">
        <f t="shared" si="0"/>
        <v>0</v>
      </c>
      <c r="I20" s="1"/>
    </row>
    <row r="21" spans="2:9">
      <c r="B21" s="5"/>
      <c r="C21" s="31">
        <v>11</v>
      </c>
      <c r="D21" s="24"/>
      <c r="E21" s="24"/>
      <c r="F21" s="24"/>
      <c r="G21" s="24"/>
      <c r="H21" s="235">
        <f t="shared" si="0"/>
        <v>0</v>
      </c>
      <c r="I21" s="1"/>
    </row>
    <row r="22" spans="2:9">
      <c r="B22" s="5"/>
      <c r="C22" s="31">
        <v>12</v>
      </c>
      <c r="D22" s="24"/>
      <c r="E22" s="24"/>
      <c r="F22" s="24"/>
      <c r="G22" s="24"/>
      <c r="H22" s="235">
        <f t="shared" si="0"/>
        <v>0</v>
      </c>
      <c r="I22" s="1"/>
    </row>
    <row r="23" spans="2:9">
      <c r="B23" s="5"/>
      <c r="C23" s="31">
        <v>13</v>
      </c>
      <c r="D23" s="24"/>
      <c r="E23" s="24"/>
      <c r="F23" s="24"/>
      <c r="G23" s="24"/>
      <c r="H23" s="235">
        <f t="shared" si="0"/>
        <v>0</v>
      </c>
      <c r="I23" s="1"/>
    </row>
    <row r="24" spans="2:9">
      <c r="B24" s="5"/>
      <c r="C24" s="659">
        <v>14</v>
      </c>
      <c r="D24" s="24"/>
      <c r="E24" s="24"/>
      <c r="F24" s="24"/>
      <c r="G24" s="24"/>
      <c r="H24" s="235">
        <f t="shared" si="0"/>
        <v>0</v>
      </c>
      <c r="I24" s="1"/>
    </row>
    <row r="25" spans="2:9">
      <c r="B25" s="5"/>
      <c r="C25" s="659">
        <v>15</v>
      </c>
      <c r="D25" s="24"/>
      <c r="E25" s="24"/>
      <c r="F25" s="24"/>
      <c r="G25" s="24"/>
      <c r="H25" s="235">
        <f t="shared" si="0"/>
        <v>0</v>
      </c>
      <c r="I25" s="1"/>
    </row>
    <row r="26" spans="2:9">
      <c r="B26" s="5"/>
      <c r="C26" s="31">
        <v>16</v>
      </c>
      <c r="D26" s="24"/>
      <c r="E26" s="24"/>
      <c r="F26" s="24"/>
      <c r="G26" s="24"/>
      <c r="H26" s="235">
        <f t="shared" si="0"/>
        <v>0</v>
      </c>
      <c r="I26" s="1"/>
    </row>
    <row r="27" spans="2:9">
      <c r="B27" s="5"/>
      <c r="C27" s="31">
        <v>17</v>
      </c>
      <c r="D27" s="24"/>
      <c r="E27" s="24"/>
      <c r="F27" s="24"/>
      <c r="G27" s="24"/>
      <c r="H27" s="235">
        <f t="shared" si="0"/>
        <v>0</v>
      </c>
      <c r="I27" s="1"/>
    </row>
    <row r="28" spans="2:9">
      <c r="B28" s="5"/>
      <c r="C28" s="31">
        <v>18</v>
      </c>
      <c r="D28" s="24"/>
      <c r="E28" s="24"/>
      <c r="F28" s="24"/>
      <c r="G28" s="24"/>
      <c r="H28" s="235">
        <f t="shared" si="0"/>
        <v>0</v>
      </c>
      <c r="I28" s="1"/>
    </row>
    <row r="29" spans="2:9">
      <c r="B29" s="5"/>
      <c r="C29" s="659">
        <v>19</v>
      </c>
      <c r="D29" s="24"/>
      <c r="E29" s="24"/>
      <c r="F29" s="24"/>
      <c r="G29" s="24"/>
      <c r="H29" s="235">
        <f t="shared" si="0"/>
        <v>0</v>
      </c>
      <c r="I29" s="1"/>
    </row>
    <row r="30" spans="2:9">
      <c r="B30" s="5"/>
      <c r="C30" s="659">
        <v>20</v>
      </c>
      <c r="D30" s="24"/>
      <c r="E30" s="24"/>
      <c r="F30" s="24"/>
      <c r="G30" s="24"/>
      <c r="H30" s="235">
        <f t="shared" si="0"/>
        <v>0</v>
      </c>
      <c r="I30" s="1"/>
    </row>
    <row r="31" spans="2:9">
      <c r="B31" s="5"/>
      <c r="C31" s="31">
        <v>21</v>
      </c>
      <c r="D31" s="24"/>
      <c r="E31" s="24"/>
      <c r="F31" s="24"/>
      <c r="G31" s="24"/>
      <c r="H31" s="235">
        <f t="shared" si="0"/>
        <v>0</v>
      </c>
      <c r="I31" s="1"/>
    </row>
    <row r="32" spans="2:9">
      <c r="B32" s="5"/>
      <c r="C32" s="31">
        <v>22</v>
      </c>
      <c r="D32" s="24"/>
      <c r="E32" s="24"/>
      <c r="F32" s="24"/>
      <c r="G32" s="24"/>
      <c r="H32" s="235">
        <f t="shared" si="0"/>
        <v>0</v>
      </c>
      <c r="I32" s="1"/>
    </row>
    <row r="33" spans="2:9">
      <c r="B33" s="5"/>
      <c r="C33" s="31">
        <v>23</v>
      </c>
      <c r="D33" s="24"/>
      <c r="E33" s="24"/>
      <c r="F33" s="24"/>
      <c r="G33" s="24"/>
      <c r="H33" s="235">
        <f t="shared" si="0"/>
        <v>0</v>
      </c>
      <c r="I33" s="1"/>
    </row>
    <row r="34" spans="2:9">
      <c r="B34" s="5"/>
      <c r="C34" s="659">
        <v>24</v>
      </c>
      <c r="D34" s="24"/>
      <c r="E34" s="24"/>
      <c r="F34" s="24"/>
      <c r="G34" s="24"/>
      <c r="H34" s="235">
        <f t="shared" si="0"/>
        <v>0</v>
      </c>
      <c r="I34" s="1"/>
    </row>
    <row r="35" spans="2:9">
      <c r="B35" s="5"/>
      <c r="C35" s="659">
        <v>25</v>
      </c>
      <c r="D35" s="24"/>
      <c r="E35" s="24"/>
      <c r="F35" s="24"/>
      <c r="G35" s="24"/>
      <c r="H35" s="235">
        <f t="shared" si="0"/>
        <v>0</v>
      </c>
      <c r="I35" s="1"/>
    </row>
    <row r="36" spans="2:9">
      <c r="B36" s="5"/>
      <c r="C36" s="31">
        <v>26</v>
      </c>
      <c r="D36" s="24"/>
      <c r="E36" s="24"/>
      <c r="F36" s="24"/>
      <c r="G36" s="24"/>
      <c r="H36" s="235">
        <f t="shared" si="0"/>
        <v>0</v>
      </c>
      <c r="I36" s="1"/>
    </row>
    <row r="37" spans="2:9">
      <c r="B37" s="5"/>
      <c r="C37" s="31">
        <v>27</v>
      </c>
      <c r="D37" s="24"/>
      <c r="E37" s="24"/>
      <c r="F37" s="24"/>
      <c r="G37" s="24"/>
      <c r="H37" s="235">
        <f t="shared" si="0"/>
        <v>0</v>
      </c>
      <c r="I37" s="1"/>
    </row>
    <row r="38" spans="2:9">
      <c r="B38" s="5"/>
      <c r="C38" s="31">
        <v>28</v>
      </c>
      <c r="D38" s="24"/>
      <c r="E38" s="24"/>
      <c r="F38" s="24"/>
      <c r="G38" s="24"/>
      <c r="H38" s="235">
        <f t="shared" si="0"/>
        <v>0</v>
      </c>
      <c r="I38" s="1"/>
    </row>
    <row r="39" spans="2:9">
      <c r="B39" s="5"/>
      <c r="C39" s="659">
        <v>29</v>
      </c>
      <c r="D39" s="24"/>
      <c r="E39" s="24"/>
      <c r="F39" s="24"/>
      <c r="G39" s="24"/>
      <c r="H39" s="235">
        <f t="shared" si="0"/>
        <v>0</v>
      </c>
      <c r="I39" s="1"/>
    </row>
    <row r="40" spans="2:9">
      <c r="B40" s="5"/>
      <c r="C40" s="659">
        <v>30</v>
      </c>
      <c r="D40" s="24"/>
      <c r="E40" s="24"/>
      <c r="F40" s="24"/>
      <c r="G40" s="24"/>
      <c r="H40" s="235">
        <f t="shared" si="0"/>
        <v>0</v>
      </c>
      <c r="I40" s="1"/>
    </row>
    <row r="41" spans="2:9" ht="13.5" thickBot="1">
      <c r="B41" s="5"/>
      <c r="C41" s="32">
        <v>31</v>
      </c>
      <c r="D41" s="28"/>
      <c r="E41" s="28"/>
      <c r="F41" s="28"/>
      <c r="G41" s="28"/>
      <c r="H41" s="251">
        <f t="shared" si="0"/>
        <v>0</v>
      </c>
      <c r="I41" s="1"/>
    </row>
    <row r="42" spans="2:9">
      <c r="B42" s="5"/>
      <c r="C42" s="1"/>
      <c r="D42" s="1"/>
      <c r="E42" s="1"/>
      <c r="F42" s="1"/>
      <c r="G42" s="1"/>
      <c r="H42" s="660"/>
      <c r="I42" s="1"/>
    </row>
    <row r="43" spans="2:9" ht="13.5" thickBot="1">
      <c r="B43" s="5"/>
      <c r="C43" s="1"/>
      <c r="D43" s="1"/>
      <c r="E43" s="1"/>
      <c r="F43" s="1"/>
      <c r="G43" s="1"/>
      <c r="H43" s="660"/>
      <c r="I43" s="1"/>
    </row>
    <row r="44" spans="2:9" ht="13.5" thickBot="1">
      <c r="B44" s="5"/>
      <c r="C44" s="1"/>
      <c r="D44" s="1741" t="s">
        <v>167</v>
      </c>
      <c r="E44" s="1741"/>
      <c r="F44" s="1741"/>
      <c r="G44" s="1741"/>
      <c r="H44" s="661">
        <f>SUM(H11:H43)</f>
        <v>0</v>
      </c>
      <c r="I44" s="1"/>
    </row>
    <row r="45" spans="2:9">
      <c r="B45" s="5"/>
      <c r="C45" s="1"/>
      <c r="D45" s="1"/>
      <c r="E45" s="1"/>
      <c r="F45" s="1"/>
      <c r="G45" s="1"/>
      <c r="H45" s="660"/>
      <c r="I45" s="1"/>
    </row>
    <row r="46" spans="2:9">
      <c r="B46" s="5"/>
      <c r="C46" s="1"/>
      <c r="D46" s="1"/>
      <c r="E46" s="1"/>
      <c r="F46" s="1"/>
      <c r="G46" s="1"/>
      <c r="H46" s="6"/>
      <c r="I46" s="1"/>
    </row>
    <row r="47" spans="2:9">
      <c r="B47" s="5"/>
      <c r="C47" s="1"/>
      <c r="D47" s="1"/>
      <c r="E47" s="1"/>
      <c r="F47" s="1"/>
      <c r="G47" s="1"/>
      <c r="H47" s="6"/>
      <c r="I47" s="1"/>
    </row>
    <row r="48" spans="2:9">
      <c r="B48" s="5"/>
      <c r="C48" s="1"/>
      <c r="D48" s="1"/>
      <c r="E48" s="1"/>
      <c r="F48" s="1"/>
      <c r="G48" s="1"/>
      <c r="H48" s="6"/>
      <c r="I48" s="1"/>
    </row>
    <row r="49" spans="2:9">
      <c r="B49" s="5"/>
      <c r="C49" s="1"/>
      <c r="D49" s="1"/>
      <c r="E49" s="1"/>
      <c r="F49" s="1"/>
      <c r="G49" s="1"/>
      <c r="H49" s="6"/>
      <c r="I49" s="1"/>
    </row>
    <row r="50" spans="2:9">
      <c r="B50" s="5"/>
      <c r="C50" s="1"/>
      <c r="D50" s="1"/>
      <c r="E50" s="1"/>
      <c r="F50" s="1"/>
      <c r="G50" s="1"/>
      <c r="H50" s="6"/>
      <c r="I50" s="1"/>
    </row>
    <row r="51" spans="2:9">
      <c r="B51" s="5"/>
      <c r="C51" s="1"/>
      <c r="D51" s="1"/>
      <c r="E51" s="1"/>
      <c r="F51" s="1"/>
      <c r="G51" s="1"/>
      <c r="H51" s="6"/>
      <c r="I51" s="1"/>
    </row>
    <row r="52" spans="2:9">
      <c r="B52" s="5"/>
      <c r="C52" s="1"/>
      <c r="D52" s="1"/>
      <c r="E52" s="1"/>
      <c r="F52" s="1"/>
      <c r="G52" s="1"/>
      <c r="H52" s="6"/>
      <c r="I52" s="1"/>
    </row>
    <row r="53" spans="2:9">
      <c r="B53" s="5"/>
      <c r="C53" s="1"/>
      <c r="D53" s="1"/>
      <c r="E53" s="1"/>
      <c r="F53" s="1"/>
      <c r="G53" s="1"/>
      <c r="H53" s="6"/>
      <c r="I53" s="1"/>
    </row>
    <row r="54" spans="2:9">
      <c r="B54" s="5"/>
      <c r="C54" s="1"/>
      <c r="D54" s="1"/>
      <c r="E54" s="1"/>
      <c r="F54" s="1"/>
      <c r="G54" s="1"/>
      <c r="H54" s="6"/>
      <c r="I54" s="1"/>
    </row>
    <row r="55" spans="2:9">
      <c r="B55" s="5"/>
      <c r="C55" s="1"/>
      <c r="D55" s="1"/>
      <c r="E55" s="1"/>
      <c r="F55" s="1"/>
      <c r="G55" s="1"/>
      <c r="H55" s="6"/>
      <c r="I55" s="1"/>
    </row>
    <row r="56" spans="2:9" ht="13.5" thickBot="1">
      <c r="B56" s="7"/>
      <c r="C56" s="8"/>
      <c r="D56" s="8"/>
      <c r="E56" s="8"/>
      <c r="F56" s="8"/>
      <c r="G56" s="8"/>
      <c r="H56" s="9"/>
      <c r="I56" s="8"/>
    </row>
  </sheetData>
  <mergeCells count="2">
    <mergeCell ref="C6:H6"/>
    <mergeCell ref="D44:G44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B3:J54"/>
  <sheetViews>
    <sheetView workbookViewId="0">
      <selection activeCell="R28" sqref="R28"/>
    </sheetView>
  </sheetViews>
  <sheetFormatPr defaultRowHeight="12.75"/>
  <cols>
    <col min="1" max="1" width="3.7109375" customWidth="1"/>
    <col min="2" max="2" width="7" customWidth="1"/>
    <col min="3" max="3" width="4.85546875" customWidth="1"/>
    <col min="4" max="4" width="19.7109375" customWidth="1"/>
    <col min="5" max="5" width="8.85546875" customWidth="1"/>
    <col min="6" max="6" width="10.5703125" customWidth="1"/>
    <col min="7" max="7" width="9.5703125" customWidth="1"/>
    <col min="8" max="8" width="16" customWidth="1"/>
    <col min="9" max="9" width="4.5703125" customWidth="1"/>
    <col min="10" max="10" width="7" customWidth="1"/>
    <col min="11" max="11" width="4.28515625" customWidth="1"/>
  </cols>
  <sheetData>
    <row r="3" spans="2:10">
      <c r="B3" s="2"/>
      <c r="C3" s="49"/>
      <c r="D3" s="49"/>
      <c r="E3" s="49"/>
      <c r="F3" s="49"/>
      <c r="G3" s="2"/>
      <c r="H3" s="2"/>
    </row>
    <row r="4" spans="2:10">
      <c r="B4" s="2" t="s">
        <v>131</v>
      </c>
      <c r="C4" s="2" t="str">
        <f>'Kopertina '!F4</f>
        <v>Ameti</v>
      </c>
      <c r="D4" s="2"/>
      <c r="E4" s="2"/>
      <c r="F4" s="2"/>
      <c r="G4" s="2"/>
      <c r="H4" s="2"/>
    </row>
    <row r="5" spans="2:10">
      <c r="B5" s="1"/>
      <c r="C5" s="1"/>
      <c r="D5" s="1"/>
      <c r="E5" s="1"/>
      <c r="F5" s="1"/>
      <c r="G5" s="2"/>
      <c r="H5" s="2"/>
      <c r="I5" s="2"/>
      <c r="J5" s="2" t="s">
        <v>260</v>
      </c>
    </row>
    <row r="6" spans="2:10">
      <c r="B6" s="1"/>
      <c r="C6" s="1741" t="s">
        <v>151</v>
      </c>
      <c r="D6" s="1741"/>
      <c r="E6" s="1741"/>
      <c r="F6" s="1741"/>
      <c r="G6" s="1741"/>
      <c r="H6" s="1741"/>
      <c r="I6" s="1741"/>
    </row>
    <row r="7" spans="2:10" ht="13.5" thickBot="1">
      <c r="B7" s="1"/>
      <c r="C7" s="1"/>
      <c r="D7" s="1"/>
      <c r="E7" s="1"/>
      <c r="F7" s="1"/>
      <c r="G7" s="1"/>
      <c r="H7" s="2" t="s">
        <v>132</v>
      </c>
      <c r="I7" s="21"/>
      <c r="J7" s="21">
        <f>'Kopertina '!F29</f>
        <v>2011</v>
      </c>
    </row>
    <row r="8" spans="2:10" ht="13.5" thickBot="1">
      <c r="B8" s="18"/>
      <c r="C8" s="19"/>
      <c r="D8" s="19"/>
      <c r="E8" s="19"/>
      <c r="F8" s="19"/>
      <c r="G8" s="19"/>
      <c r="H8" s="19"/>
      <c r="I8" s="20"/>
    </row>
    <row r="9" spans="2:10" ht="20.25" customHeight="1" thickBot="1">
      <c r="B9" s="5"/>
      <c r="C9" s="223" t="s">
        <v>1</v>
      </c>
      <c r="D9" s="224" t="s">
        <v>379</v>
      </c>
      <c r="E9" s="224" t="s">
        <v>380</v>
      </c>
      <c r="F9" s="224" t="s">
        <v>381</v>
      </c>
      <c r="G9" s="224" t="s">
        <v>255</v>
      </c>
      <c r="H9" s="657" t="s">
        <v>382</v>
      </c>
      <c r="I9" s="6"/>
    </row>
    <row r="10" spans="2:10">
      <c r="B10" s="5"/>
      <c r="C10" s="54">
        <v>1</v>
      </c>
      <c r="D10" s="155"/>
      <c r="E10" s="155"/>
      <c r="F10" s="155"/>
      <c r="G10" s="155"/>
      <c r="H10" s="249">
        <f>F10*G10</f>
        <v>0</v>
      </c>
      <c r="I10" s="6"/>
    </row>
    <row r="11" spans="2:10">
      <c r="B11" s="5"/>
      <c r="C11" s="31">
        <v>2</v>
      </c>
      <c r="D11" s="24"/>
      <c r="E11" s="24"/>
      <c r="F11" s="24"/>
      <c r="G11" s="24"/>
      <c r="H11" s="235">
        <f t="shared" ref="H11:H40" si="0">F11*G11</f>
        <v>0</v>
      </c>
      <c r="I11" s="6"/>
    </row>
    <row r="12" spans="2:10">
      <c r="B12" s="5"/>
      <c r="C12" s="31">
        <v>3</v>
      </c>
      <c r="D12" s="24"/>
      <c r="E12" s="24"/>
      <c r="F12" s="24"/>
      <c r="G12" s="24"/>
      <c r="H12" s="235">
        <f t="shared" si="0"/>
        <v>0</v>
      </c>
      <c r="I12" s="6"/>
    </row>
    <row r="13" spans="2:10">
      <c r="B13" s="5"/>
      <c r="C13" s="659">
        <v>4</v>
      </c>
      <c r="D13" s="24"/>
      <c r="E13" s="24"/>
      <c r="F13" s="24"/>
      <c r="G13" s="24"/>
      <c r="H13" s="235">
        <f t="shared" si="0"/>
        <v>0</v>
      </c>
      <c r="I13" s="6"/>
    </row>
    <row r="14" spans="2:10">
      <c r="B14" s="5"/>
      <c r="C14" s="659">
        <v>5</v>
      </c>
      <c r="D14" s="24"/>
      <c r="E14" s="24"/>
      <c r="F14" s="24"/>
      <c r="G14" s="24"/>
      <c r="H14" s="235">
        <f t="shared" si="0"/>
        <v>0</v>
      </c>
      <c r="I14" s="6"/>
    </row>
    <row r="15" spans="2:10">
      <c r="B15" s="5"/>
      <c r="C15" s="31">
        <v>6</v>
      </c>
      <c r="D15" s="24"/>
      <c r="E15" s="24"/>
      <c r="F15" s="24"/>
      <c r="G15" s="24"/>
      <c r="H15" s="235">
        <f t="shared" si="0"/>
        <v>0</v>
      </c>
      <c r="I15" s="6"/>
    </row>
    <row r="16" spans="2:10">
      <c r="B16" s="5"/>
      <c r="C16" s="31">
        <v>7</v>
      </c>
      <c r="D16" s="24"/>
      <c r="E16" s="24"/>
      <c r="F16" s="24"/>
      <c r="G16" s="24"/>
      <c r="H16" s="235">
        <f t="shared" si="0"/>
        <v>0</v>
      </c>
      <c r="I16" s="6"/>
    </row>
    <row r="17" spans="2:9">
      <c r="B17" s="5"/>
      <c r="C17" s="31">
        <v>8</v>
      </c>
      <c r="D17" s="24"/>
      <c r="E17" s="24"/>
      <c r="F17" s="24"/>
      <c r="G17" s="24"/>
      <c r="H17" s="235">
        <f t="shared" si="0"/>
        <v>0</v>
      </c>
      <c r="I17" s="6"/>
    </row>
    <row r="18" spans="2:9">
      <c r="B18" s="5"/>
      <c r="C18" s="659">
        <v>9</v>
      </c>
      <c r="D18" s="24"/>
      <c r="E18" s="24"/>
      <c r="F18" s="24"/>
      <c r="G18" s="24"/>
      <c r="H18" s="235">
        <f t="shared" si="0"/>
        <v>0</v>
      </c>
      <c r="I18" s="6"/>
    </row>
    <row r="19" spans="2:9">
      <c r="B19" s="5"/>
      <c r="C19" s="659">
        <v>10</v>
      </c>
      <c r="D19" s="24"/>
      <c r="E19" s="24"/>
      <c r="F19" s="24"/>
      <c r="G19" s="24"/>
      <c r="H19" s="235">
        <f t="shared" si="0"/>
        <v>0</v>
      </c>
      <c r="I19" s="6"/>
    </row>
    <row r="20" spans="2:9">
      <c r="B20" s="5"/>
      <c r="C20" s="31">
        <v>11</v>
      </c>
      <c r="D20" s="24"/>
      <c r="E20" s="24"/>
      <c r="F20" s="24"/>
      <c r="G20" s="24"/>
      <c r="H20" s="235">
        <f t="shared" si="0"/>
        <v>0</v>
      </c>
      <c r="I20" s="6"/>
    </row>
    <row r="21" spans="2:9">
      <c r="B21" s="5"/>
      <c r="C21" s="31">
        <v>12</v>
      </c>
      <c r="D21" s="24"/>
      <c r="E21" s="24"/>
      <c r="F21" s="24"/>
      <c r="G21" s="24"/>
      <c r="H21" s="235">
        <f t="shared" si="0"/>
        <v>0</v>
      </c>
      <c r="I21" s="6"/>
    </row>
    <row r="22" spans="2:9">
      <c r="B22" s="5"/>
      <c r="C22" s="31">
        <v>13</v>
      </c>
      <c r="D22" s="24"/>
      <c r="E22" s="24"/>
      <c r="F22" s="24"/>
      <c r="G22" s="24"/>
      <c r="H22" s="235">
        <f t="shared" si="0"/>
        <v>0</v>
      </c>
      <c r="I22" s="6"/>
    </row>
    <row r="23" spans="2:9">
      <c r="B23" s="5"/>
      <c r="C23" s="659">
        <v>14</v>
      </c>
      <c r="D23" s="24"/>
      <c r="E23" s="24"/>
      <c r="F23" s="24"/>
      <c r="G23" s="24"/>
      <c r="H23" s="235">
        <f t="shared" si="0"/>
        <v>0</v>
      </c>
      <c r="I23" s="6"/>
    </row>
    <row r="24" spans="2:9">
      <c r="B24" s="5"/>
      <c r="C24" s="659">
        <v>15</v>
      </c>
      <c r="D24" s="24"/>
      <c r="E24" s="24"/>
      <c r="F24" s="24"/>
      <c r="G24" s="24"/>
      <c r="H24" s="235">
        <f t="shared" si="0"/>
        <v>0</v>
      </c>
      <c r="I24" s="6"/>
    </row>
    <row r="25" spans="2:9">
      <c r="B25" s="5"/>
      <c r="C25" s="31">
        <v>16</v>
      </c>
      <c r="D25" s="24"/>
      <c r="E25" s="24"/>
      <c r="F25" s="24"/>
      <c r="G25" s="24"/>
      <c r="H25" s="235">
        <f t="shared" si="0"/>
        <v>0</v>
      </c>
      <c r="I25" s="6"/>
    </row>
    <row r="26" spans="2:9">
      <c r="B26" s="5"/>
      <c r="C26" s="31">
        <v>17</v>
      </c>
      <c r="D26" s="24"/>
      <c r="E26" s="24"/>
      <c r="F26" s="24"/>
      <c r="G26" s="24"/>
      <c r="H26" s="235">
        <f t="shared" si="0"/>
        <v>0</v>
      </c>
      <c r="I26" s="6"/>
    </row>
    <row r="27" spans="2:9">
      <c r="B27" s="5"/>
      <c r="C27" s="31">
        <v>18</v>
      </c>
      <c r="D27" s="24"/>
      <c r="E27" s="24"/>
      <c r="F27" s="24"/>
      <c r="G27" s="24"/>
      <c r="H27" s="235">
        <f t="shared" si="0"/>
        <v>0</v>
      </c>
      <c r="I27" s="6"/>
    </row>
    <row r="28" spans="2:9">
      <c r="B28" s="5"/>
      <c r="C28" s="659">
        <v>19</v>
      </c>
      <c r="D28" s="24"/>
      <c r="E28" s="24"/>
      <c r="F28" s="24"/>
      <c r="G28" s="24"/>
      <c r="H28" s="235">
        <f t="shared" si="0"/>
        <v>0</v>
      </c>
      <c r="I28" s="6"/>
    </row>
    <row r="29" spans="2:9">
      <c r="B29" s="5"/>
      <c r="C29" s="659">
        <v>20</v>
      </c>
      <c r="D29" s="24"/>
      <c r="E29" s="24"/>
      <c r="F29" s="24"/>
      <c r="G29" s="24"/>
      <c r="H29" s="235">
        <f t="shared" si="0"/>
        <v>0</v>
      </c>
      <c r="I29" s="6"/>
    </row>
    <row r="30" spans="2:9">
      <c r="B30" s="5"/>
      <c r="C30" s="31">
        <v>21</v>
      </c>
      <c r="D30" s="24"/>
      <c r="E30" s="24"/>
      <c r="F30" s="24"/>
      <c r="G30" s="24"/>
      <c r="H30" s="235">
        <f t="shared" si="0"/>
        <v>0</v>
      </c>
      <c r="I30" s="6"/>
    </row>
    <row r="31" spans="2:9">
      <c r="B31" s="5"/>
      <c r="C31" s="31">
        <v>22</v>
      </c>
      <c r="D31" s="24"/>
      <c r="E31" s="24"/>
      <c r="F31" s="24"/>
      <c r="G31" s="24"/>
      <c r="H31" s="235">
        <f t="shared" si="0"/>
        <v>0</v>
      </c>
      <c r="I31" s="6"/>
    </row>
    <row r="32" spans="2:9">
      <c r="B32" s="5"/>
      <c r="C32" s="31">
        <v>23</v>
      </c>
      <c r="D32" s="24"/>
      <c r="E32" s="24"/>
      <c r="F32" s="24"/>
      <c r="G32" s="24"/>
      <c r="H32" s="235">
        <f t="shared" si="0"/>
        <v>0</v>
      </c>
      <c r="I32" s="6"/>
    </row>
    <row r="33" spans="2:9">
      <c r="B33" s="5"/>
      <c r="C33" s="659">
        <v>24</v>
      </c>
      <c r="D33" s="24"/>
      <c r="E33" s="24"/>
      <c r="F33" s="24"/>
      <c r="G33" s="24"/>
      <c r="H33" s="235">
        <f t="shared" si="0"/>
        <v>0</v>
      </c>
      <c r="I33" s="6"/>
    </row>
    <row r="34" spans="2:9">
      <c r="B34" s="5"/>
      <c r="C34" s="659">
        <v>25</v>
      </c>
      <c r="D34" s="24"/>
      <c r="E34" s="24"/>
      <c r="F34" s="24"/>
      <c r="G34" s="24"/>
      <c r="H34" s="235">
        <f t="shared" si="0"/>
        <v>0</v>
      </c>
      <c r="I34" s="6"/>
    </row>
    <row r="35" spans="2:9">
      <c r="B35" s="5"/>
      <c r="C35" s="31">
        <v>26</v>
      </c>
      <c r="D35" s="24"/>
      <c r="E35" s="24"/>
      <c r="F35" s="24"/>
      <c r="G35" s="24"/>
      <c r="H35" s="235">
        <f t="shared" si="0"/>
        <v>0</v>
      </c>
      <c r="I35" s="6"/>
    </row>
    <row r="36" spans="2:9">
      <c r="B36" s="5"/>
      <c r="C36" s="31">
        <v>27</v>
      </c>
      <c r="D36" s="24"/>
      <c r="E36" s="24"/>
      <c r="F36" s="24"/>
      <c r="G36" s="24"/>
      <c r="H36" s="235">
        <f t="shared" si="0"/>
        <v>0</v>
      </c>
      <c r="I36" s="6"/>
    </row>
    <row r="37" spans="2:9">
      <c r="B37" s="5"/>
      <c r="C37" s="31">
        <v>28</v>
      </c>
      <c r="D37" s="24"/>
      <c r="E37" s="24"/>
      <c r="F37" s="24"/>
      <c r="G37" s="24"/>
      <c r="H37" s="235">
        <f t="shared" si="0"/>
        <v>0</v>
      </c>
      <c r="I37" s="6"/>
    </row>
    <row r="38" spans="2:9">
      <c r="B38" s="5"/>
      <c r="C38" s="659">
        <v>29</v>
      </c>
      <c r="D38" s="24"/>
      <c r="E38" s="24"/>
      <c r="F38" s="24"/>
      <c r="G38" s="24"/>
      <c r="H38" s="235">
        <f t="shared" si="0"/>
        <v>0</v>
      </c>
      <c r="I38" s="6"/>
    </row>
    <row r="39" spans="2:9">
      <c r="B39" s="5"/>
      <c r="C39" s="659">
        <v>30</v>
      </c>
      <c r="D39" s="24"/>
      <c r="E39" s="24"/>
      <c r="F39" s="24"/>
      <c r="G39" s="24"/>
      <c r="H39" s="235">
        <f t="shared" si="0"/>
        <v>0</v>
      </c>
      <c r="I39" s="6"/>
    </row>
    <row r="40" spans="2:9" ht="13.5" thickBot="1">
      <c r="B40" s="5"/>
      <c r="C40" s="32">
        <v>31</v>
      </c>
      <c r="D40" s="28"/>
      <c r="E40" s="28"/>
      <c r="F40" s="28"/>
      <c r="G40" s="28"/>
      <c r="H40" s="251">
        <f t="shared" si="0"/>
        <v>0</v>
      </c>
      <c r="I40" s="6"/>
    </row>
    <row r="41" spans="2:9">
      <c r="B41" s="5"/>
      <c r="C41" s="1"/>
      <c r="D41" s="1"/>
      <c r="E41" s="1"/>
      <c r="F41" s="1"/>
      <c r="G41" s="1"/>
      <c r="H41" s="98"/>
      <c r="I41" s="6"/>
    </row>
    <row r="42" spans="2:9" ht="13.5" thickBot="1">
      <c r="B42" s="5"/>
      <c r="C42" s="1"/>
      <c r="D42" s="1"/>
      <c r="E42" s="1"/>
      <c r="F42" s="1"/>
      <c r="G42" s="1"/>
      <c r="H42" s="98"/>
      <c r="I42" s="6"/>
    </row>
    <row r="43" spans="2:9" ht="13.5" thickBot="1">
      <c r="B43" s="5"/>
      <c r="C43" s="1"/>
      <c r="D43" s="1762" t="s">
        <v>167</v>
      </c>
      <c r="E43" s="1762"/>
      <c r="F43" s="1762"/>
      <c r="G43" s="1762"/>
      <c r="H43" s="663">
        <f>SUM(H10:H42)</f>
        <v>0</v>
      </c>
      <c r="I43" s="6"/>
    </row>
    <row r="44" spans="2:9">
      <c r="B44" s="5"/>
      <c r="C44" s="1"/>
      <c r="D44" s="1"/>
      <c r="E44" s="1"/>
      <c r="F44" s="1"/>
      <c r="G44" s="1"/>
      <c r="H44" s="98"/>
      <c r="I44" s="6"/>
    </row>
    <row r="45" spans="2:9">
      <c r="B45" s="5"/>
      <c r="C45" s="1"/>
      <c r="D45" s="1"/>
      <c r="E45" s="1"/>
      <c r="F45" s="1"/>
      <c r="G45" s="1"/>
      <c r="H45" s="1"/>
      <c r="I45" s="6"/>
    </row>
    <row r="46" spans="2:9">
      <c r="B46" s="5"/>
      <c r="C46" s="1"/>
      <c r="D46" s="1"/>
      <c r="E46" s="1"/>
      <c r="F46" s="1"/>
      <c r="G46" s="1"/>
      <c r="H46" s="1"/>
      <c r="I46" s="6"/>
    </row>
    <row r="47" spans="2:9">
      <c r="B47" s="5"/>
      <c r="C47" s="1"/>
      <c r="D47" s="1"/>
      <c r="E47" s="1"/>
      <c r="F47" s="1"/>
      <c r="G47" s="1"/>
      <c r="H47" s="1"/>
      <c r="I47" s="6"/>
    </row>
    <row r="48" spans="2:9">
      <c r="B48" s="5"/>
      <c r="C48" s="1"/>
      <c r="D48" s="1"/>
      <c r="E48" s="1"/>
      <c r="F48" s="1"/>
      <c r="G48" s="1"/>
      <c r="H48" s="1"/>
      <c r="I48" s="6"/>
    </row>
    <row r="49" spans="2:9">
      <c r="B49" s="5"/>
      <c r="C49" s="1"/>
      <c r="D49" s="1"/>
      <c r="E49" s="1"/>
      <c r="F49" s="1"/>
      <c r="G49" s="1"/>
      <c r="H49" s="1"/>
      <c r="I49" s="6"/>
    </row>
    <row r="50" spans="2:9">
      <c r="B50" s="5"/>
      <c r="C50" s="1"/>
      <c r="D50" s="1"/>
      <c r="E50" s="1"/>
      <c r="F50" s="1"/>
      <c r="G50" s="1"/>
      <c r="H50" s="1"/>
      <c r="I50" s="6"/>
    </row>
    <row r="51" spans="2:9">
      <c r="B51" s="5"/>
      <c r="C51" s="1"/>
      <c r="D51" s="1"/>
      <c r="E51" s="1"/>
      <c r="F51" s="1"/>
      <c r="G51" s="1"/>
      <c r="H51" s="1"/>
      <c r="I51" s="6"/>
    </row>
    <row r="52" spans="2:9">
      <c r="B52" s="5"/>
      <c r="C52" s="1"/>
      <c r="D52" s="1"/>
      <c r="E52" s="1"/>
      <c r="F52" s="1"/>
      <c r="G52" s="1"/>
      <c r="H52" s="1"/>
      <c r="I52" s="6"/>
    </row>
    <row r="53" spans="2:9">
      <c r="B53" s="5"/>
      <c r="C53" s="1"/>
      <c r="D53" s="1"/>
      <c r="E53" s="1"/>
      <c r="F53" s="1"/>
      <c r="G53" s="1"/>
      <c r="H53" s="1"/>
      <c r="I53" s="6"/>
    </row>
    <row r="54" spans="2:9" ht="13.5" thickBot="1">
      <c r="B54" s="7"/>
      <c r="C54" s="8"/>
      <c r="D54" s="8"/>
      <c r="E54" s="8"/>
      <c r="F54" s="8"/>
      <c r="G54" s="8"/>
      <c r="H54" s="8"/>
      <c r="I54" s="9"/>
    </row>
  </sheetData>
  <mergeCells count="2">
    <mergeCell ref="C6:I6"/>
    <mergeCell ref="D43:G43"/>
  </mergeCells>
  <phoneticPr fontId="7" type="noConversion"/>
  <pageMargins left="0" right="0" top="0" bottom="0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B3:S64"/>
  <sheetViews>
    <sheetView topLeftCell="D1" workbookViewId="0">
      <selection activeCell="M21" sqref="M21:S21"/>
    </sheetView>
  </sheetViews>
  <sheetFormatPr defaultRowHeight="12.75"/>
  <cols>
    <col min="1" max="1" width="4.140625" customWidth="1"/>
    <col min="2" max="2" width="7.5703125" customWidth="1"/>
    <col min="3" max="3" width="5.42578125" customWidth="1"/>
    <col min="4" max="4" width="22.42578125" customWidth="1"/>
    <col min="5" max="5" width="10" customWidth="1"/>
    <col min="6" max="6" width="12.7109375" customWidth="1"/>
    <col min="7" max="7" width="11.140625" customWidth="1"/>
    <col min="8" max="8" width="15" customWidth="1"/>
    <col min="9" max="9" width="7.7109375" customWidth="1"/>
    <col min="10" max="10" width="4.28515625" customWidth="1"/>
  </cols>
  <sheetData>
    <row r="3" spans="2:9">
      <c r="B3" s="2"/>
      <c r="C3" s="49"/>
      <c r="D3" s="49"/>
      <c r="E3" s="2"/>
      <c r="F3" s="2"/>
    </row>
    <row r="4" spans="2:9">
      <c r="B4" s="2" t="s">
        <v>131</v>
      </c>
      <c r="C4" s="2" t="str">
        <f>'Kopertina '!F4</f>
        <v>Ameti</v>
      </c>
      <c r="D4" s="2"/>
      <c r="E4" s="2"/>
      <c r="F4" s="2"/>
    </row>
    <row r="5" spans="2:9">
      <c r="B5" s="1"/>
      <c r="C5" s="1"/>
      <c r="D5" s="1"/>
      <c r="E5" s="2"/>
      <c r="F5" s="2"/>
      <c r="G5" s="2"/>
      <c r="H5" s="2"/>
      <c r="I5" s="2" t="s">
        <v>261</v>
      </c>
    </row>
    <row r="6" spans="2:9">
      <c r="B6" s="1"/>
      <c r="C6" s="1741" t="s">
        <v>392</v>
      </c>
      <c r="D6" s="1741"/>
      <c r="E6" s="1741"/>
      <c r="F6" s="1741"/>
      <c r="G6" s="1741"/>
    </row>
    <row r="7" spans="2:9">
      <c r="B7" s="1"/>
      <c r="C7" s="1"/>
      <c r="D7" s="1"/>
      <c r="E7" s="1"/>
      <c r="F7" s="2" t="s">
        <v>132</v>
      </c>
      <c r="G7" s="21"/>
      <c r="H7" s="21">
        <f>'Kopertina '!F29</f>
        <v>2011</v>
      </c>
    </row>
    <row r="8" spans="2:9" ht="13.5" thickBot="1">
      <c r="B8" s="1"/>
      <c r="C8" s="1"/>
      <c r="D8" s="1"/>
      <c r="E8" s="1"/>
      <c r="F8" s="1"/>
    </row>
    <row r="9" spans="2:9">
      <c r="B9" s="18"/>
      <c r="C9" s="19"/>
      <c r="D9" s="19"/>
      <c r="E9" s="19"/>
      <c r="F9" s="19"/>
      <c r="G9" s="19"/>
      <c r="H9" s="19"/>
      <c r="I9" s="20"/>
    </row>
    <row r="10" spans="2:9">
      <c r="B10" s="5"/>
      <c r="C10" s="1"/>
      <c r="D10" s="1"/>
      <c r="E10" s="1"/>
      <c r="F10" s="1"/>
      <c r="G10" s="1"/>
      <c r="H10" s="1"/>
      <c r="I10" s="6"/>
    </row>
    <row r="11" spans="2:9" ht="13.5" thickBot="1">
      <c r="B11" s="5"/>
      <c r="C11" s="1"/>
      <c r="D11" s="1"/>
      <c r="E11" s="1"/>
      <c r="F11" s="1"/>
      <c r="G11" s="1"/>
      <c r="H11" s="1"/>
      <c r="I11" s="6"/>
    </row>
    <row r="12" spans="2:9" ht="19.5" customHeight="1" thickBot="1">
      <c r="B12" s="5"/>
      <c r="C12" s="285" t="s">
        <v>1</v>
      </c>
      <c r="D12" s="286" t="s">
        <v>252</v>
      </c>
      <c r="E12" s="286" t="s">
        <v>253</v>
      </c>
      <c r="F12" s="286" t="s">
        <v>254</v>
      </c>
      <c r="G12" s="286" t="s">
        <v>255</v>
      </c>
      <c r="H12" s="287" t="s">
        <v>256</v>
      </c>
      <c r="I12" s="6"/>
    </row>
    <row r="13" spans="2:9">
      <c r="B13" s="5"/>
      <c r="C13" s="246">
        <v>1</v>
      </c>
      <c r="D13" s="248"/>
      <c r="E13" s="248"/>
      <c r="F13" s="248"/>
      <c r="G13" s="248"/>
      <c r="H13" s="249"/>
      <c r="I13" s="6"/>
    </row>
    <row r="14" spans="2:9">
      <c r="B14" s="5"/>
      <c r="C14" s="241">
        <v>2</v>
      </c>
      <c r="D14" s="119"/>
      <c r="E14" s="119"/>
      <c r="F14" s="119"/>
      <c r="G14" s="119"/>
      <c r="H14" s="235"/>
      <c r="I14" s="6"/>
    </row>
    <row r="15" spans="2:9">
      <c r="B15" s="5"/>
      <c r="C15" s="241">
        <v>3</v>
      </c>
      <c r="D15" s="119"/>
      <c r="E15" s="119"/>
      <c r="F15" s="119"/>
      <c r="G15" s="119"/>
      <c r="H15" s="235"/>
      <c r="I15" s="6"/>
    </row>
    <row r="16" spans="2:9">
      <c r="B16" s="5"/>
      <c r="C16" s="241">
        <v>4</v>
      </c>
      <c r="D16" s="119"/>
      <c r="E16" s="119"/>
      <c r="F16" s="119"/>
      <c r="G16" s="119"/>
      <c r="H16" s="235"/>
      <c r="I16" s="6"/>
    </row>
    <row r="17" spans="2:19">
      <c r="B17" s="5"/>
      <c r="C17" s="241">
        <v>5</v>
      </c>
      <c r="D17" s="119"/>
      <c r="E17" s="119"/>
      <c r="F17" s="119"/>
      <c r="G17" s="119"/>
      <c r="H17" s="235"/>
      <c r="I17" s="6"/>
    </row>
    <row r="18" spans="2:19">
      <c r="B18" s="5"/>
      <c r="C18" s="241">
        <v>6</v>
      </c>
      <c r="D18" s="119"/>
      <c r="E18" s="119"/>
      <c r="F18" s="119"/>
      <c r="G18" s="119"/>
      <c r="H18" s="235"/>
      <c r="I18" s="6"/>
    </row>
    <row r="19" spans="2:19">
      <c r="B19" s="5"/>
      <c r="C19" s="241">
        <v>7</v>
      </c>
      <c r="D19" s="119"/>
      <c r="E19" s="119"/>
      <c r="F19" s="119"/>
      <c r="G19" s="119"/>
      <c r="H19" s="235"/>
      <c r="I19" s="6"/>
    </row>
    <row r="20" spans="2:19">
      <c r="B20" s="5"/>
      <c r="C20" s="241">
        <v>8</v>
      </c>
      <c r="D20" s="119"/>
      <c r="E20" s="119"/>
      <c r="F20" s="119"/>
      <c r="G20" s="119"/>
      <c r="H20" s="235"/>
      <c r="I20" s="6"/>
    </row>
    <row r="21" spans="2:19" ht="15.75">
      <c r="B21" s="5"/>
      <c r="C21" s="241">
        <v>9</v>
      </c>
      <c r="D21" s="119"/>
      <c r="E21" s="119"/>
      <c r="F21" s="119"/>
      <c r="G21" s="119"/>
      <c r="H21" s="235"/>
      <c r="I21" s="6"/>
      <c r="M21" s="1522"/>
      <c r="N21" s="1522"/>
      <c r="O21" s="1522"/>
      <c r="P21" s="1522"/>
      <c r="Q21" s="1522"/>
      <c r="R21" s="1522"/>
      <c r="S21" s="744"/>
    </row>
    <row r="22" spans="2:19">
      <c r="B22" s="5"/>
      <c r="C22" s="241">
        <v>10</v>
      </c>
      <c r="D22" s="119"/>
      <c r="E22" s="119"/>
      <c r="F22" s="119"/>
      <c r="G22" s="119"/>
      <c r="H22" s="235"/>
      <c r="I22" s="6"/>
    </row>
    <row r="23" spans="2:19">
      <c r="B23" s="5"/>
      <c r="C23" s="241">
        <v>11</v>
      </c>
      <c r="D23" s="119"/>
      <c r="E23" s="119"/>
      <c r="F23" s="119"/>
      <c r="G23" s="119"/>
      <c r="H23" s="235"/>
      <c r="I23" s="6"/>
    </row>
    <row r="24" spans="2:19">
      <c r="B24" s="5"/>
      <c r="C24" s="241">
        <v>12</v>
      </c>
      <c r="D24" s="119"/>
      <c r="E24" s="119"/>
      <c r="F24" s="119"/>
      <c r="G24" s="119"/>
      <c r="H24" s="235"/>
      <c r="I24" s="6"/>
    </row>
    <row r="25" spans="2:19">
      <c r="B25" s="5"/>
      <c r="C25" s="241">
        <v>13</v>
      </c>
      <c r="D25" s="119"/>
      <c r="E25" s="119"/>
      <c r="F25" s="119"/>
      <c r="G25" s="119"/>
      <c r="H25" s="235"/>
      <c r="I25" s="6"/>
    </row>
    <row r="26" spans="2:19">
      <c r="B26" s="5"/>
      <c r="C26" s="241">
        <v>14</v>
      </c>
      <c r="D26" s="119"/>
      <c r="E26" s="119"/>
      <c r="F26" s="119"/>
      <c r="G26" s="119"/>
      <c r="H26" s="235"/>
      <c r="I26" s="6"/>
    </row>
    <row r="27" spans="2:19">
      <c r="B27" s="5"/>
      <c r="C27" s="241">
        <v>15</v>
      </c>
      <c r="D27" s="119"/>
      <c r="E27" s="119"/>
      <c r="F27" s="119"/>
      <c r="G27" s="119"/>
      <c r="H27" s="235"/>
      <c r="I27" s="6"/>
    </row>
    <row r="28" spans="2:19">
      <c r="B28" s="5"/>
      <c r="C28" s="241">
        <v>16</v>
      </c>
      <c r="D28" s="119"/>
      <c r="E28" s="119"/>
      <c r="F28" s="119"/>
      <c r="G28" s="119"/>
      <c r="H28" s="235"/>
      <c r="I28" s="6"/>
    </row>
    <row r="29" spans="2:19">
      <c r="B29" s="5"/>
      <c r="C29" s="241">
        <v>17</v>
      </c>
      <c r="D29" s="119"/>
      <c r="E29" s="119"/>
      <c r="F29" s="119"/>
      <c r="G29" s="119"/>
      <c r="H29" s="235"/>
      <c r="I29" s="6"/>
    </row>
    <row r="30" spans="2:19">
      <c r="B30" s="5"/>
      <c r="C30" s="241">
        <v>18</v>
      </c>
      <c r="D30" s="119"/>
      <c r="E30" s="119"/>
      <c r="F30" s="119"/>
      <c r="G30" s="119"/>
      <c r="H30" s="235"/>
      <c r="I30" s="6"/>
    </row>
    <row r="31" spans="2:19">
      <c r="B31" s="5"/>
      <c r="C31" s="241">
        <v>19</v>
      </c>
      <c r="D31" s="119"/>
      <c r="E31" s="119"/>
      <c r="F31" s="119"/>
      <c r="G31" s="119"/>
      <c r="H31" s="235"/>
      <c r="I31" s="6"/>
    </row>
    <row r="32" spans="2:19">
      <c r="B32" s="5"/>
      <c r="C32" s="241">
        <v>20</v>
      </c>
      <c r="D32" s="119"/>
      <c r="E32" s="119"/>
      <c r="F32" s="119"/>
      <c r="G32" s="119"/>
      <c r="H32" s="235"/>
      <c r="I32" s="6"/>
    </row>
    <row r="33" spans="2:9">
      <c r="B33" s="5"/>
      <c r="C33" s="241">
        <v>21</v>
      </c>
      <c r="D33" s="119"/>
      <c r="E33" s="119"/>
      <c r="F33" s="119"/>
      <c r="G33" s="119"/>
      <c r="H33" s="235"/>
      <c r="I33" s="6"/>
    </row>
    <row r="34" spans="2:9">
      <c r="B34" s="5"/>
      <c r="C34" s="241">
        <v>22</v>
      </c>
      <c r="D34" s="119"/>
      <c r="E34" s="119"/>
      <c r="F34" s="119"/>
      <c r="G34" s="119"/>
      <c r="H34" s="235"/>
      <c r="I34" s="6"/>
    </row>
    <row r="35" spans="2:9">
      <c r="B35" s="5"/>
      <c r="C35" s="241">
        <v>23</v>
      </c>
      <c r="D35" s="119"/>
      <c r="E35" s="119"/>
      <c r="F35" s="119"/>
      <c r="G35" s="119"/>
      <c r="H35" s="235"/>
      <c r="I35" s="6"/>
    </row>
    <row r="36" spans="2:9">
      <c r="B36" s="5"/>
      <c r="C36" s="241">
        <v>24</v>
      </c>
      <c r="D36" s="119"/>
      <c r="E36" s="119"/>
      <c r="F36" s="119"/>
      <c r="G36" s="119"/>
      <c r="H36" s="235"/>
      <c r="I36" s="6"/>
    </row>
    <row r="37" spans="2:9">
      <c r="B37" s="5"/>
      <c r="C37" s="241">
        <v>25</v>
      </c>
      <c r="D37" s="119"/>
      <c r="E37" s="119"/>
      <c r="F37" s="119"/>
      <c r="G37" s="119"/>
      <c r="H37" s="235"/>
      <c r="I37" s="6"/>
    </row>
    <row r="38" spans="2:9">
      <c r="B38" s="5"/>
      <c r="C38" s="241">
        <v>26</v>
      </c>
      <c r="D38" s="119"/>
      <c r="E38" s="119"/>
      <c r="F38" s="119"/>
      <c r="G38" s="119"/>
      <c r="H38" s="235"/>
      <c r="I38" s="6"/>
    </row>
    <row r="39" spans="2:9">
      <c r="B39" s="5"/>
      <c r="C39" s="241">
        <v>27</v>
      </c>
      <c r="D39" s="119"/>
      <c r="E39" s="119"/>
      <c r="F39" s="119"/>
      <c r="G39" s="119"/>
      <c r="H39" s="235"/>
      <c r="I39" s="6"/>
    </row>
    <row r="40" spans="2:9">
      <c r="B40" s="5"/>
      <c r="C40" s="241">
        <v>28</v>
      </c>
      <c r="D40" s="119"/>
      <c r="E40" s="119"/>
      <c r="F40" s="119"/>
      <c r="G40" s="119"/>
      <c r="H40" s="235"/>
      <c r="I40" s="6"/>
    </row>
    <row r="41" spans="2:9">
      <c r="B41" s="5"/>
      <c r="C41" s="241">
        <v>29</v>
      </c>
      <c r="D41" s="119"/>
      <c r="E41" s="119"/>
      <c r="F41" s="119"/>
      <c r="G41" s="119"/>
      <c r="H41" s="235"/>
      <c r="I41" s="6"/>
    </row>
    <row r="42" spans="2:9">
      <c r="B42" s="5"/>
      <c r="C42" s="241">
        <v>30</v>
      </c>
      <c r="D42" s="119"/>
      <c r="E42" s="119"/>
      <c r="F42" s="119"/>
      <c r="G42" s="119"/>
      <c r="H42" s="235"/>
      <c r="I42" s="6"/>
    </row>
    <row r="43" spans="2:9">
      <c r="B43" s="5"/>
      <c r="C43" s="241">
        <v>31</v>
      </c>
      <c r="D43" s="119"/>
      <c r="E43" s="119"/>
      <c r="F43" s="119"/>
      <c r="G43" s="119"/>
      <c r="H43" s="235"/>
      <c r="I43" s="6"/>
    </row>
    <row r="44" spans="2:9">
      <c r="B44" s="5"/>
      <c r="C44" s="241">
        <v>32</v>
      </c>
      <c r="D44" s="119"/>
      <c r="E44" s="119"/>
      <c r="F44" s="119"/>
      <c r="G44" s="119"/>
      <c r="H44" s="235"/>
      <c r="I44" s="6"/>
    </row>
    <row r="45" spans="2:9">
      <c r="B45" s="5"/>
      <c r="C45" s="241">
        <v>33</v>
      </c>
      <c r="D45" s="119"/>
      <c r="E45" s="119"/>
      <c r="F45" s="119"/>
      <c r="G45" s="119"/>
      <c r="H45" s="235"/>
      <c r="I45" s="6"/>
    </row>
    <row r="46" spans="2:9">
      <c r="B46" s="5"/>
      <c r="C46" s="241">
        <v>34</v>
      </c>
      <c r="D46" s="119"/>
      <c r="E46" s="119"/>
      <c r="F46" s="119"/>
      <c r="G46" s="119"/>
      <c r="H46" s="235"/>
      <c r="I46" s="6"/>
    </row>
    <row r="47" spans="2:9">
      <c r="B47" s="5"/>
      <c r="C47" s="241">
        <v>35</v>
      </c>
      <c r="D47" s="119"/>
      <c r="E47" s="119"/>
      <c r="F47" s="119"/>
      <c r="G47" s="119"/>
      <c r="H47" s="235"/>
      <c r="I47" s="6"/>
    </row>
    <row r="48" spans="2:9">
      <c r="B48" s="5"/>
      <c r="C48" s="241">
        <v>36</v>
      </c>
      <c r="D48" s="119"/>
      <c r="E48" s="119"/>
      <c r="F48" s="119"/>
      <c r="G48" s="119"/>
      <c r="H48" s="235"/>
      <c r="I48" s="6"/>
    </row>
    <row r="49" spans="2:9">
      <c r="B49" s="5"/>
      <c r="C49" s="241">
        <v>37</v>
      </c>
      <c r="D49" s="119"/>
      <c r="E49" s="119"/>
      <c r="F49" s="119"/>
      <c r="G49" s="119"/>
      <c r="H49" s="235"/>
      <c r="I49" s="6"/>
    </row>
    <row r="50" spans="2:9">
      <c r="B50" s="5"/>
      <c r="C50" s="241">
        <v>38</v>
      </c>
      <c r="D50" s="119"/>
      <c r="E50" s="119"/>
      <c r="F50" s="119"/>
      <c r="G50" s="119"/>
      <c r="H50" s="235"/>
      <c r="I50" s="6"/>
    </row>
    <row r="51" spans="2:9" ht="13.5" thickBot="1">
      <c r="B51" s="5"/>
      <c r="C51" s="242">
        <v>39</v>
      </c>
      <c r="D51" s="250"/>
      <c r="E51" s="250"/>
      <c r="F51" s="250"/>
      <c r="G51" s="250"/>
      <c r="H51" s="251"/>
      <c r="I51" s="6"/>
    </row>
    <row r="52" spans="2:9" ht="13.5" thickBot="1">
      <c r="B52" s="5"/>
      <c r="C52" s="288" t="s">
        <v>251</v>
      </c>
      <c r="D52" s="289"/>
      <c r="E52" s="289"/>
      <c r="F52" s="289"/>
      <c r="G52" s="290"/>
      <c r="H52" s="191">
        <f>SUM(H13:H51)</f>
        <v>0</v>
      </c>
      <c r="I52" s="6"/>
    </row>
    <row r="53" spans="2:9">
      <c r="B53" s="5"/>
      <c r="C53" s="1"/>
      <c r="D53" s="1"/>
      <c r="E53" s="1"/>
      <c r="F53" s="1"/>
      <c r="G53" s="1"/>
      <c r="H53" s="1"/>
      <c r="I53" s="6"/>
    </row>
    <row r="54" spans="2:9">
      <c r="B54" s="5"/>
      <c r="C54" s="1"/>
      <c r="D54" s="1"/>
      <c r="E54" s="1"/>
      <c r="F54" s="1"/>
      <c r="G54" s="1"/>
      <c r="H54" s="1"/>
      <c r="I54" s="6"/>
    </row>
    <row r="55" spans="2:9">
      <c r="B55" s="5"/>
      <c r="C55" s="1"/>
      <c r="D55" s="1"/>
      <c r="E55" s="1"/>
      <c r="F55" s="1"/>
      <c r="G55" s="1"/>
      <c r="H55" s="1"/>
      <c r="I55" s="6"/>
    </row>
    <row r="56" spans="2:9">
      <c r="B56" s="5"/>
      <c r="C56" s="1"/>
      <c r="D56" s="1"/>
      <c r="E56" s="1"/>
      <c r="F56" s="1"/>
      <c r="G56" s="1"/>
      <c r="H56" s="1"/>
      <c r="I56" s="6"/>
    </row>
    <row r="57" spans="2:9">
      <c r="B57" s="5"/>
      <c r="C57" s="1"/>
      <c r="D57" s="1"/>
      <c r="E57" s="1"/>
      <c r="F57" s="1"/>
      <c r="G57" s="1"/>
      <c r="H57" s="1"/>
      <c r="I57" s="6"/>
    </row>
    <row r="58" spans="2:9">
      <c r="B58" s="5"/>
      <c r="C58" s="1"/>
      <c r="D58" s="1"/>
      <c r="E58" s="1"/>
      <c r="F58" s="1"/>
      <c r="G58" s="1"/>
      <c r="H58" s="1"/>
      <c r="I58" s="6"/>
    </row>
    <row r="59" spans="2:9">
      <c r="B59" s="5"/>
      <c r="C59" s="1"/>
      <c r="D59" s="1"/>
      <c r="E59" s="1"/>
      <c r="F59" s="1"/>
      <c r="G59" s="1"/>
      <c r="H59" s="1"/>
      <c r="I59" s="6"/>
    </row>
    <row r="60" spans="2:9">
      <c r="B60" s="5"/>
      <c r="C60" s="1"/>
      <c r="D60" s="1"/>
      <c r="E60" s="1"/>
      <c r="F60" s="1"/>
      <c r="G60" s="1"/>
      <c r="H60" s="1"/>
      <c r="I60" s="6"/>
    </row>
    <row r="61" spans="2:9">
      <c r="B61" s="5"/>
      <c r="C61" s="1"/>
      <c r="D61" s="1"/>
      <c r="E61" s="1"/>
      <c r="F61" s="1"/>
      <c r="G61" s="1"/>
      <c r="H61" s="1"/>
      <c r="I61" s="6"/>
    </row>
    <row r="62" spans="2:9">
      <c r="B62" s="5"/>
      <c r="C62" s="1"/>
      <c r="D62" s="1"/>
      <c r="E62" s="1"/>
      <c r="F62" s="1"/>
      <c r="G62" s="1"/>
      <c r="H62" s="1"/>
      <c r="I62" s="6"/>
    </row>
    <row r="63" spans="2:9">
      <c r="B63" s="5"/>
      <c r="C63" s="1"/>
      <c r="D63" s="1"/>
      <c r="E63" s="1"/>
      <c r="F63" s="1"/>
      <c r="G63" s="1"/>
      <c r="H63" s="1"/>
      <c r="I63" s="6"/>
    </row>
    <row r="64" spans="2:9" ht="13.5" thickBot="1">
      <c r="B64" s="7"/>
      <c r="C64" s="8"/>
      <c r="D64" s="8"/>
      <c r="E64" s="8"/>
      <c r="F64" s="8"/>
      <c r="G64" s="8"/>
      <c r="H64" s="8"/>
      <c r="I64" s="9"/>
    </row>
  </sheetData>
  <mergeCells count="1">
    <mergeCell ref="C6:G6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B3:I59"/>
  <sheetViews>
    <sheetView workbookViewId="0">
      <selection activeCell="J60" sqref="A1:J60"/>
    </sheetView>
  </sheetViews>
  <sheetFormatPr defaultRowHeight="12.75"/>
  <cols>
    <col min="3" max="3" width="5" customWidth="1"/>
    <col min="4" max="4" width="13.28515625" customWidth="1"/>
    <col min="5" max="5" width="13.140625" customWidth="1"/>
    <col min="6" max="6" width="12" customWidth="1"/>
    <col min="7" max="7" width="11.85546875" customWidth="1"/>
    <col min="8" max="8" width="10.28515625" bestFit="1" customWidth="1"/>
  </cols>
  <sheetData>
    <row r="3" spans="2:9">
      <c r="B3" s="2"/>
      <c r="C3" s="49"/>
      <c r="D3" s="49"/>
      <c r="E3" s="2"/>
      <c r="F3" s="2"/>
    </row>
    <row r="4" spans="2:9">
      <c r="B4" s="2" t="s">
        <v>131</v>
      </c>
      <c r="C4" s="2" t="str">
        <f>'Kopertina '!F4</f>
        <v>Ameti</v>
      </c>
      <c r="D4" s="2"/>
      <c r="E4" s="2"/>
      <c r="F4" s="2"/>
    </row>
    <row r="5" spans="2:9" ht="20.25">
      <c r="B5" s="1"/>
      <c r="C5" s="1767" t="s">
        <v>392</v>
      </c>
      <c r="D5" s="1767"/>
      <c r="E5" s="1767"/>
      <c r="F5" s="1767"/>
      <c r="G5" s="1767"/>
      <c r="H5" s="2"/>
      <c r="I5" s="2" t="s">
        <v>2123</v>
      </c>
    </row>
    <row r="6" spans="2:9" ht="13.5">
      <c r="B6" s="1"/>
      <c r="D6" s="1768" t="s">
        <v>2124</v>
      </c>
      <c r="E6" s="1768"/>
      <c r="F6" s="1768"/>
      <c r="G6" s="1768"/>
    </row>
    <row r="7" spans="2:9">
      <c r="B7" s="1"/>
      <c r="C7" s="1"/>
      <c r="D7" s="1"/>
      <c r="E7" s="1"/>
      <c r="F7" s="2" t="s">
        <v>132</v>
      </c>
      <c r="G7" s="21"/>
      <c r="H7" s="21">
        <f>'Kopertina '!F29</f>
        <v>2011</v>
      </c>
    </row>
    <row r="8" spans="2:9" ht="13.5" thickBot="1">
      <c r="B8" s="1"/>
      <c r="C8" s="1"/>
      <c r="D8" s="1"/>
      <c r="E8" s="1"/>
      <c r="F8" s="1"/>
    </row>
    <row r="9" spans="2:9">
      <c r="B9" s="18"/>
      <c r="C9" s="19"/>
      <c r="D9" s="19"/>
      <c r="E9" s="19"/>
      <c r="F9" s="19"/>
      <c r="G9" s="19"/>
      <c r="H9" s="19"/>
      <c r="I9" s="20"/>
    </row>
    <row r="10" spans="2:9">
      <c r="B10" s="5"/>
      <c r="C10" s="1"/>
      <c r="D10" s="1"/>
      <c r="E10" s="1"/>
      <c r="F10" s="1"/>
      <c r="G10" s="1"/>
      <c r="H10" s="1"/>
      <c r="I10" s="6"/>
    </row>
    <row r="11" spans="2:9" ht="13.5" thickBot="1">
      <c r="B11" s="5"/>
      <c r="C11" s="1"/>
      <c r="D11" s="1"/>
      <c r="E11" s="1"/>
      <c r="F11" s="1"/>
      <c r="G11" s="1"/>
      <c r="H11" s="1"/>
      <c r="I11" s="6"/>
    </row>
    <row r="12" spans="2:9" ht="13.5" thickBot="1">
      <c r="B12" s="5"/>
      <c r="C12" s="285" t="s">
        <v>1</v>
      </c>
      <c r="D12" s="286" t="s">
        <v>252</v>
      </c>
      <c r="E12" s="286" t="s">
        <v>253</v>
      </c>
      <c r="F12" s="286" t="s">
        <v>254</v>
      </c>
      <c r="G12" s="286" t="s">
        <v>255</v>
      </c>
      <c r="H12" s="287" t="s">
        <v>256</v>
      </c>
      <c r="I12" s="6"/>
    </row>
    <row r="13" spans="2:9">
      <c r="B13" s="5"/>
      <c r="C13" s="246">
        <v>1</v>
      </c>
      <c r="D13" s="1523" t="s">
        <v>2125</v>
      </c>
      <c r="E13" s="248"/>
      <c r="F13" s="248"/>
      <c r="G13" s="248"/>
      <c r="H13" s="249">
        <v>46670.400000000001</v>
      </c>
      <c r="I13" s="6"/>
    </row>
    <row r="14" spans="2:9">
      <c r="B14" s="5"/>
      <c r="C14" s="241">
        <v>2</v>
      </c>
      <c r="D14" s="119"/>
      <c r="E14" s="119"/>
      <c r="F14" s="119"/>
      <c r="G14" s="119"/>
      <c r="H14" s="235"/>
      <c r="I14" s="6"/>
    </row>
    <row r="15" spans="2:9">
      <c r="B15" s="5"/>
      <c r="C15" s="241">
        <v>3</v>
      </c>
      <c r="D15" s="119"/>
      <c r="E15" s="119"/>
      <c r="F15" s="119"/>
      <c r="G15" s="119"/>
      <c r="H15" s="235"/>
      <c r="I15" s="6"/>
    </row>
    <row r="16" spans="2:9">
      <c r="B16" s="5"/>
      <c r="C16" s="241">
        <v>4</v>
      </c>
      <c r="D16" s="119"/>
      <c r="E16" s="119"/>
      <c r="F16" s="119"/>
      <c r="G16" s="119"/>
      <c r="H16" s="235"/>
      <c r="I16" s="6"/>
    </row>
    <row r="17" spans="2:9">
      <c r="B17" s="5"/>
      <c r="C17" s="241">
        <v>5</v>
      </c>
      <c r="D17" s="119"/>
      <c r="E17" s="119"/>
      <c r="F17" s="119"/>
      <c r="G17" s="119"/>
      <c r="H17" s="235"/>
      <c r="I17" s="6"/>
    </row>
    <row r="18" spans="2:9">
      <c r="B18" s="5"/>
      <c r="C18" s="241">
        <v>6</v>
      </c>
      <c r="D18" s="119"/>
      <c r="E18" s="119"/>
      <c r="F18" s="119"/>
      <c r="G18" s="119"/>
      <c r="H18" s="235"/>
      <c r="I18" s="6"/>
    </row>
    <row r="19" spans="2:9">
      <c r="B19" s="5"/>
      <c r="C19" s="241">
        <v>7</v>
      </c>
      <c r="D19" s="119"/>
      <c r="E19" s="119"/>
      <c r="F19" s="119"/>
      <c r="G19" s="119"/>
      <c r="H19" s="235"/>
      <c r="I19" s="6"/>
    </row>
    <row r="20" spans="2:9">
      <c r="B20" s="5"/>
      <c r="C20" s="241">
        <v>8</v>
      </c>
      <c r="D20" s="119"/>
      <c r="E20" s="119"/>
      <c r="F20" s="119"/>
      <c r="G20" s="119"/>
      <c r="H20" s="235"/>
      <c r="I20" s="6"/>
    </row>
    <row r="21" spans="2:9">
      <c r="B21" s="5"/>
      <c r="C21" s="241">
        <v>9</v>
      </c>
      <c r="D21" s="119"/>
      <c r="E21" s="119"/>
      <c r="F21" s="119"/>
      <c r="G21" s="119"/>
      <c r="H21" s="235"/>
      <c r="I21" s="6"/>
    </row>
    <row r="22" spans="2:9">
      <c r="B22" s="5"/>
      <c r="C22" s="241">
        <v>10</v>
      </c>
      <c r="D22" s="119"/>
      <c r="E22" s="119"/>
      <c r="F22" s="119"/>
      <c r="G22" s="119"/>
      <c r="H22" s="235"/>
      <c r="I22" s="6"/>
    </row>
    <row r="23" spans="2:9">
      <c r="B23" s="5"/>
      <c r="C23" s="241">
        <v>11</v>
      </c>
      <c r="D23" s="119"/>
      <c r="E23" s="119"/>
      <c r="F23" s="119"/>
      <c r="G23" s="119"/>
      <c r="H23" s="235"/>
      <c r="I23" s="6"/>
    </row>
    <row r="24" spans="2:9">
      <c r="B24" s="5"/>
      <c r="C24" s="241">
        <v>12</v>
      </c>
      <c r="D24" s="119"/>
      <c r="E24" s="119"/>
      <c r="F24" s="119"/>
      <c r="G24" s="119"/>
      <c r="H24" s="235"/>
      <c r="I24" s="6"/>
    </row>
    <row r="25" spans="2:9">
      <c r="B25" s="5"/>
      <c r="C25" s="241">
        <v>13</v>
      </c>
      <c r="D25" s="119"/>
      <c r="E25" s="119"/>
      <c r="F25" s="119"/>
      <c r="G25" s="119"/>
      <c r="H25" s="235"/>
      <c r="I25" s="6"/>
    </row>
    <row r="26" spans="2:9">
      <c r="B26" s="5"/>
      <c r="C26" s="241">
        <v>14</v>
      </c>
      <c r="D26" s="119"/>
      <c r="E26" s="119"/>
      <c r="F26" s="119"/>
      <c r="G26" s="119"/>
      <c r="H26" s="235"/>
      <c r="I26" s="6"/>
    </row>
    <row r="27" spans="2:9">
      <c r="B27" s="5"/>
      <c r="C27" s="241">
        <v>15</v>
      </c>
      <c r="D27" s="119"/>
      <c r="E27" s="119"/>
      <c r="F27" s="119"/>
      <c r="G27" s="119"/>
      <c r="H27" s="235"/>
      <c r="I27" s="6"/>
    </row>
    <row r="28" spans="2:9">
      <c r="B28" s="5"/>
      <c r="C28" s="241">
        <v>16</v>
      </c>
      <c r="D28" s="119"/>
      <c r="E28" s="119"/>
      <c r="F28" s="119"/>
      <c r="G28" s="119"/>
      <c r="H28" s="235"/>
      <c r="I28" s="6"/>
    </row>
    <row r="29" spans="2:9">
      <c r="B29" s="5"/>
      <c r="C29" s="241">
        <v>17</v>
      </c>
      <c r="D29" s="119"/>
      <c r="E29" s="119"/>
      <c r="F29" s="119"/>
      <c r="G29" s="119"/>
      <c r="H29" s="235"/>
      <c r="I29" s="6"/>
    </row>
    <row r="30" spans="2:9">
      <c r="B30" s="5"/>
      <c r="C30" s="241">
        <v>18</v>
      </c>
      <c r="D30" s="119"/>
      <c r="E30" s="119"/>
      <c r="F30" s="119"/>
      <c r="G30" s="119"/>
      <c r="H30" s="235"/>
      <c r="I30" s="6"/>
    </row>
    <row r="31" spans="2:9">
      <c r="B31" s="5"/>
      <c r="C31" s="241">
        <v>19</v>
      </c>
      <c r="D31" s="119"/>
      <c r="E31" s="119"/>
      <c r="F31" s="119"/>
      <c r="G31" s="119"/>
      <c r="H31" s="235"/>
      <c r="I31" s="6"/>
    </row>
    <row r="32" spans="2:9">
      <c r="B32" s="5"/>
      <c r="C32" s="241">
        <v>20</v>
      </c>
      <c r="D32" s="119"/>
      <c r="E32" s="119"/>
      <c r="F32" s="119"/>
      <c r="G32" s="119"/>
      <c r="H32" s="235"/>
      <c r="I32" s="6"/>
    </row>
    <row r="33" spans="2:9">
      <c r="B33" s="5"/>
      <c r="C33" s="241">
        <v>21</v>
      </c>
      <c r="D33" s="119"/>
      <c r="E33" s="119"/>
      <c r="F33" s="119"/>
      <c r="G33" s="119"/>
      <c r="H33" s="235"/>
      <c r="I33" s="6"/>
    </row>
    <row r="34" spans="2:9">
      <c r="B34" s="5"/>
      <c r="C34" s="241">
        <v>22</v>
      </c>
      <c r="D34" s="119"/>
      <c r="E34" s="119"/>
      <c r="F34" s="119"/>
      <c r="G34" s="119"/>
      <c r="H34" s="235"/>
      <c r="I34" s="6"/>
    </row>
    <row r="35" spans="2:9">
      <c r="B35" s="5"/>
      <c r="C35" s="241">
        <v>23</v>
      </c>
      <c r="D35" s="119"/>
      <c r="E35" s="119"/>
      <c r="F35" s="119"/>
      <c r="G35" s="119"/>
      <c r="H35" s="235"/>
      <c r="I35" s="6"/>
    </row>
    <row r="36" spans="2:9">
      <c r="B36" s="5"/>
      <c r="C36" s="241">
        <v>24</v>
      </c>
      <c r="D36" s="119"/>
      <c r="E36" s="119"/>
      <c r="F36" s="119"/>
      <c r="G36" s="119"/>
      <c r="H36" s="235"/>
      <c r="I36" s="6"/>
    </row>
    <row r="37" spans="2:9">
      <c r="B37" s="5"/>
      <c r="C37" s="241">
        <v>25</v>
      </c>
      <c r="D37" s="119"/>
      <c r="E37" s="119"/>
      <c r="F37" s="119"/>
      <c r="G37" s="119"/>
      <c r="H37" s="235"/>
      <c r="I37" s="6"/>
    </row>
    <row r="38" spans="2:9">
      <c r="B38" s="5"/>
      <c r="C38" s="241">
        <v>26</v>
      </c>
      <c r="D38" s="119"/>
      <c r="E38" s="119"/>
      <c r="F38" s="119"/>
      <c r="G38" s="119"/>
      <c r="H38" s="235"/>
      <c r="I38" s="6"/>
    </row>
    <row r="39" spans="2:9">
      <c r="B39" s="5"/>
      <c r="C39" s="241">
        <v>27</v>
      </c>
      <c r="D39" s="119"/>
      <c r="E39" s="119"/>
      <c r="F39" s="119"/>
      <c r="G39" s="119"/>
      <c r="H39" s="235"/>
      <c r="I39" s="6"/>
    </row>
    <row r="40" spans="2:9">
      <c r="B40" s="5"/>
      <c r="C40" s="241">
        <v>28</v>
      </c>
      <c r="D40" s="119"/>
      <c r="E40" s="119"/>
      <c r="F40" s="119"/>
      <c r="G40" s="119"/>
      <c r="H40" s="235"/>
      <c r="I40" s="6"/>
    </row>
    <row r="41" spans="2:9">
      <c r="B41" s="5"/>
      <c r="C41" s="241">
        <v>29</v>
      </c>
      <c r="D41" s="119"/>
      <c r="E41" s="119"/>
      <c r="F41" s="119"/>
      <c r="G41" s="119"/>
      <c r="H41" s="235"/>
      <c r="I41" s="6"/>
    </row>
    <row r="42" spans="2:9">
      <c r="B42" s="5"/>
      <c r="C42" s="241">
        <v>30</v>
      </c>
      <c r="D42" s="119"/>
      <c r="E42" s="119"/>
      <c r="F42" s="119"/>
      <c r="G42" s="119"/>
      <c r="H42" s="235"/>
      <c r="I42" s="6"/>
    </row>
    <row r="43" spans="2:9">
      <c r="B43" s="5"/>
      <c r="C43" s="241">
        <v>31</v>
      </c>
      <c r="D43" s="119"/>
      <c r="E43" s="119"/>
      <c r="F43" s="119"/>
      <c r="G43" s="119"/>
      <c r="H43" s="235"/>
      <c r="I43" s="6"/>
    </row>
    <row r="44" spans="2:9">
      <c r="B44" s="5"/>
      <c r="C44" s="241">
        <v>32</v>
      </c>
      <c r="D44" s="119"/>
      <c r="E44" s="119"/>
      <c r="F44" s="119"/>
      <c r="G44" s="119"/>
      <c r="H44" s="235"/>
      <c r="I44" s="6"/>
    </row>
    <row r="45" spans="2:9">
      <c r="B45" s="5"/>
      <c r="C45" s="241">
        <v>33</v>
      </c>
      <c r="D45" s="119"/>
      <c r="E45" s="119"/>
      <c r="F45" s="119"/>
      <c r="G45" s="119"/>
      <c r="H45" s="235"/>
      <c r="I45" s="6"/>
    </row>
    <row r="46" spans="2:9">
      <c r="B46" s="5"/>
      <c r="C46" s="241">
        <v>34</v>
      </c>
      <c r="D46" s="119"/>
      <c r="E46" s="119"/>
      <c r="F46" s="119"/>
      <c r="G46" s="119"/>
      <c r="H46" s="235"/>
      <c r="I46" s="6"/>
    </row>
    <row r="47" spans="2:9">
      <c r="B47" s="5"/>
      <c r="C47" s="241">
        <v>35</v>
      </c>
      <c r="D47" s="119"/>
      <c r="E47" s="119"/>
      <c r="F47" s="119"/>
      <c r="G47" s="119"/>
      <c r="H47" s="235"/>
      <c r="I47" s="6"/>
    </row>
    <row r="48" spans="2:9">
      <c r="B48" s="5"/>
      <c r="C48" s="241">
        <v>36</v>
      </c>
      <c r="D48" s="119"/>
      <c r="E48" s="119"/>
      <c r="F48" s="119"/>
      <c r="G48" s="119"/>
      <c r="H48" s="235"/>
      <c r="I48" s="6"/>
    </row>
    <row r="49" spans="2:9">
      <c r="B49" s="5"/>
      <c r="C49" s="241">
        <v>37</v>
      </c>
      <c r="D49" s="119"/>
      <c r="E49" s="119"/>
      <c r="F49" s="119"/>
      <c r="G49" s="119"/>
      <c r="H49" s="235"/>
      <c r="I49" s="6"/>
    </row>
    <row r="50" spans="2:9">
      <c r="B50" s="5"/>
      <c r="C50" s="241">
        <v>38</v>
      </c>
      <c r="D50" s="119"/>
      <c r="E50" s="119"/>
      <c r="F50" s="119"/>
      <c r="G50" s="119"/>
      <c r="H50" s="235"/>
      <c r="I50" s="6"/>
    </row>
    <row r="51" spans="2:9">
      <c r="B51" s="5"/>
      <c r="C51" s="241">
        <v>39</v>
      </c>
      <c r="D51" s="119"/>
      <c r="E51" s="119"/>
      <c r="F51" s="119"/>
      <c r="G51" s="119"/>
      <c r="H51" s="235"/>
      <c r="I51" s="6"/>
    </row>
    <row r="52" spans="2:9">
      <c r="B52" s="5"/>
      <c r="C52" s="241">
        <v>40</v>
      </c>
      <c r="D52" s="119"/>
      <c r="E52" s="119"/>
      <c r="F52" s="119"/>
      <c r="G52" s="119"/>
      <c r="H52" s="235"/>
      <c r="I52" s="6"/>
    </row>
    <row r="53" spans="2:9">
      <c r="B53" s="5"/>
      <c r="C53" s="241">
        <v>41</v>
      </c>
      <c r="D53" s="119"/>
      <c r="E53" s="119"/>
      <c r="F53" s="119"/>
      <c r="G53" s="119"/>
      <c r="H53" s="235"/>
      <c r="I53" s="6"/>
    </row>
    <row r="54" spans="2:9">
      <c r="B54" s="5"/>
      <c r="C54" s="241">
        <v>42</v>
      </c>
      <c r="D54" s="119"/>
      <c r="E54" s="119"/>
      <c r="F54" s="119"/>
      <c r="G54" s="119"/>
      <c r="H54" s="235"/>
      <c r="I54" s="6"/>
    </row>
    <row r="55" spans="2:9" ht="13.5" thickBot="1">
      <c r="B55" s="5"/>
      <c r="C55" s="241">
        <v>43</v>
      </c>
      <c r="D55" s="119"/>
      <c r="E55" s="119"/>
      <c r="F55" s="119"/>
      <c r="G55" s="119"/>
      <c r="H55" s="235"/>
      <c r="I55" s="6"/>
    </row>
    <row r="56" spans="2:9" ht="13.5" thickBot="1">
      <c r="B56" s="5"/>
      <c r="C56" s="288" t="s">
        <v>251</v>
      </c>
      <c r="D56" s="289"/>
      <c r="E56" s="289"/>
      <c r="F56" s="289"/>
      <c r="G56" s="290"/>
      <c r="H56" s="1594">
        <f>SUM(H13:H55)</f>
        <v>46670.400000000001</v>
      </c>
      <c r="I56" s="6"/>
    </row>
    <row r="57" spans="2:9">
      <c r="B57" s="5"/>
      <c r="C57" s="1"/>
      <c r="D57" s="1"/>
      <c r="E57" s="1"/>
      <c r="F57" s="1"/>
      <c r="G57" s="1"/>
      <c r="H57" s="1"/>
      <c r="I57" s="6"/>
    </row>
    <row r="58" spans="2:9">
      <c r="B58" s="5"/>
      <c r="C58" s="1"/>
      <c r="D58" s="1"/>
      <c r="E58" s="1"/>
      <c r="F58" s="1"/>
      <c r="G58" s="1"/>
      <c r="H58" s="1"/>
      <c r="I58" s="6"/>
    </row>
    <row r="59" spans="2:9" ht="13.5" thickBot="1">
      <c r="B59" s="7"/>
      <c r="C59" s="8"/>
      <c r="D59" s="8"/>
      <c r="E59" s="8"/>
      <c r="F59" s="8"/>
      <c r="G59" s="8"/>
      <c r="H59" s="8"/>
      <c r="I59" s="9"/>
    </row>
  </sheetData>
  <mergeCells count="2">
    <mergeCell ref="C5:G5"/>
    <mergeCell ref="D6:G6"/>
  </mergeCells>
  <pageMargins left="0" right="0" top="0" bottom="0" header="0" footer="0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3:K41"/>
  <sheetViews>
    <sheetView workbookViewId="0">
      <selection sqref="A1:K41"/>
    </sheetView>
  </sheetViews>
  <sheetFormatPr defaultRowHeight="12.75"/>
  <cols>
    <col min="1" max="1" width="4.5703125" customWidth="1"/>
    <col min="2" max="2" width="7.85546875" customWidth="1"/>
    <col min="3" max="3" width="6" customWidth="1"/>
    <col min="4" max="4" width="7.5703125" customWidth="1"/>
    <col min="5" max="5" width="7.140625" customWidth="1"/>
    <col min="6" max="6" width="24.42578125" customWidth="1"/>
    <col min="7" max="7" width="11.28515625" customWidth="1"/>
    <col min="8" max="8" width="8.140625" customWidth="1"/>
    <col min="9" max="9" width="12.5703125" customWidth="1"/>
    <col min="10" max="10" width="23.42578125" customWidth="1"/>
    <col min="12" max="13" width="6.7109375" customWidth="1"/>
    <col min="14" max="14" width="5.140625" customWidth="1"/>
    <col min="15" max="15" width="4.42578125" customWidth="1"/>
  </cols>
  <sheetData>
    <row r="3" spans="2:11">
      <c r="B3" s="2"/>
      <c r="C3" s="49"/>
      <c r="D3" s="49"/>
      <c r="E3" s="49"/>
      <c r="F3" s="49"/>
      <c r="G3" s="2"/>
      <c r="H3" s="2"/>
      <c r="I3" s="2"/>
      <c r="J3" s="2"/>
    </row>
    <row r="4" spans="2:11">
      <c r="B4" s="2" t="s">
        <v>131</v>
      </c>
      <c r="C4" s="2" t="str">
        <f>'Kopertina '!F4</f>
        <v>Ameti</v>
      </c>
      <c r="D4" s="2"/>
      <c r="E4" s="2"/>
      <c r="F4" s="2"/>
      <c r="G4" s="2"/>
      <c r="H4" s="2"/>
      <c r="I4" s="2"/>
      <c r="J4" s="2"/>
    </row>
    <row r="5" spans="2:11">
      <c r="B5" s="1"/>
      <c r="C5" s="1"/>
      <c r="D5" s="1"/>
      <c r="E5" s="1"/>
      <c r="F5" s="1"/>
      <c r="G5" s="2"/>
      <c r="H5" s="2"/>
      <c r="I5" s="2"/>
      <c r="J5" s="2"/>
      <c r="K5" s="2" t="s">
        <v>128</v>
      </c>
    </row>
    <row r="6" spans="2:11">
      <c r="B6" s="1"/>
      <c r="C6" s="1741" t="s">
        <v>153</v>
      </c>
      <c r="D6" s="1741"/>
      <c r="E6" s="1741"/>
      <c r="F6" s="1741"/>
      <c r="G6" s="1741"/>
      <c r="H6" s="1741"/>
      <c r="I6" s="1741"/>
      <c r="J6" s="1741"/>
    </row>
    <row r="7" spans="2:11">
      <c r="B7" s="1"/>
      <c r="C7" s="1"/>
      <c r="D7" s="1"/>
      <c r="E7" s="1"/>
      <c r="F7" s="1"/>
      <c r="G7" s="1"/>
      <c r="H7" s="1"/>
      <c r="I7" s="1"/>
      <c r="J7" s="2">
        <f>'Kopertina '!F29</f>
        <v>2011</v>
      </c>
      <c r="K7" s="21"/>
    </row>
    <row r="8" spans="2:11" ht="13.5" thickBot="1">
      <c r="B8" s="1"/>
      <c r="C8" s="1"/>
      <c r="D8" s="1"/>
      <c r="E8" s="1"/>
      <c r="F8" s="1"/>
      <c r="G8" s="1"/>
      <c r="H8" s="1"/>
      <c r="I8" s="1"/>
      <c r="J8" s="1"/>
    </row>
    <row r="9" spans="2:11">
      <c r="B9" s="18"/>
      <c r="C9" s="19"/>
      <c r="D9" s="19"/>
      <c r="E9" s="19"/>
      <c r="F9" s="19"/>
      <c r="G9" s="19"/>
      <c r="H9" s="19"/>
      <c r="I9" s="19"/>
      <c r="J9" s="19"/>
      <c r="K9" s="20"/>
    </row>
    <row r="10" spans="2:11">
      <c r="B10" s="5"/>
      <c r="C10" s="1"/>
      <c r="D10" s="1"/>
      <c r="E10" s="1"/>
      <c r="F10" s="1"/>
      <c r="G10" s="1"/>
      <c r="H10" s="1"/>
      <c r="I10" s="1"/>
      <c r="J10" s="1"/>
      <c r="K10" s="6"/>
    </row>
    <row r="11" spans="2:11" ht="13.5" thickBot="1">
      <c r="B11" s="5"/>
      <c r="C11" s="1"/>
      <c r="D11" s="1"/>
      <c r="E11" s="1"/>
      <c r="F11" s="1"/>
      <c r="G11" s="1"/>
      <c r="H11" s="1"/>
      <c r="I11" s="1"/>
      <c r="J11" s="1"/>
      <c r="K11" s="6"/>
    </row>
    <row r="12" spans="2:11" ht="13.5" thickBot="1">
      <c r="B12" s="5"/>
      <c r="C12" s="294" t="s">
        <v>1</v>
      </c>
      <c r="D12" s="217" t="s">
        <v>343</v>
      </c>
      <c r="E12" s="295"/>
      <c r="F12" s="296" t="s">
        <v>342</v>
      </c>
      <c r="G12" s="297" t="s">
        <v>344</v>
      </c>
      <c r="H12" s="297" t="s">
        <v>347</v>
      </c>
      <c r="I12" s="297" t="s">
        <v>344</v>
      </c>
      <c r="J12" s="297" t="s">
        <v>94</v>
      </c>
      <c r="K12" s="6"/>
    </row>
    <row r="13" spans="2:11" ht="13.5" thickBot="1">
      <c r="B13" s="5"/>
      <c r="C13" s="298"/>
      <c r="D13" s="299" t="s">
        <v>1</v>
      </c>
      <c r="E13" s="299" t="s">
        <v>220</v>
      </c>
      <c r="F13" s="300"/>
      <c r="G13" s="301" t="s">
        <v>346</v>
      </c>
      <c r="H13" s="301" t="s">
        <v>348</v>
      </c>
      <c r="I13" s="301" t="s">
        <v>345</v>
      </c>
      <c r="J13" s="301" t="s">
        <v>482</v>
      </c>
      <c r="K13" s="6"/>
    </row>
    <row r="14" spans="2:11">
      <c r="B14" s="5"/>
      <c r="C14" s="55">
        <v>1</v>
      </c>
      <c r="D14" s="40"/>
      <c r="E14" s="69"/>
      <c r="F14" s="69"/>
      <c r="G14" s="67"/>
      <c r="H14" s="67"/>
      <c r="I14" s="67">
        <f t="shared" ref="I14:I19" si="0">G14*H14</f>
        <v>0</v>
      </c>
      <c r="J14" s="70"/>
      <c r="K14" s="6"/>
    </row>
    <row r="15" spans="2:11">
      <c r="B15" s="5"/>
      <c r="C15" s="31">
        <v>2</v>
      </c>
      <c r="D15" s="24"/>
      <c r="E15" s="71"/>
      <c r="F15" s="71"/>
      <c r="G15" s="68"/>
      <c r="H15" s="68"/>
      <c r="I15" s="67">
        <f t="shared" si="0"/>
        <v>0</v>
      </c>
      <c r="J15" s="72"/>
      <c r="K15" s="6"/>
    </row>
    <row r="16" spans="2:11">
      <c r="B16" s="5"/>
      <c r="C16" s="31">
        <v>3</v>
      </c>
      <c r="D16" s="24"/>
      <c r="E16" s="71"/>
      <c r="F16" s="71"/>
      <c r="G16" s="68"/>
      <c r="H16" s="68"/>
      <c r="I16" s="67">
        <f t="shared" si="0"/>
        <v>0</v>
      </c>
      <c r="J16" s="72"/>
      <c r="K16" s="6"/>
    </row>
    <row r="17" spans="2:11">
      <c r="B17" s="5"/>
      <c r="C17" s="31">
        <v>4</v>
      </c>
      <c r="D17" s="24"/>
      <c r="E17" s="71"/>
      <c r="F17" s="24"/>
      <c r="G17" s="68"/>
      <c r="H17" s="68"/>
      <c r="I17" s="67">
        <f t="shared" si="0"/>
        <v>0</v>
      </c>
      <c r="J17" s="72"/>
      <c r="K17" s="6"/>
    </row>
    <row r="18" spans="2:11">
      <c r="B18" s="5"/>
      <c r="C18" s="31">
        <v>5</v>
      </c>
      <c r="D18" s="24"/>
      <c r="E18" s="71"/>
      <c r="F18" s="24"/>
      <c r="G18" s="68"/>
      <c r="H18" s="68"/>
      <c r="I18" s="67">
        <f t="shared" si="0"/>
        <v>0</v>
      </c>
      <c r="J18" s="66"/>
      <c r="K18" s="6"/>
    </row>
    <row r="19" spans="2:11" ht="13.5" thickBot="1">
      <c r="B19" s="5"/>
      <c r="C19" s="418">
        <v>6</v>
      </c>
      <c r="D19" s="24"/>
      <c r="E19" s="24"/>
      <c r="F19" s="24"/>
      <c r="G19" s="24"/>
      <c r="H19" s="24"/>
      <c r="I19" s="24">
        <f t="shared" si="0"/>
        <v>0</v>
      </c>
      <c r="J19" s="66"/>
      <c r="K19" s="6"/>
    </row>
    <row r="20" spans="2:11" ht="23.25" customHeight="1" thickBot="1">
      <c r="B20" s="5"/>
      <c r="C20" s="662"/>
      <c r="D20" s="1769" t="s">
        <v>875</v>
      </c>
      <c r="E20" s="1769"/>
      <c r="F20" s="1770"/>
      <c r="G20" s="664">
        <f>SUM(G14:G17)</f>
        <v>0</v>
      </c>
      <c r="H20" s="664"/>
      <c r="I20" s="664">
        <f>SUM(I14:I19)</f>
        <v>0</v>
      </c>
      <c r="J20" s="665"/>
      <c r="K20" s="6"/>
    </row>
    <row r="21" spans="2:11">
      <c r="B21" s="5"/>
      <c r="C21" s="1"/>
      <c r="D21" s="1"/>
      <c r="E21" s="1"/>
      <c r="F21" s="1"/>
      <c r="G21" s="1"/>
      <c r="H21" s="1"/>
      <c r="I21" s="1"/>
      <c r="J21" s="1"/>
      <c r="K21" s="6"/>
    </row>
    <row r="22" spans="2:11">
      <c r="B22" s="5"/>
      <c r="C22" s="1"/>
      <c r="D22" s="1"/>
      <c r="E22" s="1"/>
      <c r="F22" s="1"/>
      <c r="G22" s="1"/>
      <c r="H22" s="1"/>
      <c r="I22" s="1"/>
      <c r="J22" s="1"/>
      <c r="K22" s="6"/>
    </row>
    <row r="23" spans="2:11">
      <c r="B23" s="5"/>
      <c r="C23" s="1"/>
      <c r="D23" s="1"/>
      <c r="E23" s="1"/>
      <c r="F23" s="1"/>
      <c r="G23" s="1"/>
      <c r="H23" s="1"/>
      <c r="I23" s="1"/>
      <c r="J23" s="1"/>
      <c r="K23" s="6"/>
    </row>
    <row r="24" spans="2:11">
      <c r="B24" s="5"/>
      <c r="C24" s="1"/>
      <c r="D24" s="1"/>
      <c r="E24" s="1"/>
      <c r="F24" s="1"/>
      <c r="G24" s="1"/>
      <c r="H24" s="1"/>
      <c r="I24" s="1"/>
      <c r="J24" s="1"/>
      <c r="K24" s="6"/>
    </row>
    <row r="25" spans="2:11">
      <c r="B25" s="5"/>
      <c r="C25" s="1"/>
      <c r="D25" s="1"/>
      <c r="E25" s="1"/>
      <c r="F25" s="1"/>
      <c r="G25" s="1"/>
      <c r="H25" s="1"/>
      <c r="I25" s="1"/>
      <c r="J25" s="1"/>
      <c r="K25" s="6"/>
    </row>
    <row r="26" spans="2:11">
      <c r="B26" s="5"/>
      <c r="C26" s="1"/>
      <c r="D26" s="1"/>
      <c r="E26" s="1"/>
      <c r="F26" s="1"/>
      <c r="G26" s="1"/>
      <c r="H26" s="1"/>
      <c r="I26" s="1"/>
      <c r="J26" s="1"/>
      <c r="K26" s="6"/>
    </row>
    <row r="27" spans="2:11">
      <c r="B27" s="5"/>
      <c r="C27" s="1"/>
      <c r="D27" s="1"/>
      <c r="E27" s="1"/>
      <c r="F27" s="1"/>
      <c r="G27" s="1"/>
      <c r="H27" s="1"/>
      <c r="I27" s="1"/>
      <c r="J27" s="1"/>
      <c r="K27" s="6"/>
    </row>
    <row r="28" spans="2:11">
      <c r="B28" s="5"/>
      <c r="C28" s="1"/>
      <c r="D28" s="1"/>
      <c r="E28" s="1"/>
      <c r="F28" s="1"/>
      <c r="G28" s="1"/>
      <c r="H28" s="1"/>
      <c r="I28" s="1"/>
      <c r="J28" s="1"/>
      <c r="K28" s="6"/>
    </row>
    <row r="29" spans="2:11">
      <c r="B29" s="5"/>
      <c r="C29" s="1"/>
      <c r="D29" s="1"/>
      <c r="E29" s="1"/>
      <c r="F29" s="1"/>
      <c r="G29" s="1"/>
      <c r="H29" s="1"/>
      <c r="I29" s="1"/>
      <c r="J29" s="1"/>
      <c r="K29" s="6"/>
    </row>
    <row r="30" spans="2:11">
      <c r="B30" s="5"/>
      <c r="C30" s="1"/>
      <c r="D30" s="1"/>
      <c r="E30" s="1"/>
      <c r="F30" s="1"/>
      <c r="G30" s="1"/>
      <c r="H30" s="1"/>
      <c r="I30" s="1"/>
      <c r="J30" s="1"/>
      <c r="K30" s="6"/>
    </row>
    <row r="31" spans="2:11">
      <c r="B31" s="5"/>
      <c r="C31" s="1"/>
      <c r="D31" s="1"/>
      <c r="E31" s="1"/>
      <c r="F31" s="1"/>
      <c r="G31" s="1"/>
      <c r="H31" s="1"/>
      <c r="I31" s="1"/>
      <c r="J31" s="1"/>
      <c r="K31" s="6"/>
    </row>
    <row r="32" spans="2:11">
      <c r="B32" s="5"/>
      <c r="C32" s="1"/>
      <c r="D32" s="1"/>
      <c r="E32" s="1"/>
      <c r="F32" s="1"/>
      <c r="G32" s="1"/>
      <c r="H32" s="1"/>
      <c r="I32" s="1"/>
      <c r="J32" s="1"/>
      <c r="K32" s="6"/>
    </row>
    <row r="33" spans="2:11">
      <c r="B33" s="5"/>
      <c r="C33" s="1"/>
      <c r="D33" s="1"/>
      <c r="E33" s="1"/>
      <c r="F33" s="1"/>
      <c r="G33" s="1"/>
      <c r="H33" s="1"/>
      <c r="I33" s="1"/>
      <c r="J33" s="1"/>
      <c r="K33" s="6"/>
    </row>
    <row r="34" spans="2:11">
      <c r="B34" s="5"/>
      <c r="C34" s="1"/>
      <c r="D34" s="1"/>
      <c r="E34" s="1"/>
      <c r="F34" s="1"/>
      <c r="G34" s="1"/>
      <c r="H34" s="1"/>
      <c r="I34" s="1"/>
      <c r="J34" s="1"/>
      <c r="K34" s="6"/>
    </row>
    <row r="35" spans="2:11">
      <c r="B35" s="5"/>
      <c r="C35" s="1"/>
      <c r="D35" s="1"/>
      <c r="E35" s="1"/>
      <c r="F35" s="1"/>
      <c r="G35" s="1"/>
      <c r="H35" s="1"/>
      <c r="I35" s="1"/>
      <c r="J35" s="1"/>
      <c r="K35" s="6"/>
    </row>
    <row r="36" spans="2:11">
      <c r="B36" s="5"/>
      <c r="C36" s="1"/>
      <c r="D36" s="1"/>
      <c r="E36" s="1"/>
      <c r="F36" s="1"/>
      <c r="G36" s="1"/>
      <c r="H36" s="1"/>
      <c r="I36" s="1"/>
      <c r="J36" s="1"/>
      <c r="K36" s="6"/>
    </row>
    <row r="37" spans="2:11">
      <c r="B37" s="5"/>
      <c r="C37" s="1"/>
      <c r="D37" s="1"/>
      <c r="E37" s="1"/>
      <c r="F37" s="1"/>
      <c r="G37" s="1"/>
      <c r="H37" s="1"/>
      <c r="I37" s="1"/>
      <c r="J37" s="1"/>
      <c r="K37" s="6"/>
    </row>
    <row r="38" spans="2:11">
      <c r="B38" s="5"/>
      <c r="C38" s="1"/>
      <c r="D38" s="1"/>
      <c r="E38" s="1"/>
      <c r="F38" s="1"/>
      <c r="G38" s="1"/>
      <c r="H38" s="1"/>
      <c r="I38" s="1"/>
      <c r="J38" s="1"/>
      <c r="K38" s="6"/>
    </row>
    <row r="39" spans="2:11">
      <c r="B39" s="5"/>
      <c r="C39" s="1"/>
      <c r="D39" s="1"/>
      <c r="E39" s="1"/>
      <c r="F39" s="1"/>
      <c r="G39" s="1"/>
      <c r="H39" s="1"/>
      <c r="I39" s="1"/>
      <c r="J39" s="1"/>
      <c r="K39" s="6"/>
    </row>
    <row r="40" spans="2:11">
      <c r="B40" s="5"/>
      <c r="C40" s="1"/>
      <c r="D40" s="1"/>
      <c r="E40" s="1"/>
      <c r="F40" s="1"/>
      <c r="G40" s="1"/>
      <c r="H40" s="1"/>
      <c r="I40" s="1"/>
      <c r="J40" s="1"/>
      <c r="K40" s="6"/>
    </row>
    <row r="41" spans="2:11" ht="13.5" thickBot="1">
      <c r="B41" s="7"/>
      <c r="C41" s="8"/>
      <c r="D41" s="8"/>
      <c r="E41" s="8"/>
      <c r="F41" s="8"/>
      <c r="G41" s="8"/>
      <c r="H41" s="8"/>
      <c r="I41" s="8"/>
      <c r="J41" s="8"/>
      <c r="K41" s="9"/>
    </row>
  </sheetData>
  <mergeCells count="2">
    <mergeCell ref="C6:J6"/>
    <mergeCell ref="D20:F20"/>
  </mergeCells>
  <phoneticPr fontId="7" type="noConversion"/>
  <pageMargins left="0.25" right="0.25" top="0.25" bottom="0.25" header="0.25" footer="0.2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F53" sqref="A1:F53"/>
    </sheetView>
  </sheetViews>
  <sheetFormatPr defaultRowHeight="12.75"/>
  <cols>
    <col min="1" max="1" width="4.42578125" customWidth="1"/>
    <col min="2" max="2" width="5.42578125" customWidth="1"/>
    <col min="3" max="3" width="45.5703125" customWidth="1"/>
    <col min="4" max="4" width="8.28515625" customWidth="1"/>
    <col min="5" max="5" width="15.140625" style="74" customWidth="1"/>
    <col min="6" max="6" width="17.42578125" style="74" customWidth="1"/>
    <col min="7" max="7" width="11" customWidth="1"/>
    <col min="8" max="8" width="10.28515625" bestFit="1" customWidth="1"/>
  </cols>
  <sheetData>
    <row r="1" spans="1:7" ht="15">
      <c r="A1" s="10"/>
      <c r="B1" s="10"/>
      <c r="C1" s="10"/>
      <c r="D1" s="10"/>
      <c r="E1" s="421" t="str">
        <f>'Kopertina '!F4</f>
        <v>Ameti</v>
      </c>
      <c r="F1" s="77"/>
    </row>
    <row r="2" spans="1:7" ht="15.75">
      <c r="A2" s="10"/>
      <c r="B2" s="1720" t="s">
        <v>0</v>
      </c>
      <c r="C2" s="1720"/>
      <c r="D2" s="1720"/>
      <c r="E2" s="1720"/>
      <c r="F2" s="78">
        <f>'Kopertina '!F29</f>
        <v>2011</v>
      </c>
    </row>
    <row r="3" spans="1:7" ht="15" thickBot="1">
      <c r="A3" s="10"/>
      <c r="B3" s="10"/>
      <c r="C3" s="10"/>
      <c r="D3" s="10"/>
      <c r="E3" s="77"/>
      <c r="F3" s="77"/>
    </row>
    <row r="4" spans="1:7" ht="18.75" customHeight="1">
      <c r="A4" s="10"/>
      <c r="B4" s="1725" t="s">
        <v>1</v>
      </c>
      <c r="C4" s="1725" t="s">
        <v>2</v>
      </c>
      <c r="D4" s="1721" t="s">
        <v>834</v>
      </c>
      <c r="E4" s="1723" t="s">
        <v>867</v>
      </c>
      <c r="F4" s="1723" t="s">
        <v>833</v>
      </c>
    </row>
    <row r="5" spans="1:7" ht="19.5" customHeight="1" thickBot="1">
      <c r="A5" s="10"/>
      <c r="B5" s="1726"/>
      <c r="C5" s="1726"/>
      <c r="D5" s="1722"/>
      <c r="E5" s="1724"/>
      <c r="F5" s="1724"/>
    </row>
    <row r="6" spans="1:7" ht="18.75" customHeight="1">
      <c r="A6" s="10"/>
      <c r="B6" s="474" t="s">
        <v>4</v>
      </c>
      <c r="C6" s="475" t="s">
        <v>5</v>
      </c>
      <c r="D6" s="476"/>
      <c r="E6" s="477">
        <f>E7+E10+E11+E21+E30+E32+E31</f>
        <v>521587998.13551325</v>
      </c>
      <c r="F6" s="1531">
        <f>F7+F10+F11+F21+F30+F32+F31</f>
        <v>495321815.80000001</v>
      </c>
    </row>
    <row r="7" spans="1:7" ht="15">
      <c r="A7" s="10"/>
      <c r="B7" s="14"/>
      <c r="C7" s="464" t="s">
        <v>8</v>
      </c>
      <c r="D7" s="465"/>
      <c r="E7" s="466">
        <f>E8+E9</f>
        <v>2480561.8326999997</v>
      </c>
      <c r="F7" s="469">
        <f>F8+F9</f>
        <v>1188175</v>
      </c>
    </row>
    <row r="8" spans="1:7" ht="15">
      <c r="A8" s="10"/>
      <c r="B8" s="14"/>
      <c r="C8" s="13" t="s">
        <v>7</v>
      </c>
      <c r="D8" s="193" t="s">
        <v>116</v>
      </c>
      <c r="E8" s="198">
        <f>'A1'!F12</f>
        <v>0</v>
      </c>
      <c r="F8" s="199"/>
    </row>
    <row r="9" spans="1:7" ht="15">
      <c r="A9" s="10"/>
      <c r="B9" s="14"/>
      <c r="C9" s="13" t="s">
        <v>6</v>
      </c>
      <c r="D9" s="193" t="s">
        <v>117</v>
      </c>
      <c r="E9" s="198">
        <f>+'A2'!I32</f>
        <v>2480561.8326999997</v>
      </c>
      <c r="F9" s="199">
        <v>1188175</v>
      </c>
    </row>
    <row r="10" spans="1:7" ht="14.25">
      <c r="A10" s="10"/>
      <c r="B10" s="14"/>
      <c r="C10" s="467" t="s">
        <v>9</v>
      </c>
      <c r="D10" s="468"/>
      <c r="E10" s="466"/>
      <c r="F10" s="469"/>
    </row>
    <row r="11" spans="1:7" ht="14.25">
      <c r="A11" s="10"/>
      <c r="B11" s="14"/>
      <c r="C11" s="467" t="s">
        <v>12</v>
      </c>
      <c r="D11" s="468"/>
      <c r="E11" s="466">
        <f>E12+E13+E14+E15+E16+E17+E18+E19</f>
        <v>514474151.88469732</v>
      </c>
      <c r="F11" s="469">
        <f>F12+F13+F14+F15+F16+F17+F18+F19</f>
        <v>459127374</v>
      </c>
    </row>
    <row r="12" spans="1:7" ht="15">
      <c r="A12" s="10"/>
      <c r="B12" s="14"/>
      <c r="C12" s="13" t="s">
        <v>257</v>
      </c>
      <c r="D12" s="193" t="s">
        <v>118</v>
      </c>
      <c r="E12" s="1530">
        <f>+'C1'!G52</f>
        <v>513356125.10590392</v>
      </c>
      <c r="F12" s="199">
        <v>445069642</v>
      </c>
    </row>
    <row r="13" spans="1:7" ht="15">
      <c r="A13" s="10"/>
      <c r="B13" s="14"/>
      <c r="C13" s="13" t="s">
        <v>258</v>
      </c>
      <c r="D13" s="193" t="s">
        <v>119</v>
      </c>
      <c r="E13" s="1518">
        <f>'C2'!G22</f>
        <v>0</v>
      </c>
      <c r="F13" s="1519">
        <v>7882815</v>
      </c>
      <c r="G13" t="s">
        <v>2132</v>
      </c>
    </row>
    <row r="14" spans="1:7" ht="15">
      <c r="A14" s="10"/>
      <c r="B14" s="14"/>
      <c r="C14" s="13" t="s">
        <v>2061</v>
      </c>
      <c r="D14" s="193" t="s">
        <v>120</v>
      </c>
      <c r="E14" s="198">
        <f>+IF('C3'!F36&gt;0,0,-'C3'!F36)</f>
        <v>1118026.7787934178</v>
      </c>
      <c r="F14" s="199">
        <v>5974917</v>
      </c>
      <c r="G14" s="689">
        <f>+F14-'C3'!F28</f>
        <v>4178963</v>
      </c>
    </row>
    <row r="15" spans="1:7" ht="15">
      <c r="A15" s="10"/>
      <c r="B15" s="14"/>
      <c r="C15" s="13" t="s">
        <v>11</v>
      </c>
      <c r="D15" s="194" t="s">
        <v>130</v>
      </c>
      <c r="E15" s="198"/>
      <c r="F15" s="199">
        <v>200000</v>
      </c>
      <c r="G15" t="s">
        <v>2133</v>
      </c>
    </row>
    <row r="16" spans="1:7" ht="14.25">
      <c r="A16" s="10"/>
      <c r="B16" s="14"/>
      <c r="C16" s="13" t="s">
        <v>10</v>
      </c>
      <c r="D16" s="195" t="s">
        <v>466</v>
      </c>
      <c r="E16" s="198">
        <v>0</v>
      </c>
      <c r="F16" s="199"/>
    </row>
    <row r="17" spans="1:8" ht="14.25">
      <c r="A17" s="10"/>
      <c r="B17" s="14"/>
      <c r="C17" s="13" t="s">
        <v>2108</v>
      </c>
      <c r="D17" s="195" t="s">
        <v>466</v>
      </c>
      <c r="E17" s="198"/>
      <c r="F17" s="199"/>
    </row>
    <row r="18" spans="1:8" ht="14.25">
      <c r="A18" s="10"/>
      <c r="B18" s="14"/>
      <c r="C18" s="13" t="s">
        <v>259</v>
      </c>
      <c r="D18" s="195" t="s">
        <v>466</v>
      </c>
      <c r="E18" s="198"/>
      <c r="F18" s="199"/>
    </row>
    <row r="19" spans="1:8" ht="15">
      <c r="A19" s="10"/>
      <c r="B19" s="14"/>
      <c r="C19" s="13"/>
      <c r="D19" s="193"/>
      <c r="E19" s="198"/>
      <c r="F19" s="199"/>
    </row>
    <row r="20" spans="1:8" ht="15">
      <c r="A20" s="10"/>
      <c r="B20" s="14"/>
      <c r="C20" s="13"/>
      <c r="D20" s="193"/>
      <c r="E20" s="198"/>
      <c r="F20" s="199"/>
    </row>
    <row r="21" spans="1:8" ht="15">
      <c r="A21" s="10"/>
      <c r="B21" s="14"/>
      <c r="C21" s="464" t="s">
        <v>13</v>
      </c>
      <c r="D21" s="465"/>
      <c r="E21" s="470">
        <f>E22+E23+E24+E25+E26+E27+E28+E29</f>
        <v>46670.400000000001</v>
      </c>
      <c r="F21" s="471">
        <f>F22+F23+F24+F25+F26+F27+F28+F29</f>
        <v>23963494.800000001</v>
      </c>
    </row>
    <row r="22" spans="1:8" ht="15">
      <c r="A22" s="10"/>
      <c r="B22" s="14"/>
      <c r="C22" s="13" t="s">
        <v>14</v>
      </c>
      <c r="D22" s="193" t="s">
        <v>121</v>
      </c>
      <c r="E22" s="1518">
        <f>'D1'!I41</f>
        <v>0</v>
      </c>
      <c r="F22" s="199"/>
    </row>
    <row r="23" spans="1:8" ht="15">
      <c r="A23" s="10"/>
      <c r="B23" s="14"/>
      <c r="C23" s="13" t="s">
        <v>286</v>
      </c>
      <c r="D23" s="193" t="s">
        <v>122</v>
      </c>
      <c r="E23" s="1518"/>
      <c r="F23" s="199">
        <v>19969579</v>
      </c>
    </row>
    <row r="24" spans="1:8" ht="15">
      <c r="A24" s="10"/>
      <c r="B24" s="14"/>
      <c r="C24" s="13" t="s">
        <v>15</v>
      </c>
      <c r="D24" s="193" t="s">
        <v>123</v>
      </c>
      <c r="E24" s="1518">
        <f>'D3'!H43</f>
        <v>0</v>
      </c>
      <c r="F24" s="199"/>
    </row>
    <row r="25" spans="1:8" ht="15">
      <c r="A25" s="10"/>
      <c r="B25" s="14"/>
      <c r="C25" s="13" t="s">
        <v>16</v>
      </c>
      <c r="D25" s="193" t="s">
        <v>127</v>
      </c>
      <c r="E25" s="1518">
        <f>'D4'!H52</f>
        <v>0</v>
      </c>
      <c r="F25" s="199"/>
    </row>
    <row r="26" spans="1:8" ht="15">
      <c r="A26" s="10"/>
      <c r="B26" s="14"/>
      <c r="C26" s="13" t="s">
        <v>283</v>
      </c>
      <c r="D26" s="194" t="s">
        <v>128</v>
      </c>
      <c r="E26" s="1518">
        <f>'D5-'!I20</f>
        <v>0</v>
      </c>
      <c r="F26" s="199"/>
    </row>
    <row r="27" spans="1:8" ht="15">
      <c r="A27" s="10"/>
      <c r="B27" s="14"/>
      <c r="C27" s="192" t="s">
        <v>376</v>
      </c>
      <c r="D27" s="194" t="s">
        <v>795</v>
      </c>
      <c r="E27" s="1518">
        <v>0</v>
      </c>
      <c r="F27" s="199"/>
    </row>
    <row r="28" spans="1:8" ht="15">
      <c r="A28" s="10"/>
      <c r="B28" s="14"/>
      <c r="C28" s="13" t="s">
        <v>885</v>
      </c>
      <c r="D28" s="193"/>
      <c r="E28" s="1518">
        <f>E23*0.2</f>
        <v>0</v>
      </c>
      <c r="F28" s="199">
        <f>+F23*0.2</f>
        <v>3993915.8000000003</v>
      </c>
    </row>
    <row r="29" spans="1:8" ht="15">
      <c r="A29" s="10"/>
      <c r="B29" s="14"/>
      <c r="C29" s="13" t="s">
        <v>2126</v>
      </c>
      <c r="D29" s="194" t="s">
        <v>2127</v>
      </c>
      <c r="E29" s="198">
        <f>+'D4-'!H56</f>
        <v>46670.400000000001</v>
      </c>
      <c r="F29" s="199"/>
    </row>
    <row r="30" spans="1:8" ht="15">
      <c r="A30" s="10"/>
      <c r="B30" s="14"/>
      <c r="C30" s="464" t="s">
        <v>262</v>
      </c>
      <c r="D30" s="465"/>
      <c r="E30" s="470">
        <v>0</v>
      </c>
      <c r="F30" s="471">
        <v>0</v>
      </c>
    </row>
    <row r="31" spans="1:8" ht="15">
      <c r="A31" s="10"/>
      <c r="B31" s="14"/>
      <c r="C31" s="472" t="s">
        <v>17</v>
      </c>
      <c r="D31" s="465" t="s">
        <v>124</v>
      </c>
      <c r="E31" s="466"/>
      <c r="F31" s="469"/>
      <c r="G31" s="113"/>
      <c r="H31" s="113"/>
    </row>
    <row r="32" spans="1:8" ht="15">
      <c r="A32" s="10"/>
      <c r="B32" s="14"/>
      <c r="C32" s="472" t="s">
        <v>18</v>
      </c>
      <c r="D32" s="465" t="s">
        <v>125</v>
      </c>
      <c r="E32" s="466">
        <f>'E2'!G49</f>
        <v>4586614.0181159433</v>
      </c>
      <c r="F32" s="469">
        <v>11042772</v>
      </c>
      <c r="G32" s="113"/>
      <c r="H32" s="113"/>
    </row>
    <row r="33" spans="1:8" ht="18.75" customHeight="1">
      <c r="A33" s="10"/>
      <c r="B33" s="478" t="s">
        <v>19</v>
      </c>
      <c r="C33" s="479" t="s">
        <v>20</v>
      </c>
      <c r="D33" s="480"/>
      <c r="E33" s="481">
        <f>E34+E38+E44+E49+E50+E45</f>
        <v>1373079.04</v>
      </c>
      <c r="F33" s="482">
        <f>F34+F38+F44+F49+F50</f>
        <v>1492391.3</v>
      </c>
      <c r="G33" s="113"/>
      <c r="H33" s="113"/>
    </row>
    <row r="34" spans="1:8" ht="15">
      <c r="A34" s="10"/>
      <c r="B34" s="14"/>
      <c r="C34" s="464" t="s">
        <v>263</v>
      </c>
      <c r="D34" s="465"/>
      <c r="E34" s="466">
        <f>E35+E36+E37</f>
        <v>0</v>
      </c>
      <c r="F34" s="469">
        <f>F35+F36+F37</f>
        <v>0</v>
      </c>
      <c r="G34" s="113"/>
      <c r="H34" s="113"/>
    </row>
    <row r="35" spans="1:8" ht="14.25">
      <c r="A35" s="10"/>
      <c r="B35" s="14"/>
      <c r="C35" s="17" t="s">
        <v>264</v>
      </c>
      <c r="D35" s="195" t="s">
        <v>466</v>
      </c>
      <c r="E35" s="198"/>
      <c r="F35" s="199"/>
      <c r="G35" s="113"/>
      <c r="H35" s="113"/>
    </row>
    <row r="36" spans="1:8" ht="14.25">
      <c r="A36" s="10"/>
      <c r="B36" s="14"/>
      <c r="C36" s="17" t="s">
        <v>265</v>
      </c>
      <c r="D36" s="195" t="s">
        <v>466</v>
      </c>
      <c r="E36" s="198"/>
      <c r="F36" s="199"/>
    </row>
    <row r="37" spans="1:8" ht="14.25">
      <c r="A37" s="10"/>
      <c r="B37" s="14"/>
      <c r="C37" s="17" t="s">
        <v>266</v>
      </c>
      <c r="D37" s="195" t="s">
        <v>466</v>
      </c>
      <c r="E37" s="198"/>
      <c r="F37" s="199"/>
    </row>
    <row r="38" spans="1:8" ht="15">
      <c r="A38" s="10"/>
      <c r="B38" s="14"/>
      <c r="C38" s="464" t="s">
        <v>21</v>
      </c>
      <c r="D38" s="465"/>
      <c r="E38" s="466">
        <f>E39+E40+E41+E42</f>
        <v>1373079.04</v>
      </c>
      <c r="F38" s="469">
        <f>F39+F40+F41+F42</f>
        <v>1492391.3</v>
      </c>
      <c r="G38" s="689">
        <f>+F38-E38-'Ardh e shp - natyres'!E22+S!P53</f>
        <v>0</v>
      </c>
    </row>
    <row r="39" spans="1:8" ht="15">
      <c r="A39" s="10"/>
      <c r="B39" s="14"/>
      <c r="C39" s="13" t="s">
        <v>22</v>
      </c>
      <c r="D39" s="193" t="s">
        <v>161</v>
      </c>
      <c r="E39" s="198">
        <f>U!O9</f>
        <v>0</v>
      </c>
      <c r="F39" s="199">
        <f>U!K8</f>
        <v>0</v>
      </c>
    </row>
    <row r="40" spans="1:8" ht="15">
      <c r="A40" s="10"/>
      <c r="B40" s="14"/>
      <c r="C40" s="13" t="s">
        <v>23</v>
      </c>
      <c r="D40" s="193" t="s">
        <v>161</v>
      </c>
      <c r="E40" s="198">
        <f>U!O13</f>
        <v>0</v>
      </c>
      <c r="F40" s="199">
        <f>U!K13</f>
        <v>0</v>
      </c>
    </row>
    <row r="41" spans="1:8" ht="15">
      <c r="A41" s="10"/>
      <c r="B41" s="14"/>
      <c r="C41" s="13" t="s">
        <v>24</v>
      </c>
      <c r="D41" s="193" t="s">
        <v>161</v>
      </c>
      <c r="E41" s="198">
        <f>+U!O25+U!O32</f>
        <v>970846</v>
      </c>
      <c r="F41" s="199">
        <f>+U!K25+U!K32</f>
        <v>989600</v>
      </c>
    </row>
    <row r="42" spans="1:8" ht="15">
      <c r="A42" s="10"/>
      <c r="B42" s="14"/>
      <c r="C42" s="13" t="s">
        <v>25</v>
      </c>
      <c r="D42" s="193" t="s">
        <v>161</v>
      </c>
      <c r="E42" s="198">
        <f>U!O38</f>
        <v>402233.04000000004</v>
      </c>
      <c r="F42" s="199">
        <f>U!K38</f>
        <v>502791.30000000005</v>
      </c>
    </row>
    <row r="43" spans="1:8" ht="15">
      <c r="A43" s="10"/>
      <c r="B43" s="14"/>
      <c r="C43" s="13"/>
      <c r="D43" s="193"/>
      <c r="E43" s="198"/>
      <c r="F43" s="199"/>
    </row>
    <row r="44" spans="1:8" ht="15">
      <c r="A44" s="10"/>
      <c r="B44" s="14"/>
      <c r="C44" s="464" t="s">
        <v>26</v>
      </c>
      <c r="D44" s="473" t="s">
        <v>466</v>
      </c>
      <c r="E44" s="466"/>
      <c r="F44" s="469"/>
    </row>
    <row r="45" spans="1:8" ht="15">
      <c r="A45" s="10"/>
      <c r="B45" s="14"/>
      <c r="C45" s="464" t="s">
        <v>27</v>
      </c>
      <c r="D45" s="473" t="s">
        <v>466</v>
      </c>
      <c r="E45" s="466">
        <f>E46+E47+E48</f>
        <v>0</v>
      </c>
      <c r="F45" s="469">
        <f>F46+F47+F48</f>
        <v>0</v>
      </c>
    </row>
    <row r="46" spans="1:8" ht="14.25">
      <c r="A46" s="10"/>
      <c r="B46" s="14"/>
      <c r="C46" s="17" t="s">
        <v>267</v>
      </c>
      <c r="D46" s="195" t="s">
        <v>466</v>
      </c>
      <c r="E46" s="198"/>
      <c r="F46" s="199"/>
    </row>
    <row r="47" spans="1:8" ht="14.25">
      <c r="A47" s="10"/>
      <c r="B47" s="14"/>
      <c r="C47" s="17" t="s">
        <v>268</v>
      </c>
      <c r="D47" s="195" t="s">
        <v>466</v>
      </c>
      <c r="E47" s="198"/>
      <c r="F47" s="199"/>
    </row>
    <row r="48" spans="1:8" ht="14.25">
      <c r="A48" s="10"/>
      <c r="B48" s="14"/>
      <c r="C48" s="17" t="s">
        <v>269</v>
      </c>
      <c r="D48" s="195" t="s">
        <v>466</v>
      </c>
      <c r="E48" s="198"/>
      <c r="F48" s="199"/>
    </row>
    <row r="49" spans="1:6" ht="15">
      <c r="A49" s="10"/>
      <c r="B49" s="14"/>
      <c r="C49" s="464" t="s">
        <v>28</v>
      </c>
      <c r="D49" s="473" t="s">
        <v>466</v>
      </c>
      <c r="E49" s="466"/>
      <c r="F49" s="469"/>
    </row>
    <row r="50" spans="1:6" ht="15">
      <c r="A50" s="10"/>
      <c r="B50" s="14"/>
      <c r="C50" s="464" t="s">
        <v>29</v>
      </c>
      <c r="D50" s="473" t="s">
        <v>466</v>
      </c>
      <c r="E50" s="466"/>
      <c r="F50" s="469"/>
    </row>
    <row r="51" spans="1:6" ht="14.25">
      <c r="A51" s="10"/>
      <c r="B51" s="14"/>
      <c r="C51" s="13"/>
      <c r="D51" s="196"/>
      <c r="E51" s="198"/>
      <c r="F51" s="199"/>
    </row>
    <row r="52" spans="1:6" ht="21.75" customHeight="1">
      <c r="A52" s="10"/>
      <c r="B52" s="483"/>
      <c r="C52" s="484" t="s">
        <v>95</v>
      </c>
      <c r="D52" s="485"/>
      <c r="E52" s="1281">
        <f>E6+E33</f>
        <v>522961077.17551327</v>
      </c>
      <c r="F52" s="1532">
        <f>F6+F33</f>
        <v>496814207.10000002</v>
      </c>
    </row>
    <row r="53" spans="1:6" ht="15" thickBot="1">
      <c r="A53" s="10"/>
      <c r="B53" s="15"/>
      <c r="C53" s="16"/>
      <c r="D53" s="197"/>
      <c r="E53" s="201"/>
      <c r="F53" s="202"/>
    </row>
  </sheetData>
  <mergeCells count="6">
    <mergeCell ref="B2:E2"/>
    <mergeCell ref="D4:D5"/>
    <mergeCell ref="E4:E5"/>
    <mergeCell ref="F4:F5"/>
    <mergeCell ref="C4:C5"/>
    <mergeCell ref="B4:B5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B3:K24"/>
  <sheetViews>
    <sheetView workbookViewId="0">
      <selection activeCell="K24" sqref="A1:K24"/>
    </sheetView>
  </sheetViews>
  <sheetFormatPr defaultRowHeight="12.75"/>
  <cols>
    <col min="3" max="3" width="4.42578125" customWidth="1"/>
    <col min="9" max="9" width="13.85546875" style="113" customWidth="1"/>
    <col min="10" max="10" width="19.28515625" customWidth="1"/>
  </cols>
  <sheetData>
    <row r="3" spans="2:11">
      <c r="B3" s="2"/>
      <c r="C3" s="49"/>
      <c r="D3" s="49"/>
      <c r="E3" s="49"/>
      <c r="F3" s="49"/>
      <c r="G3" s="2"/>
      <c r="H3" s="2"/>
      <c r="I3" s="115"/>
      <c r="J3" s="2"/>
    </row>
    <row r="4" spans="2:11">
      <c r="B4" s="2" t="s">
        <v>131</v>
      </c>
      <c r="C4" s="2" t="str">
        <f>'Kopertina '!F4</f>
        <v>Ameti</v>
      </c>
      <c r="D4" s="2"/>
      <c r="E4" s="2"/>
      <c r="F4" s="2"/>
      <c r="G4" s="2"/>
      <c r="H4" s="2"/>
      <c r="I4" s="115"/>
      <c r="J4" s="2"/>
    </row>
    <row r="5" spans="2:11">
      <c r="B5" s="1"/>
      <c r="C5" s="1"/>
      <c r="D5" s="1"/>
      <c r="E5" s="1"/>
      <c r="F5" s="1"/>
      <c r="G5" s="2"/>
      <c r="H5" s="2"/>
      <c r="I5" s="115"/>
      <c r="J5" s="2"/>
      <c r="K5" s="2" t="s">
        <v>128</v>
      </c>
    </row>
    <row r="6" spans="2:11">
      <c r="B6" s="1"/>
      <c r="C6" s="1741" t="s">
        <v>2130</v>
      </c>
      <c r="D6" s="1741"/>
      <c r="E6" s="1741"/>
      <c r="F6" s="1741"/>
      <c r="G6" s="1741"/>
      <c r="H6" s="1741"/>
      <c r="I6" s="1741"/>
      <c r="J6" s="1741"/>
    </row>
    <row r="7" spans="2:11">
      <c r="B7" s="1"/>
      <c r="C7" s="1"/>
      <c r="D7" s="1"/>
      <c r="E7" s="1"/>
      <c r="F7" s="1"/>
      <c r="G7" s="1"/>
      <c r="H7" s="1"/>
      <c r="I7" s="98"/>
      <c r="J7" s="2">
        <f>'Kopertina '!F29</f>
        <v>2011</v>
      </c>
      <c r="K7" s="21"/>
    </row>
    <row r="8" spans="2:11" ht="13.5" thickBot="1">
      <c r="B8" s="1"/>
      <c r="C8" s="1"/>
      <c r="D8" s="1"/>
      <c r="E8" s="1"/>
      <c r="F8" s="1"/>
      <c r="G8" s="1"/>
      <c r="H8" s="1"/>
      <c r="I8" s="98"/>
      <c r="J8" s="1"/>
    </row>
    <row r="9" spans="2:11">
      <c r="B9" s="18"/>
      <c r="C9" s="19"/>
      <c r="D9" s="19"/>
      <c r="E9" s="19"/>
      <c r="F9" s="19"/>
      <c r="G9" s="19"/>
      <c r="H9" s="19"/>
      <c r="I9" s="117"/>
      <c r="J9" s="19"/>
      <c r="K9" s="20"/>
    </row>
    <row r="10" spans="2:11">
      <c r="B10" s="5"/>
      <c r="C10" s="1"/>
      <c r="D10" s="1"/>
      <c r="E10" s="1"/>
      <c r="F10" s="1"/>
      <c r="G10" s="1"/>
      <c r="H10" s="1"/>
      <c r="I10" s="98"/>
      <c r="J10" s="1"/>
      <c r="K10" s="6"/>
    </row>
    <row r="11" spans="2:11" ht="13.5" thickBot="1">
      <c r="B11" s="5"/>
      <c r="C11" s="1"/>
      <c r="D11" s="1"/>
      <c r="E11" s="1"/>
      <c r="F11" s="1"/>
      <c r="G11" s="1"/>
      <c r="H11" s="1"/>
      <c r="I11" s="98"/>
      <c r="J11" s="1"/>
      <c r="K11" s="6"/>
    </row>
    <row r="12" spans="2:11" ht="13.5" thickBot="1">
      <c r="B12" s="5"/>
      <c r="C12" s="294" t="s">
        <v>1</v>
      </c>
      <c r="D12" s="217" t="s">
        <v>343</v>
      </c>
      <c r="E12" s="295"/>
      <c r="F12" s="296" t="s">
        <v>342</v>
      </c>
      <c r="G12" s="297" t="s">
        <v>344</v>
      </c>
      <c r="H12" s="297" t="s">
        <v>347</v>
      </c>
      <c r="I12" s="1524" t="s">
        <v>344</v>
      </c>
      <c r="J12" s="297" t="s">
        <v>94</v>
      </c>
      <c r="K12" s="6"/>
    </row>
    <row r="13" spans="2:11" ht="13.5" thickBot="1">
      <c r="B13" s="5"/>
      <c r="C13" s="298"/>
      <c r="D13" s="299" t="s">
        <v>1</v>
      </c>
      <c r="E13" s="299" t="s">
        <v>220</v>
      </c>
      <c r="F13" s="300"/>
      <c r="G13" s="301" t="s">
        <v>346</v>
      </c>
      <c r="H13" s="301" t="s">
        <v>348</v>
      </c>
      <c r="I13" s="1525" t="s">
        <v>345</v>
      </c>
      <c r="J13" s="301" t="s">
        <v>482</v>
      </c>
      <c r="K13" s="6"/>
    </row>
    <row r="14" spans="2:11">
      <c r="B14" s="5"/>
      <c r="C14" s="55">
        <v>1</v>
      </c>
      <c r="D14" s="40"/>
      <c r="E14" s="69"/>
      <c r="F14" s="69" t="s">
        <v>1363</v>
      </c>
      <c r="G14" s="67"/>
      <c r="H14" s="67"/>
      <c r="I14" s="118">
        <v>46670.400000000001</v>
      </c>
      <c r="J14" s="70"/>
      <c r="K14" s="6"/>
    </row>
    <row r="15" spans="2:11">
      <c r="B15" s="5"/>
      <c r="C15" s="31">
        <v>2</v>
      </c>
      <c r="D15" s="24"/>
      <c r="E15" s="71"/>
      <c r="F15" s="71"/>
      <c r="G15" s="68"/>
      <c r="H15" s="68"/>
      <c r="I15" s="118"/>
      <c r="J15" s="72"/>
      <c r="K15" s="6"/>
    </row>
    <row r="16" spans="2:11">
      <c r="B16" s="5"/>
      <c r="C16" s="31">
        <v>3</v>
      </c>
      <c r="D16" s="24"/>
      <c r="E16" s="71"/>
      <c r="F16" s="71"/>
      <c r="G16" s="68"/>
      <c r="H16" s="68"/>
      <c r="I16" s="118"/>
      <c r="J16" s="72"/>
      <c r="K16" s="6"/>
    </row>
    <row r="17" spans="2:11">
      <c r="B17" s="5"/>
      <c r="C17" s="31">
        <v>4</v>
      </c>
      <c r="D17" s="24"/>
      <c r="E17" s="71"/>
      <c r="F17" s="24"/>
      <c r="G17" s="68"/>
      <c r="H17" s="68"/>
      <c r="I17" s="118"/>
      <c r="J17" s="72"/>
      <c r="K17" s="6"/>
    </row>
    <row r="18" spans="2:11">
      <c r="B18" s="5"/>
      <c r="C18" s="31">
        <v>5</v>
      </c>
      <c r="D18" s="24"/>
      <c r="E18" s="71"/>
      <c r="F18" s="24"/>
      <c r="G18" s="68"/>
      <c r="H18" s="68"/>
      <c r="I18" s="118"/>
      <c r="J18" s="66"/>
      <c r="K18" s="6"/>
    </row>
    <row r="19" spans="2:11" ht="13.5" thickBot="1">
      <c r="B19" s="5"/>
      <c r="C19" s="418">
        <v>6</v>
      </c>
      <c r="D19" s="1526"/>
      <c r="E19" s="1526"/>
      <c r="F19" s="1526"/>
      <c r="G19" s="1526"/>
      <c r="H19" s="1526"/>
      <c r="I19" s="187"/>
      <c r="J19" s="1527"/>
      <c r="K19" s="6"/>
    </row>
    <row r="20" spans="2:11" ht="13.5" thickBot="1">
      <c r="B20" s="5"/>
      <c r="C20" s="1771" t="s">
        <v>2131</v>
      </c>
      <c r="D20" s="1772"/>
      <c r="E20" s="1772"/>
      <c r="F20" s="1772"/>
      <c r="G20" s="1772"/>
      <c r="H20" s="1772"/>
      <c r="I20" s="1528">
        <f>SUM(I14:I19)</f>
        <v>46670.400000000001</v>
      </c>
      <c r="J20" s="1529"/>
      <c r="K20" s="6"/>
    </row>
    <row r="21" spans="2:11">
      <c r="B21" s="5"/>
      <c r="C21" s="1"/>
      <c r="D21" s="1"/>
      <c r="E21" s="1"/>
      <c r="F21" s="1"/>
      <c r="G21" s="1"/>
      <c r="H21" s="1"/>
      <c r="I21" s="98"/>
      <c r="J21" s="1"/>
      <c r="K21" s="6"/>
    </row>
    <row r="22" spans="2:11">
      <c r="B22" s="5"/>
      <c r="C22" s="1"/>
      <c r="D22" s="1"/>
      <c r="E22" s="1"/>
      <c r="F22" s="1"/>
      <c r="G22" s="1"/>
      <c r="H22" s="1"/>
      <c r="I22" s="98"/>
      <c r="J22" s="1"/>
      <c r="K22" s="6"/>
    </row>
    <row r="23" spans="2:11">
      <c r="B23" s="5"/>
      <c r="C23" s="1"/>
      <c r="D23" s="1"/>
      <c r="E23" s="1"/>
      <c r="F23" s="1"/>
      <c r="G23" s="1"/>
      <c r="H23" s="1"/>
      <c r="I23" s="98"/>
      <c r="J23" s="1"/>
      <c r="K23" s="6"/>
    </row>
    <row r="24" spans="2:11" ht="13.5" thickBot="1">
      <c r="B24" s="7"/>
      <c r="C24" s="8"/>
      <c r="D24" s="8"/>
      <c r="E24" s="8"/>
      <c r="F24" s="8"/>
      <c r="G24" s="8"/>
      <c r="H24" s="8"/>
      <c r="I24" s="121"/>
      <c r="J24" s="8"/>
      <c r="K24" s="9"/>
    </row>
  </sheetData>
  <mergeCells count="2">
    <mergeCell ref="C6:J6"/>
    <mergeCell ref="C20:H20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FFCC"/>
  </sheetPr>
  <dimension ref="B1:J33"/>
  <sheetViews>
    <sheetView workbookViewId="0">
      <selection activeCell="I32" sqref="A1:I32"/>
    </sheetView>
  </sheetViews>
  <sheetFormatPr defaultRowHeight="12.75"/>
  <cols>
    <col min="1" max="1" width="5.42578125" customWidth="1"/>
    <col min="2" max="6" width="10.140625" customWidth="1"/>
    <col min="7" max="7" width="11.140625" style="113" customWidth="1"/>
    <col min="8" max="9" width="10.140625" customWidth="1"/>
  </cols>
  <sheetData>
    <row r="1" spans="2:10" ht="21" customHeight="1" thickBot="1"/>
    <row r="2" spans="2:10" ht="21" customHeight="1">
      <c r="B2" s="1112"/>
      <c r="C2" s="1113"/>
      <c r="D2" s="1113"/>
      <c r="E2" s="1113"/>
      <c r="F2" s="1113"/>
      <c r="G2" s="1114"/>
      <c r="H2" s="1113"/>
      <c r="I2" s="1115"/>
      <c r="J2" s="1"/>
    </row>
    <row r="3" spans="2:10" ht="21" customHeight="1">
      <c r="B3" s="442"/>
      <c r="C3" s="443"/>
      <c r="D3" s="443"/>
      <c r="E3" s="443"/>
      <c r="F3" s="443"/>
      <c r="G3" s="1110"/>
      <c r="H3" s="443"/>
      <c r="I3" s="445"/>
      <c r="J3" s="1"/>
    </row>
    <row r="4" spans="2:10" ht="21" customHeight="1">
      <c r="B4" s="442"/>
      <c r="C4" s="443"/>
      <c r="D4" s="443"/>
      <c r="E4" s="443"/>
      <c r="F4" s="443"/>
      <c r="G4" s="1110"/>
      <c r="H4" s="443"/>
      <c r="I4" s="445"/>
      <c r="J4" s="1"/>
    </row>
    <row r="5" spans="2:10" ht="21" customHeight="1">
      <c r="B5" s="442"/>
      <c r="C5" s="1711" t="s">
        <v>805</v>
      </c>
      <c r="D5" s="1711"/>
      <c r="E5" s="1711"/>
      <c r="F5" s="1711"/>
      <c r="G5" s="1711"/>
      <c r="H5" s="1711"/>
      <c r="I5" s="445"/>
      <c r="J5" s="1"/>
    </row>
    <row r="6" spans="2:10" ht="21" customHeight="1">
      <c r="B6" s="442"/>
      <c r="C6" s="443"/>
      <c r="D6" s="443"/>
      <c r="E6" s="443"/>
      <c r="F6" s="443"/>
      <c r="G6" s="1110"/>
      <c r="H6" s="443"/>
      <c r="I6" s="445"/>
      <c r="J6" s="1"/>
    </row>
    <row r="7" spans="2:10" ht="21" customHeight="1">
      <c r="B7" s="442"/>
      <c r="C7" s="1116" t="s">
        <v>806</v>
      </c>
      <c r="D7" s="443"/>
      <c r="E7" s="443"/>
      <c r="F7" s="443"/>
      <c r="G7" s="1110"/>
      <c r="H7" s="443"/>
      <c r="I7" s="445"/>
      <c r="J7" s="1"/>
    </row>
    <row r="8" spans="2:10" ht="21" customHeight="1">
      <c r="B8" s="442"/>
      <c r="C8" s="350" t="s">
        <v>1688</v>
      </c>
      <c r="D8" s="56"/>
      <c r="E8" s="56"/>
      <c r="F8" s="56"/>
      <c r="G8" s="172">
        <v>29665515.940000001</v>
      </c>
      <c r="H8" s="443"/>
      <c r="I8" s="445"/>
      <c r="J8" s="1"/>
    </row>
    <row r="9" spans="2:10" ht="21" customHeight="1">
      <c r="B9" s="442"/>
      <c r="C9" s="443"/>
      <c r="D9" s="443"/>
      <c r="E9" s="443"/>
      <c r="F9" s="443"/>
      <c r="G9" s="1110"/>
      <c r="H9" s="443"/>
      <c r="I9" s="445"/>
      <c r="J9" s="1"/>
    </row>
    <row r="10" spans="2:10" ht="21" customHeight="1">
      <c r="B10" s="442"/>
      <c r="C10" s="1116" t="s">
        <v>1689</v>
      </c>
      <c r="D10" s="443"/>
      <c r="E10" s="443"/>
      <c r="F10" s="443"/>
      <c r="G10" s="1110"/>
      <c r="H10" s="443"/>
      <c r="I10" s="445"/>
      <c r="J10" s="1"/>
    </row>
    <row r="11" spans="2:10" ht="21" customHeight="1">
      <c r="B11" s="442"/>
      <c r="C11" s="350" t="s">
        <v>1688</v>
      </c>
      <c r="D11" s="56"/>
      <c r="E11" s="56"/>
      <c r="F11" s="56"/>
      <c r="G11" s="172">
        <v>28249342.75</v>
      </c>
      <c r="H11" s="443"/>
      <c r="I11" s="445"/>
      <c r="J11" s="1"/>
    </row>
    <row r="12" spans="2:10" ht="21" customHeight="1">
      <c r="B12" s="442"/>
      <c r="C12" s="1116"/>
      <c r="D12" s="443"/>
      <c r="E12" s="443"/>
      <c r="F12" s="443"/>
      <c r="G12" s="1110"/>
      <c r="H12" s="443"/>
      <c r="I12" s="445"/>
      <c r="J12" s="1"/>
    </row>
    <row r="13" spans="2:10" ht="21" customHeight="1" thickBot="1">
      <c r="B13" s="442"/>
      <c r="C13" s="443"/>
      <c r="D13" s="443"/>
      <c r="E13" s="443"/>
      <c r="F13" s="443"/>
      <c r="G13" s="1110"/>
      <c r="H13" s="443"/>
      <c r="I13" s="445"/>
      <c r="J13" s="1"/>
    </row>
    <row r="14" spans="2:10" ht="21" customHeight="1" thickBot="1">
      <c r="B14" s="442"/>
      <c r="C14" s="1773" t="s">
        <v>807</v>
      </c>
      <c r="D14" s="1773"/>
      <c r="E14" s="1773"/>
      <c r="F14" s="434"/>
      <c r="G14" s="1118">
        <f>+G11</f>
        <v>28249342.75</v>
      </c>
      <c r="H14" s="443"/>
      <c r="I14" s="445"/>
      <c r="J14" s="1"/>
    </row>
    <row r="15" spans="2:10" ht="21" customHeight="1">
      <c r="B15" s="442"/>
      <c r="C15" s="443"/>
      <c r="D15" s="443"/>
      <c r="E15" s="443"/>
      <c r="F15" s="443"/>
      <c r="G15" s="1110"/>
      <c r="H15" s="443"/>
      <c r="I15" s="445"/>
      <c r="J15" s="1"/>
    </row>
    <row r="16" spans="2:10" ht="21" customHeight="1">
      <c r="B16" s="442"/>
      <c r="C16" s="443"/>
      <c r="D16" s="443"/>
      <c r="E16" s="443"/>
      <c r="F16" s="443"/>
      <c r="G16" s="1110"/>
      <c r="H16" s="443"/>
      <c r="I16" s="445"/>
      <c r="J16" s="1"/>
    </row>
    <row r="17" spans="2:10" ht="21" customHeight="1">
      <c r="B17" s="442"/>
      <c r="C17" s="443"/>
      <c r="D17" s="443"/>
      <c r="E17" s="443"/>
      <c r="F17" s="443"/>
      <c r="G17" s="1110"/>
      <c r="H17" s="443"/>
      <c r="I17" s="445"/>
      <c r="J17" s="1"/>
    </row>
    <row r="18" spans="2:10" ht="21" customHeight="1">
      <c r="B18" s="442"/>
      <c r="C18" s="443"/>
      <c r="D18" s="443"/>
      <c r="E18" s="443"/>
      <c r="F18" s="443"/>
      <c r="G18" s="1110"/>
      <c r="H18" s="443"/>
      <c r="I18" s="445"/>
      <c r="J18" s="1"/>
    </row>
    <row r="19" spans="2:10" ht="21" customHeight="1">
      <c r="B19" s="442"/>
      <c r="C19" s="443"/>
      <c r="D19" s="443"/>
      <c r="E19" s="443"/>
      <c r="F19" s="443"/>
      <c r="G19" s="1110"/>
      <c r="H19" s="443"/>
      <c r="I19" s="445"/>
      <c r="J19" s="1"/>
    </row>
    <row r="20" spans="2:10" ht="21" customHeight="1">
      <c r="B20" s="442"/>
      <c r="C20" s="443"/>
      <c r="D20" s="443"/>
      <c r="E20" s="443"/>
      <c r="F20" s="443"/>
      <c r="G20" s="1110"/>
      <c r="H20" s="443"/>
      <c r="I20" s="445"/>
      <c r="J20" s="1"/>
    </row>
    <row r="21" spans="2:10" ht="21" customHeight="1">
      <c r="B21" s="442"/>
      <c r="C21" s="443"/>
      <c r="D21" s="443"/>
      <c r="E21" s="443"/>
      <c r="F21" s="443"/>
      <c r="G21" s="1110"/>
      <c r="H21" s="443"/>
      <c r="I21" s="445"/>
      <c r="J21" s="1"/>
    </row>
    <row r="22" spans="2:10" ht="21" customHeight="1">
      <c r="B22" s="442"/>
      <c r="C22" s="443"/>
      <c r="D22" s="443"/>
      <c r="E22" s="443"/>
      <c r="F22" s="443"/>
      <c r="G22" s="1110"/>
      <c r="H22" s="443"/>
      <c r="I22" s="445"/>
      <c r="J22" s="1"/>
    </row>
    <row r="23" spans="2:10" ht="21" customHeight="1">
      <c r="B23" s="442"/>
      <c r="C23" s="443"/>
      <c r="D23" s="443"/>
      <c r="E23" s="443"/>
      <c r="F23" s="443"/>
      <c r="G23" s="1110"/>
      <c r="H23" s="443"/>
      <c r="I23" s="445"/>
      <c r="J23" s="1"/>
    </row>
    <row r="24" spans="2:10" ht="21" customHeight="1">
      <c r="B24" s="442"/>
      <c r="C24" s="443"/>
      <c r="D24" s="443"/>
      <c r="E24" s="443"/>
      <c r="F24" s="443"/>
      <c r="G24" s="1110"/>
      <c r="H24" s="443"/>
      <c r="I24" s="445"/>
      <c r="J24" s="1"/>
    </row>
    <row r="25" spans="2:10" ht="21" customHeight="1">
      <c r="B25" s="442"/>
      <c r="C25" s="443"/>
      <c r="D25" s="443"/>
      <c r="E25" s="443"/>
      <c r="F25" s="443"/>
      <c r="G25" s="1110"/>
      <c r="H25" s="443"/>
      <c r="I25" s="445"/>
      <c r="J25" s="1"/>
    </row>
    <row r="26" spans="2:10" ht="21" customHeight="1">
      <c r="B26" s="442"/>
      <c r="C26" s="443"/>
      <c r="D26" s="443"/>
      <c r="E26" s="443"/>
      <c r="F26" s="443"/>
      <c r="G26" s="1110"/>
      <c r="H26" s="443"/>
      <c r="I26" s="445"/>
      <c r="J26" s="1"/>
    </row>
    <row r="27" spans="2:10" ht="21" customHeight="1">
      <c r="B27" s="442"/>
      <c r="C27" s="443"/>
      <c r="D27" s="443"/>
      <c r="E27" s="443"/>
      <c r="F27" s="443"/>
      <c r="G27" s="1110"/>
      <c r="H27" s="443"/>
      <c r="I27" s="445"/>
      <c r="J27" s="1"/>
    </row>
    <row r="28" spans="2:10" ht="21" customHeight="1">
      <c r="B28" s="442"/>
      <c r="C28" s="443"/>
      <c r="D28" s="443"/>
      <c r="E28" s="443"/>
      <c r="F28" s="443"/>
      <c r="G28" s="1110"/>
      <c r="H28" s="443"/>
      <c r="I28" s="445"/>
      <c r="J28" s="1"/>
    </row>
    <row r="29" spans="2:10" ht="21" customHeight="1">
      <c r="B29" s="442"/>
      <c r="C29" s="443"/>
      <c r="D29" s="443"/>
      <c r="E29" s="443"/>
      <c r="F29" s="443"/>
      <c r="G29" s="1110"/>
      <c r="H29" s="443"/>
      <c r="I29" s="445"/>
      <c r="J29" s="1"/>
    </row>
    <row r="30" spans="2:10" ht="21" customHeight="1">
      <c r="B30" s="442"/>
      <c r="C30" s="443"/>
      <c r="D30" s="443"/>
      <c r="E30" s="443"/>
      <c r="F30" s="443"/>
      <c r="G30" s="1110"/>
      <c r="H30" s="443"/>
      <c r="I30" s="445"/>
      <c r="J30" s="1"/>
    </row>
    <row r="31" spans="2:10" ht="21" customHeight="1">
      <c r="B31" s="442"/>
      <c r="C31" s="443"/>
      <c r="D31" s="443"/>
      <c r="E31" s="443"/>
      <c r="F31" s="443"/>
      <c r="G31" s="1110"/>
      <c r="H31" s="443"/>
      <c r="I31" s="445"/>
      <c r="J31" s="1"/>
    </row>
    <row r="32" spans="2:10" ht="21" customHeight="1" thickBot="1">
      <c r="B32" s="446"/>
      <c r="C32" s="447"/>
      <c r="D32" s="447"/>
      <c r="E32" s="447"/>
      <c r="F32" s="447"/>
      <c r="G32" s="1117"/>
      <c r="H32" s="447"/>
      <c r="I32" s="448"/>
      <c r="J32" s="1"/>
    </row>
    <row r="33" spans="2:10">
      <c r="B33" s="1"/>
      <c r="C33" s="1"/>
      <c r="D33" s="1"/>
      <c r="E33" s="1"/>
      <c r="F33" s="1"/>
      <c r="G33" s="98"/>
      <c r="H33" s="1"/>
      <c r="I33" s="1"/>
      <c r="J33" s="1"/>
    </row>
  </sheetData>
  <mergeCells count="2">
    <mergeCell ref="C5:H5"/>
    <mergeCell ref="C14:E1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FFCC"/>
  </sheetPr>
  <dimension ref="B1:O37"/>
  <sheetViews>
    <sheetView workbookViewId="0">
      <selection activeCell="G37" sqref="A1:G37"/>
    </sheetView>
  </sheetViews>
  <sheetFormatPr defaultRowHeight="12.75"/>
  <cols>
    <col min="1" max="1" width="2.42578125" customWidth="1"/>
    <col min="2" max="7" width="14.140625" customWidth="1"/>
    <col min="14" max="14" width="11.28515625" bestFit="1" customWidth="1"/>
  </cols>
  <sheetData>
    <row r="1" spans="2:14" ht="18.75" customHeight="1"/>
    <row r="2" spans="2:14" ht="18.75" customHeight="1">
      <c r="B2" s="892"/>
      <c r="C2" s="892"/>
      <c r="D2" s="892"/>
      <c r="E2" s="892"/>
      <c r="F2" s="892"/>
      <c r="G2" s="892"/>
    </row>
    <row r="3" spans="2:14" ht="18.75" customHeight="1">
      <c r="B3" s="892"/>
      <c r="C3" s="892"/>
      <c r="D3" s="892"/>
      <c r="E3" s="892"/>
      <c r="F3" s="892"/>
      <c r="G3" s="892"/>
    </row>
    <row r="4" spans="2:14" ht="18.75" customHeight="1">
      <c r="B4" s="892"/>
      <c r="C4" s="892"/>
      <c r="D4" s="892"/>
      <c r="E4" s="892"/>
      <c r="F4" s="892"/>
      <c r="G4" s="892"/>
    </row>
    <row r="5" spans="2:14" ht="18.75" customHeight="1">
      <c r="B5" s="892"/>
      <c r="C5" s="1774" t="s">
        <v>835</v>
      </c>
      <c r="D5" s="1774"/>
      <c r="E5" s="1774"/>
      <c r="F5" s="1774"/>
      <c r="G5" s="1774"/>
    </row>
    <row r="6" spans="2:14" ht="18.75" customHeight="1">
      <c r="B6" s="892"/>
      <c r="C6" s="892"/>
      <c r="D6" s="892"/>
      <c r="E6" s="892"/>
      <c r="F6" s="892"/>
      <c r="G6" s="892"/>
      <c r="I6" s="85"/>
      <c r="J6" s="85"/>
      <c r="K6" s="85"/>
      <c r="L6" s="85"/>
      <c r="M6" s="85"/>
      <c r="N6" s="85"/>
    </row>
    <row r="7" spans="2:14" ht="18.75" customHeight="1">
      <c r="B7" s="892"/>
      <c r="C7" s="892"/>
      <c r="D7" s="892"/>
      <c r="E7" s="892"/>
      <c r="F7" s="893"/>
      <c r="G7" s="892"/>
      <c r="I7" s="85"/>
      <c r="J7" s="1778"/>
      <c r="K7" s="1778"/>
      <c r="L7" s="1778"/>
      <c r="M7" s="85"/>
      <c r="N7" s="791"/>
    </row>
    <row r="8" spans="2:14" ht="18.75" customHeight="1">
      <c r="B8" s="892"/>
      <c r="C8" s="1778" t="s">
        <v>1680</v>
      </c>
      <c r="D8" s="1778"/>
      <c r="E8" s="1778"/>
      <c r="F8" s="791">
        <v>40500672</v>
      </c>
      <c r="G8" s="892"/>
      <c r="I8" s="85"/>
      <c r="J8" s="1778"/>
      <c r="K8" s="1778"/>
      <c r="L8" s="1778"/>
      <c r="M8" s="85"/>
      <c r="N8" s="791"/>
    </row>
    <row r="9" spans="2:14" ht="18.75" customHeight="1">
      <c r="B9" s="892"/>
      <c r="C9" s="1778" t="s">
        <v>1683</v>
      </c>
      <c r="D9" s="1778"/>
      <c r="E9" s="1778"/>
      <c r="F9" s="791">
        <v>4056250</v>
      </c>
      <c r="G9" s="892"/>
      <c r="I9" s="85"/>
      <c r="J9" s="1778"/>
      <c r="K9" s="1778"/>
      <c r="L9" s="1778"/>
      <c r="M9" s="85"/>
      <c r="N9" s="791"/>
    </row>
    <row r="10" spans="2:14" ht="18.75" customHeight="1">
      <c r="B10" s="892"/>
      <c r="C10" s="1778" t="s">
        <v>1681</v>
      </c>
      <c r="D10" s="1778"/>
      <c r="E10" s="1778"/>
      <c r="F10" s="1111">
        <f>+F8-F9</f>
        <v>36444422</v>
      </c>
      <c r="G10" s="892"/>
      <c r="I10" s="85"/>
      <c r="J10" s="85"/>
      <c r="K10" s="85"/>
      <c r="L10" s="85"/>
      <c r="M10" s="85"/>
      <c r="N10" s="85"/>
    </row>
    <row r="11" spans="2:14" ht="18.75" customHeight="1">
      <c r="B11" s="892"/>
      <c r="C11" s="1777"/>
      <c r="D11" s="1777"/>
      <c r="E11" s="1777"/>
      <c r="F11" s="1110"/>
      <c r="G11" s="892"/>
      <c r="I11" s="85"/>
      <c r="J11" s="85"/>
      <c r="K11" s="85"/>
      <c r="L11" s="85"/>
      <c r="M11" s="85"/>
      <c r="N11" s="85"/>
    </row>
    <row r="12" spans="2:14" ht="18.75" customHeight="1">
      <c r="B12" s="892"/>
      <c r="C12" s="1777"/>
      <c r="D12" s="1777"/>
      <c r="E12" s="1777"/>
      <c r="F12" s="1110"/>
      <c r="G12" s="892"/>
      <c r="I12" s="85"/>
      <c r="J12" s="85"/>
      <c r="K12" s="85"/>
      <c r="L12" s="85"/>
      <c r="M12" s="85"/>
      <c r="N12" s="85"/>
    </row>
    <row r="13" spans="2:14" ht="18.75" customHeight="1">
      <c r="B13" s="892"/>
      <c r="C13" s="1108"/>
      <c r="D13" s="1108"/>
      <c r="E13" s="1108"/>
      <c r="F13" s="893"/>
      <c r="G13" s="892"/>
      <c r="I13" s="85"/>
      <c r="J13" s="85"/>
      <c r="K13" s="85"/>
      <c r="L13" s="85"/>
      <c r="M13" s="85"/>
      <c r="N13" s="85"/>
    </row>
    <row r="14" spans="2:14" ht="18.75" customHeight="1">
      <c r="B14" s="892"/>
      <c r="C14" s="1776"/>
      <c r="D14" s="1776"/>
      <c r="E14" s="1776"/>
      <c r="F14" s="892"/>
      <c r="G14" s="892"/>
      <c r="I14" s="85"/>
      <c r="J14" s="85"/>
      <c r="K14" s="85"/>
      <c r="L14" s="85"/>
      <c r="M14" s="85"/>
      <c r="N14" s="85"/>
    </row>
    <row r="15" spans="2:14" ht="18.75" customHeight="1">
      <c r="B15" s="892"/>
      <c r="C15" s="1776"/>
      <c r="D15" s="1776"/>
      <c r="E15" s="1776"/>
      <c r="F15" s="1109"/>
      <c r="G15" s="892"/>
      <c r="I15" s="85"/>
      <c r="J15" s="85"/>
      <c r="K15" s="85"/>
      <c r="L15" s="85"/>
      <c r="M15" s="85"/>
      <c r="N15" s="85"/>
    </row>
    <row r="16" spans="2:14" ht="18.75" customHeight="1">
      <c r="B16" s="892"/>
      <c r="C16" s="892"/>
      <c r="D16" s="892"/>
      <c r="E16" s="892"/>
      <c r="F16" s="892"/>
      <c r="G16" s="892"/>
      <c r="I16" s="85"/>
      <c r="J16" s="1778"/>
      <c r="K16" s="1778"/>
      <c r="L16" s="1778"/>
      <c r="M16" s="85"/>
      <c r="N16" s="791"/>
    </row>
    <row r="17" spans="2:15" ht="18.75" customHeight="1">
      <c r="B17" s="892"/>
      <c r="C17" s="892"/>
      <c r="D17" s="892"/>
      <c r="E17" s="892"/>
      <c r="F17" s="892"/>
      <c r="G17" s="892"/>
      <c r="I17" s="85"/>
      <c r="J17" s="1778"/>
      <c r="K17" s="1778"/>
      <c r="L17" s="1778"/>
      <c r="M17" s="85"/>
      <c r="N17" s="85"/>
    </row>
    <row r="18" spans="2:15" ht="18.75" customHeight="1">
      <c r="B18" s="892"/>
      <c r="C18" s="1107"/>
      <c r="D18" s="1107"/>
      <c r="E18" s="1107"/>
      <c r="F18" s="893"/>
      <c r="G18" s="892"/>
      <c r="I18" s="85"/>
      <c r="J18" s="1778"/>
      <c r="K18" s="1778"/>
      <c r="L18" s="1778"/>
      <c r="M18" s="85"/>
      <c r="N18" s="732"/>
    </row>
    <row r="19" spans="2:15" ht="18.75" customHeight="1">
      <c r="B19" s="892"/>
      <c r="C19" s="892"/>
      <c r="D19" s="892"/>
      <c r="E19" s="892"/>
      <c r="F19" s="893"/>
      <c r="G19" s="892"/>
      <c r="I19" s="85"/>
      <c r="J19" s="85"/>
      <c r="K19" s="85"/>
      <c r="L19" s="85"/>
      <c r="M19" s="85"/>
      <c r="N19" s="85"/>
    </row>
    <row r="20" spans="2:15" ht="18.75" customHeight="1">
      <c r="B20" s="892"/>
      <c r="C20" s="1108"/>
      <c r="D20" s="1107"/>
      <c r="E20" s="1107"/>
      <c r="F20" s="893"/>
      <c r="G20" s="892"/>
      <c r="I20" s="85"/>
      <c r="J20" s="85"/>
      <c r="K20" s="85"/>
      <c r="L20" s="85"/>
      <c r="M20" s="85"/>
      <c r="N20" s="85"/>
    </row>
    <row r="21" spans="2:15" ht="18.75" customHeight="1">
      <c r="B21" s="892"/>
      <c r="C21" s="1776"/>
      <c r="D21" s="1780"/>
      <c r="E21" s="1780"/>
      <c r="F21" s="893"/>
      <c r="G21" s="892"/>
      <c r="I21" s="85"/>
      <c r="J21" s="85"/>
      <c r="K21" s="85"/>
      <c r="L21" s="85"/>
      <c r="M21" s="85"/>
      <c r="N21" s="85"/>
    </row>
    <row r="22" spans="2:15" ht="18.75" customHeight="1">
      <c r="B22" s="892"/>
      <c r="C22" s="1776"/>
      <c r="D22" s="1780"/>
      <c r="E22" s="1780"/>
      <c r="F22" s="893"/>
      <c r="G22" s="892"/>
      <c r="I22" s="85"/>
      <c r="J22" s="1778"/>
      <c r="K22" s="1779"/>
      <c r="L22" s="1779"/>
      <c r="M22" s="85"/>
      <c r="N22" s="791"/>
    </row>
    <row r="23" spans="2:15" ht="18.75" customHeight="1">
      <c r="B23" s="892"/>
      <c r="C23" s="892"/>
      <c r="D23" s="892"/>
      <c r="E23" s="892"/>
      <c r="F23" s="892"/>
      <c r="G23" s="892"/>
      <c r="I23" s="85"/>
      <c r="J23" s="1778"/>
      <c r="K23" s="1779"/>
      <c r="L23" s="1779"/>
      <c r="M23" s="85"/>
      <c r="N23" s="791"/>
    </row>
    <row r="24" spans="2:15" ht="18.75" customHeight="1">
      <c r="B24" s="892"/>
      <c r="C24" s="1108"/>
      <c r="D24" s="1107"/>
      <c r="E24" s="1107"/>
      <c r="F24" s="893"/>
      <c r="G24" s="892"/>
      <c r="I24" s="85"/>
      <c r="J24" s="1778"/>
      <c r="K24" s="1779"/>
      <c r="L24" s="1779"/>
      <c r="M24" s="85"/>
      <c r="N24" s="791"/>
    </row>
    <row r="25" spans="2:15" ht="18.75" customHeight="1">
      <c r="B25" s="892"/>
      <c r="C25" s="1776"/>
      <c r="D25" s="1780"/>
      <c r="E25" s="1780"/>
      <c r="F25" s="893"/>
      <c r="G25" s="892"/>
      <c r="I25" s="85"/>
      <c r="J25" s="85"/>
      <c r="K25" s="85"/>
      <c r="L25" s="85"/>
      <c r="M25" s="85"/>
      <c r="N25" s="85"/>
    </row>
    <row r="26" spans="2:15" ht="18.75" customHeight="1">
      <c r="B26" s="892"/>
      <c r="C26" s="1776"/>
      <c r="D26" s="1780"/>
      <c r="E26" s="1780"/>
      <c r="F26" s="893"/>
      <c r="G26" s="892"/>
      <c r="I26" s="85"/>
      <c r="J26" s="85"/>
      <c r="K26" s="85"/>
      <c r="L26" s="85"/>
      <c r="M26" s="85"/>
      <c r="N26" s="85"/>
    </row>
    <row r="27" spans="2:15" ht="18.75" customHeight="1">
      <c r="B27" s="892"/>
      <c r="C27" s="892"/>
      <c r="D27" s="892"/>
      <c r="E27" s="892"/>
      <c r="F27" s="893"/>
      <c r="G27" s="892"/>
      <c r="I27" s="85"/>
      <c r="J27" s="85"/>
      <c r="K27" s="85"/>
      <c r="L27" s="85"/>
      <c r="M27" s="85"/>
      <c r="N27" s="85"/>
    </row>
    <row r="28" spans="2:15" ht="18.75" customHeight="1">
      <c r="B28" s="892"/>
      <c r="C28" s="892"/>
      <c r="D28" s="892"/>
      <c r="E28" s="892"/>
      <c r="F28" s="893"/>
      <c r="G28" s="892"/>
      <c r="I28" s="85"/>
      <c r="J28" s="85"/>
      <c r="K28" s="85"/>
      <c r="L28" s="85"/>
      <c r="M28" s="85"/>
      <c r="N28" s="85"/>
    </row>
    <row r="29" spans="2:15" ht="18.75" customHeight="1" thickBot="1">
      <c r="B29" s="892"/>
      <c r="C29" s="892"/>
      <c r="D29" s="892"/>
      <c r="E29" s="892"/>
      <c r="F29" s="893"/>
      <c r="G29" s="892"/>
      <c r="I29" s="85"/>
      <c r="J29" s="1778"/>
      <c r="K29" s="1779"/>
      <c r="L29" s="1779"/>
      <c r="M29" s="85"/>
      <c r="N29" s="791"/>
      <c r="O29" s="85"/>
    </row>
    <row r="30" spans="2:15" ht="18.75" customHeight="1" thickBot="1">
      <c r="B30" s="892"/>
      <c r="C30" s="1775" t="s">
        <v>663</v>
      </c>
      <c r="D30" s="1775"/>
      <c r="E30" s="1775"/>
      <c r="F30" s="1118">
        <f>+F10+F15+F22</f>
        <v>36444422</v>
      </c>
      <c r="G30" s="892"/>
      <c r="J30" s="1778"/>
      <c r="K30" s="1779"/>
      <c r="L30" s="1779"/>
      <c r="M30" s="85"/>
      <c r="N30" s="85"/>
      <c r="O30" s="85"/>
    </row>
    <row r="31" spans="2:15" ht="18.75" customHeight="1">
      <c r="B31" s="892"/>
      <c r="C31" s="892"/>
      <c r="D31" s="892"/>
      <c r="E31" s="892"/>
      <c r="F31" s="893"/>
      <c r="G31" s="892"/>
      <c r="J31" s="1778"/>
      <c r="K31" s="1779"/>
      <c r="L31" s="1779"/>
      <c r="M31" s="85"/>
      <c r="N31" s="85"/>
      <c r="O31" s="85"/>
    </row>
    <row r="32" spans="2:15" ht="18.75" customHeight="1">
      <c r="B32" s="892"/>
      <c r="C32" s="892"/>
      <c r="D32" s="892"/>
      <c r="E32" s="892"/>
      <c r="F32" s="893"/>
      <c r="G32" s="892"/>
    </row>
    <row r="33" spans="2:7" ht="18.75" customHeight="1">
      <c r="B33" s="892"/>
      <c r="C33" s="892"/>
      <c r="D33" s="892"/>
      <c r="E33" s="892"/>
      <c r="F33" s="893"/>
      <c r="G33" s="892"/>
    </row>
    <row r="34" spans="2:7" ht="18.75" customHeight="1">
      <c r="B34" s="892"/>
      <c r="C34" s="892"/>
      <c r="D34" s="892"/>
      <c r="E34" s="892"/>
      <c r="F34" s="893"/>
      <c r="G34" s="892"/>
    </row>
    <row r="35" spans="2:7" ht="18.75" customHeight="1">
      <c r="B35" s="892"/>
      <c r="C35" s="892"/>
      <c r="D35" s="892"/>
      <c r="E35" s="892"/>
      <c r="F35" s="892"/>
      <c r="G35" s="892"/>
    </row>
    <row r="36" spans="2:7" ht="18.75" customHeight="1">
      <c r="B36" s="892"/>
      <c r="C36" s="892"/>
      <c r="D36" s="892"/>
      <c r="E36" s="892"/>
      <c r="F36" s="892"/>
      <c r="G36" s="892"/>
    </row>
    <row r="37" spans="2:7" ht="18.75" customHeight="1">
      <c r="B37" s="892"/>
      <c r="C37" s="892"/>
      <c r="D37" s="892"/>
      <c r="E37" s="892"/>
      <c r="F37" s="892"/>
      <c r="G37" s="892"/>
    </row>
  </sheetData>
  <mergeCells count="25">
    <mergeCell ref="J30:L30"/>
    <mergeCell ref="J31:L31"/>
    <mergeCell ref="C8:E8"/>
    <mergeCell ref="C14:E14"/>
    <mergeCell ref="C21:E21"/>
    <mergeCell ref="C22:E22"/>
    <mergeCell ref="C25:E25"/>
    <mergeCell ref="C26:E26"/>
    <mergeCell ref="J7:L7"/>
    <mergeCell ref="J16:L16"/>
    <mergeCell ref="J22:L22"/>
    <mergeCell ref="J29:L29"/>
    <mergeCell ref="J8:L8"/>
    <mergeCell ref="J9:L9"/>
    <mergeCell ref="J17:L17"/>
    <mergeCell ref="J18:L18"/>
    <mergeCell ref="J23:L23"/>
    <mergeCell ref="J24:L24"/>
    <mergeCell ref="C5:G5"/>
    <mergeCell ref="C30:E30"/>
    <mergeCell ref="C15:E15"/>
    <mergeCell ref="C12:E12"/>
    <mergeCell ref="C11:E11"/>
    <mergeCell ref="C10:E10"/>
    <mergeCell ref="C9:E9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FFCC"/>
  </sheetPr>
  <dimension ref="B1:M42"/>
  <sheetViews>
    <sheetView workbookViewId="0">
      <selection activeCell="G34" sqref="A1:G34"/>
    </sheetView>
  </sheetViews>
  <sheetFormatPr defaultRowHeight="12.75"/>
  <cols>
    <col min="1" max="1" width="2.140625" customWidth="1"/>
    <col min="2" max="7" width="14.42578125" customWidth="1"/>
    <col min="9" max="12" width="11.140625" style="113" customWidth="1"/>
  </cols>
  <sheetData>
    <row r="1" spans="2:13" ht="18.75" customHeight="1"/>
    <row r="2" spans="2:13" ht="18.75" customHeight="1" thickBot="1">
      <c r="B2" s="892"/>
      <c r="C2" s="892"/>
      <c r="D2" s="892"/>
      <c r="E2" s="892"/>
      <c r="F2" s="892"/>
      <c r="G2" s="892"/>
    </row>
    <row r="3" spans="2:13" ht="18.75" customHeight="1">
      <c r="B3" s="892"/>
      <c r="C3" s="892"/>
      <c r="D3" s="892"/>
      <c r="E3" s="892"/>
      <c r="F3" s="892"/>
      <c r="G3" s="892"/>
      <c r="I3" s="1784" t="s">
        <v>2083</v>
      </c>
      <c r="J3" s="1782"/>
      <c r="K3" s="1782" t="s">
        <v>2084</v>
      </c>
      <c r="L3" s="1783"/>
    </row>
    <row r="4" spans="2:13" ht="18.75" customHeight="1" thickBot="1">
      <c r="B4" s="892"/>
      <c r="C4" s="892"/>
      <c r="D4" s="892"/>
      <c r="E4" s="892"/>
      <c r="F4" s="892"/>
      <c r="G4" s="892"/>
      <c r="I4" s="1417" t="s">
        <v>345</v>
      </c>
      <c r="J4" s="1418" t="s">
        <v>346</v>
      </c>
      <c r="K4" s="1418" t="s">
        <v>345</v>
      </c>
      <c r="L4" s="1419" t="s">
        <v>346</v>
      </c>
    </row>
    <row r="5" spans="2:13" ht="18.75" customHeight="1">
      <c r="B5" s="892"/>
      <c r="C5" s="1774" t="s">
        <v>835</v>
      </c>
      <c r="D5" s="1774"/>
      <c r="E5" s="1774"/>
      <c r="F5" s="1774"/>
      <c r="G5" s="1774"/>
      <c r="H5" s="23" t="s">
        <v>734</v>
      </c>
      <c r="I5" s="1416">
        <v>1562702.4</v>
      </c>
      <c r="J5" s="118"/>
      <c r="K5" s="118">
        <v>1000000</v>
      </c>
      <c r="L5" s="1420"/>
      <c r="M5" s="23" t="s">
        <v>2085</v>
      </c>
    </row>
    <row r="6" spans="2:13" ht="18.75" customHeight="1">
      <c r="B6" s="892"/>
      <c r="C6" s="892"/>
      <c r="D6" s="892"/>
      <c r="E6" s="892"/>
      <c r="F6" s="892"/>
      <c r="G6" s="892"/>
      <c r="H6" s="23" t="s">
        <v>734</v>
      </c>
      <c r="I6" s="241">
        <v>962400</v>
      </c>
      <c r="J6" s="119"/>
      <c r="K6" s="119">
        <v>2000000</v>
      </c>
      <c r="L6" s="235"/>
      <c r="M6" s="23" t="s">
        <v>2085</v>
      </c>
    </row>
    <row r="7" spans="2:13" ht="18.75" customHeight="1">
      <c r="B7" s="892"/>
      <c r="C7" s="892"/>
      <c r="D7" s="892"/>
      <c r="E7" s="892"/>
      <c r="F7" s="893"/>
      <c r="G7" s="892"/>
      <c r="H7" s="23"/>
      <c r="I7" s="241"/>
      <c r="J7" s="119">
        <v>10000</v>
      </c>
      <c r="K7" s="119"/>
      <c r="L7" s="235">
        <v>10000</v>
      </c>
      <c r="M7" s="23" t="s">
        <v>2085</v>
      </c>
    </row>
    <row r="8" spans="2:13" ht="18.75" customHeight="1">
      <c r="B8" s="892"/>
      <c r="C8" s="1781"/>
      <c r="D8" s="1781"/>
      <c r="E8" s="1781"/>
      <c r="F8" s="1110"/>
      <c r="G8" s="892"/>
      <c r="I8" s="241"/>
      <c r="J8" s="119"/>
      <c r="K8" s="119"/>
      <c r="L8" s="235">
        <v>22000</v>
      </c>
      <c r="M8" s="23" t="s">
        <v>2085</v>
      </c>
    </row>
    <row r="9" spans="2:13" ht="18.75" customHeight="1">
      <c r="B9" s="892"/>
      <c r="C9" s="1781"/>
      <c r="D9" s="1781"/>
      <c r="E9" s="1781"/>
      <c r="F9" s="1110"/>
      <c r="G9" s="892"/>
      <c r="I9" s="241"/>
      <c r="J9" s="119"/>
      <c r="K9" s="119"/>
      <c r="L9" s="235">
        <v>20000</v>
      </c>
      <c r="M9" s="23" t="s">
        <v>2085</v>
      </c>
    </row>
    <row r="10" spans="2:13" ht="18.75" customHeight="1">
      <c r="B10" s="892"/>
      <c r="C10" s="1781"/>
      <c r="D10" s="1781"/>
      <c r="E10" s="1781"/>
      <c r="F10" s="1110"/>
      <c r="G10" s="892"/>
      <c r="I10" s="241"/>
      <c r="J10" s="119"/>
      <c r="K10" s="119"/>
      <c r="L10" s="235">
        <v>10000</v>
      </c>
      <c r="M10" s="23" t="s">
        <v>2085</v>
      </c>
    </row>
    <row r="11" spans="2:13" ht="18.75" customHeight="1">
      <c r="B11" s="892"/>
      <c r="C11" s="1777"/>
      <c r="D11" s="1777"/>
      <c r="E11" s="1777"/>
      <c r="F11" s="1110"/>
      <c r="G11" s="892"/>
      <c r="I11" s="241"/>
      <c r="J11" s="119"/>
      <c r="K11" s="119"/>
      <c r="L11" s="235">
        <v>10000</v>
      </c>
      <c r="M11" s="23" t="s">
        <v>2085</v>
      </c>
    </row>
    <row r="12" spans="2:13" ht="18.75" customHeight="1">
      <c r="B12" s="892"/>
      <c r="C12" s="892"/>
      <c r="D12" s="892"/>
      <c r="E12" s="892"/>
      <c r="F12" s="893"/>
      <c r="G12" s="892"/>
      <c r="I12" s="241"/>
      <c r="J12" s="119"/>
      <c r="K12" s="119"/>
      <c r="L12" s="235">
        <v>25000</v>
      </c>
      <c r="M12" s="23" t="s">
        <v>2085</v>
      </c>
    </row>
    <row r="13" spans="2:13" ht="18.75" customHeight="1">
      <c r="B13" s="892"/>
      <c r="C13" s="1119" t="s">
        <v>1685</v>
      </c>
      <c r="D13" s="1120"/>
      <c r="E13" s="1120"/>
      <c r="F13" s="791">
        <f>-6898000+27316080</f>
        <v>20418080</v>
      </c>
      <c r="G13" s="892"/>
      <c r="I13" s="241"/>
      <c r="J13" s="119"/>
      <c r="K13" s="119"/>
      <c r="L13" s="235">
        <v>20000</v>
      </c>
      <c r="M13" s="23" t="s">
        <v>2085</v>
      </c>
    </row>
    <row r="14" spans="2:13" ht="18.75" customHeight="1" thickBot="1">
      <c r="B14" s="892"/>
      <c r="C14" s="1312" t="s">
        <v>2086</v>
      </c>
      <c r="D14" s="1313">
        <v>2010</v>
      </c>
      <c r="E14" s="1313"/>
      <c r="F14" s="791">
        <v>568435</v>
      </c>
      <c r="G14" s="892"/>
      <c r="I14" s="1421"/>
      <c r="J14" s="187"/>
      <c r="K14" s="187"/>
      <c r="L14" s="1422">
        <v>20000</v>
      </c>
      <c r="M14" s="23" t="s">
        <v>2085</v>
      </c>
    </row>
    <row r="15" spans="2:13" ht="18.75" customHeight="1" thickBot="1">
      <c r="B15" s="892"/>
      <c r="C15" s="1312" t="s">
        <v>2086</v>
      </c>
      <c r="D15" s="1313">
        <v>2011</v>
      </c>
      <c r="E15" s="1313"/>
      <c r="F15" s="791">
        <v>2525102</v>
      </c>
      <c r="G15" s="892"/>
      <c r="I15" s="1423">
        <f>SUM(I5:I14)</f>
        <v>2525102.4</v>
      </c>
      <c r="J15" s="1423">
        <f t="shared" ref="J15:L15" si="0">SUM(J5:J14)</f>
        <v>10000</v>
      </c>
      <c r="K15" s="1423">
        <f t="shared" si="0"/>
        <v>3000000</v>
      </c>
      <c r="L15" s="1423">
        <f t="shared" si="0"/>
        <v>137000</v>
      </c>
    </row>
    <row r="16" spans="2:13" ht="18.75" customHeight="1">
      <c r="B16" s="892"/>
      <c r="C16" s="1312" t="s">
        <v>2087</v>
      </c>
      <c r="D16" s="1312" t="s">
        <v>346</v>
      </c>
      <c r="E16" s="1313"/>
      <c r="F16" s="791">
        <v>10000</v>
      </c>
      <c r="G16" s="892"/>
    </row>
    <row r="17" spans="2:13" ht="18.75" customHeight="1" thickBot="1">
      <c r="B17" s="892"/>
      <c r="C17" s="1312" t="s">
        <v>2088</v>
      </c>
      <c r="D17" s="1313"/>
      <c r="E17" s="1313"/>
      <c r="F17" s="791">
        <v>3000000</v>
      </c>
      <c r="G17" s="892"/>
    </row>
    <row r="18" spans="2:13" ht="18.75" customHeight="1" thickBot="1">
      <c r="B18" s="892"/>
      <c r="C18" s="1312" t="s">
        <v>2089</v>
      </c>
      <c r="D18" s="1313"/>
      <c r="E18" s="1313"/>
      <c r="F18" s="791">
        <v>137000</v>
      </c>
      <c r="G18" s="892"/>
      <c r="J18" s="661">
        <f>+I15+J15*140.5</f>
        <v>3930102.4</v>
      </c>
      <c r="L18" s="1424">
        <f>+K15+L15*140.5</f>
        <v>22248500</v>
      </c>
    </row>
    <row r="19" spans="2:13" ht="18.75" customHeight="1" thickBot="1">
      <c r="B19" s="892"/>
      <c r="C19" s="1778" t="s">
        <v>1686</v>
      </c>
      <c r="D19" s="1779"/>
      <c r="E19" s="1779"/>
      <c r="F19" s="1426">
        <f>+F13+F14+F15+F16*140.5-F17-F18*140.5</f>
        <v>2668117</v>
      </c>
      <c r="G19" s="892"/>
    </row>
    <row r="20" spans="2:13" ht="18.75" customHeight="1">
      <c r="B20" s="892"/>
      <c r="C20" s="892"/>
      <c r="D20" s="892"/>
      <c r="E20" s="892"/>
      <c r="F20" s="892"/>
      <c r="G20" s="892"/>
    </row>
    <row r="21" spans="2:13" ht="18.75" customHeight="1">
      <c r="B21" s="892"/>
      <c r="C21" s="1108"/>
      <c r="D21" s="1107"/>
      <c r="E21" s="1107"/>
      <c r="F21" s="893"/>
      <c r="G21" s="892"/>
    </row>
    <row r="22" spans="2:13" ht="18.75" customHeight="1">
      <c r="B22" s="892"/>
      <c r="C22" s="1776"/>
      <c r="D22" s="1780"/>
      <c r="E22" s="1780"/>
      <c r="F22" s="893"/>
      <c r="G22" s="892"/>
    </row>
    <row r="23" spans="2:13" ht="18.75" customHeight="1">
      <c r="B23" s="892"/>
      <c r="C23" s="1776"/>
      <c r="D23" s="1780"/>
      <c r="E23" s="1780"/>
      <c r="F23" s="893"/>
      <c r="G23" s="892"/>
      <c r="J23" s="1314" t="s">
        <v>1682</v>
      </c>
      <c r="K23" s="1314"/>
      <c r="L23" s="1314"/>
      <c r="M23" s="893">
        <v>5389862</v>
      </c>
    </row>
    <row r="24" spans="2:13" ht="18.75" customHeight="1">
      <c r="B24" s="892"/>
      <c r="C24" s="892"/>
      <c r="D24" s="892"/>
      <c r="E24" s="892"/>
      <c r="F24" s="893"/>
      <c r="G24" s="892"/>
      <c r="J24" s="1776" t="s">
        <v>2082</v>
      </c>
      <c r="K24" s="1776"/>
      <c r="L24" s="1776"/>
      <c r="M24" s="893">
        <v>14593500</v>
      </c>
    </row>
    <row r="25" spans="2:13" ht="18.75" customHeight="1">
      <c r="B25" s="892"/>
      <c r="C25" s="892"/>
      <c r="D25" s="892"/>
      <c r="E25" s="892"/>
      <c r="F25" s="893"/>
      <c r="G25" s="892"/>
      <c r="J25" s="1776" t="s">
        <v>2081</v>
      </c>
      <c r="K25" s="1776"/>
      <c r="L25" s="1776"/>
      <c r="M25" s="893">
        <v>48000</v>
      </c>
    </row>
    <row r="26" spans="2:13" ht="18.75" customHeight="1" thickBot="1">
      <c r="B26" s="892"/>
      <c r="C26" s="892"/>
      <c r="D26" s="892"/>
      <c r="E26" s="892"/>
      <c r="F26" s="893"/>
      <c r="G26" s="892"/>
      <c r="J26" s="1776" t="s">
        <v>1684</v>
      </c>
      <c r="K26" s="1776"/>
      <c r="L26" s="1776"/>
      <c r="M26" s="1425">
        <f>+M23+M24-M25*140.5</f>
        <v>13239362</v>
      </c>
    </row>
    <row r="27" spans="2:13" ht="18.75" customHeight="1" thickBot="1">
      <c r="B27" s="892"/>
      <c r="C27" s="1775" t="s">
        <v>663</v>
      </c>
      <c r="D27" s="1775"/>
      <c r="E27" s="1775"/>
      <c r="F27" s="1118">
        <f>+F19</f>
        <v>2668117</v>
      </c>
      <c r="G27" s="892"/>
    </row>
    <row r="28" spans="2:13" ht="18.75" customHeight="1">
      <c r="B28" s="892"/>
      <c r="C28" s="892"/>
      <c r="D28" s="892"/>
      <c r="E28" s="892"/>
      <c r="F28" s="893"/>
      <c r="G28" s="892"/>
    </row>
    <row r="29" spans="2:13" ht="18.75" customHeight="1">
      <c r="B29" s="892"/>
      <c r="C29" s="892"/>
      <c r="D29" s="892"/>
      <c r="E29" s="892"/>
      <c r="F29" s="893"/>
      <c r="G29" s="892"/>
    </row>
    <row r="30" spans="2:13" ht="18.75" customHeight="1">
      <c r="B30" s="892"/>
      <c r="C30" s="892"/>
      <c r="D30" s="892"/>
      <c r="E30" s="892"/>
      <c r="F30" s="893"/>
      <c r="G30" s="892"/>
    </row>
    <row r="31" spans="2:13" ht="18.75" customHeight="1">
      <c r="B31" s="892"/>
      <c r="C31" s="892"/>
      <c r="D31" s="892"/>
      <c r="E31" s="892"/>
      <c r="F31" s="893"/>
      <c r="G31" s="892"/>
    </row>
    <row r="32" spans="2:13" ht="18.75" customHeight="1">
      <c r="B32" s="892"/>
      <c r="C32" s="892"/>
      <c r="D32" s="892"/>
      <c r="E32" s="892"/>
      <c r="F32" s="892"/>
      <c r="G32" s="892"/>
    </row>
    <row r="33" spans="2:7" ht="18.75" customHeight="1">
      <c r="B33" s="892"/>
      <c r="C33" s="892"/>
      <c r="D33" s="892"/>
      <c r="E33" s="892"/>
      <c r="F33" s="892"/>
      <c r="G33" s="892"/>
    </row>
    <row r="34" spans="2:7" ht="18.75" customHeight="1">
      <c r="B34" s="892"/>
      <c r="C34" s="892"/>
      <c r="D34" s="892"/>
      <c r="E34" s="892"/>
      <c r="F34" s="892"/>
      <c r="G34" s="892"/>
    </row>
    <row r="35" spans="2:7" ht="18.75" customHeight="1"/>
    <row r="36" spans="2:7" ht="18.75" customHeight="1"/>
    <row r="37" spans="2:7" ht="18.75" customHeight="1"/>
    <row r="38" spans="2:7" ht="18.75" customHeight="1"/>
    <row r="39" spans="2:7" ht="18.75" customHeight="1"/>
    <row r="40" spans="2:7" ht="18.75" customHeight="1"/>
    <row r="41" spans="2:7" ht="18.75" customHeight="1"/>
    <row r="42" spans="2:7" ht="18.75" customHeight="1"/>
  </sheetData>
  <mergeCells count="14">
    <mergeCell ref="K3:L3"/>
    <mergeCell ref="I3:J3"/>
    <mergeCell ref="J24:L24"/>
    <mergeCell ref="J25:L25"/>
    <mergeCell ref="C27:E27"/>
    <mergeCell ref="C19:E19"/>
    <mergeCell ref="C22:E22"/>
    <mergeCell ref="C23:E23"/>
    <mergeCell ref="J26:L26"/>
    <mergeCell ref="C5:G5"/>
    <mergeCell ref="C8:E8"/>
    <mergeCell ref="C9:E9"/>
    <mergeCell ref="C10:E10"/>
    <mergeCell ref="C11:E1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FFCC"/>
  </sheetPr>
  <dimension ref="B3:P60"/>
  <sheetViews>
    <sheetView workbookViewId="0">
      <selection activeCell="K65" sqref="A1:K65"/>
    </sheetView>
  </sheetViews>
  <sheetFormatPr defaultRowHeight="12.75"/>
  <cols>
    <col min="1" max="1" width="4.5703125" customWidth="1"/>
    <col min="2" max="2" width="9.7109375" customWidth="1"/>
    <col min="3" max="3" width="9.7109375" style="905" customWidth="1"/>
    <col min="4" max="6" width="9.7109375" customWidth="1"/>
    <col min="7" max="7" width="12.5703125" customWidth="1"/>
    <col min="8" max="10" width="9.7109375" customWidth="1"/>
    <col min="11" max="11" width="5.140625" customWidth="1"/>
    <col min="12" max="12" width="6.85546875" customWidth="1"/>
  </cols>
  <sheetData>
    <row r="3" spans="2:10">
      <c r="B3" s="2"/>
      <c r="C3" s="1266"/>
      <c r="D3" s="49"/>
      <c r="E3" s="49"/>
      <c r="F3" s="49"/>
      <c r="G3" s="2"/>
      <c r="H3" s="2"/>
    </row>
    <row r="4" spans="2:10">
      <c r="B4" s="2" t="s">
        <v>131</v>
      </c>
      <c r="C4" s="1266" t="str">
        <f>'Kopertina '!F4</f>
        <v>Ameti</v>
      </c>
      <c r="D4" s="2"/>
      <c r="E4" s="2"/>
      <c r="F4" s="2"/>
      <c r="G4" s="2"/>
      <c r="H4" s="2"/>
    </row>
    <row r="5" spans="2:10">
      <c r="B5" s="1"/>
      <c r="C5" s="1267"/>
      <c r="D5" s="1"/>
      <c r="E5" s="1"/>
      <c r="F5" s="1"/>
      <c r="G5" s="2"/>
      <c r="H5" s="2"/>
      <c r="I5" s="2"/>
      <c r="J5" s="2" t="s">
        <v>138</v>
      </c>
    </row>
    <row r="6" spans="2:10">
      <c r="B6" s="1"/>
      <c r="C6" s="1741" t="s">
        <v>154</v>
      </c>
      <c r="D6" s="1741"/>
      <c r="E6" s="1741"/>
      <c r="F6" s="1741"/>
      <c r="G6" s="1741"/>
      <c r="H6" s="1741"/>
    </row>
    <row r="7" spans="2:10">
      <c r="B7" s="1"/>
      <c r="C7" s="1267"/>
      <c r="D7" s="1"/>
      <c r="E7" s="1"/>
      <c r="F7" s="1"/>
      <c r="G7" s="1"/>
      <c r="H7" s="2" t="s">
        <v>132</v>
      </c>
      <c r="I7" s="21">
        <f>'Kopertina '!F29</f>
        <v>2011</v>
      </c>
    </row>
    <row r="8" spans="2:10" ht="13.5" thickBot="1">
      <c r="B8" s="1"/>
      <c r="C8" s="1267"/>
      <c r="D8" s="1"/>
      <c r="E8" s="1"/>
      <c r="F8" s="1"/>
      <c r="G8" s="1"/>
      <c r="H8" s="1"/>
    </row>
    <row r="9" spans="2:10">
      <c r="B9" s="1253"/>
      <c r="C9" s="1268"/>
      <c r="D9" s="1254"/>
      <c r="E9" s="1254"/>
      <c r="F9" s="1254"/>
      <c r="G9" s="1254"/>
      <c r="H9" s="1254"/>
      <c r="I9" s="1254"/>
      <c r="J9" s="1255"/>
    </row>
    <row r="10" spans="2:10">
      <c r="B10" s="1256"/>
      <c r="C10" s="1269"/>
      <c r="D10" s="1257"/>
      <c r="E10" s="1257"/>
      <c r="F10" s="1257"/>
      <c r="G10" s="1257"/>
      <c r="H10" s="1257"/>
      <c r="I10" s="1257"/>
      <c r="J10" s="1258"/>
    </row>
    <row r="11" spans="2:10">
      <c r="B11" s="1256"/>
      <c r="C11" s="1269" t="s">
        <v>819</v>
      </c>
      <c r="D11" s="1257"/>
      <c r="E11" s="1257"/>
      <c r="F11" s="1257"/>
      <c r="G11" s="1259">
        <f>SUM(G12:G19)</f>
        <v>11042772.018115941</v>
      </c>
      <c r="H11" s="1257"/>
      <c r="I11" s="1257"/>
      <c r="J11" s="1258"/>
    </row>
    <row r="12" spans="2:10">
      <c r="B12" s="1256"/>
      <c r="C12" s="1269"/>
      <c r="D12" s="1257"/>
      <c r="E12" s="1257"/>
      <c r="F12" s="1257"/>
      <c r="G12" s="1257"/>
      <c r="H12" s="1257"/>
      <c r="I12" s="1257"/>
      <c r="J12" s="1258"/>
    </row>
    <row r="13" spans="2:10">
      <c r="B13" s="1256"/>
      <c r="C13" s="1269"/>
      <c r="D13" s="1257"/>
      <c r="E13" s="1257"/>
      <c r="F13" s="1257"/>
      <c r="G13" s="1257"/>
      <c r="H13" s="1257"/>
      <c r="I13" s="1257"/>
      <c r="J13" s="1258"/>
    </row>
    <row r="14" spans="2:10">
      <c r="B14" s="1256"/>
      <c r="C14" s="1270"/>
      <c r="D14" s="1257"/>
      <c r="E14" s="1257"/>
      <c r="F14" s="1257"/>
      <c r="G14" s="1257"/>
      <c r="H14" s="1257"/>
      <c r="I14" s="1257"/>
      <c r="J14" s="1258"/>
    </row>
    <row r="15" spans="2:10">
      <c r="B15" s="1256"/>
      <c r="C15" s="1269"/>
      <c r="D15" s="1257"/>
      <c r="E15" s="1257"/>
      <c r="F15" s="1257"/>
      <c r="G15" s="1257"/>
      <c r="H15" s="1257"/>
      <c r="I15" s="1257"/>
      <c r="J15" s="1258"/>
    </row>
    <row r="16" spans="2:10">
      <c r="B16" s="1256"/>
      <c r="C16" s="1271" t="s">
        <v>483</v>
      </c>
      <c r="D16" s="1259"/>
      <c r="E16" s="1259"/>
      <c r="F16" s="1259"/>
      <c r="G16" s="1259">
        <v>11042772.018115941</v>
      </c>
      <c r="H16" s="1257"/>
      <c r="I16" s="1257"/>
      <c r="J16" s="1258"/>
    </row>
    <row r="17" spans="2:16">
      <c r="B17" s="1256"/>
      <c r="C17" s="1271"/>
      <c r="D17" s="1259"/>
      <c r="E17" s="1259"/>
      <c r="F17" s="1259"/>
      <c r="G17" s="1259"/>
      <c r="H17" s="1257"/>
      <c r="I17" s="1257"/>
      <c r="J17" s="1258"/>
    </row>
    <row r="18" spans="2:16">
      <c r="B18" s="1256"/>
      <c r="C18" s="1272"/>
      <c r="D18" s="1259"/>
      <c r="E18" s="1259"/>
      <c r="F18" s="1259"/>
      <c r="G18" s="1259"/>
      <c r="H18" s="1257"/>
      <c r="I18" s="1257"/>
      <c r="J18" s="1258"/>
    </row>
    <row r="19" spans="2:16">
      <c r="B19" s="1256"/>
      <c r="C19" s="1272"/>
      <c r="D19" s="1259"/>
      <c r="E19" s="1259"/>
      <c r="F19" s="1259"/>
      <c r="G19" s="1260"/>
      <c r="H19" s="1257"/>
      <c r="I19" s="1257"/>
      <c r="J19" s="1258"/>
    </row>
    <row r="20" spans="2:16">
      <c r="B20" s="1256"/>
      <c r="C20" s="1270" t="s">
        <v>484</v>
      </c>
      <c r="D20" s="1257"/>
      <c r="E20" s="1257"/>
      <c r="F20" s="1257"/>
      <c r="G20" s="1259">
        <f>SUM(G21:G30)</f>
        <v>5144528.9000000004</v>
      </c>
      <c r="H20" s="1257"/>
      <c r="I20" s="1257"/>
      <c r="J20" s="1258"/>
    </row>
    <row r="21" spans="2:16">
      <c r="B21" s="1256"/>
      <c r="C21" s="1269"/>
      <c r="D21" s="1257"/>
      <c r="E21" s="1257"/>
      <c r="F21" s="1257"/>
      <c r="G21" s="1259"/>
      <c r="H21" s="1257"/>
      <c r="I21" s="1257"/>
      <c r="J21" s="1258"/>
    </row>
    <row r="22" spans="2:16">
      <c r="B22" s="1256"/>
      <c r="C22" s="1269" t="s">
        <v>483</v>
      </c>
      <c r="D22" s="1257"/>
      <c r="E22" s="1257"/>
      <c r="F22" s="1257"/>
      <c r="G22" s="1259">
        <v>0</v>
      </c>
      <c r="H22" s="1257"/>
      <c r="I22" s="1257"/>
      <c r="J22" s="1258"/>
      <c r="M22" s="1"/>
      <c r="N22" s="1"/>
      <c r="O22" s="1"/>
      <c r="P22" s="1"/>
    </row>
    <row r="23" spans="2:16">
      <c r="B23" s="1256"/>
      <c r="C23" s="1269" t="s">
        <v>2094</v>
      </c>
      <c r="D23" s="1257"/>
      <c r="E23" s="1257"/>
      <c r="F23" s="1257"/>
      <c r="G23" s="1260">
        <v>65024.76</v>
      </c>
      <c r="H23" s="1257"/>
      <c r="I23" s="1257"/>
      <c r="J23" s="1258"/>
      <c r="M23" s="100">
        <f>+G20+V!F19-S!P23-S!P25-S!P26</f>
        <v>3441255.8000000007</v>
      </c>
      <c r="N23" s="100"/>
      <c r="O23" s="100"/>
      <c r="P23" s="1"/>
    </row>
    <row r="24" spans="2:16">
      <c r="B24" s="1256"/>
      <c r="C24" s="1270" t="s">
        <v>2091</v>
      </c>
      <c r="D24" s="1257"/>
      <c r="E24" s="1257"/>
      <c r="F24" s="1257"/>
      <c r="G24" s="1260">
        <f>778358+115483</f>
        <v>893841</v>
      </c>
      <c r="H24" s="1257"/>
      <c r="I24" s="1257"/>
      <c r="J24" s="1258"/>
      <c r="M24" s="100"/>
      <c r="N24" s="100"/>
      <c r="O24" s="100"/>
      <c r="P24" s="1"/>
    </row>
    <row r="25" spans="2:16">
      <c r="B25" s="1256"/>
      <c r="C25" s="1270" t="s">
        <v>963</v>
      </c>
      <c r="D25" s="1257"/>
      <c r="E25" s="1257"/>
      <c r="F25" s="1257"/>
      <c r="G25" s="1260">
        <f>+S!P23</f>
        <v>514833.34</v>
      </c>
      <c r="H25" s="1257"/>
      <c r="I25" s="1257"/>
      <c r="J25" s="1258"/>
      <c r="M25" s="100"/>
      <c r="N25" s="100"/>
      <c r="O25" s="100"/>
      <c r="P25" s="1"/>
    </row>
    <row r="26" spans="2:16">
      <c r="B26" s="1256"/>
      <c r="C26" s="1271" t="s">
        <v>1604</v>
      </c>
      <c r="D26" s="1259"/>
      <c r="E26" s="1257"/>
      <c r="F26" s="1257"/>
      <c r="G26" s="1260">
        <v>51030</v>
      </c>
      <c r="H26" s="1257"/>
      <c r="I26" s="1257"/>
      <c r="J26" s="1258"/>
      <c r="M26" s="1"/>
      <c r="N26" s="1"/>
      <c r="O26" s="1"/>
      <c r="P26" s="1"/>
    </row>
    <row r="27" spans="2:16">
      <c r="B27" s="1256"/>
      <c r="C27" s="1271" t="s">
        <v>2092</v>
      </c>
      <c r="D27" s="1259"/>
      <c r="E27" s="1257"/>
      <c r="F27" s="1257"/>
      <c r="G27" s="1260">
        <v>101544</v>
      </c>
      <c r="H27" s="1257"/>
      <c r="I27" s="1257"/>
      <c r="J27" s="1258"/>
      <c r="M27" s="1"/>
      <c r="N27" s="1"/>
      <c r="O27" s="1"/>
      <c r="P27" s="1"/>
    </row>
    <row r="28" spans="2:16">
      <c r="B28" s="1256"/>
      <c r="C28" s="1271" t="s">
        <v>2093</v>
      </c>
      <c r="D28" s="1259"/>
      <c r="E28" s="1257"/>
      <c r="F28" s="1257"/>
      <c r="G28" s="1260">
        <v>5000</v>
      </c>
      <c r="H28" s="1257"/>
      <c r="I28" s="1257"/>
      <c r="J28" s="1258"/>
      <c r="M28" s="1"/>
      <c r="N28" s="1"/>
      <c r="O28" s="1"/>
      <c r="P28" s="1"/>
    </row>
    <row r="29" spans="2:16">
      <c r="B29" s="1256"/>
      <c r="C29" s="1271" t="s">
        <v>1695</v>
      </c>
      <c r="D29" s="1259"/>
      <c r="E29" s="1257"/>
      <c r="F29" s="1257"/>
      <c r="G29" s="1260">
        <v>72000</v>
      </c>
      <c r="H29" s="1257"/>
      <c r="I29" s="1257"/>
      <c r="J29" s="1258"/>
      <c r="M29" s="745"/>
      <c r="N29" s="1"/>
      <c r="O29" s="1"/>
      <c r="P29" s="1"/>
    </row>
    <row r="30" spans="2:16">
      <c r="B30" s="1256"/>
      <c r="C30" s="1271" t="s">
        <v>2114</v>
      </c>
      <c r="D30" s="1259"/>
      <c r="E30" s="1257"/>
      <c r="F30" s="1257"/>
      <c r="G30" s="1260">
        <f>0-V!F17</f>
        <v>3441255.8</v>
      </c>
      <c r="H30" s="1257"/>
      <c r="I30" s="1257"/>
      <c r="J30" s="1258"/>
      <c r="M30" s="745"/>
      <c r="N30" s="1"/>
      <c r="O30" s="1"/>
      <c r="P30" s="1"/>
    </row>
    <row r="31" spans="2:16">
      <c r="B31" s="1256"/>
      <c r="C31" s="1269"/>
      <c r="D31" s="1257" t="s">
        <v>485</v>
      </c>
      <c r="E31" s="1257"/>
      <c r="F31" s="1257"/>
      <c r="G31" s="1259">
        <f>G11+G20</f>
        <v>16187300.918115942</v>
      </c>
      <c r="H31" s="1257"/>
      <c r="I31" s="1257"/>
      <c r="J31" s="1258"/>
      <c r="M31" s="1"/>
      <c r="N31" s="1"/>
      <c r="O31" s="1"/>
      <c r="P31" s="1"/>
    </row>
    <row r="32" spans="2:16">
      <c r="B32" s="1256"/>
      <c r="C32" s="1269"/>
      <c r="D32" s="1257"/>
      <c r="E32" s="1257"/>
      <c r="F32" s="1257"/>
      <c r="G32" s="1259"/>
      <c r="H32" s="1257"/>
      <c r="I32" s="1257"/>
      <c r="J32" s="1258"/>
    </row>
    <row r="33" spans="2:10">
      <c r="B33" s="1256"/>
      <c r="C33" s="1269"/>
      <c r="D33" s="1257"/>
      <c r="E33" s="1257"/>
      <c r="F33" s="1257"/>
      <c r="G33" s="1259"/>
      <c r="H33" s="1257"/>
      <c r="I33" s="1257"/>
      <c r="J33" s="1258"/>
    </row>
    <row r="34" spans="2:10">
      <c r="B34" s="1256"/>
      <c r="C34" s="1269"/>
      <c r="D34" s="1257" t="s">
        <v>820</v>
      </c>
      <c r="E34" s="1257"/>
      <c r="F34" s="1257"/>
      <c r="G34" s="1259"/>
      <c r="H34" s="1257"/>
      <c r="I34" s="1257"/>
      <c r="J34" s="1258"/>
    </row>
    <row r="35" spans="2:10">
      <c r="B35" s="1256"/>
      <c r="C35" s="1269"/>
      <c r="D35" s="1257"/>
      <c r="E35" s="1257"/>
      <c r="F35" s="1257"/>
      <c r="G35" s="1259"/>
      <c r="H35" s="1257"/>
      <c r="I35" s="1257"/>
      <c r="J35" s="1258"/>
    </row>
    <row r="36" spans="2:10">
      <c r="B36" s="1256"/>
      <c r="C36" s="1269" t="s">
        <v>483</v>
      </c>
      <c r="D36" s="1257"/>
      <c r="E36" s="1257"/>
      <c r="F36" s="1257"/>
      <c r="G36" s="1259">
        <v>6456158</v>
      </c>
      <c r="H36" s="1257"/>
      <c r="I36" s="1257"/>
      <c r="J36" s="1258"/>
    </row>
    <row r="37" spans="2:10">
      <c r="B37" s="1256"/>
      <c r="C37" s="1269" t="s">
        <v>486</v>
      </c>
      <c r="D37" s="1257"/>
      <c r="E37" s="1257"/>
      <c r="F37" s="1257"/>
      <c r="G37" s="1259">
        <v>0</v>
      </c>
      <c r="H37" s="1257"/>
      <c r="I37" s="1257"/>
      <c r="J37" s="1258"/>
    </row>
    <row r="38" spans="2:10">
      <c r="B38" s="1256"/>
      <c r="C38" s="1269" t="s">
        <v>2094</v>
      </c>
      <c r="D38" s="1257"/>
      <c r="E38" s="1257"/>
      <c r="F38" s="1257"/>
      <c r="G38" s="1259">
        <f>G23</f>
        <v>65024.76</v>
      </c>
      <c r="H38" s="1257"/>
      <c r="I38" s="1257"/>
      <c r="J38" s="1258"/>
    </row>
    <row r="39" spans="2:10">
      <c r="B39" s="1256"/>
      <c r="C39" s="1270" t="s">
        <v>2091</v>
      </c>
      <c r="D39" s="1257"/>
      <c r="E39" s="1257"/>
      <c r="F39" s="1257"/>
      <c r="G39" s="1259">
        <f t="shared" ref="G39:G45" si="0">G24</f>
        <v>893841</v>
      </c>
      <c r="H39" s="1257"/>
      <c r="I39" s="1257"/>
      <c r="J39" s="1258"/>
    </row>
    <row r="40" spans="2:10">
      <c r="B40" s="1256"/>
      <c r="C40" s="1270" t="s">
        <v>963</v>
      </c>
      <c r="D40" s="1257"/>
      <c r="E40" s="1257"/>
      <c r="F40" s="1257"/>
      <c r="G40" s="1259">
        <f t="shared" si="0"/>
        <v>514833.34</v>
      </c>
      <c r="H40" s="1257"/>
      <c r="I40" s="1257"/>
      <c r="J40" s="1258"/>
    </row>
    <row r="41" spans="2:10">
      <c r="B41" s="1256"/>
      <c r="C41" s="1271" t="s">
        <v>1604</v>
      </c>
      <c r="D41" s="1259"/>
      <c r="E41" s="1257"/>
      <c r="F41" s="1257"/>
      <c r="G41" s="1259">
        <f t="shared" si="0"/>
        <v>51030</v>
      </c>
      <c r="H41" s="1257"/>
      <c r="I41" s="1257"/>
      <c r="J41" s="1258"/>
    </row>
    <row r="42" spans="2:10">
      <c r="B42" s="1256"/>
      <c r="C42" s="1271" t="s">
        <v>2092</v>
      </c>
      <c r="D42" s="1259"/>
      <c r="E42" s="1257"/>
      <c r="F42" s="1257"/>
      <c r="G42" s="1259">
        <f t="shared" si="0"/>
        <v>101544</v>
      </c>
      <c r="H42" s="1257"/>
      <c r="I42" s="1257"/>
      <c r="J42" s="1258"/>
    </row>
    <row r="43" spans="2:10">
      <c r="B43" s="1256"/>
      <c r="C43" s="1271" t="s">
        <v>2093</v>
      </c>
      <c r="D43" s="1259"/>
      <c r="E43" s="1257"/>
      <c r="F43" s="1257"/>
      <c r="G43" s="1259">
        <f t="shared" si="0"/>
        <v>5000</v>
      </c>
      <c r="H43" s="1257"/>
      <c r="I43" s="1257"/>
      <c r="J43" s="1258"/>
    </row>
    <row r="44" spans="2:10">
      <c r="B44" s="1256"/>
      <c r="C44" s="1271" t="s">
        <v>1695</v>
      </c>
      <c r="D44" s="1259"/>
      <c r="E44" s="1257"/>
      <c r="F44" s="1257"/>
      <c r="G44" s="1259">
        <f t="shared" si="0"/>
        <v>72000</v>
      </c>
      <c r="H44" s="1257"/>
      <c r="I44" s="1257"/>
      <c r="J44" s="1258"/>
    </row>
    <row r="45" spans="2:10">
      <c r="B45" s="1256"/>
      <c r="C45" s="1271" t="s">
        <v>2114</v>
      </c>
      <c r="D45" s="1259"/>
      <c r="E45" s="1257"/>
      <c r="F45" s="1257"/>
      <c r="G45" s="1259">
        <f t="shared" si="0"/>
        <v>3441255.8</v>
      </c>
      <c r="H45" s="1257"/>
      <c r="I45" s="1257"/>
      <c r="J45" s="1258"/>
    </row>
    <row r="46" spans="2:10">
      <c r="B46" s="1256"/>
      <c r="C46" s="1273" t="s">
        <v>821</v>
      </c>
      <c r="D46" s="1261"/>
      <c r="E46" s="1261"/>
      <c r="F46" s="1261"/>
      <c r="G46" s="1275">
        <f>G36+G37+G38+G39+G43+G44+G40+G41+G42+G45</f>
        <v>11600686.899999999</v>
      </c>
      <c r="H46" s="1257"/>
      <c r="I46" s="1257"/>
      <c r="J46" s="1258"/>
    </row>
    <row r="47" spans="2:10">
      <c r="B47" s="1256"/>
      <c r="C47" s="1269"/>
      <c r="D47" s="1257"/>
      <c r="E47" s="1257"/>
      <c r="F47" s="1257"/>
      <c r="G47" s="1259"/>
      <c r="H47" s="1257"/>
      <c r="I47" s="1257"/>
      <c r="J47" s="1258"/>
    </row>
    <row r="48" spans="2:10">
      <c r="B48" s="1256"/>
      <c r="C48" s="1269"/>
      <c r="D48" s="1257"/>
      <c r="E48" s="1257"/>
      <c r="F48" s="1257"/>
      <c r="G48" s="1259"/>
      <c r="H48" s="1257"/>
      <c r="I48" s="1257"/>
      <c r="J48" s="1258"/>
    </row>
    <row r="49" spans="2:10">
      <c r="B49" s="5"/>
      <c r="C49" s="1257" t="s">
        <v>822</v>
      </c>
      <c r="D49" s="1257"/>
      <c r="E49" s="1257"/>
      <c r="F49" s="1257"/>
      <c r="G49" s="1275">
        <f>G31-G46</f>
        <v>4586614.0181159433</v>
      </c>
      <c r="H49" s="1257"/>
      <c r="I49" s="1257"/>
      <c r="J49" s="1258"/>
    </row>
    <row r="50" spans="2:10">
      <c r="B50" s="1256"/>
      <c r="C50" s="1269"/>
      <c r="D50" s="1257"/>
      <c r="E50" s="1257"/>
      <c r="F50" s="1257"/>
      <c r="G50" s="1259"/>
      <c r="H50" s="1257"/>
      <c r="I50" s="1257"/>
      <c r="J50" s="1258"/>
    </row>
    <row r="51" spans="2:10">
      <c r="B51" s="1256"/>
      <c r="C51" s="1269"/>
      <c r="D51" s="1257"/>
      <c r="E51" s="1257"/>
      <c r="F51" s="1257"/>
      <c r="G51" s="1259"/>
      <c r="H51" s="1257"/>
      <c r="I51" s="1257"/>
      <c r="J51" s="1258"/>
    </row>
    <row r="52" spans="2:10">
      <c r="B52" s="1256"/>
      <c r="C52" s="1269"/>
      <c r="D52" s="1257"/>
      <c r="E52" s="1257"/>
      <c r="F52" s="1257"/>
      <c r="G52" s="1259"/>
      <c r="H52" s="1257"/>
      <c r="I52" s="1257"/>
      <c r="J52" s="1258"/>
    </row>
    <row r="53" spans="2:10">
      <c r="B53" s="1256"/>
      <c r="C53" s="1269"/>
      <c r="D53" s="1257"/>
      <c r="E53" s="1257"/>
      <c r="F53" s="1257"/>
      <c r="G53" s="1259"/>
      <c r="H53" s="1257"/>
      <c r="I53" s="1257"/>
      <c r="J53" s="1258"/>
    </row>
    <row r="54" spans="2:10">
      <c r="B54" s="1256"/>
      <c r="C54" s="1269"/>
      <c r="D54" s="1257"/>
      <c r="E54" s="1257"/>
      <c r="F54" s="1257"/>
      <c r="G54" s="1259"/>
      <c r="H54" s="1257"/>
      <c r="I54" s="1257"/>
      <c r="J54" s="1258"/>
    </row>
    <row r="55" spans="2:10">
      <c r="B55" s="1256"/>
      <c r="C55" s="1269"/>
      <c r="D55" s="1257"/>
      <c r="E55" s="1257"/>
      <c r="F55" s="1257"/>
      <c r="G55" s="1259"/>
      <c r="H55" s="1257"/>
      <c r="I55" s="1257"/>
      <c r="J55" s="1258"/>
    </row>
    <row r="56" spans="2:10">
      <c r="B56" s="1256"/>
      <c r="C56" s="1269"/>
      <c r="D56" s="1257"/>
      <c r="E56" s="1257"/>
      <c r="F56" s="1257"/>
      <c r="G56" s="1259"/>
      <c r="H56" s="1257"/>
      <c r="I56" s="1257"/>
      <c r="J56" s="1258"/>
    </row>
    <row r="57" spans="2:10">
      <c r="B57" s="1256"/>
      <c r="C57" s="1269"/>
      <c r="D57" s="1257"/>
      <c r="E57" s="1257"/>
      <c r="F57" s="1257"/>
      <c r="G57" s="1259"/>
      <c r="H57" s="1257"/>
      <c r="I57" s="1257"/>
      <c r="J57" s="1258"/>
    </row>
    <row r="58" spans="2:10">
      <c r="B58" s="1256"/>
      <c r="C58" s="1269"/>
      <c r="D58" s="1257"/>
      <c r="E58" s="1257"/>
      <c r="F58" s="1257"/>
      <c r="G58" s="1259"/>
      <c r="H58" s="1257"/>
      <c r="I58" s="1257"/>
      <c r="J58" s="1258"/>
    </row>
    <row r="59" spans="2:10">
      <c r="B59" s="1256"/>
      <c r="C59" s="1269"/>
      <c r="D59" s="1257"/>
      <c r="E59" s="1257"/>
      <c r="F59" s="1257"/>
      <c r="G59" s="1259"/>
      <c r="H59" s="1257"/>
      <c r="I59" s="1257"/>
      <c r="J59" s="1258"/>
    </row>
    <row r="60" spans="2:10" ht="13.5" thickBot="1">
      <c r="B60" s="1262"/>
      <c r="C60" s="1274"/>
      <c r="D60" s="1263"/>
      <c r="E60" s="1263"/>
      <c r="F60" s="1263"/>
      <c r="G60" s="1264"/>
      <c r="H60" s="1263"/>
      <c r="I60" s="1263"/>
      <c r="J60" s="1265"/>
    </row>
  </sheetData>
  <mergeCells count="1">
    <mergeCell ref="C6:H6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FFCC"/>
  </sheetPr>
  <dimension ref="A1:J90"/>
  <sheetViews>
    <sheetView workbookViewId="0">
      <selection activeCell="I83" sqref="A1:I83"/>
    </sheetView>
  </sheetViews>
  <sheetFormatPr defaultRowHeight="12.75"/>
  <cols>
    <col min="1" max="1" width="1.5703125" style="1295" customWidth="1"/>
    <col min="2" max="2" width="1.7109375" style="1295" customWidth="1"/>
    <col min="3" max="3" width="5.28515625" style="1295" customWidth="1"/>
    <col min="4" max="4" width="24.5703125" style="1295" customWidth="1"/>
    <col min="5" max="5" width="14.28515625" style="1295" customWidth="1"/>
    <col min="6" max="6" width="12.5703125" style="1295" customWidth="1"/>
    <col min="7" max="8" width="11.85546875" style="1295" customWidth="1"/>
    <col min="9" max="9" width="13.85546875" style="1295" customWidth="1"/>
    <col min="10" max="10" width="9.140625" style="1295"/>
    <col min="11" max="16384" width="9.140625" style="85"/>
  </cols>
  <sheetData>
    <row r="1" spans="2:9" ht="13.5" customHeight="1">
      <c r="B1" s="1296"/>
      <c r="C1" s="1296" t="str">
        <f>'Kopertina '!F4</f>
        <v>Ameti</v>
      </c>
      <c r="D1" s="1296"/>
      <c r="E1" s="1296"/>
      <c r="F1" s="1296"/>
      <c r="G1" s="1296"/>
      <c r="H1" s="1296"/>
      <c r="I1" s="1296" t="s">
        <v>139</v>
      </c>
    </row>
    <row r="2" spans="2:9" ht="13.5" customHeight="1">
      <c r="B2" s="1297"/>
      <c r="C2" s="1297"/>
      <c r="D2" s="1297"/>
      <c r="E2" s="1297"/>
      <c r="F2" s="1297"/>
      <c r="G2" s="1296"/>
      <c r="H2" s="1296"/>
      <c r="I2" s="1296"/>
    </row>
    <row r="3" spans="2:9" ht="13.5" customHeight="1">
      <c r="B3" s="1297"/>
      <c r="C3" s="1785" t="s">
        <v>156</v>
      </c>
      <c r="D3" s="1785"/>
      <c r="E3" s="1785"/>
      <c r="F3" s="1785"/>
      <c r="G3" s="1785"/>
      <c r="H3" s="1785"/>
      <c r="I3" s="1785"/>
    </row>
    <row r="4" spans="2:9" ht="13.5" customHeight="1" thickBot="1">
      <c r="B4" s="1297"/>
      <c r="C4" s="1297"/>
      <c r="D4" s="1297"/>
      <c r="E4" s="1297"/>
      <c r="F4" s="1297"/>
      <c r="G4" s="1297"/>
      <c r="H4" s="1297"/>
      <c r="I4" s="1298">
        <f>'Kopertina '!F29</f>
        <v>2011</v>
      </c>
    </row>
    <row r="5" spans="2:9" ht="13.5" customHeight="1">
      <c r="C5" s="1786" t="s">
        <v>187</v>
      </c>
      <c r="D5" s="1786" t="s">
        <v>373</v>
      </c>
      <c r="E5" s="1786" t="s">
        <v>836</v>
      </c>
      <c r="F5" s="1786" t="s">
        <v>837</v>
      </c>
      <c r="G5" s="1788" t="s">
        <v>838</v>
      </c>
      <c r="H5" s="1315"/>
      <c r="I5" s="1786" t="s">
        <v>839</v>
      </c>
    </row>
    <row r="6" spans="2:9" ht="13.5" customHeight="1" thickBot="1">
      <c r="C6" s="1787"/>
      <c r="D6" s="1787"/>
      <c r="E6" s="1787"/>
      <c r="F6" s="1787"/>
      <c r="G6" s="1789"/>
      <c r="H6" s="1316"/>
      <c r="I6" s="1787"/>
    </row>
    <row r="7" spans="2:9" ht="13.5" customHeight="1">
      <c r="C7" s="1348">
        <v>1</v>
      </c>
      <c r="D7" s="1299" t="s">
        <v>1893</v>
      </c>
      <c r="E7" s="1299"/>
      <c r="F7" s="1300">
        <v>249999.6</v>
      </c>
      <c r="G7" s="1301">
        <v>250000</v>
      </c>
      <c r="H7" s="1301"/>
      <c r="I7" s="1302">
        <f>+E7+F7-G7-H7*140.5</f>
        <v>-0.39999999999417923</v>
      </c>
    </row>
    <row r="8" spans="2:9" ht="13.5" customHeight="1">
      <c r="C8" s="1351">
        <v>2</v>
      </c>
      <c r="D8" s="1303" t="s">
        <v>1647</v>
      </c>
      <c r="E8" s="1303"/>
      <c r="F8" s="1304">
        <v>1092200.3999999999</v>
      </c>
      <c r="G8" s="1305">
        <v>1092200</v>
      </c>
      <c r="H8" s="1305"/>
      <c r="I8" s="1353">
        <f t="shared" ref="I8:I71" si="0">+E8+F8-G8-H8*140.5</f>
        <v>0.39999999990686774</v>
      </c>
    </row>
    <row r="9" spans="2:9" ht="13.5" customHeight="1">
      <c r="C9" s="1351">
        <v>3</v>
      </c>
      <c r="D9" s="1303" t="s">
        <v>1823</v>
      </c>
      <c r="E9" s="1304">
        <v>196800</v>
      </c>
      <c r="F9" s="1304">
        <v>240624</v>
      </c>
      <c r="G9" s="1305">
        <v>240624</v>
      </c>
      <c r="H9" s="1305"/>
      <c r="I9" s="1353">
        <f t="shared" si="0"/>
        <v>196800</v>
      </c>
    </row>
    <row r="10" spans="2:9" ht="13.5" customHeight="1">
      <c r="C10" s="1351">
        <v>4</v>
      </c>
      <c r="D10" s="1304" t="s">
        <v>1210</v>
      </c>
      <c r="E10" s="1304">
        <v>192002.40000000002</v>
      </c>
      <c r="F10" s="1304"/>
      <c r="G10" s="1305"/>
      <c r="H10" s="1305"/>
      <c r="I10" s="1353">
        <f t="shared" si="0"/>
        <v>192002.40000000002</v>
      </c>
    </row>
    <row r="11" spans="2:9" ht="13.5" customHeight="1">
      <c r="C11" s="1351">
        <v>5</v>
      </c>
      <c r="D11" s="1303" t="s">
        <v>1354</v>
      </c>
      <c r="E11" s="1303"/>
      <c r="F11" s="1304">
        <v>1041240</v>
      </c>
      <c r="G11" s="1305">
        <v>1041240</v>
      </c>
      <c r="H11" s="1305"/>
      <c r="I11" s="1353">
        <f t="shared" si="0"/>
        <v>0</v>
      </c>
    </row>
    <row r="12" spans="2:9" ht="13.5" customHeight="1">
      <c r="C12" s="1351">
        <v>6</v>
      </c>
      <c r="D12" s="1304" t="s">
        <v>1206</v>
      </c>
      <c r="E12" s="1304">
        <v>73813</v>
      </c>
      <c r="F12" s="1304"/>
      <c r="G12" s="1305">
        <v>73813</v>
      </c>
      <c r="H12" s="1305"/>
      <c r="I12" s="1353">
        <f t="shared" si="0"/>
        <v>0</v>
      </c>
    </row>
    <row r="13" spans="2:9" ht="13.5" customHeight="1">
      <c r="C13" s="1351">
        <v>7</v>
      </c>
      <c r="D13" s="1304" t="s">
        <v>1197</v>
      </c>
      <c r="E13" s="1304">
        <v>-7724.09</v>
      </c>
      <c r="F13" s="1304"/>
      <c r="G13" s="1305">
        <v>-7724</v>
      </c>
      <c r="H13" s="1305"/>
      <c r="I13" s="1353">
        <f t="shared" si="0"/>
        <v>-9.0000000000145519E-2</v>
      </c>
    </row>
    <row r="14" spans="2:9" ht="13.5" customHeight="1">
      <c r="C14" s="1351">
        <v>8</v>
      </c>
      <c r="D14" s="1303" t="s">
        <v>1075</v>
      </c>
      <c r="E14" s="1303"/>
      <c r="F14" s="1304">
        <v>851750.40000000002</v>
      </c>
      <c r="G14" s="1305"/>
      <c r="H14" s="1305">
        <v>32761.56</v>
      </c>
      <c r="I14" s="1353"/>
    </row>
    <row r="15" spans="2:9" ht="13.5" customHeight="1">
      <c r="C15" s="1351">
        <v>9</v>
      </c>
      <c r="D15" s="1303" t="s">
        <v>1622</v>
      </c>
      <c r="E15" s="1303"/>
      <c r="F15" s="1304">
        <v>154800</v>
      </c>
      <c r="G15" s="1305"/>
      <c r="H15" s="1305"/>
      <c r="I15" s="1353">
        <f t="shared" si="0"/>
        <v>154800</v>
      </c>
    </row>
    <row r="16" spans="2:9" ht="13.5" customHeight="1">
      <c r="C16" s="1351">
        <v>10</v>
      </c>
      <c r="D16" s="1303" t="s">
        <v>1370</v>
      </c>
      <c r="E16" s="1304">
        <v>234547.79999999981</v>
      </c>
      <c r="F16" s="1304">
        <v>842388</v>
      </c>
      <c r="G16" s="1305">
        <v>1013278.6</v>
      </c>
      <c r="H16" s="1305"/>
      <c r="I16" s="1353">
        <f t="shared" si="0"/>
        <v>63657.199999999837</v>
      </c>
    </row>
    <row r="17" spans="3:9" ht="13.5" customHeight="1">
      <c r="C17" s="1351">
        <v>11</v>
      </c>
      <c r="D17" s="1303" t="s">
        <v>1900</v>
      </c>
      <c r="E17" s="1303"/>
      <c r="F17" s="1304">
        <v>16786.916400000002</v>
      </c>
      <c r="G17" s="1305">
        <v>16787</v>
      </c>
      <c r="H17" s="1305"/>
      <c r="I17" s="1353">
        <f t="shared" si="0"/>
        <v>-8.3599999998114072E-2</v>
      </c>
    </row>
    <row r="18" spans="3:9" ht="13.5" customHeight="1">
      <c r="C18" s="1351">
        <v>12</v>
      </c>
      <c r="D18" s="1303" t="s">
        <v>1635</v>
      </c>
      <c r="E18" s="1303"/>
      <c r="F18" s="1304">
        <v>600000</v>
      </c>
      <c r="G18" s="1305">
        <v>600000</v>
      </c>
      <c r="H18" s="1305"/>
      <c r="I18" s="1353">
        <f t="shared" si="0"/>
        <v>0</v>
      </c>
    </row>
    <row r="19" spans="3:9" ht="13.5" customHeight="1">
      <c r="C19" s="1351">
        <v>13</v>
      </c>
      <c r="D19" s="1303" t="s">
        <v>987</v>
      </c>
      <c r="E19" s="1304">
        <v>293697.59999999998</v>
      </c>
      <c r="F19" s="1304">
        <v>616800</v>
      </c>
      <c r="G19" s="1305">
        <v>616800</v>
      </c>
      <c r="H19" s="1305"/>
      <c r="I19" s="1353">
        <f t="shared" si="0"/>
        <v>293697.59999999998</v>
      </c>
    </row>
    <row r="20" spans="3:9" ht="13.5" customHeight="1">
      <c r="C20" s="1351">
        <v>14</v>
      </c>
      <c r="D20" s="1303" t="s">
        <v>1388</v>
      </c>
      <c r="E20" s="1303"/>
      <c r="F20" s="1304">
        <v>3730413.6</v>
      </c>
      <c r="G20" s="1305">
        <v>3060000</v>
      </c>
      <c r="H20" s="1305"/>
      <c r="I20" s="1353">
        <f t="shared" si="0"/>
        <v>670413.60000000009</v>
      </c>
    </row>
    <row r="21" spans="3:9" ht="13.5" customHeight="1">
      <c r="C21" s="1351">
        <v>15</v>
      </c>
      <c r="D21" s="1303" t="s">
        <v>1833</v>
      </c>
      <c r="E21" s="1303"/>
      <c r="F21" s="1304">
        <v>567000</v>
      </c>
      <c r="G21" s="1305">
        <v>567000</v>
      </c>
      <c r="H21" s="1305"/>
      <c r="I21" s="1353">
        <f t="shared" si="0"/>
        <v>0</v>
      </c>
    </row>
    <row r="22" spans="3:9" ht="13.5" customHeight="1">
      <c r="C22" s="1351">
        <v>16</v>
      </c>
      <c r="D22" s="1303" t="s">
        <v>1034</v>
      </c>
      <c r="E22" s="1303"/>
      <c r="F22" s="1304">
        <v>729480</v>
      </c>
      <c r="G22" s="1305">
        <v>729480</v>
      </c>
      <c r="H22" s="1305"/>
      <c r="I22" s="1353">
        <f t="shared" si="0"/>
        <v>0</v>
      </c>
    </row>
    <row r="23" spans="3:9" ht="13.5" customHeight="1">
      <c r="C23" s="1351">
        <v>17</v>
      </c>
      <c r="D23" s="1303" t="s">
        <v>1629</v>
      </c>
      <c r="E23" s="1304">
        <v>-421196</v>
      </c>
      <c r="F23" s="1304">
        <v>3855380.4</v>
      </c>
      <c r="G23" s="1305">
        <f>3855342-421158</f>
        <v>3434184</v>
      </c>
      <c r="H23" s="1305"/>
      <c r="I23" s="1353">
        <f t="shared" si="0"/>
        <v>0.39999999990686774</v>
      </c>
    </row>
    <row r="24" spans="3:9" ht="13.5" customHeight="1">
      <c r="C24" s="1351">
        <v>18</v>
      </c>
      <c r="D24" s="1303" t="s">
        <v>1427</v>
      </c>
      <c r="E24" s="1303"/>
      <c r="F24" s="1304">
        <v>263596.79999999999</v>
      </c>
      <c r="G24" s="1305">
        <v>263596.79999999999</v>
      </c>
      <c r="H24" s="1305"/>
      <c r="I24" s="1353">
        <f t="shared" si="0"/>
        <v>0</v>
      </c>
    </row>
    <row r="25" spans="3:9" ht="13.5" customHeight="1">
      <c r="C25" s="1351">
        <v>19</v>
      </c>
      <c r="D25" s="1303" t="s">
        <v>1363</v>
      </c>
      <c r="E25" s="1304">
        <v>844674.60000000009</v>
      </c>
      <c r="F25" s="1304">
        <v>1343677.2000000002</v>
      </c>
      <c r="G25" s="1305">
        <v>1701958</v>
      </c>
      <c r="H25" s="1305">
        <v>330.9</v>
      </c>
      <c r="I25" s="1353">
        <f t="shared" si="0"/>
        <v>439902.35000000027</v>
      </c>
    </row>
    <row r="26" spans="3:9" ht="13.5" customHeight="1">
      <c r="C26" s="1351">
        <v>20</v>
      </c>
      <c r="D26" s="1303" t="s">
        <v>1348</v>
      </c>
      <c r="E26" s="1304">
        <v>-2259284</v>
      </c>
      <c r="F26" s="1304">
        <v>1000036.8</v>
      </c>
      <c r="G26" s="1305">
        <f>1000037-2259284</f>
        <v>-1259247</v>
      </c>
      <c r="H26" s="1305"/>
      <c r="I26" s="1353">
        <f t="shared" si="0"/>
        <v>-0.19999999995343387</v>
      </c>
    </row>
    <row r="27" spans="3:9" ht="13.5" customHeight="1">
      <c r="C27" s="1351">
        <v>21</v>
      </c>
      <c r="D27" s="1304" t="s">
        <v>1222</v>
      </c>
      <c r="E27" s="1304">
        <v>3019609</v>
      </c>
      <c r="F27" s="1304"/>
      <c r="G27" s="1305">
        <v>3019609</v>
      </c>
      <c r="H27" s="1305"/>
      <c r="I27" s="1353">
        <f t="shared" si="0"/>
        <v>0</v>
      </c>
    </row>
    <row r="28" spans="3:9" ht="13.5" customHeight="1">
      <c r="C28" s="1351">
        <v>22</v>
      </c>
      <c r="D28" s="1304" t="s">
        <v>1201</v>
      </c>
      <c r="E28" s="1304">
        <v>33110</v>
      </c>
      <c r="F28" s="1304"/>
      <c r="G28" s="1305"/>
      <c r="H28" s="1305"/>
      <c r="I28" s="1353">
        <f t="shared" si="0"/>
        <v>33110</v>
      </c>
    </row>
    <row r="29" spans="3:9" ht="13.5" customHeight="1">
      <c r="C29" s="1351">
        <v>23</v>
      </c>
      <c r="D29" s="1304" t="s">
        <v>1203</v>
      </c>
      <c r="E29" s="1304">
        <v>40108</v>
      </c>
      <c r="F29" s="1304"/>
      <c r="G29" s="1305"/>
      <c r="H29" s="1305"/>
      <c r="I29" s="1353">
        <f t="shared" si="0"/>
        <v>40108</v>
      </c>
    </row>
    <row r="30" spans="3:9" ht="13.5" customHeight="1">
      <c r="C30" s="1351">
        <v>24</v>
      </c>
      <c r="D30" s="1304" t="s">
        <v>1217</v>
      </c>
      <c r="E30" s="1304">
        <v>825140</v>
      </c>
      <c r="F30" s="1304"/>
      <c r="G30" s="1305">
        <v>825140</v>
      </c>
      <c r="H30" s="1305"/>
      <c r="I30" s="1353">
        <f t="shared" si="0"/>
        <v>0</v>
      </c>
    </row>
    <row r="31" spans="3:9" ht="13.5" customHeight="1">
      <c r="C31" s="1351">
        <v>25</v>
      </c>
      <c r="D31" s="1304" t="s">
        <v>1213</v>
      </c>
      <c r="E31" s="1304">
        <v>558120</v>
      </c>
      <c r="F31" s="1304"/>
      <c r="G31" s="1305">
        <v>558120</v>
      </c>
      <c r="H31" s="1305"/>
      <c r="I31" s="1353">
        <f t="shared" si="0"/>
        <v>0</v>
      </c>
    </row>
    <row r="32" spans="3:9" ht="13.5" customHeight="1">
      <c r="C32" s="1351">
        <v>26</v>
      </c>
      <c r="D32" s="1304" t="s">
        <v>1198</v>
      </c>
      <c r="E32" s="1304">
        <v>-3702.7999999999884</v>
      </c>
      <c r="F32" s="1304"/>
      <c r="G32" s="1305">
        <v>-3703</v>
      </c>
      <c r="H32" s="1305"/>
      <c r="I32" s="1353">
        <f t="shared" si="0"/>
        <v>0.20000000001164153</v>
      </c>
    </row>
    <row r="33" spans="3:9" ht="13.5" customHeight="1">
      <c r="C33" s="1351">
        <v>27</v>
      </c>
      <c r="D33" s="1303" t="s">
        <v>1432</v>
      </c>
      <c r="E33" s="1304">
        <v>90553</v>
      </c>
      <c r="F33" s="1304">
        <v>2467740</v>
      </c>
      <c r="G33" s="1305">
        <v>2467740</v>
      </c>
      <c r="H33" s="1305"/>
      <c r="I33" s="1353">
        <f t="shared" si="0"/>
        <v>90553</v>
      </c>
    </row>
    <row r="34" spans="3:9" ht="13.5" customHeight="1">
      <c r="C34" s="1351">
        <v>28</v>
      </c>
      <c r="D34" s="1304" t="s">
        <v>1212</v>
      </c>
      <c r="E34" s="1304">
        <v>381321</v>
      </c>
      <c r="F34" s="1304"/>
      <c r="G34" s="1305">
        <v>381321</v>
      </c>
      <c r="H34" s="1305"/>
      <c r="I34" s="1353">
        <f t="shared" si="0"/>
        <v>0</v>
      </c>
    </row>
    <row r="35" spans="3:9" ht="13.5" customHeight="1">
      <c r="C35" s="1351">
        <v>29</v>
      </c>
      <c r="D35" s="1304" t="s">
        <v>1216</v>
      </c>
      <c r="E35" s="1304">
        <v>739887.4</v>
      </c>
      <c r="F35" s="1304"/>
      <c r="G35" s="1305">
        <v>739887</v>
      </c>
      <c r="H35" s="1305"/>
      <c r="I35" s="1353">
        <f t="shared" si="0"/>
        <v>0.40000000002328306</v>
      </c>
    </row>
    <row r="36" spans="3:9" ht="13.5" customHeight="1">
      <c r="C36" s="1351">
        <v>30</v>
      </c>
      <c r="D36" s="1304" t="s">
        <v>1199</v>
      </c>
      <c r="E36" s="1304">
        <v>2910</v>
      </c>
      <c r="F36" s="1304"/>
      <c r="G36" s="1305">
        <v>2910</v>
      </c>
      <c r="H36" s="1305"/>
      <c r="I36" s="1353">
        <f t="shared" si="0"/>
        <v>0</v>
      </c>
    </row>
    <row r="37" spans="3:9" ht="13.5" customHeight="1">
      <c r="C37" s="1351">
        <v>31</v>
      </c>
      <c r="D37" s="1303" t="s">
        <v>1090</v>
      </c>
      <c r="E37" s="1303"/>
      <c r="F37" s="1304">
        <v>150480</v>
      </c>
      <c r="G37" s="1305">
        <v>155000</v>
      </c>
      <c r="H37" s="1305"/>
      <c r="I37" s="1353">
        <f t="shared" si="0"/>
        <v>-4520</v>
      </c>
    </row>
    <row r="38" spans="3:9" ht="13.5" customHeight="1">
      <c r="C38" s="1351">
        <v>32</v>
      </c>
      <c r="D38" s="1304" t="s">
        <v>1207</v>
      </c>
      <c r="E38" s="1304">
        <v>94416</v>
      </c>
      <c r="F38" s="1304"/>
      <c r="G38" s="1305">
        <v>94416</v>
      </c>
      <c r="H38" s="1305"/>
      <c r="I38" s="1353">
        <f t="shared" si="0"/>
        <v>0</v>
      </c>
    </row>
    <row r="39" spans="3:9" ht="13.5" customHeight="1">
      <c r="C39" s="1351">
        <v>33</v>
      </c>
      <c r="D39" s="1303" t="s">
        <v>1722</v>
      </c>
      <c r="E39" s="1303"/>
      <c r="F39" s="1304">
        <v>86400</v>
      </c>
      <c r="G39" s="1305">
        <f>+F39</f>
        <v>86400</v>
      </c>
      <c r="H39" s="1305"/>
      <c r="I39" s="1353">
        <f t="shared" si="0"/>
        <v>0</v>
      </c>
    </row>
    <row r="40" spans="3:9" ht="13.5" customHeight="1">
      <c r="C40" s="1351">
        <v>34</v>
      </c>
      <c r="D40" s="1303" t="s">
        <v>1642</v>
      </c>
      <c r="E40" s="1303"/>
      <c r="F40" s="1304">
        <v>1284535.2</v>
      </c>
      <c r="G40" s="1305"/>
      <c r="H40" s="1305">
        <v>9196</v>
      </c>
      <c r="I40" s="1353">
        <f t="shared" si="0"/>
        <v>-7502.8000000000466</v>
      </c>
    </row>
    <row r="41" spans="3:9" ht="13.5" customHeight="1">
      <c r="C41" s="1351">
        <v>35</v>
      </c>
      <c r="D41" s="1303" t="s">
        <v>1674</v>
      </c>
      <c r="E41" s="1304">
        <v>-683016.58999999985</v>
      </c>
      <c r="F41" s="1304">
        <v>584187.97199999995</v>
      </c>
      <c r="G41" s="1305">
        <v>-98829</v>
      </c>
      <c r="H41" s="1305"/>
      <c r="I41" s="1353">
        <f t="shared" si="0"/>
        <v>0.38200000009965152</v>
      </c>
    </row>
    <row r="42" spans="3:9" ht="13.5" customHeight="1">
      <c r="C42" s="1351">
        <v>36</v>
      </c>
      <c r="D42" s="1303" t="s">
        <v>1727</v>
      </c>
      <c r="E42" s="1303"/>
      <c r="F42" s="1304">
        <v>1175682</v>
      </c>
      <c r="G42" s="1305">
        <v>1175680</v>
      </c>
      <c r="H42" s="1305"/>
      <c r="I42" s="1353">
        <f t="shared" si="0"/>
        <v>2</v>
      </c>
    </row>
    <row r="43" spans="3:9" ht="13.5" customHeight="1">
      <c r="C43" s="1351">
        <v>37</v>
      </c>
      <c r="D43" s="1304" t="s">
        <v>1218</v>
      </c>
      <c r="E43" s="1304">
        <v>858634</v>
      </c>
      <c r="F43" s="1304"/>
      <c r="G43" s="1305">
        <v>858634</v>
      </c>
      <c r="H43" s="1305"/>
      <c r="I43" s="1353">
        <f t="shared" si="0"/>
        <v>0</v>
      </c>
    </row>
    <row r="44" spans="3:9" ht="13.5" customHeight="1">
      <c r="C44" s="1351">
        <v>38</v>
      </c>
      <c r="D44" s="1303" t="s">
        <v>1954</v>
      </c>
      <c r="E44" s="1304">
        <v>446494</v>
      </c>
      <c r="F44" s="1304">
        <v>1267228.8</v>
      </c>
      <c r="G44" s="1305">
        <v>950400</v>
      </c>
      <c r="H44" s="1305"/>
      <c r="I44" s="1353">
        <f t="shared" si="0"/>
        <v>763322.8</v>
      </c>
    </row>
    <row r="45" spans="3:9" ht="13.5" customHeight="1">
      <c r="C45" s="1351">
        <v>39</v>
      </c>
      <c r="D45" s="1304" t="s">
        <v>1221</v>
      </c>
      <c r="E45" s="1304">
        <v>1360510</v>
      </c>
      <c r="F45" s="1304"/>
      <c r="G45" s="1305">
        <v>1360510</v>
      </c>
      <c r="H45" s="1305"/>
      <c r="I45" s="1353">
        <f t="shared" si="0"/>
        <v>0</v>
      </c>
    </row>
    <row r="46" spans="3:9" ht="13.5" customHeight="1">
      <c r="C46" s="1351">
        <v>40</v>
      </c>
      <c r="D46" s="1303" t="s">
        <v>1828</v>
      </c>
      <c r="E46" s="1303"/>
      <c r="F46" s="1304">
        <v>349566</v>
      </c>
      <c r="G46" s="1304">
        <v>349566</v>
      </c>
      <c r="H46" s="1304"/>
      <c r="I46" s="1353">
        <f t="shared" si="0"/>
        <v>0</v>
      </c>
    </row>
    <row r="47" spans="3:9" ht="13.5" customHeight="1">
      <c r="C47" s="1351">
        <v>41</v>
      </c>
      <c r="D47" s="1303" t="s">
        <v>1000</v>
      </c>
      <c r="E47" s="1304">
        <v>160237.80000000005</v>
      </c>
      <c r="F47" s="1304">
        <v>360799.2</v>
      </c>
      <c r="G47" s="1304">
        <v>200659.6</v>
      </c>
      <c r="H47" s="1304"/>
      <c r="I47" s="1353">
        <f t="shared" si="0"/>
        <v>320377.40000000002</v>
      </c>
    </row>
    <row r="48" spans="3:9" ht="13.5" customHeight="1">
      <c r="C48" s="1351">
        <v>43</v>
      </c>
      <c r="D48" s="1304" t="s">
        <v>1200</v>
      </c>
      <c r="E48" s="1304">
        <v>6760</v>
      </c>
      <c r="F48" s="1304"/>
      <c r="G48" s="1304"/>
      <c r="H48" s="1304"/>
      <c r="I48" s="1353">
        <f t="shared" si="0"/>
        <v>6760</v>
      </c>
    </row>
    <row r="49" spans="3:10" ht="13.5" customHeight="1">
      <c r="C49" s="1351">
        <v>44</v>
      </c>
      <c r="D49" s="1304" t="s">
        <v>1209</v>
      </c>
      <c r="E49" s="1304">
        <v>161280</v>
      </c>
      <c r="F49" s="1304"/>
      <c r="G49" s="1304"/>
      <c r="H49" s="1304"/>
      <c r="I49" s="1353">
        <f t="shared" si="0"/>
        <v>161280</v>
      </c>
    </row>
    <row r="50" spans="3:10" ht="13.5" customHeight="1">
      <c r="C50" s="1351">
        <v>45</v>
      </c>
      <c r="D50" s="1303" t="s">
        <v>1656</v>
      </c>
      <c r="E50" s="1304">
        <v>568435.39999999851</v>
      </c>
      <c r="F50" s="1304">
        <v>2525102.4</v>
      </c>
      <c r="G50" s="1304">
        <f>+F50+E50</f>
        <v>3093537.7999999984</v>
      </c>
      <c r="H50" s="1304"/>
      <c r="I50" s="1353">
        <f t="shared" si="0"/>
        <v>0</v>
      </c>
      <c r="J50" s="1295" t="s">
        <v>2097</v>
      </c>
    </row>
    <row r="51" spans="3:10" ht="13.5" customHeight="1">
      <c r="C51" s="1351">
        <v>46</v>
      </c>
      <c r="D51" s="1303" t="s">
        <v>998</v>
      </c>
      <c r="E51" s="1304">
        <v>77528</v>
      </c>
      <c r="F51" s="1304">
        <v>1630215.6</v>
      </c>
      <c r="G51" s="1304">
        <v>1637006.6</v>
      </c>
      <c r="H51" s="1304"/>
      <c r="I51" s="1353">
        <f t="shared" si="0"/>
        <v>70737</v>
      </c>
    </row>
    <row r="52" spans="3:10" ht="13.5" customHeight="1">
      <c r="C52" s="1351">
        <v>47</v>
      </c>
      <c r="D52" s="1304" t="s">
        <v>1205</v>
      </c>
      <c r="E52" s="1304">
        <v>72000</v>
      </c>
      <c r="F52" s="1304"/>
      <c r="G52" s="1304">
        <v>72000</v>
      </c>
      <c r="H52" s="1304"/>
      <c r="I52" s="1353">
        <f t="shared" si="0"/>
        <v>0</v>
      </c>
    </row>
    <row r="53" spans="3:10" ht="13.5" customHeight="1">
      <c r="C53" s="1351">
        <v>48</v>
      </c>
      <c r="D53" s="1304" t="s">
        <v>1208</v>
      </c>
      <c r="E53" s="1304">
        <v>156309</v>
      </c>
      <c r="F53" s="1304"/>
      <c r="G53" s="1304">
        <v>156309</v>
      </c>
      <c r="H53" s="1304"/>
      <c r="I53" s="1353">
        <f t="shared" si="0"/>
        <v>0</v>
      </c>
    </row>
    <row r="54" spans="3:10" ht="13.5" customHeight="1">
      <c r="C54" s="1351">
        <v>49</v>
      </c>
      <c r="D54" s="1304" t="s">
        <v>1211</v>
      </c>
      <c r="E54" s="1304">
        <v>312404.40000000002</v>
      </c>
      <c r="F54" s="1304"/>
      <c r="G54" s="1304">
        <v>312404</v>
      </c>
      <c r="H54" s="1304"/>
      <c r="I54" s="1353">
        <f t="shared" si="0"/>
        <v>0.40000000002328306</v>
      </c>
    </row>
    <row r="55" spans="3:10" ht="13.5" customHeight="1">
      <c r="C55" s="1351">
        <v>50</v>
      </c>
      <c r="D55" s="1303" t="s">
        <v>1010</v>
      </c>
      <c r="E55" s="1303"/>
      <c r="F55" s="1304">
        <v>5760642.3119999999</v>
      </c>
      <c r="G55" s="1304">
        <v>4555842.32</v>
      </c>
      <c r="H55" s="1304"/>
      <c r="I55" s="1353">
        <f t="shared" si="0"/>
        <v>1204799.9919999996</v>
      </c>
    </row>
    <row r="56" spans="3:10" ht="13.5" customHeight="1">
      <c r="C56" s="1351">
        <v>51</v>
      </c>
      <c r="D56" s="1304" t="s">
        <v>1196</v>
      </c>
      <c r="E56" s="1304">
        <v>-4542032.5999999996</v>
      </c>
      <c r="F56" s="1304"/>
      <c r="G56" s="1304">
        <v>-4542033</v>
      </c>
      <c r="H56" s="1304"/>
      <c r="I56" s="1353">
        <f t="shared" si="0"/>
        <v>0.40000000037252903</v>
      </c>
    </row>
    <row r="57" spans="3:10" ht="13.5" customHeight="1">
      <c r="C57" s="1351">
        <v>52</v>
      </c>
      <c r="D57" s="1303" t="s">
        <v>1343</v>
      </c>
      <c r="E57" s="1304">
        <v>11760</v>
      </c>
      <c r="F57" s="1304">
        <v>624612</v>
      </c>
      <c r="G57" s="1304">
        <v>879972</v>
      </c>
      <c r="H57" s="1304"/>
      <c r="I57" s="1353">
        <f t="shared" si="0"/>
        <v>-243600</v>
      </c>
    </row>
    <row r="58" spans="3:10" ht="13.5" customHeight="1">
      <c r="C58" s="1351">
        <v>53</v>
      </c>
      <c r="D58" s="1303" t="s">
        <v>1652</v>
      </c>
      <c r="E58" s="1304">
        <v>-660302.80000000005</v>
      </c>
      <c r="F58" s="1304">
        <v>358314</v>
      </c>
      <c r="G58" s="1304">
        <v>-660303</v>
      </c>
      <c r="H58" s="1304"/>
      <c r="I58" s="1353">
        <f t="shared" si="0"/>
        <v>358314.19999999995</v>
      </c>
    </row>
    <row r="59" spans="3:10" ht="13.5" customHeight="1">
      <c r="C59" s="1351">
        <v>54</v>
      </c>
      <c r="D59" s="1304" t="s">
        <v>1204</v>
      </c>
      <c r="E59" s="1304">
        <v>55200</v>
      </c>
      <c r="F59" s="1304"/>
      <c r="G59" s="1304"/>
      <c r="H59" s="1304"/>
      <c r="I59" s="1353">
        <f t="shared" si="0"/>
        <v>55200</v>
      </c>
    </row>
    <row r="60" spans="3:10" ht="13.5" customHeight="1">
      <c r="C60" s="1351">
        <v>55</v>
      </c>
      <c r="D60" s="1304" t="s">
        <v>1220</v>
      </c>
      <c r="E60" s="1304">
        <v>953640.79999999981</v>
      </c>
      <c r="F60" s="1304"/>
      <c r="G60" s="1304">
        <v>953641</v>
      </c>
      <c r="H60" s="1304"/>
      <c r="I60" s="1353">
        <f t="shared" si="0"/>
        <v>-0.20000000018626451</v>
      </c>
    </row>
    <row r="61" spans="3:10" ht="13.5" customHeight="1">
      <c r="C61" s="1351">
        <v>56</v>
      </c>
      <c r="D61" s="1303" t="s">
        <v>1870</v>
      </c>
      <c r="E61" s="1303"/>
      <c r="F61" s="1304">
        <v>595932</v>
      </c>
      <c r="G61" s="1304">
        <v>595932</v>
      </c>
      <c r="H61" s="1304"/>
      <c r="I61" s="1353">
        <f t="shared" si="0"/>
        <v>0</v>
      </c>
    </row>
    <row r="62" spans="3:10" ht="13.5" customHeight="1">
      <c r="C62" s="1351">
        <v>57</v>
      </c>
      <c r="D62" s="1303" t="s">
        <v>981</v>
      </c>
      <c r="E62" s="1304">
        <v>266071.39999999991</v>
      </c>
      <c r="F62" s="1304">
        <v>790420.8</v>
      </c>
      <c r="G62" s="1304">
        <v>866113.4</v>
      </c>
      <c r="H62" s="1304"/>
      <c r="I62" s="1353">
        <f t="shared" si="0"/>
        <v>190378.79999999993</v>
      </c>
    </row>
    <row r="63" spans="3:10" ht="13.5" customHeight="1">
      <c r="C63" s="1351">
        <v>58</v>
      </c>
      <c r="D63" s="1304" t="s">
        <v>1202</v>
      </c>
      <c r="E63" s="1304">
        <v>37602</v>
      </c>
      <c r="F63" s="1304"/>
      <c r="G63" s="1304"/>
      <c r="H63" s="1304">
        <v>0</v>
      </c>
      <c r="I63" s="1353">
        <f t="shared" si="0"/>
        <v>37602</v>
      </c>
    </row>
    <row r="64" spans="3:10" ht="13.5" customHeight="1">
      <c r="C64" s="1351">
        <v>59</v>
      </c>
      <c r="D64" s="1303" t="s">
        <v>1819</v>
      </c>
      <c r="E64" s="1304">
        <v>297600</v>
      </c>
      <c r="F64" s="1304">
        <v>283560</v>
      </c>
      <c r="G64" s="1304">
        <v>283560</v>
      </c>
      <c r="H64" s="1304"/>
      <c r="I64" s="1353">
        <f t="shared" si="0"/>
        <v>297600</v>
      </c>
    </row>
    <row r="65" spans="3:9" ht="13.5" customHeight="1">
      <c r="C65" s="1351">
        <v>60</v>
      </c>
      <c r="D65" s="1303" t="s">
        <v>1381</v>
      </c>
      <c r="E65" s="1304">
        <v>388240</v>
      </c>
      <c r="F65" s="1304">
        <v>617800.00800000003</v>
      </c>
      <c r="G65" s="1304">
        <v>370500</v>
      </c>
      <c r="H65" s="1304"/>
      <c r="I65" s="1353">
        <f t="shared" si="0"/>
        <v>635540.00800000003</v>
      </c>
    </row>
    <row r="66" spans="3:9" ht="13.5" customHeight="1">
      <c r="C66" s="1351">
        <v>61</v>
      </c>
      <c r="D66" s="1303" t="s">
        <v>1079</v>
      </c>
      <c r="E66" s="1304">
        <v>304800</v>
      </c>
      <c r="F66" s="1304">
        <v>301200</v>
      </c>
      <c r="G66" s="1305">
        <v>304800</v>
      </c>
      <c r="H66" s="1305"/>
      <c r="I66" s="1353">
        <f t="shared" si="0"/>
        <v>301200</v>
      </c>
    </row>
    <row r="67" spans="3:9" ht="13.5" customHeight="1">
      <c r="C67" s="1351">
        <v>62</v>
      </c>
      <c r="D67" s="1304" t="s">
        <v>1215</v>
      </c>
      <c r="E67" s="1304">
        <v>699960</v>
      </c>
      <c r="F67" s="1304"/>
      <c r="G67" s="1305">
        <v>699960</v>
      </c>
      <c r="H67" s="1305"/>
      <c r="I67" s="1353">
        <f t="shared" si="0"/>
        <v>0</v>
      </c>
    </row>
    <row r="68" spans="3:9" ht="13.5" customHeight="1">
      <c r="C68" s="1351">
        <v>63</v>
      </c>
      <c r="D68" s="1303" t="s">
        <v>1849</v>
      </c>
      <c r="E68" s="1304">
        <v>2885550</v>
      </c>
      <c r="F68" s="1304">
        <v>999999.6</v>
      </c>
      <c r="G68" s="1305">
        <v>1000000</v>
      </c>
      <c r="H68" s="1305">
        <v>20940</v>
      </c>
      <c r="I68" s="1353">
        <f t="shared" si="0"/>
        <v>-56520.399999999907</v>
      </c>
    </row>
    <row r="69" spans="3:9" ht="13.5" customHeight="1">
      <c r="C69" s="1351">
        <v>64</v>
      </c>
      <c r="D69" s="1303" t="s">
        <v>1632</v>
      </c>
      <c r="E69" s="1303"/>
      <c r="F69" s="1304">
        <v>61236</v>
      </c>
      <c r="G69" s="1305">
        <v>61236</v>
      </c>
      <c r="H69" s="1305"/>
      <c r="I69" s="1353">
        <f t="shared" si="0"/>
        <v>0</v>
      </c>
    </row>
    <row r="70" spans="3:9" ht="13.5" customHeight="1">
      <c r="C70" s="1351">
        <v>65</v>
      </c>
      <c r="D70" s="1303" t="s">
        <v>1420</v>
      </c>
      <c r="E70" s="1303"/>
      <c r="F70" s="1304">
        <f>450098+604800</f>
        <v>1054898</v>
      </c>
      <c r="G70" s="1305">
        <v>1054898</v>
      </c>
      <c r="H70" s="1305"/>
      <c r="I70" s="1353">
        <f t="shared" si="0"/>
        <v>0</v>
      </c>
    </row>
    <row r="71" spans="3:9" ht="13.5" customHeight="1">
      <c r="C71" s="1351">
        <v>66</v>
      </c>
      <c r="D71" s="1303" t="s">
        <v>1088</v>
      </c>
      <c r="E71" s="1303"/>
      <c r="F71" s="1304">
        <v>296322</v>
      </c>
      <c r="G71" s="1305">
        <v>296332</v>
      </c>
      <c r="H71" s="1305"/>
      <c r="I71" s="1353">
        <f t="shared" si="0"/>
        <v>-10</v>
      </c>
    </row>
    <row r="72" spans="3:9" ht="13.5" customHeight="1">
      <c r="C72" s="1351">
        <v>67</v>
      </c>
      <c r="D72" s="1303" t="s">
        <v>1640</v>
      </c>
      <c r="E72" s="1304">
        <v>302820.31999999983</v>
      </c>
      <c r="F72" s="1304">
        <v>3405712.44</v>
      </c>
      <c r="G72" s="1305">
        <v>3658477.4</v>
      </c>
      <c r="H72" s="1305"/>
      <c r="I72" s="1353">
        <f t="shared" ref="I72:I82" si="1">+E72+F72-G72-H72*140.5</f>
        <v>50055.35999999987</v>
      </c>
    </row>
    <row r="73" spans="3:9" ht="13.5" customHeight="1">
      <c r="C73" s="1351">
        <v>68</v>
      </c>
      <c r="D73" s="1304" t="s">
        <v>1219</v>
      </c>
      <c r="E73" s="1304">
        <v>899760</v>
      </c>
      <c r="F73" s="1304"/>
      <c r="G73" s="1305">
        <v>899760</v>
      </c>
      <c r="H73" s="1305"/>
      <c r="I73" s="1353">
        <f t="shared" si="1"/>
        <v>0</v>
      </c>
    </row>
    <row r="74" spans="3:9" ht="13.5" customHeight="1">
      <c r="C74" s="1351">
        <v>69</v>
      </c>
      <c r="D74" s="1303" t="s">
        <v>1731</v>
      </c>
      <c r="E74" s="1303"/>
      <c r="F74" s="1304">
        <v>214999.2</v>
      </c>
      <c r="G74" s="1305">
        <f>+F74</f>
        <v>214999.2</v>
      </c>
      <c r="H74" s="1305"/>
      <c r="I74" s="1353">
        <f t="shared" si="1"/>
        <v>0</v>
      </c>
    </row>
    <row r="75" spans="3:9" ht="13.5" customHeight="1">
      <c r="C75" s="1351">
        <v>70</v>
      </c>
      <c r="D75" s="1303" t="s">
        <v>1406</v>
      </c>
      <c r="E75" s="1303"/>
      <c r="F75" s="1304">
        <v>6176803.1999999955</v>
      </c>
      <c r="G75" s="1305">
        <v>5597719.3300000001</v>
      </c>
      <c r="H75" s="1305"/>
      <c r="I75" s="1353">
        <f t="shared" si="1"/>
        <v>579083.86999999546</v>
      </c>
    </row>
    <row r="76" spans="3:9" ht="13.5" customHeight="1">
      <c r="C76" s="1351">
        <v>71</v>
      </c>
      <c r="D76" s="1304" t="s">
        <v>1214</v>
      </c>
      <c r="E76" s="1304">
        <v>660289</v>
      </c>
      <c r="F76" s="1304"/>
      <c r="G76" s="1305">
        <v>660289</v>
      </c>
      <c r="H76" s="1305"/>
      <c r="I76" s="1353">
        <f t="shared" si="1"/>
        <v>0</v>
      </c>
    </row>
    <row r="77" spans="3:9" ht="13.5" customHeight="1">
      <c r="C77" s="1351">
        <v>72</v>
      </c>
      <c r="D77" s="1304" t="s">
        <v>2095</v>
      </c>
      <c r="E77" s="1304"/>
      <c r="F77" s="1304">
        <v>200000</v>
      </c>
      <c r="G77" s="1305">
        <v>200000</v>
      </c>
      <c r="H77" s="1305"/>
      <c r="I77" s="1353">
        <f t="shared" si="1"/>
        <v>0</v>
      </c>
    </row>
    <row r="78" spans="3:9" ht="13.5" customHeight="1">
      <c r="C78" s="1351">
        <v>73</v>
      </c>
      <c r="D78" s="1304" t="s">
        <v>2096</v>
      </c>
      <c r="E78" s="1304"/>
      <c r="F78" s="1304">
        <v>162000</v>
      </c>
      <c r="G78" s="1305">
        <v>162000</v>
      </c>
      <c r="H78" s="1305"/>
      <c r="I78" s="1353">
        <f t="shared" si="1"/>
        <v>0</v>
      </c>
    </row>
    <row r="79" spans="3:9" ht="13.5" customHeight="1">
      <c r="C79" s="1351">
        <v>74</v>
      </c>
      <c r="D79" s="1304" t="s">
        <v>2098</v>
      </c>
      <c r="E79" s="1304"/>
      <c r="F79" s="1304">
        <v>1000000</v>
      </c>
      <c r="G79" s="1305">
        <v>1000000</v>
      </c>
      <c r="H79" s="1305"/>
      <c r="I79" s="1353">
        <f t="shared" si="1"/>
        <v>0</v>
      </c>
    </row>
    <row r="80" spans="3:9" ht="13.5" customHeight="1">
      <c r="C80" s="1351">
        <v>75</v>
      </c>
      <c r="D80" s="1304" t="s">
        <v>2099</v>
      </c>
      <c r="E80" s="1304"/>
      <c r="F80" s="1304">
        <v>175000</v>
      </c>
      <c r="G80" s="1305">
        <v>175000</v>
      </c>
      <c r="H80" s="1305"/>
      <c r="I80" s="1353">
        <f t="shared" si="1"/>
        <v>0</v>
      </c>
    </row>
    <row r="81" spans="3:9" ht="13.5" customHeight="1">
      <c r="C81" s="1351">
        <v>76</v>
      </c>
      <c r="D81" s="1304" t="s">
        <v>2100</v>
      </c>
      <c r="E81" s="1304"/>
      <c r="F81" s="1304">
        <v>15756</v>
      </c>
      <c r="G81" s="1305">
        <v>15756</v>
      </c>
      <c r="H81" s="1305"/>
      <c r="I81" s="1353">
        <f t="shared" si="1"/>
        <v>0</v>
      </c>
    </row>
    <row r="82" spans="3:9" ht="13.5" customHeight="1" thickBot="1">
      <c r="C82" s="1351">
        <v>77</v>
      </c>
      <c r="D82" s="1304" t="s">
        <v>1802</v>
      </c>
      <c r="E82" s="1304"/>
      <c r="F82" s="1304">
        <v>1721998.83</v>
      </c>
      <c r="G82" s="1305"/>
      <c r="H82" s="1305">
        <v>12288</v>
      </c>
      <c r="I82" s="1353">
        <f t="shared" si="1"/>
        <v>-4465.1699999999255</v>
      </c>
    </row>
    <row r="83" spans="3:9" ht="13.5" customHeight="1" thickBot="1">
      <c r="C83" s="1351">
        <v>78</v>
      </c>
      <c r="D83" s="1308"/>
      <c r="E83" s="1309">
        <f>SUM(E7:E82)</f>
        <v>10987337.039999999</v>
      </c>
      <c r="F83" s="1429">
        <f>SUM(F7:F82)</f>
        <v>53895317.678399995</v>
      </c>
      <c r="G83" s="1429">
        <f>SUM(G7:G82)</f>
        <v>51133160.049999997</v>
      </c>
      <c r="H83" s="1429">
        <f>SUM(H7:H82)</f>
        <v>75516.459999999992</v>
      </c>
      <c r="I83" s="1430">
        <f>SUM(I7:I82)</f>
        <v>6890680.8183999956</v>
      </c>
    </row>
    <row r="84" spans="3:9">
      <c r="E84" s="1310"/>
    </row>
    <row r="85" spans="3:9">
      <c r="E85" s="1311">
        <f>'PASIVI '!F13</f>
        <v>18869675</v>
      </c>
    </row>
    <row r="86" spans="3:9">
      <c r="E86" s="1310">
        <f>+E85-E83</f>
        <v>7882337.9600000009</v>
      </c>
    </row>
    <row r="87" spans="3:9">
      <c r="E87" s="1310"/>
    </row>
    <row r="88" spans="3:9">
      <c r="E88" s="1310"/>
    </row>
    <row r="89" spans="3:9">
      <c r="E89" s="1310"/>
    </row>
    <row r="90" spans="3:9">
      <c r="E90" s="1310"/>
    </row>
  </sheetData>
  <mergeCells count="7">
    <mergeCell ref="C3:I3"/>
    <mergeCell ref="C5:C6"/>
    <mergeCell ref="D5:D6"/>
    <mergeCell ref="E5:E6"/>
    <mergeCell ref="F5:F6"/>
    <mergeCell ref="G5:G6"/>
    <mergeCell ref="I5:I6"/>
  </mergeCells>
  <phoneticPr fontId="7" type="noConversion"/>
  <pageMargins left="0" right="0" top="0" bottom="0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FFCC"/>
  </sheetPr>
  <dimension ref="A1:AZ541"/>
  <sheetViews>
    <sheetView view="pageBreakPreview" topLeftCell="X1" zoomScale="85" zoomScaleSheetLayoutView="85" workbookViewId="0">
      <selection activeCell="AZ15" sqref="AF15:AZ15"/>
    </sheetView>
  </sheetViews>
  <sheetFormatPr defaultRowHeight="12.75"/>
  <cols>
    <col min="1" max="1" width="7.140625" style="85" customWidth="1"/>
    <col min="2" max="2" width="10.5703125" style="85" customWidth="1"/>
    <col min="3" max="3" width="11.7109375" style="85" customWidth="1"/>
    <col min="4" max="4" width="12" style="85" customWidth="1"/>
    <col min="5" max="6" width="10.5703125" style="85" customWidth="1"/>
    <col min="7" max="13" width="10.5703125" style="791" customWidth="1"/>
    <col min="14" max="14" width="7.140625" style="795" customWidth="1"/>
    <col min="15" max="15" width="9.140625" style="85"/>
    <col min="16" max="16" width="8.85546875" style="795" customWidth="1"/>
    <col min="17" max="17" width="22.28515625" style="85" customWidth="1"/>
    <col min="18" max="18" width="6.7109375" style="85" customWidth="1"/>
    <col min="19" max="19" width="9.28515625" style="85" customWidth="1"/>
    <col min="20" max="20" width="11.140625" style="791" customWidth="1"/>
    <col min="21" max="23" width="7.5703125" style="791" customWidth="1"/>
    <col min="24" max="25" width="5.28515625" style="791" customWidth="1"/>
    <col min="26" max="26" width="10.42578125" style="791" customWidth="1"/>
    <col min="27" max="27" width="9.140625" style="791" customWidth="1"/>
    <col min="28" max="30" width="5.140625" style="113" customWidth="1"/>
    <col min="31" max="31" width="5" style="113" customWidth="1"/>
    <col min="32" max="32" width="6.42578125" customWidth="1"/>
    <col min="33" max="34" width="7" customWidth="1"/>
    <col min="35" max="35" width="10.7109375" customWidth="1"/>
    <col min="36" max="36" width="10.85546875" customWidth="1"/>
    <col min="37" max="39" width="3.5703125" customWidth="1"/>
    <col min="40" max="40" width="10.5703125" customWidth="1"/>
    <col min="41" max="41" width="10.28515625" customWidth="1"/>
    <col min="42" max="43" width="3.5703125" customWidth="1"/>
    <col min="44" max="44" width="11.140625" customWidth="1"/>
    <col min="45" max="45" width="10.28515625" customWidth="1"/>
    <col min="46" max="49" width="3.5703125" customWidth="1"/>
    <col min="50" max="50" width="11.7109375" customWidth="1"/>
    <col min="51" max="51" width="4.5703125" customWidth="1"/>
    <col min="52" max="52" width="11.28515625" customWidth="1"/>
  </cols>
  <sheetData>
    <row r="1" spans="1:52" ht="19.5">
      <c r="A1" s="380" t="s">
        <v>727</v>
      </c>
      <c r="B1" s="381"/>
      <c r="C1" s="381"/>
      <c r="D1" s="381"/>
      <c r="E1" s="381"/>
      <c r="F1" s="381"/>
      <c r="G1" s="713"/>
      <c r="H1" s="713"/>
      <c r="I1" s="713"/>
      <c r="J1" s="713"/>
      <c r="K1" s="713"/>
      <c r="L1" s="713"/>
      <c r="M1" s="713"/>
      <c r="N1" s="380" t="s">
        <v>728</v>
      </c>
      <c r="O1" s="381"/>
      <c r="P1" s="381"/>
      <c r="Q1" s="381"/>
      <c r="R1" s="381"/>
      <c r="S1" s="381"/>
      <c r="T1" s="713"/>
      <c r="U1" s="713"/>
      <c r="V1" s="713"/>
      <c r="W1" s="713"/>
      <c r="X1" s="713"/>
      <c r="Y1" s="713"/>
      <c r="Z1" s="713"/>
      <c r="AA1" s="713"/>
      <c r="AB1" s="744"/>
      <c r="AC1" s="744"/>
      <c r="AD1" s="744"/>
      <c r="AE1" s="744"/>
      <c r="AG1" s="714" t="s">
        <v>1902</v>
      </c>
      <c r="AH1" s="360"/>
      <c r="AI1" s="360"/>
      <c r="AJ1" s="360"/>
      <c r="AK1" s="935"/>
      <c r="AL1" s="360"/>
      <c r="AM1" s="360"/>
      <c r="AN1" s="382"/>
      <c r="AO1" s="382"/>
      <c r="AP1" s="382"/>
      <c r="AQ1" s="382"/>
      <c r="AR1" s="382"/>
      <c r="AS1" s="382"/>
      <c r="AT1" s="382"/>
      <c r="AU1" s="382"/>
      <c r="AV1" s="382"/>
      <c r="AW1" s="382"/>
      <c r="AX1" s="382"/>
    </row>
    <row r="2" spans="1:52" ht="18">
      <c r="A2" s="383" t="s">
        <v>729</v>
      </c>
      <c r="B2" s="383"/>
      <c r="C2" s="777" t="s">
        <v>973</v>
      </c>
      <c r="D2" s="381"/>
      <c r="E2" s="381"/>
      <c r="F2" s="381"/>
      <c r="G2" s="713"/>
      <c r="H2" s="713"/>
      <c r="I2" s="713"/>
      <c r="J2" s="713"/>
      <c r="K2" s="713"/>
      <c r="L2" s="713"/>
      <c r="M2" s="713"/>
      <c r="N2" s="383" t="s">
        <v>729</v>
      </c>
      <c r="O2" s="383"/>
      <c r="P2" s="777" t="s">
        <v>973</v>
      </c>
      <c r="Q2" s="381"/>
      <c r="R2" s="381"/>
      <c r="S2" s="381"/>
      <c r="T2" s="713"/>
      <c r="U2" s="713"/>
      <c r="V2" s="713"/>
      <c r="W2" s="713"/>
      <c r="X2" s="713"/>
      <c r="Y2" s="713"/>
      <c r="Z2" s="713"/>
      <c r="AA2" s="713"/>
      <c r="AB2" s="744"/>
      <c r="AC2" s="744"/>
      <c r="AD2" s="744"/>
      <c r="AE2" s="744"/>
      <c r="AG2" s="714" t="s">
        <v>949</v>
      </c>
      <c r="AH2" s="360"/>
      <c r="AI2" s="360"/>
      <c r="AJ2" s="360"/>
      <c r="AK2" s="935"/>
      <c r="AL2" s="360"/>
      <c r="AM2" s="360"/>
      <c r="AN2" s="382"/>
      <c r="AO2" s="382"/>
      <c r="AP2" s="382"/>
      <c r="AQ2" s="382"/>
      <c r="AR2" s="382"/>
      <c r="AS2" s="382"/>
      <c r="AT2" s="382"/>
      <c r="AU2" s="382"/>
      <c r="AV2" s="382"/>
      <c r="AW2" s="382"/>
      <c r="AX2" s="382"/>
    </row>
    <row r="3" spans="1:52" ht="18">
      <c r="A3" s="383" t="s">
        <v>401</v>
      </c>
      <c r="B3" s="383"/>
      <c r="C3" s="777" t="s">
        <v>974</v>
      </c>
      <c r="D3" s="381"/>
      <c r="E3" s="381"/>
      <c r="F3" s="381"/>
      <c r="G3" s="713"/>
      <c r="H3" s="713"/>
      <c r="I3" s="713"/>
      <c r="J3" s="713"/>
      <c r="K3" s="713"/>
      <c r="L3" s="713"/>
      <c r="M3" s="713"/>
      <c r="N3" s="383" t="s">
        <v>401</v>
      </c>
      <c r="O3" s="383"/>
      <c r="P3" s="777" t="s">
        <v>974</v>
      </c>
      <c r="Q3" s="381"/>
      <c r="R3" s="381"/>
      <c r="S3" s="381"/>
      <c r="T3" s="713"/>
      <c r="U3" s="713"/>
      <c r="V3" s="713"/>
      <c r="W3" s="713"/>
      <c r="X3" s="713"/>
      <c r="Y3" s="713"/>
      <c r="Z3" s="713"/>
      <c r="AA3" s="713"/>
      <c r="AB3" s="744"/>
      <c r="AC3" s="744"/>
      <c r="AD3" s="744"/>
      <c r="AE3" s="744"/>
      <c r="AG3" s="360"/>
      <c r="AH3" s="360"/>
      <c r="AI3" s="360"/>
      <c r="AJ3" s="360"/>
      <c r="AK3" s="935"/>
      <c r="AL3" s="360"/>
      <c r="AM3" s="360"/>
      <c r="AN3" s="382"/>
      <c r="AO3" s="382"/>
      <c r="AP3" s="382"/>
      <c r="AQ3" s="382"/>
      <c r="AR3" s="382"/>
      <c r="AS3" s="382"/>
      <c r="AT3" s="382"/>
      <c r="AU3" s="382"/>
      <c r="AV3" s="382"/>
      <c r="AW3" s="382"/>
      <c r="AX3" s="382"/>
    </row>
    <row r="4" spans="1:52" ht="18">
      <c r="A4" s="383" t="s">
        <v>730</v>
      </c>
      <c r="B4" s="383"/>
      <c r="C4" s="777" t="s">
        <v>731</v>
      </c>
      <c r="D4" s="381"/>
      <c r="E4" s="381"/>
      <c r="F4" s="381"/>
      <c r="G4" s="713"/>
      <c r="H4" s="713"/>
      <c r="I4" s="713"/>
      <c r="J4" s="713"/>
      <c r="K4" s="713"/>
      <c r="L4" s="713"/>
      <c r="M4" s="713"/>
      <c r="N4" s="383" t="s">
        <v>730</v>
      </c>
      <c r="O4" s="383"/>
      <c r="P4" s="777" t="s">
        <v>731</v>
      </c>
      <c r="Q4" s="381"/>
      <c r="R4" s="381"/>
      <c r="S4" s="381"/>
      <c r="T4" s="713"/>
      <c r="U4" s="713"/>
      <c r="V4" s="713"/>
      <c r="W4" s="713"/>
      <c r="X4" s="713"/>
      <c r="Y4" s="713"/>
      <c r="Z4" s="713"/>
      <c r="AA4" s="713"/>
      <c r="AB4" s="744"/>
      <c r="AC4" s="744"/>
      <c r="AD4" s="744"/>
      <c r="AE4" s="744"/>
      <c r="AG4" s="360"/>
      <c r="AH4" s="360"/>
      <c r="AI4" s="360"/>
      <c r="AJ4" s="360"/>
      <c r="AK4" s="935"/>
      <c r="AL4" s="360"/>
      <c r="AM4" s="360"/>
      <c r="AN4" s="382"/>
      <c r="AO4" s="382"/>
      <c r="AP4" s="382"/>
      <c r="AQ4" s="382"/>
      <c r="AR4" s="382"/>
      <c r="AS4" s="382"/>
      <c r="AT4" s="382"/>
      <c r="AU4" s="382"/>
      <c r="AV4" s="382"/>
      <c r="AW4" s="382"/>
      <c r="AX4" s="382"/>
    </row>
    <row r="5" spans="1:52" ht="18">
      <c r="A5" s="383" t="s">
        <v>169</v>
      </c>
      <c r="B5" s="383"/>
      <c r="C5" s="777" t="s">
        <v>732</v>
      </c>
      <c r="D5" s="381"/>
      <c r="E5" s="381"/>
      <c r="F5" s="381"/>
      <c r="G5" s="713"/>
      <c r="H5" s="713"/>
      <c r="I5" s="713"/>
      <c r="J5" s="713"/>
      <c r="K5" s="713"/>
      <c r="L5" s="713"/>
      <c r="M5" s="713"/>
      <c r="N5" s="383" t="s">
        <v>169</v>
      </c>
      <c r="O5" s="383"/>
      <c r="P5" s="777" t="s">
        <v>732</v>
      </c>
      <c r="Q5" s="381"/>
      <c r="R5" s="381"/>
      <c r="S5" s="381"/>
      <c r="T5" s="713"/>
      <c r="U5" s="713"/>
      <c r="V5" s="713"/>
      <c r="W5" s="713"/>
      <c r="X5" s="713"/>
      <c r="Y5" s="713"/>
      <c r="Z5" s="713"/>
      <c r="AA5" s="713"/>
      <c r="AB5" s="744"/>
      <c r="AC5" s="744"/>
      <c r="AD5" s="744"/>
      <c r="AE5" s="744"/>
      <c r="AG5" s="360"/>
      <c r="AH5" s="360"/>
      <c r="AI5" s="360"/>
      <c r="AJ5" s="360"/>
      <c r="AK5" s="935"/>
      <c r="AL5" s="360"/>
      <c r="AM5" s="360"/>
      <c r="AN5" s="382"/>
      <c r="AO5" s="382"/>
      <c r="AP5" s="382"/>
      <c r="AQ5" s="382"/>
      <c r="AR5" s="382"/>
      <c r="AS5" s="382"/>
      <c r="AT5" s="382"/>
      <c r="AU5" s="382"/>
      <c r="AV5" s="382"/>
      <c r="AW5" s="382"/>
      <c r="AX5" s="382"/>
    </row>
    <row r="6" spans="1:52" ht="18.75" thickBot="1">
      <c r="A6" s="383"/>
      <c r="B6" s="383"/>
      <c r="C6" s="381"/>
      <c r="D6" s="381"/>
      <c r="E6" s="381"/>
      <c r="F6" s="381"/>
      <c r="G6" s="713"/>
      <c r="H6" s="713"/>
      <c r="I6" s="713"/>
      <c r="J6" s="713"/>
      <c r="K6" s="713"/>
      <c r="L6" s="713"/>
      <c r="M6" s="713"/>
      <c r="N6" s="383"/>
      <c r="O6" s="383"/>
      <c r="P6" s="381"/>
      <c r="Q6" s="381"/>
      <c r="R6" s="381"/>
      <c r="S6" s="381"/>
      <c r="T6" s="713"/>
      <c r="U6" s="713"/>
      <c r="V6" s="713"/>
      <c r="W6" s="713"/>
      <c r="X6" s="713"/>
      <c r="Y6" s="713"/>
      <c r="Z6" s="713"/>
      <c r="AA6" s="713"/>
      <c r="AB6" s="744"/>
      <c r="AC6" s="744"/>
      <c r="AD6" s="744"/>
      <c r="AE6" s="744"/>
      <c r="AG6" s="382"/>
      <c r="AH6" s="382"/>
      <c r="AI6" s="382"/>
      <c r="AJ6" s="382"/>
      <c r="AK6" s="382"/>
      <c r="AL6" s="382"/>
      <c r="AM6" s="382"/>
      <c r="AN6" s="382"/>
      <c r="AO6" s="382"/>
      <c r="AP6" s="382"/>
      <c r="AQ6" s="382"/>
      <c r="AR6" s="382"/>
      <c r="AS6" s="382"/>
      <c r="AT6" s="382"/>
      <c r="AU6" s="382"/>
      <c r="AV6" s="382"/>
      <c r="AW6" s="382"/>
      <c r="AX6" s="382"/>
    </row>
    <row r="7" spans="1:52" ht="16.5" customHeight="1" thickBot="1">
      <c r="A7" s="381" t="s">
        <v>733</v>
      </c>
      <c r="B7" s="385"/>
      <c r="C7" s="381" t="s">
        <v>771</v>
      </c>
      <c r="D7" s="381"/>
      <c r="E7" s="381"/>
      <c r="F7" s="381"/>
      <c r="G7" s="713"/>
      <c r="H7" s="713"/>
      <c r="I7" s="713"/>
      <c r="J7" s="713"/>
      <c r="K7" s="713"/>
      <c r="L7" s="713"/>
      <c r="M7" s="713"/>
      <c r="N7" s="381" t="s">
        <v>733</v>
      </c>
      <c r="O7" s="385"/>
      <c r="P7" s="381" t="s">
        <v>771</v>
      </c>
      <c r="Q7" s="381"/>
      <c r="R7" s="381"/>
      <c r="S7" s="381"/>
      <c r="T7" s="713"/>
      <c r="U7" s="713"/>
      <c r="V7" s="713"/>
      <c r="W7" s="713"/>
      <c r="X7" s="713"/>
      <c r="Y7" s="713"/>
      <c r="Z7" s="713"/>
      <c r="AA7" s="713"/>
      <c r="AB7" s="744"/>
      <c r="AC7" s="744"/>
      <c r="AD7" s="744"/>
      <c r="AE7" s="744"/>
      <c r="AG7" s="1178" t="s">
        <v>1903</v>
      </c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</row>
    <row r="8" spans="1:52" ht="16.5" customHeight="1" thickBot="1">
      <c r="A8" s="381"/>
      <c r="B8" s="381"/>
      <c r="C8" s="381"/>
      <c r="D8" s="381"/>
      <c r="E8" s="381"/>
      <c r="F8" s="381"/>
      <c r="G8" s="713"/>
      <c r="H8" s="713"/>
      <c r="I8" s="713"/>
      <c r="J8" s="713"/>
      <c r="K8" s="713"/>
      <c r="L8" s="744"/>
      <c r="M8" s="744"/>
      <c r="N8" s="381"/>
      <c r="O8" s="381"/>
      <c r="P8" s="383"/>
      <c r="Q8" s="381"/>
      <c r="R8" s="381"/>
      <c r="S8" s="381"/>
      <c r="T8" s="713"/>
      <c r="U8" s="713"/>
      <c r="V8" s="713"/>
      <c r="W8" s="713"/>
      <c r="X8" s="713"/>
      <c r="Y8" s="713"/>
      <c r="Z8" s="713"/>
      <c r="AA8" s="713"/>
      <c r="AB8" s="744"/>
      <c r="AC8" s="744"/>
      <c r="AD8" s="744"/>
      <c r="AE8" s="744"/>
    </row>
    <row r="9" spans="1:52" ht="21" customHeight="1" thickBot="1">
      <c r="A9" s="1813" t="s">
        <v>734</v>
      </c>
      <c r="B9" s="1814"/>
      <c r="C9" s="1815"/>
      <c r="D9" s="1813" t="s">
        <v>735</v>
      </c>
      <c r="E9" s="1814"/>
      <c r="F9" s="1815"/>
      <c r="G9" s="1834" t="s">
        <v>736</v>
      </c>
      <c r="H9" s="1834" t="s">
        <v>737</v>
      </c>
      <c r="I9" s="1837" t="s">
        <v>738</v>
      </c>
      <c r="J9" s="1837" t="s">
        <v>975</v>
      </c>
      <c r="K9" s="1840"/>
      <c r="L9" s="1837" t="s">
        <v>773</v>
      </c>
      <c r="M9" s="1840"/>
      <c r="N9" s="1853" t="s">
        <v>734</v>
      </c>
      <c r="O9" s="1801"/>
      <c r="P9" s="1802"/>
      <c r="Q9" s="1800" t="s">
        <v>739</v>
      </c>
      <c r="R9" s="1801"/>
      <c r="S9" s="1802"/>
      <c r="T9" s="1834" t="s">
        <v>740</v>
      </c>
      <c r="U9" s="1824" t="s">
        <v>741</v>
      </c>
      <c r="V9" s="1825"/>
      <c r="W9" s="1825"/>
      <c r="X9" s="1825"/>
      <c r="Y9" s="1825"/>
      <c r="Z9" s="1825"/>
      <c r="AA9" s="1825"/>
      <c r="AB9" s="1825"/>
      <c r="AC9" s="1825"/>
      <c r="AD9" s="1825"/>
      <c r="AE9" s="1826"/>
      <c r="AF9" s="1851" t="s">
        <v>169</v>
      </c>
      <c r="AG9" s="1843" t="s">
        <v>737</v>
      </c>
      <c r="AH9" s="1843" t="s">
        <v>738</v>
      </c>
      <c r="AI9" s="1827" t="s">
        <v>772</v>
      </c>
      <c r="AJ9" s="1828"/>
      <c r="AK9" s="1827" t="s">
        <v>773</v>
      </c>
      <c r="AL9" s="1828"/>
      <c r="AM9" s="1831" t="s">
        <v>741</v>
      </c>
      <c r="AN9" s="1832"/>
      <c r="AO9" s="1832"/>
      <c r="AP9" s="1832"/>
      <c r="AQ9" s="1832"/>
      <c r="AR9" s="1832"/>
      <c r="AS9" s="1832"/>
      <c r="AT9" s="1832"/>
      <c r="AU9" s="1832"/>
      <c r="AV9" s="1832"/>
      <c r="AW9" s="1833"/>
      <c r="AX9" s="1854" t="s">
        <v>172</v>
      </c>
      <c r="AY9" s="1846" t="s">
        <v>170</v>
      </c>
      <c r="AZ9" s="1848" t="s">
        <v>171</v>
      </c>
    </row>
    <row r="10" spans="1:52" ht="21" customHeight="1" thickBot="1">
      <c r="A10" s="1816"/>
      <c r="B10" s="1817"/>
      <c r="C10" s="1818"/>
      <c r="D10" s="1816"/>
      <c r="E10" s="1817"/>
      <c r="F10" s="1818"/>
      <c r="G10" s="1835"/>
      <c r="H10" s="1835"/>
      <c r="I10" s="1838"/>
      <c r="J10" s="1839"/>
      <c r="K10" s="1841"/>
      <c r="L10" s="1839"/>
      <c r="M10" s="1841"/>
      <c r="N10" s="1815" t="s">
        <v>742</v>
      </c>
      <c r="O10" s="1809" t="s">
        <v>743</v>
      </c>
      <c r="P10" s="1809" t="s">
        <v>744</v>
      </c>
      <c r="Q10" s="1809" t="s">
        <v>745</v>
      </c>
      <c r="R10" s="1809" t="s">
        <v>746</v>
      </c>
      <c r="S10" s="1809" t="s">
        <v>747</v>
      </c>
      <c r="T10" s="1835"/>
      <c r="U10" s="1834" t="s">
        <v>748</v>
      </c>
      <c r="V10" s="1824" t="s">
        <v>774</v>
      </c>
      <c r="W10" s="1842"/>
      <c r="X10" s="1824" t="s">
        <v>775</v>
      </c>
      <c r="Y10" s="1842"/>
      <c r="Z10" s="1824" t="s">
        <v>776</v>
      </c>
      <c r="AA10" s="1826"/>
      <c r="AB10" s="1824" t="s">
        <v>777</v>
      </c>
      <c r="AC10" s="1826"/>
      <c r="AD10" s="1824" t="s">
        <v>749</v>
      </c>
      <c r="AE10" s="1826"/>
      <c r="AF10" s="1852"/>
      <c r="AG10" s="1844"/>
      <c r="AH10" s="1844"/>
      <c r="AI10" s="1829"/>
      <c r="AJ10" s="1830"/>
      <c r="AK10" s="1829"/>
      <c r="AL10" s="1830"/>
      <c r="AM10" s="1843" t="s">
        <v>748</v>
      </c>
      <c r="AN10" s="1831" t="s">
        <v>774</v>
      </c>
      <c r="AO10" s="1850"/>
      <c r="AP10" s="1831" t="s">
        <v>775</v>
      </c>
      <c r="AQ10" s="1850"/>
      <c r="AR10" s="1831" t="s">
        <v>776</v>
      </c>
      <c r="AS10" s="1833"/>
      <c r="AT10" s="1831" t="s">
        <v>777</v>
      </c>
      <c r="AU10" s="1833"/>
      <c r="AV10" s="1831" t="s">
        <v>749</v>
      </c>
      <c r="AW10" s="1833"/>
      <c r="AX10" s="1855"/>
      <c r="AY10" s="1847"/>
      <c r="AZ10" s="1849"/>
    </row>
    <row r="11" spans="1:52" ht="21" customHeight="1" thickBot="1">
      <c r="A11" s="386" t="s">
        <v>742</v>
      </c>
      <c r="B11" s="387" t="s">
        <v>743</v>
      </c>
      <c r="C11" s="388" t="s">
        <v>744</v>
      </c>
      <c r="D11" s="771" t="s">
        <v>750</v>
      </c>
      <c r="E11" s="770" t="s">
        <v>746</v>
      </c>
      <c r="F11" s="389" t="s">
        <v>394</v>
      </c>
      <c r="G11" s="1836"/>
      <c r="H11" s="1836"/>
      <c r="I11" s="1839"/>
      <c r="J11" s="908" t="s">
        <v>751</v>
      </c>
      <c r="K11" s="909" t="s">
        <v>752</v>
      </c>
      <c r="L11" s="760" t="s">
        <v>751</v>
      </c>
      <c r="M11" s="768" t="s">
        <v>752</v>
      </c>
      <c r="N11" s="1818"/>
      <c r="O11" s="1810"/>
      <c r="P11" s="1810"/>
      <c r="Q11" s="1810"/>
      <c r="R11" s="1810"/>
      <c r="S11" s="1810"/>
      <c r="T11" s="1836"/>
      <c r="U11" s="1836"/>
      <c r="V11" s="769" t="s">
        <v>751</v>
      </c>
      <c r="W11" s="767" t="s">
        <v>752</v>
      </c>
      <c r="X11" s="769" t="s">
        <v>751</v>
      </c>
      <c r="Y11" s="767" t="s">
        <v>752</v>
      </c>
      <c r="Z11" s="768" t="s">
        <v>753</v>
      </c>
      <c r="AA11" s="768" t="s">
        <v>754</v>
      </c>
      <c r="AB11" s="768" t="s">
        <v>753</v>
      </c>
      <c r="AC11" s="768" t="s">
        <v>754</v>
      </c>
      <c r="AD11" s="768" t="s">
        <v>753</v>
      </c>
      <c r="AE11" s="768" t="s">
        <v>754</v>
      </c>
      <c r="AF11" s="1852"/>
      <c r="AG11" s="1845"/>
      <c r="AH11" s="1845"/>
      <c r="AI11" s="931" t="s">
        <v>751</v>
      </c>
      <c r="AJ11" s="1211" t="s">
        <v>752</v>
      </c>
      <c r="AK11" s="931" t="s">
        <v>751</v>
      </c>
      <c r="AL11" s="1211" t="s">
        <v>752</v>
      </c>
      <c r="AM11" s="1845"/>
      <c r="AN11" s="1210" t="s">
        <v>751</v>
      </c>
      <c r="AO11" s="1209" t="s">
        <v>752</v>
      </c>
      <c r="AP11" s="1210" t="s">
        <v>751</v>
      </c>
      <c r="AQ11" s="1209" t="s">
        <v>752</v>
      </c>
      <c r="AR11" s="1211" t="s">
        <v>753</v>
      </c>
      <c r="AS11" s="1211" t="s">
        <v>754</v>
      </c>
      <c r="AT11" s="1211" t="s">
        <v>753</v>
      </c>
      <c r="AU11" s="1211" t="s">
        <v>754</v>
      </c>
      <c r="AV11" s="1211" t="s">
        <v>753</v>
      </c>
      <c r="AW11" s="1211" t="s">
        <v>754</v>
      </c>
      <c r="AX11" s="1855"/>
      <c r="AY11" s="1847"/>
      <c r="AZ11" s="1849"/>
    </row>
    <row r="12" spans="1:52" ht="26.25" customHeight="1" thickBot="1">
      <c r="A12" s="390" t="s">
        <v>499</v>
      </c>
      <c r="B12" s="391" t="s">
        <v>500</v>
      </c>
      <c r="C12" s="391" t="s">
        <v>538</v>
      </c>
      <c r="D12" s="391" t="s">
        <v>560</v>
      </c>
      <c r="E12" s="391" t="s">
        <v>562</v>
      </c>
      <c r="F12" s="391" t="s">
        <v>574</v>
      </c>
      <c r="G12" s="761" t="s">
        <v>976</v>
      </c>
      <c r="H12" s="761" t="s">
        <v>578</v>
      </c>
      <c r="I12" s="762" t="s">
        <v>580</v>
      </c>
      <c r="J12" s="910" t="s">
        <v>582</v>
      </c>
      <c r="K12" s="763" t="s">
        <v>584</v>
      </c>
      <c r="L12" s="761" t="s">
        <v>586</v>
      </c>
      <c r="M12" s="763" t="s">
        <v>590</v>
      </c>
      <c r="N12" s="778" t="s">
        <v>499</v>
      </c>
      <c r="O12" s="715" t="s">
        <v>500</v>
      </c>
      <c r="P12" s="715" t="s">
        <v>538</v>
      </c>
      <c r="Q12" s="715" t="s">
        <v>560</v>
      </c>
      <c r="R12" s="715" t="s">
        <v>562</v>
      </c>
      <c r="S12" s="715" t="s">
        <v>574</v>
      </c>
      <c r="T12" s="796" t="s">
        <v>779</v>
      </c>
      <c r="U12" s="797" t="s">
        <v>578</v>
      </c>
      <c r="V12" s="797" t="s">
        <v>580</v>
      </c>
      <c r="W12" s="797" t="s">
        <v>582</v>
      </c>
      <c r="X12" s="797" t="s">
        <v>584</v>
      </c>
      <c r="Y12" s="797" t="s">
        <v>586</v>
      </c>
      <c r="Z12" s="797" t="s">
        <v>590</v>
      </c>
      <c r="AA12" s="797" t="s">
        <v>755</v>
      </c>
      <c r="AB12" s="797" t="s">
        <v>780</v>
      </c>
      <c r="AC12" s="797" t="s">
        <v>781</v>
      </c>
      <c r="AD12" s="797" t="s">
        <v>782</v>
      </c>
      <c r="AE12" s="798" t="s">
        <v>783</v>
      </c>
      <c r="AF12" s="1852"/>
      <c r="AG12" s="932" t="s">
        <v>578</v>
      </c>
      <c r="AH12" s="933" t="s">
        <v>580</v>
      </c>
      <c r="AI12" s="932" t="s">
        <v>582</v>
      </c>
      <c r="AJ12" s="934" t="s">
        <v>584</v>
      </c>
      <c r="AK12" s="932" t="s">
        <v>586</v>
      </c>
      <c r="AL12" s="934" t="s">
        <v>590</v>
      </c>
      <c r="AM12" s="1245" t="s">
        <v>578</v>
      </c>
      <c r="AN12" s="1245" t="s">
        <v>580</v>
      </c>
      <c r="AO12" s="1245" t="s">
        <v>582</v>
      </c>
      <c r="AP12" s="1245" t="s">
        <v>584</v>
      </c>
      <c r="AQ12" s="1245" t="s">
        <v>586</v>
      </c>
      <c r="AR12" s="1245" t="s">
        <v>590</v>
      </c>
      <c r="AS12" s="1245" t="s">
        <v>755</v>
      </c>
      <c r="AT12" s="1245" t="s">
        <v>780</v>
      </c>
      <c r="AU12" s="1245" t="s">
        <v>781</v>
      </c>
      <c r="AV12" s="1245" t="s">
        <v>782</v>
      </c>
      <c r="AW12" s="1246" t="s">
        <v>783</v>
      </c>
      <c r="AX12" s="1856"/>
      <c r="AY12" s="1847"/>
      <c r="AZ12" s="1849"/>
    </row>
    <row r="13" spans="1:52" ht="16.5" thickBot="1">
      <c r="A13" s="779">
        <v>23</v>
      </c>
      <c r="B13" s="780">
        <v>67015823</v>
      </c>
      <c r="C13" s="781">
        <v>40574</v>
      </c>
      <c r="D13" s="780" t="s">
        <v>1224</v>
      </c>
      <c r="E13" s="780" t="s">
        <v>756</v>
      </c>
      <c r="F13" s="780" t="s">
        <v>974</v>
      </c>
      <c r="G13" s="396">
        <f>+K13+J13</f>
        <v>4724802</v>
      </c>
      <c r="H13" s="396"/>
      <c r="I13" s="782"/>
      <c r="J13" s="783">
        <v>3937335</v>
      </c>
      <c r="K13" s="397">
        <f>+J13*0.2</f>
        <v>787467</v>
      </c>
      <c r="L13" s="408"/>
      <c r="M13" s="724"/>
      <c r="N13" s="784">
        <v>147</v>
      </c>
      <c r="O13" s="785">
        <v>71851449</v>
      </c>
      <c r="P13" s="786">
        <v>40525</v>
      </c>
      <c r="Q13" s="785" t="s">
        <v>977</v>
      </c>
      <c r="R13" s="785" t="s">
        <v>464</v>
      </c>
      <c r="S13" s="785" t="s">
        <v>978</v>
      </c>
      <c r="T13" s="716">
        <f>+Z13+AA13</f>
        <v>21600</v>
      </c>
      <c r="U13" s="716"/>
      <c r="V13" s="716"/>
      <c r="W13" s="716"/>
      <c r="X13" s="799"/>
      <c r="Y13" s="716">
        <f>+X13*0.2</f>
        <v>0</v>
      </c>
      <c r="Z13" s="799">
        <v>18000</v>
      </c>
      <c r="AA13" s="716">
        <f>+Z13*0.2</f>
        <v>3600</v>
      </c>
      <c r="AB13" s="716"/>
      <c r="AC13" s="716"/>
      <c r="AD13" s="716"/>
      <c r="AE13" s="717"/>
      <c r="AF13" s="1247" t="s">
        <v>173</v>
      </c>
      <c r="AG13" s="1236">
        <f>+H14</f>
        <v>0</v>
      </c>
      <c r="AH13" s="1236">
        <f t="shared" ref="AH13:AL13" si="0">+I14</f>
        <v>0</v>
      </c>
      <c r="AI13" s="1236">
        <f t="shared" si="0"/>
        <v>3937335</v>
      </c>
      <c r="AJ13" s="1236">
        <f t="shared" si="0"/>
        <v>787467</v>
      </c>
      <c r="AK13" s="1236">
        <f t="shared" si="0"/>
        <v>0</v>
      </c>
      <c r="AL13" s="1236">
        <f t="shared" si="0"/>
        <v>0</v>
      </c>
      <c r="AM13" s="1236">
        <f>+U30</f>
        <v>0</v>
      </c>
      <c r="AN13" s="1236">
        <f t="shared" ref="AN13:AW13" si="1">+V30</f>
        <v>0</v>
      </c>
      <c r="AO13" s="1236">
        <f t="shared" si="1"/>
        <v>0</v>
      </c>
      <c r="AP13" s="1236">
        <f t="shared" si="1"/>
        <v>0</v>
      </c>
      <c r="AQ13" s="1236">
        <f t="shared" si="1"/>
        <v>0</v>
      </c>
      <c r="AR13" s="1236">
        <f t="shared" si="1"/>
        <v>3156733</v>
      </c>
      <c r="AS13" s="1236">
        <f t="shared" si="1"/>
        <v>631346.6</v>
      </c>
      <c r="AT13" s="1236">
        <f t="shared" si="1"/>
        <v>0</v>
      </c>
      <c r="AU13" s="1236">
        <f t="shared" si="1"/>
        <v>0</v>
      </c>
      <c r="AV13" s="1236">
        <f t="shared" si="1"/>
        <v>0</v>
      </c>
      <c r="AW13" s="1236">
        <f t="shared" si="1"/>
        <v>0</v>
      </c>
      <c r="AX13" s="1236">
        <f>AO13+AS13</f>
        <v>631346.6</v>
      </c>
      <c r="AY13" s="1244"/>
      <c r="AZ13" s="1237">
        <f>AJ13-AX13</f>
        <v>156120.40000000002</v>
      </c>
    </row>
    <row r="14" spans="1:52" ht="16.5" thickBot="1">
      <c r="A14" s="1795" t="s">
        <v>757</v>
      </c>
      <c r="B14" s="1796"/>
      <c r="C14" s="1796"/>
      <c r="D14" s="1796"/>
      <c r="E14" s="1796"/>
      <c r="F14" s="1797"/>
      <c r="G14" s="398">
        <f>SUM(G13)</f>
        <v>4724802</v>
      </c>
      <c r="H14" s="398">
        <f>SUM(H13)</f>
        <v>0</v>
      </c>
      <c r="I14" s="398">
        <f>SUM(I13)</f>
        <v>0</v>
      </c>
      <c r="J14" s="398">
        <f>SUM(J13)</f>
        <v>3937335</v>
      </c>
      <c r="K14" s="787">
        <f>SUM(K13)</f>
        <v>787467</v>
      </c>
      <c r="L14" s="911">
        <v>0</v>
      </c>
      <c r="M14" s="912">
        <v>0</v>
      </c>
      <c r="N14" s="788">
        <v>568</v>
      </c>
      <c r="O14" s="789">
        <v>72565568</v>
      </c>
      <c r="P14" s="790">
        <v>40553</v>
      </c>
      <c r="Q14" s="789" t="s">
        <v>979</v>
      </c>
      <c r="R14" s="789" t="s">
        <v>464</v>
      </c>
      <c r="S14" s="789" t="s">
        <v>980</v>
      </c>
      <c r="T14" s="800">
        <f>+Z14+AA14</f>
        <v>204267.6</v>
      </c>
      <c r="U14" s="800"/>
      <c r="V14" s="800"/>
      <c r="W14" s="800"/>
      <c r="X14" s="801"/>
      <c r="Y14" s="800">
        <f t="shared" ref="Y14:Y29" si="2">+X14*0.2</f>
        <v>0</v>
      </c>
      <c r="Z14" s="801">
        <v>170223</v>
      </c>
      <c r="AA14" s="800">
        <f t="shared" ref="AA14:AA29" si="3">+Z14*0.2</f>
        <v>34044.6</v>
      </c>
      <c r="AB14" s="800"/>
      <c r="AC14" s="800"/>
      <c r="AD14" s="800"/>
      <c r="AE14" s="802"/>
      <c r="AF14" s="1248" t="s">
        <v>174</v>
      </c>
      <c r="AG14" s="1238">
        <f>+H48</f>
        <v>0</v>
      </c>
      <c r="AH14" s="1238">
        <f t="shared" ref="AH14:AL14" si="4">+I48</f>
        <v>0</v>
      </c>
      <c r="AI14" s="1238">
        <f t="shared" si="4"/>
        <v>6541203</v>
      </c>
      <c r="AJ14" s="1238">
        <f t="shared" si="4"/>
        <v>1308240.6000000001</v>
      </c>
      <c r="AK14" s="1238">
        <f t="shared" si="4"/>
        <v>0</v>
      </c>
      <c r="AL14" s="1238">
        <f t="shared" si="4"/>
        <v>0</v>
      </c>
      <c r="AM14" s="1238">
        <f>+U59</f>
        <v>0</v>
      </c>
      <c r="AN14" s="1238">
        <f t="shared" ref="AN14:AW14" si="5">+V59</f>
        <v>0</v>
      </c>
      <c r="AO14" s="1238">
        <f t="shared" si="5"/>
        <v>0</v>
      </c>
      <c r="AP14" s="1238">
        <f t="shared" si="5"/>
        <v>0</v>
      </c>
      <c r="AQ14" s="1238">
        <f t="shared" si="5"/>
        <v>0</v>
      </c>
      <c r="AR14" s="1238">
        <f t="shared" si="5"/>
        <v>5445066.0200000005</v>
      </c>
      <c r="AS14" s="1238">
        <f t="shared" si="5"/>
        <v>1089013.2039999999</v>
      </c>
      <c r="AT14" s="1238">
        <f t="shared" si="5"/>
        <v>0</v>
      </c>
      <c r="AU14" s="1238">
        <f t="shared" si="5"/>
        <v>0</v>
      </c>
      <c r="AV14" s="1238">
        <f t="shared" si="5"/>
        <v>0</v>
      </c>
      <c r="AW14" s="1238">
        <f t="shared" si="5"/>
        <v>0</v>
      </c>
      <c r="AX14" s="1238">
        <f>AO14+AS14</f>
        <v>1089013.2039999999</v>
      </c>
      <c r="AY14" s="1238"/>
      <c r="AZ14" s="1239">
        <f>AJ14-AX14</f>
        <v>219227.39600000018</v>
      </c>
    </row>
    <row r="15" spans="1:52" ht="16.5" thickBot="1">
      <c r="A15" s="1798" t="s">
        <v>758</v>
      </c>
      <c r="B15" s="1799"/>
      <c r="C15" s="1799"/>
      <c r="D15" s="1799"/>
      <c r="E15" s="1799"/>
      <c r="F15" s="1799"/>
      <c r="G15" s="1799"/>
      <c r="H15" s="718" t="s">
        <v>759</v>
      </c>
      <c r="I15" s="719" t="s">
        <v>760</v>
      </c>
      <c r="J15" s="718" t="s">
        <v>761</v>
      </c>
      <c r="K15" s="764" t="s">
        <v>762</v>
      </c>
      <c r="L15" s="718" t="s">
        <v>763</v>
      </c>
      <c r="M15" s="764" t="s">
        <v>764</v>
      </c>
      <c r="N15" s="788">
        <v>569</v>
      </c>
      <c r="O15" s="789">
        <v>72565569</v>
      </c>
      <c r="P15" s="790">
        <v>40553</v>
      </c>
      <c r="Q15" s="789" t="s">
        <v>979</v>
      </c>
      <c r="R15" s="789" t="s">
        <v>464</v>
      </c>
      <c r="S15" s="789" t="s">
        <v>980</v>
      </c>
      <c r="T15" s="800">
        <f t="shared" ref="T15:T29" si="6">+Z15+AA15</f>
        <v>18252</v>
      </c>
      <c r="U15" s="800"/>
      <c r="V15" s="800"/>
      <c r="W15" s="800"/>
      <c r="X15" s="801"/>
      <c r="Y15" s="800">
        <f t="shared" si="2"/>
        <v>0</v>
      </c>
      <c r="Z15" s="801">
        <v>15210</v>
      </c>
      <c r="AA15" s="800">
        <f t="shared" si="3"/>
        <v>3042</v>
      </c>
      <c r="AB15" s="800"/>
      <c r="AC15" s="800"/>
      <c r="AD15" s="800"/>
      <c r="AE15" s="802"/>
      <c r="AF15" s="1248" t="s">
        <v>175</v>
      </c>
      <c r="AG15" s="1238">
        <f>+H82</f>
        <v>0</v>
      </c>
      <c r="AH15" s="1238">
        <f t="shared" ref="AH15:AL15" si="7">+I82</f>
        <v>0</v>
      </c>
      <c r="AI15" s="1238">
        <f t="shared" si="7"/>
        <v>6011916</v>
      </c>
      <c r="AJ15" s="1238">
        <f t="shared" si="7"/>
        <v>1202383.2</v>
      </c>
      <c r="AK15" s="1238">
        <f t="shared" si="7"/>
        <v>0</v>
      </c>
      <c r="AL15" s="1238">
        <f t="shared" si="7"/>
        <v>0</v>
      </c>
      <c r="AM15" s="1238">
        <f>+U92</f>
        <v>0</v>
      </c>
      <c r="AN15" s="1238">
        <f t="shared" ref="AN15:AW15" si="8">+V92</f>
        <v>0</v>
      </c>
      <c r="AO15" s="1238">
        <f t="shared" si="8"/>
        <v>0</v>
      </c>
      <c r="AP15" s="1238">
        <f t="shared" si="8"/>
        <v>0</v>
      </c>
      <c r="AQ15" s="1238">
        <f t="shared" si="8"/>
        <v>0</v>
      </c>
      <c r="AR15" s="1238">
        <f t="shared" si="8"/>
        <v>5302034.7</v>
      </c>
      <c r="AS15" s="1238">
        <f t="shared" si="8"/>
        <v>1060406.94</v>
      </c>
      <c r="AT15" s="1238">
        <f t="shared" si="8"/>
        <v>0</v>
      </c>
      <c r="AU15" s="1238">
        <f t="shared" si="8"/>
        <v>0</v>
      </c>
      <c r="AV15" s="1238">
        <f t="shared" si="8"/>
        <v>0</v>
      </c>
      <c r="AW15" s="1238">
        <f t="shared" si="8"/>
        <v>0</v>
      </c>
      <c r="AX15" s="1238">
        <f>AO15+AS15</f>
        <v>1060406.94</v>
      </c>
      <c r="AY15" s="1238"/>
      <c r="AZ15" s="1239">
        <f>AJ15-AX15</f>
        <v>141976.26</v>
      </c>
    </row>
    <row r="16" spans="1:52" ht="15.75">
      <c r="A16" s="381"/>
      <c r="B16" s="381"/>
      <c r="C16" s="381"/>
      <c r="D16" s="381"/>
      <c r="E16" s="381"/>
      <c r="F16" s="381"/>
      <c r="G16" s="713"/>
      <c r="H16" s="713"/>
      <c r="I16" s="713"/>
      <c r="J16" s="713"/>
      <c r="K16" s="713"/>
      <c r="L16" s="713"/>
      <c r="M16" s="713"/>
      <c r="N16" s="788">
        <v>75</v>
      </c>
      <c r="O16" s="789">
        <v>72642535</v>
      </c>
      <c r="P16" s="790">
        <v>40560</v>
      </c>
      <c r="Q16" s="789" t="s">
        <v>981</v>
      </c>
      <c r="R16" s="789" t="s">
        <v>784</v>
      </c>
      <c r="S16" s="789" t="s">
        <v>982</v>
      </c>
      <c r="T16" s="800">
        <f t="shared" si="6"/>
        <v>232011.6</v>
      </c>
      <c r="U16" s="800"/>
      <c r="V16" s="800"/>
      <c r="W16" s="800"/>
      <c r="X16" s="801"/>
      <c r="Y16" s="800">
        <f t="shared" si="2"/>
        <v>0</v>
      </c>
      <c r="Z16" s="801">
        <f>29*6667</f>
        <v>193343</v>
      </c>
      <c r="AA16" s="800">
        <f t="shared" si="3"/>
        <v>38668.6</v>
      </c>
      <c r="AB16" s="800"/>
      <c r="AC16" s="800"/>
      <c r="AD16" s="800"/>
      <c r="AE16" s="802"/>
      <c r="AF16" s="1248" t="s">
        <v>176</v>
      </c>
      <c r="AG16" s="1238">
        <f>+H117</f>
        <v>0</v>
      </c>
      <c r="AH16" s="1238">
        <f t="shared" ref="AH16:AL16" si="9">+I117</f>
        <v>0</v>
      </c>
      <c r="AI16" s="1238">
        <f t="shared" si="9"/>
        <v>4233773</v>
      </c>
      <c r="AJ16" s="1238">
        <f t="shared" si="9"/>
        <v>846755</v>
      </c>
      <c r="AK16" s="1238">
        <f t="shared" si="9"/>
        <v>0</v>
      </c>
      <c r="AL16" s="1238">
        <f t="shared" si="9"/>
        <v>0</v>
      </c>
      <c r="AM16" s="1238">
        <f>+U134</f>
        <v>0</v>
      </c>
      <c r="AN16" s="1238">
        <f t="shared" ref="AN16:AW16" si="10">+V134</f>
        <v>0</v>
      </c>
      <c r="AO16" s="1238">
        <f t="shared" si="10"/>
        <v>0</v>
      </c>
      <c r="AP16" s="1238">
        <f t="shared" si="10"/>
        <v>0</v>
      </c>
      <c r="AQ16" s="1238">
        <f t="shared" si="10"/>
        <v>0</v>
      </c>
      <c r="AR16" s="1238">
        <f t="shared" si="10"/>
        <v>3620882</v>
      </c>
      <c r="AS16" s="1238">
        <f t="shared" si="10"/>
        <v>724176.4</v>
      </c>
      <c r="AT16" s="1238">
        <f t="shared" si="10"/>
        <v>0</v>
      </c>
      <c r="AU16" s="1238">
        <f t="shared" si="10"/>
        <v>0</v>
      </c>
      <c r="AV16" s="1238">
        <f t="shared" si="10"/>
        <v>0</v>
      </c>
      <c r="AW16" s="1238">
        <f t="shared" si="10"/>
        <v>0</v>
      </c>
      <c r="AX16" s="1238">
        <f>AO16+AS16</f>
        <v>724176.4</v>
      </c>
      <c r="AY16" s="1238"/>
      <c r="AZ16" s="1239">
        <f>AJ16-AX16</f>
        <v>122578.59999999998</v>
      </c>
    </row>
    <row r="17" spans="14:52" ht="15.75">
      <c r="N17" s="788">
        <v>90</v>
      </c>
      <c r="O17" s="789">
        <v>72642550</v>
      </c>
      <c r="P17" s="790">
        <v>40562</v>
      </c>
      <c r="Q17" s="789" t="s">
        <v>981</v>
      </c>
      <c r="R17" s="789" t="s">
        <v>784</v>
      </c>
      <c r="S17" s="789" t="s">
        <v>982</v>
      </c>
      <c r="T17" s="800">
        <f t="shared" si="6"/>
        <v>198409.2</v>
      </c>
      <c r="U17" s="800"/>
      <c r="V17" s="800"/>
      <c r="W17" s="800"/>
      <c r="X17" s="801"/>
      <c r="Y17" s="800">
        <f t="shared" si="2"/>
        <v>0</v>
      </c>
      <c r="Z17" s="801">
        <v>165341</v>
      </c>
      <c r="AA17" s="800">
        <f t="shared" si="3"/>
        <v>33068.200000000004</v>
      </c>
      <c r="AB17" s="800"/>
      <c r="AC17" s="800"/>
      <c r="AD17" s="800"/>
      <c r="AE17" s="802"/>
      <c r="AF17" s="1248" t="s">
        <v>177</v>
      </c>
      <c r="AG17" s="1238">
        <f>+H150</f>
        <v>0</v>
      </c>
      <c r="AH17" s="1238">
        <f t="shared" ref="AH17:AL17" si="11">+I150</f>
        <v>0</v>
      </c>
      <c r="AI17" s="1238">
        <f t="shared" si="11"/>
        <v>6311418</v>
      </c>
      <c r="AJ17" s="1238">
        <f t="shared" si="11"/>
        <v>1262283.6000000001</v>
      </c>
      <c r="AK17" s="1238">
        <f t="shared" si="11"/>
        <v>0</v>
      </c>
      <c r="AL17" s="1238">
        <f t="shared" si="11"/>
        <v>0</v>
      </c>
      <c r="AM17" s="1238">
        <f>+U184</f>
        <v>0</v>
      </c>
      <c r="AN17" s="1238">
        <f t="shared" ref="AN17:AW17" si="12">+V184</f>
        <v>0</v>
      </c>
      <c r="AO17" s="1238">
        <f t="shared" si="12"/>
        <v>0</v>
      </c>
      <c r="AP17" s="1238">
        <f t="shared" si="12"/>
        <v>0</v>
      </c>
      <c r="AQ17" s="1238">
        <f t="shared" si="12"/>
        <v>0</v>
      </c>
      <c r="AR17" s="1238">
        <f t="shared" si="12"/>
        <v>5651640</v>
      </c>
      <c r="AS17" s="1238">
        <f t="shared" si="12"/>
        <v>1130328.0000000005</v>
      </c>
      <c r="AT17" s="1238">
        <f t="shared" si="12"/>
        <v>0</v>
      </c>
      <c r="AU17" s="1238">
        <f t="shared" si="12"/>
        <v>0</v>
      </c>
      <c r="AV17" s="1238">
        <f t="shared" si="12"/>
        <v>0</v>
      </c>
      <c r="AW17" s="1238">
        <f t="shared" si="12"/>
        <v>0</v>
      </c>
      <c r="AX17" s="1238">
        <f t="shared" ref="AX17:AX24" si="13">AO17+AS17</f>
        <v>1130328.0000000005</v>
      </c>
      <c r="AY17" s="1238"/>
      <c r="AZ17" s="1239">
        <f>AJ17-AX17</f>
        <v>131955.59999999963</v>
      </c>
    </row>
    <row r="18" spans="14:52" ht="15.75">
      <c r="N18" s="788">
        <v>369</v>
      </c>
      <c r="O18" s="789">
        <v>70519440</v>
      </c>
      <c r="P18" s="790">
        <v>40560</v>
      </c>
      <c r="Q18" s="789" t="s">
        <v>983</v>
      </c>
      <c r="R18" s="789" t="s">
        <v>464</v>
      </c>
      <c r="S18" s="789" t="s">
        <v>984</v>
      </c>
      <c r="T18" s="800">
        <f t="shared" si="6"/>
        <v>288642</v>
      </c>
      <c r="U18" s="800"/>
      <c r="V18" s="800"/>
      <c r="W18" s="800"/>
      <c r="X18" s="801"/>
      <c r="Y18" s="800">
        <f t="shared" si="2"/>
        <v>0</v>
      </c>
      <c r="Z18" s="801">
        <v>240535</v>
      </c>
      <c r="AA18" s="800">
        <f t="shared" si="3"/>
        <v>48107</v>
      </c>
      <c r="AB18" s="800"/>
      <c r="AC18" s="800"/>
      <c r="AD18" s="800"/>
      <c r="AE18" s="802"/>
      <c r="AF18" s="1248" t="s">
        <v>178</v>
      </c>
      <c r="AG18" s="1238">
        <f>+H226</f>
        <v>0</v>
      </c>
      <c r="AH18" s="1238">
        <f t="shared" ref="AH18:AL18" si="14">+I226</f>
        <v>0</v>
      </c>
      <c r="AI18" s="1238">
        <f t="shared" si="14"/>
        <v>4290727</v>
      </c>
      <c r="AJ18" s="1238">
        <f t="shared" si="14"/>
        <v>858145.4</v>
      </c>
      <c r="AK18" s="1238">
        <f t="shared" si="14"/>
        <v>0</v>
      </c>
      <c r="AL18" s="1238">
        <f t="shared" si="14"/>
        <v>0</v>
      </c>
      <c r="AM18" s="1238">
        <f>+U244</f>
        <v>0</v>
      </c>
      <c r="AN18" s="1238">
        <f t="shared" ref="AN18:AW18" si="15">+V244</f>
        <v>0</v>
      </c>
      <c r="AO18" s="1238">
        <f t="shared" si="15"/>
        <v>0</v>
      </c>
      <c r="AP18" s="1238">
        <f t="shared" si="15"/>
        <v>0</v>
      </c>
      <c r="AQ18" s="1238">
        <f t="shared" si="15"/>
        <v>0</v>
      </c>
      <c r="AR18" s="1238">
        <f t="shared" si="15"/>
        <v>3510016.67</v>
      </c>
      <c r="AS18" s="1238">
        <f t="shared" si="15"/>
        <v>702003.33399999992</v>
      </c>
      <c r="AT18" s="1238">
        <f t="shared" si="15"/>
        <v>0</v>
      </c>
      <c r="AU18" s="1238">
        <f t="shared" si="15"/>
        <v>0</v>
      </c>
      <c r="AV18" s="1238">
        <f t="shared" si="15"/>
        <v>0</v>
      </c>
      <c r="AW18" s="1238">
        <f t="shared" si="15"/>
        <v>0</v>
      </c>
      <c r="AX18" s="1238">
        <f t="shared" si="13"/>
        <v>702003.33399999992</v>
      </c>
      <c r="AY18" s="1238"/>
      <c r="AZ18" s="1239">
        <f t="shared" ref="AZ18:AZ24" si="16">AJ18-AX18</f>
        <v>156142.06600000011</v>
      </c>
    </row>
    <row r="19" spans="14:52" ht="15.75">
      <c r="N19" s="788">
        <v>34</v>
      </c>
      <c r="O19" s="789">
        <v>716288943</v>
      </c>
      <c r="P19" s="790">
        <v>40567</v>
      </c>
      <c r="Q19" s="789" t="s">
        <v>985</v>
      </c>
      <c r="R19" s="789" t="s">
        <v>784</v>
      </c>
      <c r="S19" s="789" t="s">
        <v>986</v>
      </c>
      <c r="T19" s="800">
        <f t="shared" si="6"/>
        <v>299520</v>
      </c>
      <c r="U19" s="800"/>
      <c r="V19" s="800"/>
      <c r="W19" s="800"/>
      <c r="X19" s="801"/>
      <c r="Y19" s="800">
        <f t="shared" si="2"/>
        <v>0</v>
      </c>
      <c r="Z19" s="801">
        <v>249600</v>
      </c>
      <c r="AA19" s="800">
        <f t="shared" si="3"/>
        <v>49920</v>
      </c>
      <c r="AB19" s="800"/>
      <c r="AC19" s="800"/>
      <c r="AD19" s="800"/>
      <c r="AE19" s="802"/>
      <c r="AF19" s="1248" t="s">
        <v>179</v>
      </c>
      <c r="AG19" s="1238">
        <f>+H262</f>
        <v>0</v>
      </c>
      <c r="AH19" s="1238">
        <f t="shared" ref="AH19:AL19" si="17">+I262</f>
        <v>0</v>
      </c>
      <c r="AI19" s="1238">
        <f t="shared" si="17"/>
        <v>2708302</v>
      </c>
      <c r="AJ19" s="1238">
        <f t="shared" si="17"/>
        <v>541660.4</v>
      </c>
      <c r="AK19" s="1238">
        <f t="shared" si="17"/>
        <v>0</v>
      </c>
      <c r="AL19" s="1238">
        <f t="shared" si="17"/>
        <v>0</v>
      </c>
      <c r="AM19" s="1238">
        <f>+U274</f>
        <v>0</v>
      </c>
      <c r="AN19" s="1238">
        <f t="shared" ref="AN19:AW19" si="18">+V274</f>
        <v>0</v>
      </c>
      <c r="AO19" s="1238">
        <f t="shared" si="18"/>
        <v>0</v>
      </c>
      <c r="AP19" s="1238">
        <f t="shared" si="18"/>
        <v>0</v>
      </c>
      <c r="AQ19" s="1238">
        <f t="shared" si="18"/>
        <v>0</v>
      </c>
      <c r="AR19" s="1238">
        <f t="shared" si="18"/>
        <v>2174860.34</v>
      </c>
      <c r="AS19" s="1238">
        <f t="shared" si="18"/>
        <v>434972.06800000003</v>
      </c>
      <c r="AT19" s="1238">
        <f t="shared" si="18"/>
        <v>0</v>
      </c>
      <c r="AU19" s="1238">
        <f t="shared" si="18"/>
        <v>0</v>
      </c>
      <c r="AV19" s="1238">
        <f t="shared" si="18"/>
        <v>0</v>
      </c>
      <c r="AW19" s="1238">
        <f t="shared" si="18"/>
        <v>0</v>
      </c>
      <c r="AX19" s="1238">
        <f t="shared" si="13"/>
        <v>434972.06800000003</v>
      </c>
      <c r="AY19" s="1238"/>
      <c r="AZ19" s="1239">
        <f t="shared" si="16"/>
        <v>106688.33199999999</v>
      </c>
    </row>
    <row r="20" spans="14:52" ht="15.75">
      <c r="N20" s="788">
        <v>10</v>
      </c>
      <c r="O20" s="789">
        <v>72425664</v>
      </c>
      <c r="P20" s="790">
        <v>40569</v>
      </c>
      <c r="Q20" s="789" t="s">
        <v>987</v>
      </c>
      <c r="R20" s="789" t="s">
        <v>464</v>
      </c>
      <c r="S20" s="789" t="s">
        <v>988</v>
      </c>
      <c r="T20" s="800">
        <f t="shared" si="6"/>
        <v>307200</v>
      </c>
      <c r="U20" s="800"/>
      <c r="V20" s="800"/>
      <c r="W20" s="800"/>
      <c r="X20" s="801"/>
      <c r="Y20" s="800">
        <f t="shared" si="2"/>
        <v>0</v>
      </c>
      <c r="Z20" s="801">
        <v>256000</v>
      </c>
      <c r="AA20" s="800">
        <f t="shared" si="3"/>
        <v>51200</v>
      </c>
      <c r="AB20" s="800"/>
      <c r="AC20" s="800"/>
      <c r="AD20" s="800"/>
      <c r="AE20" s="802"/>
      <c r="AF20" s="1248" t="s">
        <v>180</v>
      </c>
      <c r="AG20" s="1238">
        <f>+H291</f>
        <v>0</v>
      </c>
      <c r="AH20" s="1238">
        <f t="shared" ref="AH20:AL20" si="19">+I291</f>
        <v>0</v>
      </c>
      <c r="AI20" s="1238">
        <f t="shared" si="19"/>
        <v>6865444</v>
      </c>
      <c r="AJ20" s="1238">
        <f t="shared" si="19"/>
        <v>1373088.8</v>
      </c>
      <c r="AK20" s="1238">
        <f t="shared" si="19"/>
        <v>0</v>
      </c>
      <c r="AL20" s="1238">
        <f t="shared" si="19"/>
        <v>0</v>
      </c>
      <c r="AM20" s="1238">
        <f>+U310</f>
        <v>0</v>
      </c>
      <c r="AN20" s="1238">
        <f t="shared" ref="AN20:AW20" si="20">+V310</f>
        <v>0</v>
      </c>
      <c r="AO20" s="1238">
        <f t="shared" si="20"/>
        <v>0</v>
      </c>
      <c r="AP20" s="1238">
        <f t="shared" si="20"/>
        <v>0</v>
      </c>
      <c r="AQ20" s="1238">
        <f t="shared" si="20"/>
        <v>0</v>
      </c>
      <c r="AR20" s="1238">
        <f t="shared" si="20"/>
        <v>6229179.8799999999</v>
      </c>
      <c r="AS20" s="1238">
        <f t="shared" si="20"/>
        <v>1245835.976</v>
      </c>
      <c r="AT20" s="1238">
        <f t="shared" si="20"/>
        <v>0</v>
      </c>
      <c r="AU20" s="1238">
        <f t="shared" si="20"/>
        <v>0</v>
      </c>
      <c r="AV20" s="1238">
        <f t="shared" si="20"/>
        <v>0</v>
      </c>
      <c r="AW20" s="1238">
        <f t="shared" si="20"/>
        <v>0</v>
      </c>
      <c r="AX20" s="1238">
        <f t="shared" si="13"/>
        <v>1245835.976</v>
      </c>
      <c r="AY20" s="1238"/>
      <c r="AZ20" s="1239">
        <f t="shared" si="16"/>
        <v>127252.82400000002</v>
      </c>
    </row>
    <row r="21" spans="14:52" ht="15.75">
      <c r="N21" s="788">
        <v>13</v>
      </c>
      <c r="O21" s="789">
        <v>84196562</v>
      </c>
      <c r="P21" s="790">
        <v>40558</v>
      </c>
      <c r="Q21" s="789" t="s">
        <v>989</v>
      </c>
      <c r="R21" s="789" t="s">
        <v>990</v>
      </c>
      <c r="S21" s="789" t="s">
        <v>991</v>
      </c>
      <c r="T21" s="800">
        <f t="shared" si="6"/>
        <v>127200</v>
      </c>
      <c r="U21" s="800"/>
      <c r="V21" s="800"/>
      <c r="W21" s="800"/>
      <c r="X21" s="801"/>
      <c r="Y21" s="800">
        <f t="shared" si="2"/>
        <v>0</v>
      </c>
      <c r="Z21" s="801">
        <v>106000</v>
      </c>
      <c r="AA21" s="800">
        <f t="shared" si="3"/>
        <v>21200</v>
      </c>
      <c r="AB21" s="803"/>
      <c r="AC21" s="803"/>
      <c r="AD21" s="803"/>
      <c r="AE21" s="804"/>
      <c r="AF21" s="1248" t="s">
        <v>181</v>
      </c>
      <c r="AG21" s="1238">
        <f>+H327</f>
        <v>0</v>
      </c>
      <c r="AH21" s="1238">
        <f t="shared" ref="AH21:AL21" si="21">+I327</f>
        <v>0</v>
      </c>
      <c r="AI21" s="1238">
        <f t="shared" si="21"/>
        <v>2392450</v>
      </c>
      <c r="AJ21" s="1238">
        <f t="shared" si="21"/>
        <v>478490</v>
      </c>
      <c r="AK21" s="1238">
        <f t="shared" si="21"/>
        <v>0</v>
      </c>
      <c r="AL21" s="1238">
        <f t="shared" si="21"/>
        <v>0</v>
      </c>
      <c r="AM21" s="1238">
        <f>+U342</f>
        <v>0</v>
      </c>
      <c r="AN21" s="1238">
        <f t="shared" ref="AN21:AW21" si="22">+V342</f>
        <v>0</v>
      </c>
      <c r="AO21" s="1238">
        <f t="shared" si="22"/>
        <v>0</v>
      </c>
      <c r="AP21" s="1238">
        <f t="shared" si="22"/>
        <v>0</v>
      </c>
      <c r="AQ21" s="1238">
        <f t="shared" si="22"/>
        <v>0</v>
      </c>
      <c r="AR21" s="1238">
        <f t="shared" si="22"/>
        <v>2006639</v>
      </c>
      <c r="AS21" s="1238">
        <f t="shared" si="22"/>
        <v>401327.8</v>
      </c>
      <c r="AT21" s="1238">
        <f t="shared" si="22"/>
        <v>0</v>
      </c>
      <c r="AU21" s="1238">
        <f t="shared" si="22"/>
        <v>0</v>
      </c>
      <c r="AV21" s="1238">
        <f t="shared" si="22"/>
        <v>0</v>
      </c>
      <c r="AW21" s="1238">
        <f t="shared" si="22"/>
        <v>0</v>
      </c>
      <c r="AX21" s="1238">
        <f t="shared" si="13"/>
        <v>401327.8</v>
      </c>
      <c r="AY21" s="1238"/>
      <c r="AZ21" s="1239">
        <f t="shared" si="16"/>
        <v>77162.200000000012</v>
      </c>
    </row>
    <row r="22" spans="14:52" ht="15.75">
      <c r="N22" s="788">
        <v>232</v>
      </c>
      <c r="O22" s="789">
        <v>72618582</v>
      </c>
      <c r="P22" s="790">
        <v>40569</v>
      </c>
      <c r="Q22" s="789" t="s">
        <v>992</v>
      </c>
      <c r="R22" s="789" t="s">
        <v>993</v>
      </c>
      <c r="S22" s="789" t="s">
        <v>994</v>
      </c>
      <c r="T22" s="800">
        <f t="shared" si="6"/>
        <v>395952</v>
      </c>
      <c r="U22" s="800"/>
      <c r="V22" s="800"/>
      <c r="W22" s="800"/>
      <c r="X22" s="801"/>
      <c r="Y22" s="800">
        <f t="shared" si="2"/>
        <v>0</v>
      </c>
      <c r="Z22" s="801">
        <v>329960</v>
      </c>
      <c r="AA22" s="800">
        <f t="shared" si="3"/>
        <v>65992</v>
      </c>
      <c r="AB22" s="803"/>
      <c r="AC22" s="803"/>
      <c r="AD22" s="803"/>
      <c r="AE22" s="804"/>
      <c r="AF22" s="1248" t="s">
        <v>182</v>
      </c>
      <c r="AG22" s="1238">
        <f>+H359</f>
        <v>0</v>
      </c>
      <c r="AH22" s="1238">
        <f t="shared" ref="AH22:AL22" si="23">+I359</f>
        <v>0</v>
      </c>
      <c r="AI22" s="1238">
        <f t="shared" si="23"/>
        <v>11551877</v>
      </c>
      <c r="AJ22" s="1238">
        <f t="shared" si="23"/>
        <v>2310375.4</v>
      </c>
      <c r="AK22" s="1238">
        <f t="shared" si="23"/>
        <v>0</v>
      </c>
      <c r="AL22" s="1238">
        <f t="shared" si="23"/>
        <v>0</v>
      </c>
      <c r="AM22" s="1238">
        <f>+U378</f>
        <v>0</v>
      </c>
      <c r="AN22" s="1238">
        <f t="shared" ref="AN22:AW22" si="24">+V378</f>
        <v>7820993</v>
      </c>
      <c r="AO22" s="1238">
        <f t="shared" si="24"/>
        <v>1564198.6</v>
      </c>
      <c r="AP22" s="1238">
        <f t="shared" si="24"/>
        <v>0</v>
      </c>
      <c r="AQ22" s="1238">
        <f t="shared" si="24"/>
        <v>0</v>
      </c>
      <c r="AR22" s="1238">
        <f t="shared" si="24"/>
        <v>2526263</v>
      </c>
      <c r="AS22" s="1238">
        <f t="shared" si="24"/>
        <v>505252.6</v>
      </c>
      <c r="AT22" s="1238">
        <f t="shared" si="24"/>
        <v>0</v>
      </c>
      <c r="AU22" s="1238">
        <f t="shared" si="24"/>
        <v>0</v>
      </c>
      <c r="AV22" s="1238">
        <f t="shared" si="24"/>
        <v>0</v>
      </c>
      <c r="AW22" s="1238">
        <f t="shared" si="24"/>
        <v>0</v>
      </c>
      <c r="AX22" s="1238">
        <f t="shared" si="13"/>
        <v>2069451.2000000002</v>
      </c>
      <c r="AY22" s="1238"/>
      <c r="AZ22" s="1239">
        <f t="shared" si="16"/>
        <v>240924.19999999972</v>
      </c>
    </row>
    <row r="23" spans="14:52" ht="15.75">
      <c r="N23" s="788">
        <v>374</v>
      </c>
      <c r="O23" s="789">
        <v>70519445</v>
      </c>
      <c r="P23" s="790">
        <v>40554</v>
      </c>
      <c r="Q23" s="789" t="s">
        <v>983</v>
      </c>
      <c r="R23" s="789" t="s">
        <v>464</v>
      </c>
      <c r="S23" s="789" t="s">
        <v>984</v>
      </c>
      <c r="T23" s="800">
        <f t="shared" si="6"/>
        <v>230400</v>
      </c>
      <c r="U23" s="800"/>
      <c r="V23" s="800"/>
      <c r="W23" s="800"/>
      <c r="X23" s="801"/>
      <c r="Y23" s="800">
        <f t="shared" si="2"/>
        <v>0</v>
      </c>
      <c r="Z23" s="801">
        <v>192000</v>
      </c>
      <c r="AA23" s="800">
        <f t="shared" si="3"/>
        <v>38400</v>
      </c>
      <c r="AB23" s="803"/>
      <c r="AC23" s="803"/>
      <c r="AD23" s="803"/>
      <c r="AE23" s="804"/>
      <c r="AF23" s="1248" t="s">
        <v>183</v>
      </c>
      <c r="AG23" s="1238">
        <f>+H393</f>
        <v>0</v>
      </c>
      <c r="AH23" s="1238">
        <f t="shared" ref="AH23:AL23" si="25">+I393</f>
        <v>0</v>
      </c>
      <c r="AI23" s="1238">
        <f t="shared" si="25"/>
        <v>2142488</v>
      </c>
      <c r="AJ23" s="1238">
        <f t="shared" si="25"/>
        <v>428497.60000000003</v>
      </c>
      <c r="AK23" s="1238">
        <f t="shared" si="25"/>
        <v>0</v>
      </c>
      <c r="AL23" s="1238">
        <f t="shared" si="25"/>
        <v>0</v>
      </c>
      <c r="AM23" s="1238">
        <f>+U400</f>
        <v>0</v>
      </c>
      <c r="AN23" s="1238">
        <f t="shared" ref="AN23:AW23" si="26">+V400</f>
        <v>0</v>
      </c>
      <c r="AO23" s="1238">
        <f t="shared" si="26"/>
        <v>0</v>
      </c>
      <c r="AP23" s="1238">
        <f t="shared" si="26"/>
        <v>0</v>
      </c>
      <c r="AQ23" s="1238">
        <f t="shared" si="26"/>
        <v>0</v>
      </c>
      <c r="AR23" s="1238">
        <f t="shared" si="26"/>
        <v>1524096</v>
      </c>
      <c r="AS23" s="1238">
        <f t="shared" si="26"/>
        <v>304819.20000000001</v>
      </c>
      <c r="AT23" s="1238">
        <f t="shared" si="26"/>
        <v>0</v>
      </c>
      <c r="AU23" s="1238">
        <f t="shared" si="26"/>
        <v>0</v>
      </c>
      <c r="AV23" s="1238">
        <f t="shared" si="26"/>
        <v>0</v>
      </c>
      <c r="AW23" s="1238">
        <f t="shared" si="26"/>
        <v>0</v>
      </c>
      <c r="AX23" s="1238">
        <f t="shared" si="13"/>
        <v>304819.20000000001</v>
      </c>
      <c r="AY23" s="1238"/>
      <c r="AZ23" s="1239">
        <f t="shared" si="16"/>
        <v>123678.40000000002</v>
      </c>
    </row>
    <row r="24" spans="14:52" ht="15.75">
      <c r="N24" s="788">
        <v>377</v>
      </c>
      <c r="O24" s="789">
        <v>70519448</v>
      </c>
      <c r="P24" s="790">
        <v>40562</v>
      </c>
      <c r="Q24" s="789" t="s">
        <v>983</v>
      </c>
      <c r="R24" s="789" t="s">
        <v>464</v>
      </c>
      <c r="S24" s="789" t="s">
        <v>984</v>
      </c>
      <c r="T24" s="800">
        <f t="shared" si="6"/>
        <v>119040</v>
      </c>
      <c r="U24" s="800"/>
      <c r="V24" s="800"/>
      <c r="W24" s="800"/>
      <c r="X24" s="801"/>
      <c r="Y24" s="800">
        <f t="shared" si="2"/>
        <v>0</v>
      </c>
      <c r="Z24" s="801">
        <v>99200</v>
      </c>
      <c r="AA24" s="800">
        <f t="shared" si="3"/>
        <v>19840</v>
      </c>
      <c r="AB24" s="803"/>
      <c r="AC24" s="803"/>
      <c r="AD24" s="803"/>
      <c r="AE24" s="804"/>
      <c r="AF24" s="1248" t="s">
        <v>184</v>
      </c>
      <c r="AG24" s="1238">
        <f>+H428</f>
        <v>0</v>
      </c>
      <c r="AH24" s="1238">
        <f t="shared" ref="AH24:AL24" si="27">+I428</f>
        <v>0</v>
      </c>
      <c r="AI24" s="1238">
        <f t="shared" si="27"/>
        <v>1724257</v>
      </c>
      <c r="AJ24" s="1238">
        <f t="shared" si="27"/>
        <v>344851.4</v>
      </c>
      <c r="AK24" s="1238">
        <f t="shared" si="27"/>
        <v>0</v>
      </c>
      <c r="AL24" s="1238">
        <f t="shared" si="27"/>
        <v>0</v>
      </c>
      <c r="AM24" s="1238">
        <f>+U432</f>
        <v>0</v>
      </c>
      <c r="AN24" s="1238">
        <f t="shared" ref="AN24:AW24" si="28">+V432</f>
        <v>0</v>
      </c>
      <c r="AO24" s="1238">
        <f t="shared" si="28"/>
        <v>0</v>
      </c>
      <c r="AP24" s="1238">
        <f t="shared" si="28"/>
        <v>0</v>
      </c>
      <c r="AQ24" s="1238">
        <f t="shared" si="28"/>
        <v>0</v>
      </c>
      <c r="AR24" s="1238">
        <f t="shared" si="28"/>
        <v>1036392.097</v>
      </c>
      <c r="AS24" s="1238">
        <f t="shared" si="28"/>
        <v>207278.41940000004</v>
      </c>
      <c r="AT24" s="1238">
        <f t="shared" si="28"/>
        <v>0</v>
      </c>
      <c r="AU24" s="1238">
        <f t="shared" si="28"/>
        <v>0</v>
      </c>
      <c r="AV24" s="1238">
        <f t="shared" si="28"/>
        <v>0</v>
      </c>
      <c r="AW24" s="1238">
        <f t="shared" si="28"/>
        <v>0</v>
      </c>
      <c r="AX24" s="1238">
        <f t="shared" si="13"/>
        <v>207278.41940000004</v>
      </c>
      <c r="AY24" s="1238"/>
      <c r="AZ24" s="1239">
        <f t="shared" si="16"/>
        <v>137572.98059999998</v>
      </c>
    </row>
    <row r="25" spans="14:52" ht="15.75">
      <c r="N25" s="788">
        <v>216</v>
      </c>
      <c r="O25" s="789">
        <v>84660916</v>
      </c>
      <c r="P25" s="790">
        <v>40571</v>
      </c>
      <c r="Q25" s="789" t="s">
        <v>995</v>
      </c>
      <c r="R25" s="789" t="s">
        <v>996</v>
      </c>
      <c r="S25" s="789" t="s">
        <v>997</v>
      </c>
      <c r="T25" s="800">
        <f t="shared" si="6"/>
        <v>281997.59999999998</v>
      </c>
      <c r="U25" s="800"/>
      <c r="V25" s="800"/>
      <c r="W25" s="800"/>
      <c r="X25" s="801"/>
      <c r="Y25" s="800">
        <f t="shared" si="2"/>
        <v>0</v>
      </c>
      <c r="Z25" s="801">
        <v>234998</v>
      </c>
      <c r="AA25" s="800">
        <f t="shared" si="3"/>
        <v>46999.600000000006</v>
      </c>
      <c r="AB25" s="803"/>
      <c r="AC25" s="803"/>
      <c r="AD25" s="803"/>
      <c r="AE25" s="804"/>
      <c r="AF25" s="1249"/>
      <c r="AG25" s="1240"/>
      <c r="AH25" s="1240"/>
      <c r="AI25" s="1240"/>
      <c r="AJ25" s="1240"/>
      <c r="AK25" s="1240"/>
      <c r="AL25" s="1240"/>
      <c r="AM25" s="1240"/>
      <c r="AN25" s="1240"/>
      <c r="AO25" s="1240"/>
      <c r="AP25" s="1240"/>
      <c r="AQ25" s="1240"/>
      <c r="AR25" s="1240"/>
      <c r="AS25" s="1240"/>
      <c r="AT25" s="1240"/>
      <c r="AU25" s="1240"/>
      <c r="AV25" s="1240"/>
      <c r="AW25" s="1240"/>
      <c r="AX25" s="1240"/>
      <c r="AY25" s="1240"/>
      <c r="AZ25" s="1241"/>
    </row>
    <row r="26" spans="14:52" ht="15.75">
      <c r="N26" s="788">
        <v>999</v>
      </c>
      <c r="O26" s="789">
        <v>84332999</v>
      </c>
      <c r="P26" s="790">
        <v>40572</v>
      </c>
      <c r="Q26" s="789" t="s">
        <v>979</v>
      </c>
      <c r="R26" s="789" t="s">
        <v>464</v>
      </c>
      <c r="S26" s="789" t="s">
        <v>980</v>
      </c>
      <c r="T26" s="800">
        <f t="shared" si="6"/>
        <v>208106.4</v>
      </c>
      <c r="U26" s="800"/>
      <c r="V26" s="800"/>
      <c r="W26" s="800"/>
      <c r="X26" s="801"/>
      <c r="Y26" s="800">
        <f t="shared" si="2"/>
        <v>0</v>
      </c>
      <c r="Z26" s="801">
        <v>173422</v>
      </c>
      <c r="AA26" s="800">
        <f t="shared" si="3"/>
        <v>34684.400000000001</v>
      </c>
      <c r="AB26" s="803"/>
      <c r="AC26" s="803"/>
      <c r="AD26" s="803"/>
      <c r="AE26" s="804"/>
      <c r="AF26" s="1249"/>
      <c r="AG26" s="1240"/>
      <c r="AH26" s="1240"/>
      <c r="AI26" s="1240"/>
      <c r="AJ26" s="1240"/>
      <c r="AK26" s="1240"/>
      <c r="AL26" s="1240"/>
      <c r="AM26" s="1240"/>
      <c r="AN26" s="1240"/>
      <c r="AO26" s="1240"/>
      <c r="AP26" s="1240"/>
      <c r="AQ26" s="1240"/>
      <c r="AR26" s="1240"/>
      <c r="AS26" s="1240"/>
      <c r="AT26" s="1240"/>
      <c r="AU26" s="1240"/>
      <c r="AV26" s="1240"/>
      <c r="AW26" s="1240"/>
      <c r="AX26" s="1240"/>
      <c r="AY26" s="1240"/>
      <c r="AZ26" s="1241"/>
    </row>
    <row r="27" spans="14:52" ht="16.5" thickBot="1">
      <c r="N27" s="788">
        <v>6</v>
      </c>
      <c r="O27" s="789">
        <v>84240406</v>
      </c>
      <c r="P27" s="790">
        <v>40562</v>
      </c>
      <c r="Q27" s="789" t="s">
        <v>998</v>
      </c>
      <c r="R27" s="789" t="s">
        <v>464</v>
      </c>
      <c r="S27" s="789" t="s">
        <v>999</v>
      </c>
      <c r="T27" s="800">
        <f t="shared" si="6"/>
        <v>241965.6</v>
      </c>
      <c r="U27" s="800"/>
      <c r="V27" s="800"/>
      <c r="W27" s="800"/>
      <c r="X27" s="801"/>
      <c r="Y27" s="800">
        <f t="shared" si="2"/>
        <v>0</v>
      </c>
      <c r="Z27" s="801">
        <v>201638</v>
      </c>
      <c r="AA27" s="800">
        <f t="shared" si="3"/>
        <v>40327.600000000006</v>
      </c>
      <c r="AB27" s="803"/>
      <c r="AC27" s="803"/>
      <c r="AD27" s="803"/>
      <c r="AE27" s="804"/>
      <c r="AF27" s="1250"/>
      <c r="AG27" s="1242"/>
      <c r="AH27" s="1242"/>
      <c r="AI27" s="1242"/>
      <c r="AJ27" s="1242"/>
      <c r="AK27" s="1242"/>
      <c r="AL27" s="1242"/>
      <c r="AM27" s="1242"/>
      <c r="AN27" s="1242"/>
      <c r="AO27" s="1242"/>
      <c r="AP27" s="1242"/>
      <c r="AQ27" s="1242"/>
      <c r="AR27" s="1242"/>
      <c r="AS27" s="1242"/>
      <c r="AT27" s="1242"/>
      <c r="AU27" s="1242"/>
      <c r="AV27" s="1242"/>
      <c r="AW27" s="1242"/>
      <c r="AX27" s="1242"/>
      <c r="AY27" s="1242"/>
      <c r="AZ27" s="1243"/>
    </row>
    <row r="28" spans="14:52" ht="16.5" thickBot="1">
      <c r="N28" s="788">
        <v>4</v>
      </c>
      <c r="O28" s="789">
        <v>84240404</v>
      </c>
      <c r="P28" s="790">
        <v>40549</v>
      </c>
      <c r="Q28" s="789" t="s">
        <v>998</v>
      </c>
      <c r="R28" s="789" t="s">
        <v>464</v>
      </c>
      <c r="S28" s="789" t="s">
        <v>999</v>
      </c>
      <c r="T28" s="800">
        <f t="shared" si="6"/>
        <v>453276</v>
      </c>
      <c r="U28" s="800"/>
      <c r="V28" s="800"/>
      <c r="W28" s="800"/>
      <c r="X28" s="801"/>
      <c r="Y28" s="800">
        <f t="shared" si="2"/>
        <v>0</v>
      </c>
      <c r="Z28" s="801">
        <v>377730</v>
      </c>
      <c r="AA28" s="800">
        <f t="shared" si="3"/>
        <v>75546</v>
      </c>
      <c r="AB28" s="803"/>
      <c r="AC28" s="803"/>
      <c r="AD28" s="803"/>
      <c r="AE28" s="804"/>
      <c r="AF28" s="1251" t="s">
        <v>186</v>
      </c>
      <c r="AG28" s="1252">
        <f>SUM(AG13:AG27)</f>
        <v>0</v>
      </c>
      <c r="AH28" s="1252">
        <f t="shared" ref="AH28" si="29">SUM(AH13:AH27)</f>
        <v>0</v>
      </c>
      <c r="AI28" s="1252">
        <f>SUM(AI13:AI27)</f>
        <v>58711190</v>
      </c>
      <c r="AJ28" s="1252">
        <f t="shared" ref="AJ28:AZ28" si="30">SUM(AJ13:AJ27)</f>
        <v>11742238.4</v>
      </c>
      <c r="AK28" s="1252">
        <f t="shared" si="30"/>
        <v>0</v>
      </c>
      <c r="AL28" s="1252">
        <f t="shared" si="30"/>
        <v>0</v>
      </c>
      <c r="AM28" s="1252">
        <f t="shared" si="30"/>
        <v>0</v>
      </c>
      <c r="AN28" s="1252">
        <f t="shared" si="30"/>
        <v>7820993</v>
      </c>
      <c r="AO28" s="1252">
        <f t="shared" si="30"/>
        <v>1564198.6</v>
      </c>
      <c r="AP28" s="1252">
        <f t="shared" si="30"/>
        <v>0</v>
      </c>
      <c r="AQ28" s="1252">
        <f t="shared" si="30"/>
        <v>0</v>
      </c>
      <c r="AR28" s="1252">
        <f t="shared" si="30"/>
        <v>42183802.707000002</v>
      </c>
      <c r="AS28" s="1252">
        <f t="shared" si="30"/>
        <v>8436760.5414000005</v>
      </c>
      <c r="AT28" s="1252">
        <f t="shared" si="30"/>
        <v>0</v>
      </c>
      <c r="AU28" s="1252">
        <f t="shared" si="30"/>
        <v>0</v>
      </c>
      <c r="AV28" s="1252">
        <f t="shared" si="30"/>
        <v>0</v>
      </c>
      <c r="AW28" s="1252">
        <f t="shared" si="30"/>
        <v>0</v>
      </c>
      <c r="AX28" s="1252">
        <f t="shared" si="30"/>
        <v>10000959.1414</v>
      </c>
      <c r="AY28" s="1252">
        <f t="shared" si="30"/>
        <v>0</v>
      </c>
      <c r="AZ28" s="1252">
        <f t="shared" si="30"/>
        <v>1741279.2585999994</v>
      </c>
    </row>
    <row r="29" spans="14:52" ht="16.5" thickBot="1">
      <c r="N29" s="792">
        <v>55</v>
      </c>
      <c r="O29" s="793">
        <v>83846857</v>
      </c>
      <c r="P29" s="794">
        <v>40549</v>
      </c>
      <c r="Q29" s="793" t="s">
        <v>1000</v>
      </c>
      <c r="R29" s="793" t="s">
        <v>996</v>
      </c>
      <c r="S29" s="793" t="s">
        <v>1001</v>
      </c>
      <c r="T29" s="800">
        <f t="shared" si="6"/>
        <v>160239.6</v>
      </c>
      <c r="U29" s="805"/>
      <c r="V29" s="805"/>
      <c r="W29" s="805"/>
      <c r="X29" s="806"/>
      <c r="Y29" s="805">
        <f t="shared" si="2"/>
        <v>0</v>
      </c>
      <c r="Z29" s="806">
        <v>133533</v>
      </c>
      <c r="AA29" s="805">
        <f t="shared" si="3"/>
        <v>26706.600000000002</v>
      </c>
      <c r="AB29" s="807"/>
      <c r="AC29" s="807"/>
      <c r="AD29" s="807"/>
      <c r="AE29" s="808"/>
      <c r="AR29" s="113"/>
      <c r="AZ29">
        <v>1544773</v>
      </c>
    </row>
    <row r="30" spans="14:52" ht="16.5" thickBot="1">
      <c r="N30" s="1795" t="s">
        <v>757</v>
      </c>
      <c r="O30" s="1796"/>
      <c r="P30" s="1796"/>
      <c r="Q30" s="1796"/>
      <c r="R30" s="1796"/>
      <c r="S30" s="1797"/>
      <c r="T30" s="721">
        <f t="shared" ref="T30:AE30" si="31">SUM(T13:T29)</f>
        <v>3788079.6</v>
      </c>
      <c r="U30" s="721">
        <f t="shared" si="31"/>
        <v>0</v>
      </c>
      <c r="V30" s="721">
        <f t="shared" si="31"/>
        <v>0</v>
      </c>
      <c r="W30" s="721">
        <f t="shared" si="31"/>
        <v>0</v>
      </c>
      <c r="X30" s="721">
        <f t="shared" si="31"/>
        <v>0</v>
      </c>
      <c r="Y30" s="721">
        <f t="shared" si="31"/>
        <v>0</v>
      </c>
      <c r="Z30" s="721">
        <f t="shared" si="31"/>
        <v>3156733</v>
      </c>
      <c r="AA30" s="809">
        <f t="shared" si="31"/>
        <v>631346.6</v>
      </c>
      <c r="AB30" s="721">
        <f t="shared" si="31"/>
        <v>0</v>
      </c>
      <c r="AC30" s="721">
        <f t="shared" si="31"/>
        <v>0</v>
      </c>
      <c r="AD30" s="721">
        <f t="shared" si="31"/>
        <v>0</v>
      </c>
      <c r="AE30" s="721">
        <f t="shared" si="31"/>
        <v>0</v>
      </c>
      <c r="AI30" s="400"/>
      <c r="AR30" s="113"/>
      <c r="AS30" s="113"/>
      <c r="AZ30" s="689">
        <f>AZ28-AZ29</f>
        <v>196506.25859999936</v>
      </c>
    </row>
    <row r="31" spans="14:52" ht="16.5" thickBot="1">
      <c r="N31" s="1798" t="s">
        <v>758</v>
      </c>
      <c r="O31" s="1799"/>
      <c r="P31" s="1799"/>
      <c r="Q31" s="1799"/>
      <c r="R31" s="1799"/>
      <c r="S31" s="1799"/>
      <c r="T31" s="1799"/>
      <c r="U31" s="718" t="s">
        <v>765</v>
      </c>
      <c r="V31" s="718" t="s">
        <v>766</v>
      </c>
      <c r="W31" s="718" t="s">
        <v>767</v>
      </c>
      <c r="X31" s="718" t="s">
        <v>768</v>
      </c>
      <c r="Y31" s="718" t="s">
        <v>769</v>
      </c>
      <c r="Z31" s="718" t="s">
        <v>786</v>
      </c>
      <c r="AA31" s="718" t="s">
        <v>787</v>
      </c>
      <c r="AB31" s="718" t="s">
        <v>788</v>
      </c>
      <c r="AC31" s="718" t="s">
        <v>789</v>
      </c>
      <c r="AD31" s="718" t="s">
        <v>790</v>
      </c>
      <c r="AE31" s="764" t="s">
        <v>791</v>
      </c>
      <c r="AG31" s="714"/>
      <c r="AH31" s="714"/>
      <c r="AI31" s="714"/>
      <c r="AJ31" s="714"/>
      <c r="AK31" s="714"/>
      <c r="AL31" s="714"/>
      <c r="AX31" s="722">
        <f>+AZ18/AI18*100</f>
        <v>3.6390585091990264</v>
      </c>
      <c r="AZ31" s="966"/>
    </row>
    <row r="32" spans="14:52" ht="15.75">
      <c r="N32" s="381"/>
      <c r="O32" s="381"/>
      <c r="P32" s="381"/>
      <c r="Q32" s="381"/>
      <c r="R32" s="381"/>
      <c r="S32" s="381"/>
      <c r="T32" s="713"/>
      <c r="U32" s="713"/>
      <c r="V32" s="713"/>
      <c r="W32" s="713"/>
      <c r="X32" s="713"/>
      <c r="Y32" s="713"/>
      <c r="Z32" s="713"/>
      <c r="AA32" s="713"/>
      <c r="AB32" s="744"/>
      <c r="AC32" s="744"/>
      <c r="AD32" s="744"/>
      <c r="AE32" s="744"/>
      <c r="AG32" s="714"/>
      <c r="AH32" s="714"/>
      <c r="AI32" s="714"/>
      <c r="AJ32" s="714"/>
      <c r="AK32" s="714"/>
      <c r="AL32" s="714"/>
    </row>
    <row r="33" spans="1:52" ht="15.75">
      <c r="N33" s="381"/>
      <c r="O33" s="381"/>
      <c r="P33" s="381"/>
      <c r="Q33" s="381"/>
      <c r="R33" s="381"/>
      <c r="S33" s="381"/>
      <c r="T33" s="713"/>
      <c r="U33" s="713"/>
      <c r="V33" s="713"/>
      <c r="W33" s="713"/>
      <c r="X33" s="713"/>
      <c r="Y33" s="713"/>
      <c r="Z33" s="713"/>
      <c r="AA33" s="713"/>
      <c r="AB33" s="744"/>
      <c r="AC33" s="744"/>
      <c r="AD33" s="744"/>
      <c r="AE33" s="744"/>
      <c r="AG33" s="714"/>
      <c r="AH33" s="714"/>
      <c r="AI33" s="714"/>
      <c r="AJ33" s="714"/>
      <c r="AK33" s="714"/>
      <c r="AL33" s="714"/>
      <c r="AY33" t="s">
        <v>134</v>
      </c>
      <c r="AZ33" s="722">
        <f>AZ28/AI28*100</f>
        <v>2.9658388096034152</v>
      </c>
    </row>
    <row r="34" spans="1:52" ht="15.75">
      <c r="N34" s="381"/>
      <c r="O34" s="381"/>
      <c r="P34" s="381"/>
      <c r="Q34" s="381"/>
      <c r="R34" s="381"/>
      <c r="S34" s="381"/>
      <c r="T34" s="713"/>
      <c r="U34" s="713"/>
      <c r="V34" s="713"/>
      <c r="W34" s="713"/>
      <c r="X34" s="713"/>
      <c r="Y34" s="713"/>
      <c r="Z34" s="713"/>
      <c r="AA34" s="713"/>
      <c r="AB34" s="744"/>
      <c r="AC34" s="744"/>
      <c r="AD34" s="744"/>
      <c r="AE34" s="744"/>
      <c r="AG34" s="714"/>
      <c r="AH34" s="714"/>
      <c r="AI34" s="714"/>
      <c r="AJ34" s="714"/>
      <c r="AK34" s="714"/>
      <c r="AL34" s="714"/>
      <c r="AZ34" s="722"/>
    </row>
    <row r="35" spans="1:52" ht="19.5">
      <c r="A35" s="380" t="s">
        <v>727</v>
      </c>
      <c r="B35" s="381"/>
      <c r="C35" s="381"/>
      <c r="D35" s="381"/>
      <c r="E35" s="381"/>
      <c r="F35" s="381"/>
      <c r="G35" s="713"/>
      <c r="H35" s="713"/>
      <c r="I35" s="713"/>
      <c r="J35" s="713"/>
      <c r="K35" s="713"/>
      <c r="L35" s="713"/>
      <c r="M35" s="713"/>
      <c r="N35" s="380" t="s">
        <v>728</v>
      </c>
      <c r="O35" s="381"/>
      <c r="P35" s="381"/>
      <c r="Q35" s="381"/>
      <c r="R35" s="381"/>
      <c r="S35" s="381"/>
      <c r="T35" s="713"/>
      <c r="U35" s="713"/>
      <c r="V35" s="713"/>
      <c r="W35" s="713"/>
      <c r="X35" s="713"/>
      <c r="Y35" s="713"/>
      <c r="Z35" s="713"/>
      <c r="AA35" s="713"/>
      <c r="AB35" s="744"/>
      <c r="AC35" s="744"/>
      <c r="AD35" s="744"/>
      <c r="AE35" s="744"/>
    </row>
    <row r="36" spans="1:52" ht="15.75">
      <c r="A36" s="383" t="s">
        <v>729</v>
      </c>
      <c r="B36" s="383"/>
      <c r="C36" s="777" t="s">
        <v>973</v>
      </c>
      <c r="D36" s="381"/>
      <c r="E36" s="381"/>
      <c r="F36" s="381"/>
      <c r="G36" s="713"/>
      <c r="H36" s="713"/>
      <c r="I36" s="713"/>
      <c r="J36" s="713"/>
      <c r="K36" s="713"/>
      <c r="L36" s="713"/>
      <c r="M36" s="713"/>
      <c r="N36" s="383" t="s">
        <v>729</v>
      </c>
      <c r="O36" s="383"/>
      <c r="P36" s="777" t="s">
        <v>973</v>
      </c>
      <c r="Q36" s="381"/>
      <c r="R36" s="381"/>
      <c r="S36" s="381"/>
      <c r="T36" s="713"/>
      <c r="U36" s="713"/>
      <c r="V36" s="713"/>
      <c r="W36" s="713"/>
      <c r="X36" s="713"/>
      <c r="Y36" s="713"/>
      <c r="Z36" s="713"/>
      <c r="AA36" s="713"/>
      <c r="AB36" s="744"/>
      <c r="AC36" s="744"/>
      <c r="AD36" s="744"/>
      <c r="AE36" s="744"/>
    </row>
    <row r="37" spans="1:52" ht="15.75">
      <c r="A37" s="383" t="s">
        <v>401</v>
      </c>
      <c r="B37" s="383"/>
      <c r="C37" s="777" t="s">
        <v>974</v>
      </c>
      <c r="D37" s="381"/>
      <c r="E37" s="381"/>
      <c r="F37" s="381"/>
      <c r="G37" s="713"/>
      <c r="H37" s="713"/>
      <c r="I37" s="713"/>
      <c r="J37" s="713"/>
      <c r="K37" s="713"/>
      <c r="L37" s="713"/>
      <c r="M37" s="713"/>
      <c r="N37" s="383" t="s">
        <v>401</v>
      </c>
      <c r="O37" s="383"/>
      <c r="P37" s="777" t="s">
        <v>974</v>
      </c>
      <c r="Q37" s="381"/>
      <c r="R37" s="381"/>
      <c r="S37" s="381"/>
      <c r="T37" s="713"/>
      <c r="U37" s="713"/>
      <c r="V37" s="713"/>
      <c r="W37" s="713"/>
      <c r="X37" s="713"/>
      <c r="Y37" s="713"/>
      <c r="Z37" s="713"/>
      <c r="AA37" s="713"/>
      <c r="AB37" s="744"/>
      <c r="AC37" s="744"/>
      <c r="AD37" s="744"/>
      <c r="AE37" s="744"/>
    </row>
    <row r="38" spans="1:52" ht="15.75">
      <c r="A38" s="383" t="s">
        <v>730</v>
      </c>
      <c r="B38" s="383"/>
      <c r="C38" s="384" t="s">
        <v>731</v>
      </c>
      <c r="D38" s="381"/>
      <c r="E38" s="381"/>
      <c r="F38" s="381"/>
      <c r="G38" s="713"/>
      <c r="H38" s="713"/>
      <c r="I38" s="713"/>
      <c r="J38" s="713"/>
      <c r="K38" s="713"/>
      <c r="L38" s="713"/>
      <c r="M38" s="713"/>
      <c r="N38" s="383" t="s">
        <v>730</v>
      </c>
      <c r="O38" s="383"/>
      <c r="P38" s="384" t="s">
        <v>731</v>
      </c>
      <c r="Q38" s="381"/>
      <c r="R38" s="381"/>
      <c r="S38" s="381"/>
      <c r="T38" s="713"/>
      <c r="U38" s="713"/>
      <c r="V38" s="713"/>
      <c r="W38" s="713"/>
      <c r="X38" s="713"/>
      <c r="Y38" s="713"/>
      <c r="Z38" s="713"/>
      <c r="AA38" s="713"/>
      <c r="AB38" s="744"/>
      <c r="AC38" s="744"/>
      <c r="AD38" s="744"/>
      <c r="AE38" s="744"/>
    </row>
    <row r="39" spans="1:52" ht="15.75">
      <c r="A39" s="383" t="s">
        <v>169</v>
      </c>
      <c r="B39" s="383"/>
      <c r="C39" s="384" t="s">
        <v>770</v>
      </c>
      <c r="D39" s="381"/>
      <c r="E39" s="381"/>
      <c r="F39" s="381"/>
      <c r="G39" s="713"/>
      <c r="H39" s="713"/>
      <c r="I39" s="713"/>
      <c r="J39" s="713"/>
      <c r="K39" s="713"/>
      <c r="L39" s="713"/>
      <c r="M39" s="713"/>
      <c r="N39" s="383" t="s">
        <v>169</v>
      </c>
      <c r="O39" s="383"/>
      <c r="P39" s="384" t="s">
        <v>770</v>
      </c>
      <c r="Q39" s="381"/>
      <c r="R39" s="381"/>
      <c r="S39" s="381"/>
      <c r="T39" s="713"/>
      <c r="U39" s="713"/>
      <c r="V39" s="713"/>
      <c r="W39" s="713"/>
      <c r="X39" s="713"/>
      <c r="Y39" s="713"/>
      <c r="Z39" s="713"/>
      <c r="AA39" s="713"/>
      <c r="AB39" s="744"/>
      <c r="AC39" s="744"/>
      <c r="AD39" s="744"/>
      <c r="AE39" s="744"/>
    </row>
    <row r="40" spans="1:52" ht="16.5" thickBot="1">
      <c r="A40" s="383"/>
      <c r="B40" s="383"/>
      <c r="C40" s="381"/>
      <c r="D40" s="381"/>
      <c r="E40" s="381"/>
      <c r="F40" s="381"/>
      <c r="G40" s="713"/>
      <c r="H40" s="713"/>
      <c r="I40" s="713"/>
      <c r="J40" s="713"/>
      <c r="K40" s="713"/>
      <c r="L40" s="713"/>
      <c r="M40" s="713"/>
      <c r="N40" s="383"/>
      <c r="O40" s="383"/>
      <c r="P40" s="381"/>
      <c r="Q40" s="381"/>
      <c r="R40" s="381"/>
      <c r="S40" s="381"/>
      <c r="T40" s="713"/>
      <c r="U40" s="713"/>
      <c r="V40" s="713"/>
      <c r="W40" s="713"/>
      <c r="X40" s="713"/>
      <c r="Y40" s="713"/>
      <c r="Z40" s="713"/>
      <c r="AA40" s="713"/>
      <c r="AB40" s="744"/>
      <c r="AC40" s="744"/>
      <c r="AD40" s="744"/>
      <c r="AE40" s="744"/>
    </row>
    <row r="41" spans="1:52" ht="16.5" customHeight="1" thickBot="1">
      <c r="A41" s="381" t="s">
        <v>733</v>
      </c>
      <c r="B41" s="385"/>
      <c r="C41" s="381" t="s">
        <v>771</v>
      </c>
      <c r="D41" s="381"/>
      <c r="E41" s="381"/>
      <c r="F41" s="381"/>
      <c r="G41" s="713"/>
      <c r="H41" s="713"/>
      <c r="I41" s="713"/>
      <c r="J41" s="713"/>
      <c r="K41" s="713"/>
      <c r="L41" s="713"/>
      <c r="M41" s="713"/>
      <c r="N41" s="381" t="s">
        <v>733</v>
      </c>
      <c r="O41" s="385"/>
      <c r="P41" s="381" t="s">
        <v>771</v>
      </c>
      <c r="Q41" s="381"/>
      <c r="R41" s="381"/>
      <c r="S41" s="381"/>
      <c r="T41" s="713"/>
      <c r="U41" s="713"/>
      <c r="V41" s="713"/>
      <c r="W41" s="713"/>
      <c r="X41" s="713"/>
      <c r="Y41" s="713"/>
      <c r="Z41" s="713"/>
      <c r="AA41" s="713"/>
      <c r="AB41" s="713"/>
      <c r="AC41" s="713"/>
      <c r="AD41" s="713"/>
      <c r="AE41" s="713"/>
    </row>
    <row r="42" spans="1:52" ht="16.5" customHeight="1" thickBot="1">
      <c r="A42" s="381"/>
      <c r="B42" s="381"/>
      <c r="C42" s="381"/>
      <c r="D42" s="381"/>
      <c r="E42" s="381"/>
      <c r="F42" s="381"/>
      <c r="G42" s="713"/>
      <c r="H42" s="713"/>
      <c r="I42" s="713"/>
      <c r="J42" s="713"/>
      <c r="K42" s="713"/>
      <c r="L42" s="713"/>
      <c r="M42" s="713"/>
      <c r="N42" s="381"/>
      <c r="O42" s="381"/>
      <c r="P42" s="383"/>
      <c r="Q42" s="381"/>
      <c r="R42" s="381"/>
      <c r="S42" s="381"/>
      <c r="T42" s="713"/>
      <c r="U42" s="713"/>
      <c r="V42" s="713"/>
      <c r="W42" s="713"/>
      <c r="X42" s="713"/>
      <c r="Y42" s="713"/>
      <c r="Z42" s="713"/>
      <c r="AA42" s="713"/>
      <c r="AB42" s="713"/>
      <c r="AC42" s="713"/>
      <c r="AD42" s="713"/>
      <c r="AE42" s="713"/>
    </row>
    <row r="43" spans="1:52" ht="16.5" thickBot="1">
      <c r="A43" s="1813" t="s">
        <v>734</v>
      </c>
      <c r="B43" s="1814"/>
      <c r="C43" s="1815"/>
      <c r="D43" s="1813" t="s">
        <v>735</v>
      </c>
      <c r="E43" s="1814"/>
      <c r="F43" s="1815"/>
      <c r="G43" s="1834" t="s">
        <v>736</v>
      </c>
      <c r="H43" s="1834" t="s">
        <v>737</v>
      </c>
      <c r="I43" s="1834" t="s">
        <v>738</v>
      </c>
      <c r="J43" s="1837" t="s">
        <v>772</v>
      </c>
      <c r="K43" s="1840"/>
      <c r="L43" s="1837" t="s">
        <v>773</v>
      </c>
      <c r="M43" s="1840"/>
      <c r="N43" s="1800" t="s">
        <v>734</v>
      </c>
      <c r="O43" s="1801"/>
      <c r="P43" s="1802"/>
      <c r="Q43" s="1800" t="s">
        <v>739</v>
      </c>
      <c r="R43" s="1801"/>
      <c r="S43" s="1802"/>
      <c r="T43" s="1834" t="s">
        <v>740</v>
      </c>
      <c r="U43" s="1824" t="s">
        <v>741</v>
      </c>
      <c r="V43" s="1825"/>
      <c r="W43" s="1825"/>
      <c r="X43" s="1825"/>
      <c r="Y43" s="1825"/>
      <c r="Z43" s="1825"/>
      <c r="AA43" s="1825"/>
      <c r="AB43" s="1825"/>
      <c r="AC43" s="1825"/>
      <c r="AD43" s="1825"/>
      <c r="AE43" s="1826"/>
    </row>
    <row r="44" spans="1:52" ht="16.5" thickBot="1">
      <c r="A44" s="1816"/>
      <c r="B44" s="1817"/>
      <c r="C44" s="1818"/>
      <c r="D44" s="1816"/>
      <c r="E44" s="1817"/>
      <c r="F44" s="1818"/>
      <c r="G44" s="1835"/>
      <c r="H44" s="1835"/>
      <c r="I44" s="1835"/>
      <c r="J44" s="1839"/>
      <c r="K44" s="1841"/>
      <c r="L44" s="1839"/>
      <c r="M44" s="1841"/>
      <c r="N44" s="1809" t="s">
        <v>742</v>
      </c>
      <c r="O44" s="1809" t="s">
        <v>743</v>
      </c>
      <c r="P44" s="1809" t="s">
        <v>744</v>
      </c>
      <c r="Q44" s="1809" t="s">
        <v>745</v>
      </c>
      <c r="R44" s="1809" t="s">
        <v>746</v>
      </c>
      <c r="S44" s="1809" t="s">
        <v>747</v>
      </c>
      <c r="T44" s="1835"/>
      <c r="U44" s="1834" t="s">
        <v>748</v>
      </c>
      <c r="V44" s="1824" t="s">
        <v>774</v>
      </c>
      <c r="W44" s="1842"/>
      <c r="X44" s="1824" t="s">
        <v>775</v>
      </c>
      <c r="Y44" s="1842"/>
      <c r="Z44" s="1824" t="s">
        <v>776</v>
      </c>
      <c r="AA44" s="1826"/>
      <c r="AB44" s="1824" t="s">
        <v>777</v>
      </c>
      <c r="AC44" s="1826"/>
      <c r="AD44" s="1824" t="s">
        <v>749</v>
      </c>
      <c r="AE44" s="1826"/>
    </row>
    <row r="45" spans="1:52" ht="50.25" customHeight="1" thickBot="1">
      <c r="A45" s="386" t="s">
        <v>742</v>
      </c>
      <c r="B45" s="387" t="s">
        <v>743</v>
      </c>
      <c r="C45" s="388" t="s">
        <v>744</v>
      </c>
      <c r="D45" s="771" t="s">
        <v>750</v>
      </c>
      <c r="E45" s="770" t="s">
        <v>746</v>
      </c>
      <c r="F45" s="389" t="s">
        <v>394</v>
      </c>
      <c r="G45" s="1836"/>
      <c r="H45" s="1836"/>
      <c r="I45" s="1836"/>
      <c r="J45" s="760" t="s">
        <v>751</v>
      </c>
      <c r="K45" s="768" t="s">
        <v>752</v>
      </c>
      <c r="L45" s="760" t="s">
        <v>751</v>
      </c>
      <c r="M45" s="768" t="s">
        <v>752</v>
      </c>
      <c r="N45" s="1810"/>
      <c r="O45" s="1810"/>
      <c r="P45" s="1810"/>
      <c r="Q45" s="1810"/>
      <c r="R45" s="1810"/>
      <c r="S45" s="1810"/>
      <c r="T45" s="1836"/>
      <c r="U45" s="1836"/>
      <c r="V45" s="769" t="s">
        <v>751</v>
      </c>
      <c r="W45" s="767" t="s">
        <v>752</v>
      </c>
      <c r="X45" s="769" t="s">
        <v>751</v>
      </c>
      <c r="Y45" s="767" t="s">
        <v>752</v>
      </c>
      <c r="Z45" s="768" t="s">
        <v>753</v>
      </c>
      <c r="AA45" s="768" t="s">
        <v>754</v>
      </c>
      <c r="AB45" s="768" t="s">
        <v>753</v>
      </c>
      <c r="AC45" s="768" t="s">
        <v>754</v>
      </c>
      <c r="AD45" s="768" t="s">
        <v>753</v>
      </c>
      <c r="AE45" s="768" t="s">
        <v>754</v>
      </c>
    </row>
    <row r="46" spans="1:52" ht="21" customHeight="1" thickBot="1">
      <c r="A46" s="390" t="s">
        <v>499</v>
      </c>
      <c r="B46" s="391" t="s">
        <v>500</v>
      </c>
      <c r="C46" s="391" t="s">
        <v>538</v>
      </c>
      <c r="D46" s="391" t="s">
        <v>560</v>
      </c>
      <c r="E46" s="391" t="s">
        <v>562</v>
      </c>
      <c r="F46" s="391" t="s">
        <v>574</v>
      </c>
      <c r="G46" s="761" t="s">
        <v>778</v>
      </c>
      <c r="H46" s="761" t="s">
        <v>578</v>
      </c>
      <c r="I46" s="762" t="s">
        <v>580</v>
      </c>
      <c r="J46" s="761" t="s">
        <v>582</v>
      </c>
      <c r="K46" s="763" t="s">
        <v>584</v>
      </c>
      <c r="L46" s="761" t="s">
        <v>586</v>
      </c>
      <c r="M46" s="763" t="s">
        <v>590</v>
      </c>
      <c r="N46" s="401" t="s">
        <v>499</v>
      </c>
      <c r="O46" s="402" t="s">
        <v>500</v>
      </c>
      <c r="P46" s="402" t="s">
        <v>538</v>
      </c>
      <c r="Q46" s="402" t="s">
        <v>560</v>
      </c>
      <c r="R46" s="402" t="s">
        <v>562</v>
      </c>
      <c r="S46" s="402" t="s">
        <v>574</v>
      </c>
      <c r="T46" s="765" t="s">
        <v>779</v>
      </c>
      <c r="U46" s="766" t="s">
        <v>578</v>
      </c>
      <c r="V46" s="766" t="s">
        <v>580</v>
      </c>
      <c r="W46" s="766" t="s">
        <v>582</v>
      </c>
      <c r="X46" s="766" t="s">
        <v>584</v>
      </c>
      <c r="Y46" s="766" t="s">
        <v>586</v>
      </c>
      <c r="Z46" s="766" t="s">
        <v>590</v>
      </c>
      <c r="AA46" s="766" t="s">
        <v>755</v>
      </c>
      <c r="AB46" s="766" t="s">
        <v>780</v>
      </c>
      <c r="AC46" s="766" t="s">
        <v>781</v>
      </c>
      <c r="AD46" s="766" t="s">
        <v>782</v>
      </c>
      <c r="AE46" s="810" t="s">
        <v>783</v>
      </c>
    </row>
    <row r="47" spans="1:52" ht="16.5" thickBot="1">
      <c r="A47" s="394" t="s">
        <v>969</v>
      </c>
      <c r="B47" s="395" t="s">
        <v>1002</v>
      </c>
      <c r="C47" s="395" t="s">
        <v>953</v>
      </c>
      <c r="D47" s="395" t="s">
        <v>1003</v>
      </c>
      <c r="E47" s="395" t="s">
        <v>464</v>
      </c>
      <c r="F47" s="395" t="s">
        <v>974</v>
      </c>
      <c r="G47" s="408">
        <v>7849443.5999999996</v>
      </c>
      <c r="H47" s="408"/>
      <c r="I47" s="408"/>
      <c r="J47" s="408">
        <v>6541203</v>
      </c>
      <c r="K47" s="724">
        <v>1308240.6000000001</v>
      </c>
      <c r="L47" s="408"/>
      <c r="M47" s="724"/>
      <c r="N47" s="394" t="s">
        <v>1004</v>
      </c>
      <c r="O47" s="395" t="s">
        <v>1005</v>
      </c>
      <c r="P47" s="395" t="s">
        <v>953</v>
      </c>
      <c r="Q47" s="395" t="s">
        <v>989</v>
      </c>
      <c r="R47" s="395" t="s">
        <v>990</v>
      </c>
      <c r="S47" s="395" t="s">
        <v>991</v>
      </c>
      <c r="T47" s="408">
        <v>100800</v>
      </c>
      <c r="U47" s="408"/>
      <c r="V47" s="408"/>
      <c r="W47" s="408"/>
      <c r="X47" s="408"/>
      <c r="Y47" s="408"/>
      <c r="Z47" s="408">
        <v>84000</v>
      </c>
      <c r="AA47" s="408">
        <v>16800</v>
      </c>
      <c r="AB47" s="408"/>
      <c r="AC47" s="408"/>
      <c r="AD47" s="408"/>
      <c r="AE47" s="724"/>
    </row>
    <row r="48" spans="1:52" ht="16.5" thickBot="1">
      <c r="A48" s="1795" t="s">
        <v>757</v>
      </c>
      <c r="B48" s="1796"/>
      <c r="C48" s="1796"/>
      <c r="D48" s="1796"/>
      <c r="E48" s="1796"/>
      <c r="F48" s="1797"/>
      <c r="G48" s="911">
        <v>7849443.5999999996</v>
      </c>
      <c r="H48" s="911">
        <v>0</v>
      </c>
      <c r="I48" s="911">
        <v>0</v>
      </c>
      <c r="J48" s="911">
        <v>6541203</v>
      </c>
      <c r="K48" s="911">
        <v>1308240.6000000001</v>
      </c>
      <c r="L48" s="911">
        <v>0</v>
      </c>
      <c r="M48" s="912">
        <v>0</v>
      </c>
      <c r="N48" s="394" t="s">
        <v>1006</v>
      </c>
      <c r="O48" s="395" t="s">
        <v>1007</v>
      </c>
      <c r="P48" s="395" t="s">
        <v>955</v>
      </c>
      <c r="Q48" s="395" t="s">
        <v>983</v>
      </c>
      <c r="R48" s="395" t="s">
        <v>464</v>
      </c>
      <c r="S48" s="395" t="s">
        <v>984</v>
      </c>
      <c r="T48" s="408">
        <v>249600</v>
      </c>
      <c r="U48" s="408"/>
      <c r="V48" s="408"/>
      <c r="W48" s="408"/>
      <c r="X48" s="408"/>
      <c r="Y48" s="408"/>
      <c r="Z48" s="408">
        <v>208000</v>
      </c>
      <c r="AA48" s="408">
        <v>41600</v>
      </c>
      <c r="AB48" s="408"/>
      <c r="AC48" s="408"/>
      <c r="AD48" s="408"/>
      <c r="AE48" s="724"/>
    </row>
    <row r="49" spans="1:31" ht="16.5" thickBot="1">
      <c r="A49" s="1798" t="s">
        <v>758</v>
      </c>
      <c r="B49" s="1799"/>
      <c r="C49" s="1799"/>
      <c r="D49" s="1799"/>
      <c r="E49" s="1799"/>
      <c r="F49" s="1799"/>
      <c r="G49" s="1799"/>
      <c r="H49" s="718" t="s">
        <v>759</v>
      </c>
      <c r="I49" s="719" t="s">
        <v>760</v>
      </c>
      <c r="J49" s="718" t="s">
        <v>761</v>
      </c>
      <c r="K49" s="764" t="s">
        <v>762</v>
      </c>
      <c r="L49" s="718" t="s">
        <v>763</v>
      </c>
      <c r="M49" s="764" t="s">
        <v>764</v>
      </c>
      <c r="N49" s="394" t="s">
        <v>1008</v>
      </c>
      <c r="O49" s="395" t="s">
        <v>1009</v>
      </c>
      <c r="P49" s="395" t="s">
        <v>954</v>
      </c>
      <c r="Q49" s="395" t="s">
        <v>1010</v>
      </c>
      <c r="R49" s="395" t="s">
        <v>464</v>
      </c>
      <c r="S49" s="395" t="s">
        <v>1011</v>
      </c>
      <c r="T49" s="408">
        <v>1138960.5959999999</v>
      </c>
      <c r="U49" s="408"/>
      <c r="V49" s="408"/>
      <c r="W49" s="408"/>
      <c r="X49" s="408"/>
      <c r="Y49" s="408"/>
      <c r="Z49" s="408">
        <v>949133.83</v>
      </c>
      <c r="AA49" s="408">
        <v>189826.766</v>
      </c>
      <c r="AB49" s="408"/>
      <c r="AC49" s="408"/>
      <c r="AD49" s="408"/>
      <c r="AE49" s="724"/>
    </row>
    <row r="50" spans="1:31" ht="15.75">
      <c r="A50" s="381"/>
      <c r="B50" s="381"/>
      <c r="C50" s="381"/>
      <c r="D50" s="381"/>
      <c r="E50" s="381"/>
      <c r="F50" s="381"/>
      <c r="G50" s="713"/>
      <c r="H50" s="713"/>
      <c r="I50" s="713"/>
      <c r="J50" s="713"/>
      <c r="K50" s="713"/>
      <c r="L50" s="713"/>
      <c r="M50" s="713"/>
      <c r="N50" s="394" t="s">
        <v>1012</v>
      </c>
      <c r="O50" s="395" t="s">
        <v>1013</v>
      </c>
      <c r="P50" s="395" t="s">
        <v>1014</v>
      </c>
      <c r="Q50" s="395" t="s">
        <v>1010</v>
      </c>
      <c r="R50" s="395" t="s">
        <v>464</v>
      </c>
      <c r="S50" s="395" t="s">
        <v>1011</v>
      </c>
      <c r="T50" s="408">
        <v>1366752.7200000002</v>
      </c>
      <c r="U50" s="408"/>
      <c r="V50" s="408"/>
      <c r="W50" s="408"/>
      <c r="X50" s="408"/>
      <c r="Y50" s="408"/>
      <c r="Z50" s="408">
        <v>1138960.6000000001</v>
      </c>
      <c r="AA50" s="408">
        <v>227792.12000000002</v>
      </c>
      <c r="AB50" s="408"/>
      <c r="AC50" s="408"/>
      <c r="AD50" s="408"/>
      <c r="AE50" s="724"/>
    </row>
    <row r="51" spans="1:31" ht="15.75">
      <c r="A51" s="381"/>
      <c r="B51" s="381"/>
      <c r="C51" s="381"/>
      <c r="D51" s="381"/>
      <c r="E51" s="381"/>
      <c r="F51" s="381"/>
      <c r="G51" s="713"/>
      <c r="H51" s="713"/>
      <c r="I51" s="713"/>
      <c r="J51" s="713"/>
      <c r="K51" s="713"/>
      <c r="L51" s="713"/>
      <c r="M51" s="713"/>
      <c r="N51" s="394" t="s">
        <v>1015</v>
      </c>
      <c r="O51" s="395" t="s">
        <v>1016</v>
      </c>
      <c r="P51" s="395" t="s">
        <v>1017</v>
      </c>
      <c r="Q51" s="395" t="s">
        <v>1010</v>
      </c>
      <c r="R51" s="395" t="s">
        <v>464</v>
      </c>
      <c r="S51" s="395" t="s">
        <v>1011</v>
      </c>
      <c r="T51" s="408">
        <v>1138960.5959999999</v>
      </c>
      <c r="U51" s="408"/>
      <c r="V51" s="408"/>
      <c r="W51" s="408"/>
      <c r="X51" s="408"/>
      <c r="Y51" s="408"/>
      <c r="Z51" s="408">
        <v>949133.83</v>
      </c>
      <c r="AA51" s="408">
        <v>189826.766</v>
      </c>
      <c r="AB51" s="408"/>
      <c r="AC51" s="408"/>
      <c r="AD51" s="408"/>
      <c r="AE51" s="724"/>
    </row>
    <row r="52" spans="1:31" ht="15.75">
      <c r="A52" s="381"/>
      <c r="B52" s="381"/>
      <c r="C52" s="381"/>
      <c r="D52" s="381"/>
      <c r="E52" s="381"/>
      <c r="F52" s="381"/>
      <c r="G52" s="713"/>
      <c r="H52" s="713"/>
      <c r="I52" s="713"/>
      <c r="J52" s="720" t="s">
        <v>951</v>
      </c>
      <c r="K52" s="713"/>
      <c r="L52" s="713"/>
      <c r="M52" s="713"/>
      <c r="N52" s="394" t="s">
        <v>1018</v>
      </c>
      <c r="O52" s="395" t="s">
        <v>1019</v>
      </c>
      <c r="P52" s="395" t="s">
        <v>956</v>
      </c>
      <c r="Q52" s="395" t="s">
        <v>1010</v>
      </c>
      <c r="R52" s="395" t="s">
        <v>464</v>
      </c>
      <c r="S52" s="395" t="s">
        <v>1011</v>
      </c>
      <c r="T52" s="408">
        <v>911168.4</v>
      </c>
      <c r="U52" s="408"/>
      <c r="V52" s="408"/>
      <c r="W52" s="408"/>
      <c r="X52" s="408"/>
      <c r="Y52" s="408"/>
      <c r="Z52" s="408">
        <v>759307</v>
      </c>
      <c r="AA52" s="408">
        <v>151861.4</v>
      </c>
      <c r="AB52" s="408"/>
      <c r="AC52" s="408"/>
      <c r="AD52" s="408"/>
      <c r="AE52" s="724"/>
    </row>
    <row r="53" spans="1:31" ht="15.75">
      <c r="A53" s="381"/>
      <c r="B53" s="381"/>
      <c r="C53" s="381"/>
      <c r="D53" s="381"/>
      <c r="E53" s="381"/>
      <c r="F53" s="381"/>
      <c r="G53" s="713"/>
      <c r="H53" s="713"/>
      <c r="I53" s="713"/>
      <c r="J53" s="713"/>
      <c r="K53" s="713"/>
      <c r="L53" s="713"/>
      <c r="M53" s="713"/>
      <c r="N53" s="394" t="s">
        <v>1020</v>
      </c>
      <c r="O53" s="395" t="s">
        <v>1021</v>
      </c>
      <c r="P53" s="395" t="s">
        <v>1022</v>
      </c>
      <c r="Q53" s="395" t="s">
        <v>1023</v>
      </c>
      <c r="R53" s="395" t="s">
        <v>996</v>
      </c>
      <c r="S53" s="395" t="s">
        <v>1024</v>
      </c>
      <c r="T53" s="408">
        <v>303610.51199999999</v>
      </c>
      <c r="U53" s="408"/>
      <c r="V53" s="408"/>
      <c r="W53" s="408"/>
      <c r="X53" s="408"/>
      <c r="Y53" s="408"/>
      <c r="Z53" s="408">
        <v>253008.76</v>
      </c>
      <c r="AA53" s="408">
        <v>50601.752000000008</v>
      </c>
      <c r="AB53" s="408"/>
      <c r="AC53" s="408"/>
      <c r="AD53" s="408"/>
      <c r="AE53" s="724"/>
    </row>
    <row r="54" spans="1:31" ht="15.75">
      <c r="A54" s="381" t="s">
        <v>793</v>
      </c>
      <c r="B54" s="381"/>
      <c r="C54" s="381"/>
      <c r="D54" s="381"/>
      <c r="E54" s="381"/>
      <c r="F54" s="381"/>
      <c r="G54" s="713"/>
      <c r="H54" s="713"/>
      <c r="I54" s="713"/>
      <c r="J54" s="713"/>
      <c r="K54" s="713"/>
      <c r="L54" s="713"/>
      <c r="M54" s="713"/>
      <c r="N54" s="394" t="s">
        <v>1025</v>
      </c>
      <c r="O54" s="395" t="s">
        <v>1026</v>
      </c>
      <c r="P54" s="395" t="s">
        <v>1014</v>
      </c>
      <c r="Q54" s="395" t="s">
        <v>985</v>
      </c>
      <c r="R54" s="395" t="s">
        <v>784</v>
      </c>
      <c r="S54" s="395" t="s">
        <v>986</v>
      </c>
      <c r="T54" s="408">
        <v>299950.8</v>
      </c>
      <c r="U54" s="408"/>
      <c r="V54" s="408"/>
      <c r="W54" s="408"/>
      <c r="X54" s="408"/>
      <c r="Y54" s="408"/>
      <c r="Z54" s="408">
        <v>249959</v>
      </c>
      <c r="AA54" s="408">
        <v>49991.8</v>
      </c>
      <c r="AB54" s="408"/>
      <c r="AC54" s="408"/>
      <c r="AD54" s="408"/>
      <c r="AE54" s="724"/>
    </row>
    <row r="55" spans="1:31" ht="15.75">
      <c r="A55" s="381" t="s">
        <v>785</v>
      </c>
      <c r="B55" s="381"/>
      <c r="C55" s="381"/>
      <c r="D55" s="381"/>
      <c r="E55" s="381"/>
      <c r="F55" s="381"/>
      <c r="G55" s="713"/>
      <c r="H55" s="713"/>
      <c r="I55" s="713"/>
      <c r="J55" s="713"/>
      <c r="K55" s="713"/>
      <c r="L55" s="713"/>
      <c r="M55" s="713"/>
      <c r="N55" s="394" t="s">
        <v>1008</v>
      </c>
      <c r="O55" s="395" t="s">
        <v>1027</v>
      </c>
      <c r="P55" s="395" t="s">
        <v>1028</v>
      </c>
      <c r="Q55" s="395" t="s">
        <v>998</v>
      </c>
      <c r="R55" s="395" t="s">
        <v>464</v>
      </c>
      <c r="S55" s="395" t="s">
        <v>999</v>
      </c>
      <c r="T55" s="408">
        <v>393276</v>
      </c>
      <c r="U55" s="408"/>
      <c r="V55" s="408"/>
      <c r="W55" s="408"/>
      <c r="X55" s="408"/>
      <c r="Y55" s="408"/>
      <c r="Z55" s="408">
        <v>327730</v>
      </c>
      <c r="AA55" s="408">
        <v>65546</v>
      </c>
      <c r="AB55" s="408"/>
      <c r="AC55" s="408"/>
      <c r="AD55" s="408"/>
      <c r="AE55" s="724"/>
    </row>
    <row r="56" spans="1:31" ht="15.75">
      <c r="A56" s="381" t="s">
        <v>792</v>
      </c>
      <c r="B56"/>
      <c r="C56"/>
      <c r="D56"/>
      <c r="E56"/>
      <c r="F56"/>
      <c r="G56" s="113"/>
      <c r="H56" s="113"/>
      <c r="I56" s="113"/>
      <c r="J56" s="113"/>
      <c r="K56" s="713"/>
      <c r="L56" s="713"/>
      <c r="M56" s="713"/>
      <c r="N56" s="394" t="s">
        <v>1029</v>
      </c>
      <c r="O56" s="395" t="s">
        <v>1030</v>
      </c>
      <c r="P56" s="395" t="s">
        <v>1022</v>
      </c>
      <c r="Q56" s="395" t="s">
        <v>995</v>
      </c>
      <c r="R56" s="395" t="s">
        <v>996</v>
      </c>
      <c r="S56" s="395" t="s">
        <v>997</v>
      </c>
      <c r="T56" s="408">
        <v>279049.2</v>
      </c>
      <c r="U56" s="408"/>
      <c r="V56" s="408"/>
      <c r="W56" s="408"/>
      <c r="X56" s="408"/>
      <c r="Y56" s="408"/>
      <c r="Z56" s="408">
        <v>232541</v>
      </c>
      <c r="AA56" s="408">
        <v>46508.200000000004</v>
      </c>
      <c r="AB56" s="408"/>
      <c r="AC56" s="408"/>
      <c r="AD56" s="408"/>
      <c r="AE56" s="724"/>
    </row>
    <row r="57" spans="1:31" ht="15.75">
      <c r="A57" s="381"/>
      <c r="B57" s="381"/>
      <c r="C57" s="381"/>
      <c r="D57" s="381"/>
      <c r="E57" s="381"/>
      <c r="F57" s="381"/>
      <c r="G57" s="713"/>
      <c r="H57" s="713"/>
      <c r="I57" s="713"/>
      <c r="J57" s="713"/>
      <c r="K57" s="713"/>
      <c r="L57" s="713"/>
      <c r="M57" s="713"/>
      <c r="N57" s="394" t="s">
        <v>1031</v>
      </c>
      <c r="O57" s="395" t="s">
        <v>1032</v>
      </c>
      <c r="P57" s="395" t="s">
        <v>1033</v>
      </c>
      <c r="Q57" s="395" t="s">
        <v>1034</v>
      </c>
      <c r="R57" s="395" t="s">
        <v>784</v>
      </c>
      <c r="S57" s="395" t="s">
        <v>1035</v>
      </c>
      <c r="T57" s="408">
        <v>57120</v>
      </c>
      <c r="U57" s="408"/>
      <c r="V57" s="408"/>
      <c r="W57" s="408"/>
      <c r="X57" s="408"/>
      <c r="Y57" s="408"/>
      <c r="Z57" s="408">
        <v>47600</v>
      </c>
      <c r="AA57" s="408">
        <v>9520</v>
      </c>
      <c r="AB57" s="408"/>
      <c r="AC57" s="408"/>
      <c r="AD57" s="408"/>
      <c r="AE57" s="724"/>
    </row>
    <row r="58" spans="1:31" ht="16.5" customHeight="1" thickBot="1">
      <c r="N58" s="394" t="s">
        <v>1036</v>
      </c>
      <c r="O58" s="395" t="s">
        <v>1037</v>
      </c>
      <c r="P58" s="395" t="s">
        <v>1038</v>
      </c>
      <c r="Q58" s="395" t="s">
        <v>995</v>
      </c>
      <c r="R58" s="395" t="s">
        <v>996</v>
      </c>
      <c r="S58" s="395" t="s">
        <v>997</v>
      </c>
      <c r="T58" s="408">
        <v>294830.40000000002</v>
      </c>
      <c r="U58" s="408"/>
      <c r="V58" s="408"/>
      <c r="W58" s="408"/>
      <c r="X58" s="408"/>
      <c r="Y58" s="408"/>
      <c r="Z58" s="408">
        <v>245692</v>
      </c>
      <c r="AA58" s="408">
        <v>49138.400000000001</v>
      </c>
      <c r="AB58" s="408"/>
      <c r="AC58" s="408"/>
      <c r="AD58" s="408"/>
      <c r="AE58" s="724"/>
    </row>
    <row r="59" spans="1:31" ht="16.5" customHeight="1" thickBot="1">
      <c r="N59" s="1857" t="s">
        <v>757</v>
      </c>
      <c r="O59" s="1858"/>
      <c r="P59" s="1858"/>
      <c r="Q59" s="1858"/>
      <c r="R59" s="1858"/>
      <c r="S59" s="1859"/>
      <c r="T59" s="811">
        <v>6534079.2240000004</v>
      </c>
      <c r="U59" s="811">
        <v>0</v>
      </c>
      <c r="V59" s="811">
        <v>0</v>
      </c>
      <c r="W59" s="811">
        <v>0</v>
      </c>
      <c r="X59" s="811">
        <v>0</v>
      </c>
      <c r="Y59" s="811">
        <v>0</v>
      </c>
      <c r="Z59" s="811">
        <v>5445066.0200000005</v>
      </c>
      <c r="AA59" s="811">
        <v>1089013.2039999999</v>
      </c>
      <c r="AB59" s="811">
        <v>0</v>
      </c>
      <c r="AC59" s="811">
        <v>0</v>
      </c>
      <c r="AD59" s="811">
        <v>0</v>
      </c>
      <c r="AE59" s="811">
        <v>0</v>
      </c>
    </row>
    <row r="60" spans="1:31" ht="16.5" thickBot="1">
      <c r="N60" s="1798" t="s">
        <v>758</v>
      </c>
      <c r="O60" s="1799"/>
      <c r="P60" s="1799"/>
      <c r="Q60" s="1799"/>
      <c r="R60" s="1799"/>
      <c r="S60" s="1799"/>
      <c r="T60" s="1799"/>
      <c r="U60" s="718" t="s">
        <v>765</v>
      </c>
      <c r="V60" s="718" t="s">
        <v>766</v>
      </c>
      <c r="W60" s="718" t="s">
        <v>767</v>
      </c>
      <c r="X60" s="718" t="s">
        <v>768</v>
      </c>
      <c r="Y60" s="718" t="s">
        <v>769</v>
      </c>
      <c r="Z60" s="718" t="s">
        <v>786</v>
      </c>
      <c r="AA60" s="718" t="s">
        <v>787</v>
      </c>
      <c r="AB60" s="718" t="s">
        <v>788</v>
      </c>
      <c r="AC60" s="718" t="s">
        <v>789</v>
      </c>
      <c r="AD60" s="718" t="s">
        <v>790</v>
      </c>
      <c r="AE60" s="764" t="s">
        <v>791</v>
      </c>
    </row>
    <row r="61" spans="1:31" ht="15.75">
      <c r="N61" s="381"/>
      <c r="O61" s="381"/>
      <c r="P61" s="381"/>
      <c r="Q61" s="381"/>
      <c r="R61" s="381"/>
      <c r="S61" s="381"/>
      <c r="T61" s="713"/>
      <c r="U61" s="713"/>
      <c r="V61" s="713"/>
      <c r="W61" s="713"/>
      <c r="X61" s="713"/>
      <c r="Y61" s="713"/>
      <c r="Z61" s="713"/>
      <c r="AA61" s="713"/>
      <c r="AB61" s="713"/>
      <c r="AC61" s="713"/>
      <c r="AD61" s="713"/>
      <c r="AE61" s="713"/>
    </row>
    <row r="62" spans="1:31" ht="15.75">
      <c r="N62" s="381"/>
      <c r="O62" s="381"/>
      <c r="P62" s="381"/>
      <c r="Q62" s="381"/>
      <c r="R62" s="381"/>
      <c r="S62" s="381"/>
      <c r="T62" s="713"/>
      <c r="U62" s="713"/>
      <c r="V62" s="713"/>
      <c r="W62" s="713"/>
      <c r="X62" s="713"/>
      <c r="Y62" s="713"/>
      <c r="Z62" s="713"/>
      <c r="AA62" s="713"/>
      <c r="AB62" s="713"/>
      <c r="AC62" s="713"/>
      <c r="AD62" s="713"/>
      <c r="AE62" s="713"/>
    </row>
    <row r="63" spans="1:31" ht="15.75">
      <c r="N63" s="381"/>
      <c r="O63" s="381"/>
      <c r="P63" s="381"/>
      <c r="Q63" s="381"/>
      <c r="R63" s="381"/>
      <c r="S63" s="381"/>
      <c r="T63" s="713"/>
      <c r="U63" s="713"/>
      <c r="V63" s="713"/>
      <c r="W63" s="713"/>
      <c r="X63" s="713"/>
      <c r="Y63" s="713"/>
      <c r="Z63" s="713"/>
      <c r="AA63" s="713"/>
      <c r="AB63" s="713"/>
      <c r="AC63" s="713"/>
      <c r="AD63" s="720" t="s">
        <v>952</v>
      </c>
      <c r="AE63" s="713"/>
    </row>
    <row r="64" spans="1:31" ht="15.75">
      <c r="N64" s="381"/>
      <c r="O64" s="381"/>
      <c r="P64" s="381"/>
      <c r="Q64" s="381"/>
      <c r="R64" s="381"/>
      <c r="S64" s="381"/>
      <c r="T64" s="713"/>
      <c r="U64" s="713"/>
      <c r="V64" s="713"/>
      <c r="W64" s="713"/>
      <c r="X64" s="713"/>
      <c r="Y64" s="713"/>
      <c r="Z64" s="713"/>
      <c r="AA64" s="713"/>
      <c r="AB64" s="713"/>
      <c r="AC64" s="713"/>
      <c r="AD64" s="720"/>
      <c r="AE64" s="713"/>
    </row>
    <row r="65" spans="1:31" ht="15.75">
      <c r="N65" s="381" t="s">
        <v>793</v>
      </c>
      <c r="O65" s="381"/>
      <c r="P65" s="381"/>
      <c r="Q65" s="381"/>
      <c r="R65" s="381"/>
      <c r="S65" s="381"/>
      <c r="T65" s="713"/>
      <c r="U65" s="713"/>
      <c r="V65" s="713"/>
      <c r="W65" s="713"/>
      <c r="X65" s="713"/>
      <c r="Y65" s="713"/>
      <c r="Z65" s="713"/>
      <c r="AA65" s="713"/>
      <c r="AB65" s="713"/>
      <c r="AC65" s="713"/>
      <c r="AD65" s="713"/>
      <c r="AE65" s="713"/>
    </row>
    <row r="66" spans="1:31" ht="15.75">
      <c r="N66" s="381" t="s">
        <v>785</v>
      </c>
      <c r="O66" s="381"/>
      <c r="P66" s="381"/>
      <c r="Q66" s="381"/>
      <c r="R66" s="381"/>
      <c r="S66" s="381"/>
      <c r="T66" s="713"/>
      <c r="U66" s="713"/>
      <c r="V66" s="713"/>
      <c r="W66" s="713"/>
      <c r="X66" s="713"/>
      <c r="Y66" s="713"/>
      <c r="Z66" s="713"/>
      <c r="AA66" s="713"/>
      <c r="AB66" s="713"/>
      <c r="AC66" s="713"/>
      <c r="AD66" s="713"/>
      <c r="AE66" s="713"/>
    </row>
    <row r="67" spans="1:31" ht="32.25" customHeight="1">
      <c r="N67" s="381"/>
      <c r="O67" s="381"/>
      <c r="P67" s="381"/>
      <c r="Q67" s="381"/>
      <c r="R67" s="381"/>
      <c r="S67" s="381"/>
      <c r="T67" s="713"/>
      <c r="U67" s="713"/>
      <c r="V67" s="713"/>
      <c r="W67" s="713"/>
      <c r="X67" s="713"/>
      <c r="Y67" s="713"/>
      <c r="Z67" s="713"/>
      <c r="AA67" s="713"/>
      <c r="AB67" s="713"/>
      <c r="AC67" s="713"/>
      <c r="AD67" s="713"/>
      <c r="AE67" s="713"/>
    </row>
    <row r="68" spans="1:31" ht="32.25" customHeight="1">
      <c r="N68" s="381"/>
      <c r="O68" s="381"/>
      <c r="P68" s="381"/>
      <c r="Q68" s="381"/>
      <c r="R68" s="381"/>
      <c r="S68" s="381"/>
      <c r="T68" s="713"/>
      <c r="U68" s="713"/>
      <c r="V68" s="713"/>
      <c r="W68" s="713"/>
      <c r="X68" s="713"/>
      <c r="Y68" s="713"/>
      <c r="Z68" s="713"/>
      <c r="AA68" s="713"/>
      <c r="AB68" s="713"/>
      <c r="AC68" s="713"/>
      <c r="AD68" s="713"/>
      <c r="AE68" s="713"/>
    </row>
    <row r="69" spans="1:31" ht="19.5">
      <c r="A69" s="380" t="s">
        <v>727</v>
      </c>
      <c r="B69" s="381"/>
      <c r="C69" s="381"/>
      <c r="D69" s="381"/>
      <c r="E69" s="381"/>
      <c r="F69" s="381"/>
      <c r="G69" s="713"/>
      <c r="H69" s="713"/>
      <c r="I69" s="713"/>
      <c r="J69" s="713"/>
      <c r="K69" s="713"/>
      <c r="L69" s="713"/>
      <c r="M69" s="713"/>
      <c r="N69" s="380" t="s">
        <v>728</v>
      </c>
      <c r="O69" s="381"/>
      <c r="P69" s="381"/>
      <c r="Q69" s="381"/>
      <c r="R69" s="381"/>
      <c r="S69" s="381"/>
      <c r="T69" s="713"/>
      <c r="U69" s="713"/>
      <c r="V69" s="713"/>
      <c r="W69" s="713"/>
      <c r="X69" s="713"/>
      <c r="Y69" s="713"/>
      <c r="Z69" s="713"/>
      <c r="AA69" s="713"/>
      <c r="AB69" s="713"/>
      <c r="AC69" s="713"/>
      <c r="AD69" s="713"/>
      <c r="AE69" s="713"/>
    </row>
    <row r="70" spans="1:31" ht="15.75">
      <c r="A70" s="383" t="s">
        <v>729</v>
      </c>
      <c r="B70" s="383"/>
      <c r="C70" s="777" t="s">
        <v>973</v>
      </c>
      <c r="D70" s="381"/>
      <c r="E70" s="381"/>
      <c r="F70" s="381"/>
      <c r="G70" s="713"/>
      <c r="H70" s="713"/>
      <c r="I70" s="713"/>
      <c r="J70" s="713"/>
      <c r="K70" s="713"/>
      <c r="L70" s="713"/>
      <c r="M70" s="713"/>
      <c r="N70" s="383" t="s">
        <v>729</v>
      </c>
      <c r="O70" s="383"/>
      <c r="P70" s="777" t="s">
        <v>973</v>
      </c>
      <c r="Q70" s="381"/>
      <c r="R70" s="381"/>
      <c r="S70" s="381"/>
      <c r="T70" s="713"/>
      <c r="U70" s="713"/>
      <c r="V70" s="713"/>
      <c r="W70" s="713"/>
      <c r="X70" s="713"/>
      <c r="Y70" s="713"/>
      <c r="Z70" s="713"/>
      <c r="AA70" s="713"/>
      <c r="AB70" s="713"/>
      <c r="AC70" s="713"/>
      <c r="AD70" s="713"/>
      <c r="AE70" s="713"/>
    </row>
    <row r="71" spans="1:31" ht="15.75">
      <c r="A71" s="383" t="s">
        <v>401</v>
      </c>
      <c r="B71" s="383"/>
      <c r="C71" s="777" t="s">
        <v>974</v>
      </c>
      <c r="D71" s="381"/>
      <c r="E71" s="381"/>
      <c r="F71" s="381"/>
      <c r="G71" s="713"/>
      <c r="H71" s="713"/>
      <c r="I71" s="713"/>
      <c r="J71" s="713"/>
      <c r="K71" s="713"/>
      <c r="L71" s="713"/>
      <c r="M71" s="713"/>
      <c r="N71" s="383" t="s">
        <v>401</v>
      </c>
      <c r="O71" s="383"/>
      <c r="P71" s="777" t="s">
        <v>974</v>
      </c>
      <c r="Q71" s="381"/>
      <c r="R71" s="381"/>
      <c r="S71" s="381"/>
      <c r="T71" s="713"/>
      <c r="U71" s="713"/>
      <c r="V71" s="713"/>
      <c r="W71" s="713"/>
      <c r="X71" s="713"/>
      <c r="Y71" s="713"/>
      <c r="Z71" s="713"/>
      <c r="AA71" s="713"/>
      <c r="AB71" s="713"/>
      <c r="AC71" s="713"/>
      <c r="AD71" s="713"/>
      <c r="AE71" s="713"/>
    </row>
    <row r="72" spans="1:31" ht="15.75">
      <c r="A72" s="383" t="s">
        <v>730</v>
      </c>
      <c r="B72" s="383"/>
      <c r="C72" s="384" t="s">
        <v>731</v>
      </c>
      <c r="D72" s="381"/>
      <c r="E72" s="381"/>
      <c r="F72" s="381"/>
      <c r="G72" s="713"/>
      <c r="H72" s="713"/>
      <c r="I72" s="713"/>
      <c r="J72" s="713"/>
      <c r="K72" s="713"/>
      <c r="L72" s="713"/>
      <c r="M72" s="713"/>
      <c r="N72" s="383" t="s">
        <v>730</v>
      </c>
      <c r="O72" s="383"/>
      <c r="P72" s="384" t="s">
        <v>731</v>
      </c>
      <c r="Q72" s="381"/>
      <c r="R72" s="381"/>
      <c r="S72" s="381"/>
      <c r="T72" s="713"/>
      <c r="U72" s="713"/>
      <c r="V72" s="713"/>
      <c r="W72" s="713"/>
      <c r="X72" s="713"/>
      <c r="Y72" s="713"/>
      <c r="Z72" s="713"/>
      <c r="AA72" s="713"/>
      <c r="AB72" s="713"/>
      <c r="AC72" s="713"/>
      <c r="AD72" s="713"/>
      <c r="AE72" s="713"/>
    </row>
    <row r="73" spans="1:31" ht="16.5" customHeight="1">
      <c r="A73" s="383" t="s">
        <v>169</v>
      </c>
      <c r="B73" s="383"/>
      <c r="C73" s="384" t="s">
        <v>794</v>
      </c>
      <c r="D73" s="381"/>
      <c r="E73" s="381"/>
      <c r="F73" s="381"/>
      <c r="G73" s="713"/>
      <c r="H73" s="713"/>
      <c r="I73" s="713"/>
      <c r="J73" s="713"/>
      <c r="K73" s="713"/>
      <c r="L73" s="713"/>
      <c r="M73" s="713"/>
      <c r="N73" s="383" t="s">
        <v>169</v>
      </c>
      <c r="O73" s="383"/>
      <c r="P73" s="384" t="s">
        <v>794</v>
      </c>
      <c r="Q73" s="381"/>
      <c r="R73" s="381"/>
      <c r="S73" s="381"/>
      <c r="T73" s="713"/>
      <c r="U73" s="713"/>
      <c r="V73" s="713"/>
      <c r="W73" s="713"/>
      <c r="X73" s="713"/>
      <c r="Y73" s="713"/>
      <c r="Z73" s="713"/>
      <c r="AA73" s="713"/>
      <c r="AB73" s="713"/>
      <c r="AC73" s="713"/>
      <c r="AD73" s="713"/>
      <c r="AE73" s="713"/>
    </row>
    <row r="74" spans="1:31" ht="16.5" customHeight="1" thickBot="1">
      <c r="A74" s="383"/>
      <c r="B74" s="383"/>
      <c r="C74" s="381"/>
      <c r="D74" s="381"/>
      <c r="E74" s="381"/>
      <c r="F74" s="381"/>
      <c r="G74" s="713"/>
      <c r="H74" s="713"/>
      <c r="I74" s="713"/>
      <c r="J74" s="713"/>
      <c r="K74" s="713"/>
      <c r="L74" s="713"/>
      <c r="M74" s="713"/>
      <c r="N74" s="383"/>
      <c r="O74" s="383"/>
      <c r="P74" s="381"/>
      <c r="Q74" s="381"/>
      <c r="R74" s="381"/>
      <c r="S74" s="381"/>
      <c r="T74" s="713"/>
      <c r="U74" s="713"/>
      <c r="V74" s="713"/>
      <c r="W74" s="713"/>
      <c r="X74" s="713"/>
      <c r="Y74" s="713"/>
      <c r="Z74" s="713"/>
      <c r="AA74" s="713"/>
      <c r="AB74" s="713"/>
      <c r="AC74" s="713"/>
      <c r="AD74" s="713"/>
      <c r="AE74" s="713"/>
    </row>
    <row r="75" spans="1:31" ht="16.5" thickBot="1">
      <c r="A75" s="381" t="s">
        <v>733</v>
      </c>
      <c r="B75" s="385"/>
      <c r="C75" s="381" t="s">
        <v>771</v>
      </c>
      <c r="D75" s="381"/>
      <c r="E75" s="381"/>
      <c r="F75" s="381"/>
      <c r="G75" s="713"/>
      <c r="H75" s="713"/>
      <c r="I75" s="713"/>
      <c r="J75" s="713"/>
      <c r="K75" s="713"/>
      <c r="L75" s="713"/>
      <c r="M75" s="713"/>
      <c r="N75" s="381" t="s">
        <v>733</v>
      </c>
      <c r="O75" s="385"/>
      <c r="P75" s="381" t="s">
        <v>771</v>
      </c>
      <c r="Q75" s="381"/>
      <c r="R75" s="381"/>
      <c r="S75" s="381"/>
      <c r="T75" s="713"/>
      <c r="U75" s="713"/>
      <c r="V75" s="713"/>
      <c r="W75" s="713"/>
      <c r="X75" s="713"/>
      <c r="Y75" s="713"/>
      <c r="Z75" s="713"/>
      <c r="AA75" s="713"/>
      <c r="AB75" s="713"/>
      <c r="AC75" s="713"/>
      <c r="AD75" s="713"/>
      <c r="AE75" s="713"/>
    </row>
    <row r="76" spans="1:31" ht="16.5" thickBot="1">
      <c r="A76" s="381"/>
      <c r="B76" s="381"/>
      <c r="C76" s="381"/>
      <c r="D76" s="381"/>
      <c r="E76" s="381"/>
      <c r="F76" s="381"/>
      <c r="G76" s="713"/>
      <c r="H76" s="713"/>
      <c r="I76" s="713"/>
      <c r="J76" s="713"/>
      <c r="K76" s="713"/>
      <c r="L76" s="713"/>
      <c r="M76" s="713"/>
      <c r="N76" s="381"/>
      <c r="O76" s="381"/>
      <c r="P76" s="383"/>
      <c r="Q76" s="381"/>
      <c r="R76" s="381"/>
      <c r="S76" s="381"/>
      <c r="T76" s="713"/>
      <c r="U76" s="713"/>
      <c r="V76" s="713"/>
      <c r="W76" s="713"/>
      <c r="X76" s="713"/>
      <c r="Y76" s="713"/>
      <c r="Z76" s="713"/>
      <c r="AA76" s="713"/>
      <c r="AB76" s="713"/>
      <c r="AC76" s="713"/>
      <c r="AD76" s="713"/>
      <c r="AE76" s="713"/>
    </row>
    <row r="77" spans="1:31" ht="16.5" thickBot="1">
      <c r="A77" s="1813" t="s">
        <v>734</v>
      </c>
      <c r="B77" s="1814"/>
      <c r="C77" s="1815"/>
      <c r="D77" s="1813" t="s">
        <v>735</v>
      </c>
      <c r="E77" s="1814"/>
      <c r="F77" s="1815"/>
      <c r="G77" s="1834" t="s">
        <v>736</v>
      </c>
      <c r="H77" s="1834" t="s">
        <v>737</v>
      </c>
      <c r="I77" s="1834" t="s">
        <v>738</v>
      </c>
      <c r="J77" s="1837" t="s">
        <v>772</v>
      </c>
      <c r="K77" s="1840"/>
      <c r="L77" s="1837" t="s">
        <v>773</v>
      </c>
      <c r="M77" s="1840"/>
      <c r="N77" s="1800" t="s">
        <v>734</v>
      </c>
      <c r="O77" s="1801"/>
      <c r="P77" s="1802"/>
      <c r="Q77" s="1800" t="s">
        <v>739</v>
      </c>
      <c r="R77" s="1801"/>
      <c r="S77" s="1802"/>
      <c r="T77" s="1834" t="s">
        <v>740</v>
      </c>
      <c r="U77" s="1824" t="s">
        <v>741</v>
      </c>
      <c r="V77" s="1825"/>
      <c r="W77" s="1825"/>
      <c r="X77" s="1825"/>
      <c r="Y77" s="1825"/>
      <c r="Z77" s="1825"/>
      <c r="AA77" s="1825"/>
      <c r="AB77" s="1825"/>
      <c r="AC77" s="1825"/>
      <c r="AD77" s="1825"/>
      <c r="AE77" s="1826"/>
    </row>
    <row r="78" spans="1:31" ht="16.5" thickBot="1">
      <c r="A78" s="1816"/>
      <c r="B78" s="1817"/>
      <c r="C78" s="1818"/>
      <c r="D78" s="1816"/>
      <c r="E78" s="1817"/>
      <c r="F78" s="1818"/>
      <c r="G78" s="1835"/>
      <c r="H78" s="1835"/>
      <c r="I78" s="1835"/>
      <c r="J78" s="1839"/>
      <c r="K78" s="1841"/>
      <c r="L78" s="1839"/>
      <c r="M78" s="1841"/>
      <c r="N78" s="1809" t="s">
        <v>742</v>
      </c>
      <c r="O78" s="1809" t="s">
        <v>743</v>
      </c>
      <c r="P78" s="1809" t="s">
        <v>744</v>
      </c>
      <c r="Q78" s="1809" t="s">
        <v>745</v>
      </c>
      <c r="R78" s="1809" t="s">
        <v>746</v>
      </c>
      <c r="S78" s="1809" t="s">
        <v>747</v>
      </c>
      <c r="T78" s="1835"/>
      <c r="U78" s="1834" t="s">
        <v>748</v>
      </c>
      <c r="V78" s="1824" t="s">
        <v>774</v>
      </c>
      <c r="W78" s="1842"/>
      <c r="X78" s="1824" t="s">
        <v>775</v>
      </c>
      <c r="Y78" s="1842"/>
      <c r="Z78" s="1824" t="s">
        <v>776</v>
      </c>
      <c r="AA78" s="1826"/>
      <c r="AB78" s="1824" t="s">
        <v>777</v>
      </c>
      <c r="AC78" s="1826"/>
      <c r="AD78" s="1824" t="s">
        <v>749</v>
      </c>
      <c r="AE78" s="1826"/>
    </row>
    <row r="79" spans="1:31" ht="79.5" thickBot="1">
      <c r="A79" s="386" t="s">
        <v>742</v>
      </c>
      <c r="B79" s="387" t="s">
        <v>743</v>
      </c>
      <c r="C79" s="388" t="s">
        <v>744</v>
      </c>
      <c r="D79" s="771" t="s">
        <v>750</v>
      </c>
      <c r="E79" s="770" t="s">
        <v>746</v>
      </c>
      <c r="F79" s="389" t="s">
        <v>394</v>
      </c>
      <c r="G79" s="1836"/>
      <c r="H79" s="1836"/>
      <c r="I79" s="1836"/>
      <c r="J79" s="760" t="s">
        <v>751</v>
      </c>
      <c r="K79" s="768" t="s">
        <v>752</v>
      </c>
      <c r="L79" s="760" t="s">
        <v>751</v>
      </c>
      <c r="M79" s="768" t="s">
        <v>752</v>
      </c>
      <c r="N79" s="1810"/>
      <c r="O79" s="1810"/>
      <c r="P79" s="1810"/>
      <c r="Q79" s="1810"/>
      <c r="R79" s="1810"/>
      <c r="S79" s="1810"/>
      <c r="T79" s="1836"/>
      <c r="U79" s="1836"/>
      <c r="V79" s="769" t="s">
        <v>751</v>
      </c>
      <c r="W79" s="767" t="s">
        <v>752</v>
      </c>
      <c r="X79" s="769" t="s">
        <v>751</v>
      </c>
      <c r="Y79" s="767" t="s">
        <v>752</v>
      </c>
      <c r="Z79" s="768" t="s">
        <v>753</v>
      </c>
      <c r="AA79" s="768" t="s">
        <v>754</v>
      </c>
      <c r="AB79" s="768" t="s">
        <v>753</v>
      </c>
      <c r="AC79" s="768" t="s">
        <v>754</v>
      </c>
      <c r="AD79" s="768" t="s">
        <v>753</v>
      </c>
      <c r="AE79" s="768" t="s">
        <v>754</v>
      </c>
    </row>
    <row r="80" spans="1:31" ht="43.5" thickBot="1">
      <c r="A80" s="390" t="s">
        <v>499</v>
      </c>
      <c r="B80" s="391" t="s">
        <v>500</v>
      </c>
      <c r="C80" s="391" t="s">
        <v>538</v>
      </c>
      <c r="D80" s="391" t="s">
        <v>560</v>
      </c>
      <c r="E80" s="391" t="s">
        <v>562</v>
      </c>
      <c r="F80" s="391" t="s">
        <v>574</v>
      </c>
      <c r="G80" s="761" t="s">
        <v>778</v>
      </c>
      <c r="H80" s="761" t="s">
        <v>578</v>
      </c>
      <c r="I80" s="762" t="s">
        <v>580</v>
      </c>
      <c r="J80" s="761" t="s">
        <v>582</v>
      </c>
      <c r="K80" s="763" t="s">
        <v>584</v>
      </c>
      <c r="L80" s="761" t="s">
        <v>586</v>
      </c>
      <c r="M80" s="763" t="s">
        <v>590</v>
      </c>
      <c r="N80" s="401" t="s">
        <v>499</v>
      </c>
      <c r="O80" s="402" t="s">
        <v>500</v>
      </c>
      <c r="P80" s="402" t="s">
        <v>538</v>
      </c>
      <c r="Q80" s="402" t="s">
        <v>560</v>
      </c>
      <c r="R80" s="402" t="s">
        <v>562</v>
      </c>
      <c r="S80" s="402" t="s">
        <v>574</v>
      </c>
      <c r="T80" s="765" t="s">
        <v>779</v>
      </c>
      <c r="U80" s="766" t="s">
        <v>578</v>
      </c>
      <c r="V80" s="766" t="s">
        <v>580</v>
      </c>
      <c r="W80" s="766" t="s">
        <v>582</v>
      </c>
      <c r="X80" s="766" t="s">
        <v>584</v>
      </c>
      <c r="Y80" s="766" t="s">
        <v>586</v>
      </c>
      <c r="Z80" s="766" t="s">
        <v>590</v>
      </c>
      <c r="AA80" s="766" t="s">
        <v>755</v>
      </c>
      <c r="AB80" s="766" t="s">
        <v>780</v>
      </c>
      <c r="AC80" s="766" t="s">
        <v>781</v>
      </c>
      <c r="AD80" s="766" t="s">
        <v>782</v>
      </c>
      <c r="AE80" s="810" t="s">
        <v>783</v>
      </c>
    </row>
    <row r="81" spans="1:31" ht="16.5" thickBot="1">
      <c r="A81" s="394" t="s">
        <v>971</v>
      </c>
      <c r="B81" s="395" t="s">
        <v>1039</v>
      </c>
      <c r="C81" s="395" t="s">
        <v>957</v>
      </c>
      <c r="D81" s="395" t="s">
        <v>1003</v>
      </c>
      <c r="E81" s="395" t="s">
        <v>464</v>
      </c>
      <c r="F81" s="395" t="s">
        <v>974</v>
      </c>
      <c r="G81" s="408">
        <f>+K81+J81</f>
        <v>7214299.2000000002</v>
      </c>
      <c r="H81" s="408"/>
      <c r="I81" s="408"/>
      <c r="J81" s="408">
        <v>6011916</v>
      </c>
      <c r="K81" s="724">
        <f>+J81*0.2</f>
        <v>1202383.2</v>
      </c>
      <c r="L81" s="408"/>
      <c r="M81" s="724"/>
      <c r="N81" s="394" t="s">
        <v>1040</v>
      </c>
      <c r="O81" s="395" t="s">
        <v>1041</v>
      </c>
      <c r="P81" s="395" t="s">
        <v>1042</v>
      </c>
      <c r="Q81" s="395" t="s">
        <v>983</v>
      </c>
      <c r="R81" s="395" t="s">
        <v>464</v>
      </c>
      <c r="S81" s="395" t="s">
        <v>984</v>
      </c>
      <c r="T81" s="408">
        <f>+AA81+Z81</f>
        <v>192000</v>
      </c>
      <c r="U81" s="408"/>
      <c r="V81" s="408"/>
      <c r="W81" s="408"/>
      <c r="X81" s="408"/>
      <c r="Y81" s="408"/>
      <c r="Z81" s="408">
        <v>160000</v>
      </c>
      <c r="AA81" s="408">
        <f>+Z81*0.2</f>
        <v>32000</v>
      </c>
      <c r="AB81" s="408"/>
      <c r="AC81" s="408"/>
      <c r="AD81" s="408"/>
      <c r="AE81" s="724"/>
    </row>
    <row r="82" spans="1:31" ht="16.5" thickBot="1">
      <c r="A82" s="1795" t="s">
        <v>757</v>
      </c>
      <c r="B82" s="1796"/>
      <c r="C82" s="1796"/>
      <c r="D82" s="1796"/>
      <c r="E82" s="1796"/>
      <c r="F82" s="1797"/>
      <c r="G82" s="911">
        <f>SUM(G81)</f>
        <v>7214299.2000000002</v>
      </c>
      <c r="H82" s="911">
        <f t="shared" ref="H82:M82" si="32">SUM(H81)</f>
        <v>0</v>
      </c>
      <c r="I82" s="911">
        <f t="shared" si="32"/>
        <v>0</v>
      </c>
      <c r="J82" s="911">
        <f t="shared" si="32"/>
        <v>6011916</v>
      </c>
      <c r="K82" s="911">
        <f t="shared" si="32"/>
        <v>1202383.2</v>
      </c>
      <c r="L82" s="911">
        <f t="shared" si="32"/>
        <v>0</v>
      </c>
      <c r="M82" s="911">
        <f t="shared" si="32"/>
        <v>0</v>
      </c>
      <c r="N82" s="394" t="s">
        <v>1043</v>
      </c>
      <c r="O82" s="395" t="s">
        <v>1044</v>
      </c>
      <c r="P82" s="395" t="s">
        <v>1045</v>
      </c>
      <c r="Q82" s="395" t="s">
        <v>1046</v>
      </c>
      <c r="R82" s="395" t="s">
        <v>464</v>
      </c>
      <c r="S82" s="395" t="s">
        <v>1047</v>
      </c>
      <c r="T82" s="408">
        <f t="shared" ref="T82:T91" si="33">+AA82+Z82</f>
        <v>1706942.4</v>
      </c>
      <c r="U82" s="408"/>
      <c r="V82" s="408"/>
      <c r="W82" s="408"/>
      <c r="X82" s="408"/>
      <c r="Y82" s="408"/>
      <c r="Z82" s="408">
        <v>1422452</v>
      </c>
      <c r="AA82" s="408">
        <f t="shared" ref="AA82:AA91" si="34">+Z82*0.2</f>
        <v>284490.40000000002</v>
      </c>
      <c r="AB82" s="408"/>
      <c r="AC82" s="408"/>
      <c r="AD82" s="408"/>
      <c r="AE82" s="724"/>
    </row>
    <row r="83" spans="1:31" ht="16.5" thickBot="1">
      <c r="A83" s="1798" t="s">
        <v>758</v>
      </c>
      <c r="B83" s="1799"/>
      <c r="C83" s="1799"/>
      <c r="D83" s="1799"/>
      <c r="E83" s="1799"/>
      <c r="F83" s="1799"/>
      <c r="G83" s="1799"/>
      <c r="H83" s="718" t="s">
        <v>759</v>
      </c>
      <c r="I83" s="719" t="s">
        <v>760</v>
      </c>
      <c r="J83" s="718" t="s">
        <v>761</v>
      </c>
      <c r="K83" s="764" t="s">
        <v>762</v>
      </c>
      <c r="L83" s="718" t="s">
        <v>763</v>
      </c>
      <c r="M83" s="764" t="s">
        <v>764</v>
      </c>
      <c r="N83" s="394" t="s">
        <v>1048</v>
      </c>
      <c r="O83" s="395" t="s">
        <v>1049</v>
      </c>
      <c r="P83" s="395" t="s">
        <v>1050</v>
      </c>
      <c r="Q83" s="395" t="s">
        <v>1046</v>
      </c>
      <c r="R83" s="395" t="s">
        <v>464</v>
      </c>
      <c r="S83" s="395" t="s">
        <v>1047</v>
      </c>
      <c r="T83" s="408">
        <f t="shared" si="33"/>
        <v>2001936</v>
      </c>
      <c r="U83" s="408"/>
      <c r="V83" s="408"/>
      <c r="W83" s="408"/>
      <c r="X83" s="408"/>
      <c r="Y83" s="408"/>
      <c r="Z83" s="408">
        <v>1668280</v>
      </c>
      <c r="AA83" s="408">
        <f t="shared" si="34"/>
        <v>333656</v>
      </c>
      <c r="AB83" s="408"/>
      <c r="AC83" s="408"/>
      <c r="AD83" s="408"/>
      <c r="AE83" s="724"/>
    </row>
    <row r="84" spans="1:31" ht="15.75">
      <c r="A84" s="381"/>
      <c r="B84" s="381"/>
      <c r="C84" s="381"/>
      <c r="D84" s="381"/>
      <c r="E84" s="381"/>
      <c r="F84" s="381"/>
      <c r="G84" s="713"/>
      <c r="H84" s="713"/>
      <c r="I84" s="713"/>
      <c r="J84" s="713"/>
      <c r="K84" s="713"/>
      <c r="L84" s="713"/>
      <c r="M84" s="713"/>
      <c r="N84" s="394" t="s">
        <v>1051</v>
      </c>
      <c r="O84" s="395" t="s">
        <v>1052</v>
      </c>
      <c r="P84" s="395" t="s">
        <v>958</v>
      </c>
      <c r="Q84" s="395" t="s">
        <v>995</v>
      </c>
      <c r="R84" s="395" t="s">
        <v>996</v>
      </c>
      <c r="S84" s="395" t="s">
        <v>997</v>
      </c>
      <c r="T84" s="408">
        <f t="shared" si="33"/>
        <v>295497.24</v>
      </c>
      <c r="U84" s="408"/>
      <c r="V84" s="408"/>
      <c r="W84" s="408"/>
      <c r="X84" s="408"/>
      <c r="Y84" s="408"/>
      <c r="Z84" s="408">
        <v>246247.7</v>
      </c>
      <c r="AA84" s="408">
        <f t="shared" si="34"/>
        <v>49249.540000000008</v>
      </c>
      <c r="AB84" s="408"/>
      <c r="AC84" s="408"/>
      <c r="AD84" s="408"/>
      <c r="AE84" s="724"/>
    </row>
    <row r="85" spans="1:31" ht="15.75">
      <c r="A85" s="381"/>
      <c r="B85" s="381"/>
      <c r="C85" s="381"/>
      <c r="D85" s="381"/>
      <c r="E85" s="381"/>
      <c r="F85" s="381"/>
      <c r="G85" s="713"/>
      <c r="H85" s="713"/>
      <c r="I85" s="713"/>
      <c r="J85" s="713"/>
      <c r="K85" s="713"/>
      <c r="L85" s="713"/>
      <c r="M85" s="713"/>
      <c r="N85" s="394" t="s">
        <v>1053</v>
      </c>
      <c r="O85" s="395" t="s">
        <v>1054</v>
      </c>
      <c r="P85" s="395" t="s">
        <v>1055</v>
      </c>
      <c r="Q85" s="395" t="s">
        <v>985</v>
      </c>
      <c r="R85" s="395" t="s">
        <v>784</v>
      </c>
      <c r="S85" s="395" t="s">
        <v>986</v>
      </c>
      <c r="T85" s="408">
        <f t="shared" si="33"/>
        <v>299007.59999999998</v>
      </c>
      <c r="U85" s="408"/>
      <c r="V85" s="408"/>
      <c r="W85" s="408"/>
      <c r="X85" s="408"/>
      <c r="Y85" s="408"/>
      <c r="Z85" s="408">
        <v>249173</v>
      </c>
      <c r="AA85" s="408">
        <f t="shared" si="34"/>
        <v>49834.600000000006</v>
      </c>
      <c r="AB85" s="408"/>
      <c r="AC85" s="408"/>
      <c r="AD85" s="408"/>
      <c r="AE85" s="724"/>
    </row>
    <row r="86" spans="1:31" ht="15.75">
      <c r="N86" s="394" t="s">
        <v>1056</v>
      </c>
      <c r="O86" s="395" t="s">
        <v>1057</v>
      </c>
      <c r="P86" s="395" t="s">
        <v>1058</v>
      </c>
      <c r="Q86" s="395" t="s">
        <v>1000</v>
      </c>
      <c r="R86" s="395" t="s">
        <v>996</v>
      </c>
      <c r="S86" s="395" t="s">
        <v>1001</v>
      </c>
      <c r="T86" s="408">
        <f t="shared" si="33"/>
        <v>200559.6</v>
      </c>
      <c r="U86" s="408"/>
      <c r="V86" s="408"/>
      <c r="W86" s="408"/>
      <c r="X86" s="408"/>
      <c r="Y86" s="408"/>
      <c r="Z86" s="408">
        <v>167133</v>
      </c>
      <c r="AA86" s="408">
        <f t="shared" si="34"/>
        <v>33426.6</v>
      </c>
      <c r="AB86" s="408"/>
      <c r="AC86" s="408"/>
      <c r="AD86" s="408"/>
      <c r="AE86" s="724"/>
    </row>
    <row r="87" spans="1:31" ht="15.75">
      <c r="N87" s="394" t="s">
        <v>1059</v>
      </c>
      <c r="O87" s="395" t="s">
        <v>1060</v>
      </c>
      <c r="P87" s="395" t="s">
        <v>1061</v>
      </c>
      <c r="Q87" s="395" t="s">
        <v>1062</v>
      </c>
      <c r="R87" s="395" t="s">
        <v>996</v>
      </c>
      <c r="S87" s="395" t="s">
        <v>1063</v>
      </c>
      <c r="T87" s="408">
        <f t="shared" si="33"/>
        <v>709500</v>
      </c>
      <c r="U87" s="408"/>
      <c r="V87" s="408"/>
      <c r="W87" s="408"/>
      <c r="X87" s="408"/>
      <c r="Y87" s="408"/>
      <c r="Z87" s="408">
        <v>591250</v>
      </c>
      <c r="AA87" s="408">
        <f t="shared" si="34"/>
        <v>118250</v>
      </c>
      <c r="AB87" s="408"/>
      <c r="AC87" s="408"/>
      <c r="AD87" s="408"/>
      <c r="AE87" s="724"/>
    </row>
    <row r="88" spans="1:31" ht="15.75">
      <c r="N88" s="394" t="s">
        <v>1064</v>
      </c>
      <c r="O88" s="395" t="s">
        <v>1065</v>
      </c>
      <c r="P88" s="395" t="s">
        <v>1066</v>
      </c>
      <c r="Q88" s="395" t="s">
        <v>1062</v>
      </c>
      <c r="R88" s="395" t="s">
        <v>996</v>
      </c>
      <c r="S88" s="395" t="s">
        <v>1063</v>
      </c>
      <c r="T88" s="408">
        <f t="shared" si="33"/>
        <v>255420</v>
      </c>
      <c r="U88" s="408"/>
      <c r="V88" s="408"/>
      <c r="W88" s="408"/>
      <c r="X88" s="408"/>
      <c r="Y88" s="408"/>
      <c r="Z88" s="408">
        <v>212850</v>
      </c>
      <c r="AA88" s="408">
        <f t="shared" si="34"/>
        <v>42570</v>
      </c>
      <c r="AB88" s="408"/>
      <c r="AC88" s="408"/>
      <c r="AD88" s="408"/>
      <c r="AE88" s="724"/>
    </row>
    <row r="89" spans="1:31" ht="15.75">
      <c r="N89" s="394" t="s">
        <v>1067</v>
      </c>
      <c r="O89" s="395" t="s">
        <v>1068</v>
      </c>
      <c r="P89" s="395" t="s">
        <v>953</v>
      </c>
      <c r="Q89" s="395" t="s">
        <v>981</v>
      </c>
      <c r="R89" s="395" t="s">
        <v>784</v>
      </c>
      <c r="S89" s="395" t="s">
        <v>982</v>
      </c>
      <c r="T89" s="408">
        <f t="shared" si="33"/>
        <v>360000</v>
      </c>
      <c r="U89" s="408"/>
      <c r="V89" s="408"/>
      <c r="W89" s="408"/>
      <c r="X89" s="408"/>
      <c r="Y89" s="408"/>
      <c r="Z89" s="408">
        <v>300000</v>
      </c>
      <c r="AA89" s="408">
        <f t="shared" si="34"/>
        <v>60000</v>
      </c>
      <c r="AB89" s="408"/>
      <c r="AC89" s="408"/>
      <c r="AD89" s="408"/>
      <c r="AE89" s="724"/>
    </row>
    <row r="90" spans="1:31" ht="15.75">
      <c r="N90" s="394" t="s">
        <v>950</v>
      </c>
      <c r="O90" s="395" t="s">
        <v>1069</v>
      </c>
      <c r="P90" s="395" t="s">
        <v>1014</v>
      </c>
      <c r="Q90" s="395" t="s">
        <v>977</v>
      </c>
      <c r="R90" s="395" t="s">
        <v>464</v>
      </c>
      <c r="S90" s="395" t="s">
        <v>978</v>
      </c>
      <c r="T90" s="408">
        <f t="shared" si="33"/>
        <v>51000</v>
      </c>
      <c r="U90" s="408"/>
      <c r="V90" s="408"/>
      <c r="W90" s="408"/>
      <c r="X90" s="408"/>
      <c r="Y90" s="408"/>
      <c r="Z90" s="408">
        <v>42500</v>
      </c>
      <c r="AA90" s="408">
        <f t="shared" si="34"/>
        <v>8500</v>
      </c>
      <c r="AB90" s="408"/>
      <c r="AC90" s="408"/>
      <c r="AD90" s="408"/>
      <c r="AE90" s="724"/>
    </row>
    <row r="91" spans="1:31" ht="16.5" thickBot="1">
      <c r="N91" s="394" t="s">
        <v>1070</v>
      </c>
      <c r="O91" s="395" t="s">
        <v>1071</v>
      </c>
      <c r="P91" s="395" t="s">
        <v>1072</v>
      </c>
      <c r="Q91" s="395" t="s">
        <v>985</v>
      </c>
      <c r="R91" s="395" t="s">
        <v>784</v>
      </c>
      <c r="S91" s="395" t="s">
        <v>986</v>
      </c>
      <c r="T91" s="408">
        <f t="shared" si="33"/>
        <v>290578.8</v>
      </c>
      <c r="U91" s="408"/>
      <c r="V91" s="408"/>
      <c r="W91" s="408"/>
      <c r="X91" s="408"/>
      <c r="Y91" s="408"/>
      <c r="Z91" s="408">
        <v>242149</v>
      </c>
      <c r="AA91" s="408">
        <f t="shared" si="34"/>
        <v>48429.8</v>
      </c>
      <c r="AB91" s="408"/>
      <c r="AC91" s="408"/>
      <c r="AD91" s="408"/>
      <c r="AE91" s="724"/>
    </row>
    <row r="92" spans="1:31" ht="15" thickBot="1">
      <c r="N92" s="1857" t="s">
        <v>757</v>
      </c>
      <c r="O92" s="1858"/>
      <c r="P92" s="1858"/>
      <c r="Q92" s="1858"/>
      <c r="R92" s="1858"/>
      <c r="S92" s="1859"/>
      <c r="T92" s="811">
        <f>SUM(T81:T91)</f>
        <v>6362441.6399999987</v>
      </c>
      <c r="U92" s="811">
        <f t="shared" ref="U92:AE92" si="35">SUM(U81:U91)</f>
        <v>0</v>
      </c>
      <c r="V92" s="811">
        <f t="shared" si="35"/>
        <v>0</v>
      </c>
      <c r="W92" s="811">
        <f t="shared" si="35"/>
        <v>0</v>
      </c>
      <c r="X92" s="811">
        <f t="shared" si="35"/>
        <v>0</v>
      </c>
      <c r="Y92" s="811">
        <f t="shared" si="35"/>
        <v>0</v>
      </c>
      <c r="Z92" s="811">
        <f t="shared" si="35"/>
        <v>5302034.7</v>
      </c>
      <c r="AA92" s="811">
        <f t="shared" si="35"/>
        <v>1060406.94</v>
      </c>
      <c r="AB92" s="811">
        <f t="shared" si="35"/>
        <v>0</v>
      </c>
      <c r="AC92" s="811">
        <f t="shared" si="35"/>
        <v>0</v>
      </c>
      <c r="AD92" s="811">
        <f t="shared" si="35"/>
        <v>0</v>
      </c>
      <c r="AE92" s="811">
        <f t="shared" si="35"/>
        <v>0</v>
      </c>
    </row>
    <row r="93" spans="1:31" ht="16.5" thickBot="1">
      <c r="N93" s="1798" t="s">
        <v>758</v>
      </c>
      <c r="O93" s="1799"/>
      <c r="P93" s="1799"/>
      <c r="Q93" s="1799"/>
      <c r="R93" s="1799"/>
      <c r="S93" s="1799"/>
      <c r="T93" s="1799"/>
      <c r="U93" s="718" t="s">
        <v>765</v>
      </c>
      <c r="V93" s="718" t="s">
        <v>766</v>
      </c>
      <c r="W93" s="718" t="s">
        <v>767</v>
      </c>
      <c r="X93" s="718" t="s">
        <v>768</v>
      </c>
      <c r="Y93" s="718" t="s">
        <v>769</v>
      </c>
      <c r="Z93" s="718" t="s">
        <v>786</v>
      </c>
      <c r="AA93" s="718" t="s">
        <v>787</v>
      </c>
      <c r="AB93" s="718" t="s">
        <v>788</v>
      </c>
      <c r="AC93" s="718" t="s">
        <v>789</v>
      </c>
      <c r="AD93" s="718" t="s">
        <v>790</v>
      </c>
      <c r="AE93" s="764" t="s">
        <v>791</v>
      </c>
    </row>
    <row r="99" spans="1:31">
      <c r="AB99" s="791"/>
      <c r="AC99" s="791"/>
      <c r="AD99" s="791"/>
      <c r="AE99" s="791"/>
    </row>
    <row r="100" spans="1:31">
      <c r="AB100" s="791"/>
      <c r="AC100" s="791"/>
      <c r="AD100" s="791"/>
      <c r="AE100" s="791"/>
    </row>
    <row r="101" spans="1:31">
      <c r="AB101" s="791"/>
      <c r="AC101" s="791"/>
      <c r="AD101" s="791"/>
      <c r="AE101" s="791"/>
    </row>
    <row r="102" spans="1:31">
      <c r="AB102" s="791"/>
      <c r="AC102" s="791"/>
      <c r="AD102" s="791"/>
      <c r="AE102" s="791"/>
    </row>
    <row r="103" spans="1:31">
      <c r="AB103" s="791"/>
      <c r="AC103" s="791"/>
      <c r="AD103" s="791"/>
      <c r="AE103" s="791"/>
    </row>
    <row r="104" spans="1:31" ht="16.5" customHeight="1">
      <c r="A104" s="380" t="s">
        <v>727</v>
      </c>
      <c r="B104" s="381"/>
      <c r="C104" s="381"/>
      <c r="D104" s="381"/>
      <c r="E104" s="381"/>
      <c r="F104" s="381"/>
      <c r="G104" s="713"/>
      <c r="H104" s="713"/>
      <c r="I104" s="713"/>
      <c r="J104" s="713"/>
      <c r="K104" s="713"/>
      <c r="L104" s="713"/>
      <c r="M104" s="713"/>
      <c r="N104" s="380" t="s">
        <v>728</v>
      </c>
      <c r="O104" s="381"/>
      <c r="P104" s="381"/>
      <c r="Q104" s="381"/>
      <c r="R104" s="381"/>
      <c r="S104" s="381"/>
      <c r="T104" s="713"/>
      <c r="U104" s="812"/>
      <c r="V104" s="812"/>
      <c r="W104" s="812"/>
      <c r="X104" s="812"/>
      <c r="Y104" s="812"/>
      <c r="Z104" s="812"/>
      <c r="AA104" s="812"/>
      <c r="AB104" s="812"/>
      <c r="AC104" s="812"/>
      <c r="AD104" s="812"/>
      <c r="AE104" s="812"/>
    </row>
    <row r="105" spans="1:31" ht="15" customHeight="1">
      <c r="A105" s="383" t="s">
        <v>729</v>
      </c>
      <c r="B105" s="383"/>
      <c r="C105" s="777" t="s">
        <v>973</v>
      </c>
      <c r="D105" s="381"/>
      <c r="E105" s="381"/>
      <c r="F105" s="381"/>
      <c r="G105" s="713"/>
      <c r="H105" s="713"/>
      <c r="I105" s="713"/>
      <c r="J105" s="713"/>
      <c r="K105" s="713"/>
      <c r="L105" s="713"/>
      <c r="M105" s="713"/>
      <c r="N105" s="383" t="s">
        <v>729</v>
      </c>
      <c r="O105" s="383"/>
      <c r="P105" s="777" t="s">
        <v>973</v>
      </c>
      <c r="Q105" s="381"/>
      <c r="R105" s="381"/>
      <c r="S105" s="381"/>
      <c r="T105" s="713"/>
      <c r="U105" s="812"/>
      <c r="V105" s="812"/>
      <c r="W105" s="812"/>
      <c r="X105" s="812"/>
      <c r="Y105" s="812"/>
      <c r="Z105" s="812"/>
      <c r="AA105" s="812"/>
      <c r="AB105" s="812"/>
      <c r="AC105" s="812"/>
      <c r="AD105" s="812"/>
      <c r="AE105" s="812"/>
    </row>
    <row r="106" spans="1:31" ht="15" customHeight="1">
      <c r="A106" s="383" t="s">
        <v>401</v>
      </c>
      <c r="B106" s="383"/>
      <c r="C106" s="777" t="s">
        <v>974</v>
      </c>
      <c r="D106" s="381"/>
      <c r="E106" s="381"/>
      <c r="F106" s="381"/>
      <c r="G106" s="713"/>
      <c r="H106" s="713"/>
      <c r="I106" s="713"/>
      <c r="J106" s="713"/>
      <c r="K106" s="713"/>
      <c r="L106" s="713"/>
      <c r="M106" s="713"/>
      <c r="N106" s="383" t="s">
        <v>401</v>
      </c>
      <c r="O106" s="383"/>
      <c r="P106" s="777" t="s">
        <v>974</v>
      </c>
      <c r="Q106" s="381"/>
      <c r="R106" s="381"/>
      <c r="S106" s="381"/>
      <c r="T106" s="713"/>
      <c r="U106" s="812"/>
      <c r="V106" s="812"/>
      <c r="W106" s="812"/>
      <c r="X106" s="812"/>
      <c r="Y106" s="812"/>
      <c r="Z106" s="812"/>
      <c r="AA106" s="812"/>
      <c r="AB106" s="812"/>
      <c r="AC106" s="812"/>
      <c r="AD106" s="812"/>
      <c r="AE106" s="812"/>
    </row>
    <row r="107" spans="1:31" ht="15" customHeight="1">
      <c r="A107" s="383" t="s">
        <v>730</v>
      </c>
      <c r="B107" s="383"/>
      <c r="C107" s="384" t="s">
        <v>731</v>
      </c>
      <c r="D107" s="381"/>
      <c r="E107" s="381"/>
      <c r="F107" s="381"/>
      <c r="G107" s="713"/>
      <c r="H107" s="713"/>
      <c r="I107" s="713"/>
      <c r="J107" s="713"/>
      <c r="K107" s="713"/>
      <c r="L107" s="713"/>
      <c r="M107" s="713"/>
      <c r="N107" s="383" t="s">
        <v>730</v>
      </c>
      <c r="O107" s="383"/>
      <c r="P107" s="384" t="s">
        <v>731</v>
      </c>
      <c r="Q107" s="381"/>
      <c r="R107" s="381"/>
      <c r="S107" s="381"/>
      <c r="T107" s="713"/>
      <c r="U107" s="812"/>
      <c r="V107" s="812"/>
      <c r="W107" s="812"/>
      <c r="X107" s="812"/>
      <c r="Y107" s="812"/>
      <c r="Z107" s="812"/>
      <c r="AA107" s="812"/>
      <c r="AB107" s="812"/>
      <c r="AC107" s="812"/>
      <c r="AD107" s="812"/>
      <c r="AE107" s="812"/>
    </row>
    <row r="108" spans="1:31" ht="15" customHeight="1">
      <c r="A108" s="383" t="s">
        <v>169</v>
      </c>
      <c r="B108" s="383"/>
      <c r="C108" s="384" t="s">
        <v>967</v>
      </c>
      <c r="D108" s="381"/>
      <c r="E108" s="381"/>
      <c r="F108" s="381"/>
      <c r="G108" s="713"/>
      <c r="H108" s="713"/>
      <c r="I108" s="713"/>
      <c r="J108" s="713"/>
      <c r="K108" s="713"/>
      <c r="L108" s="713"/>
      <c r="M108" s="713"/>
      <c r="N108" s="383" t="s">
        <v>169</v>
      </c>
      <c r="O108" s="383"/>
      <c r="P108" s="384" t="s">
        <v>967</v>
      </c>
      <c r="Q108" s="381"/>
      <c r="R108" s="381"/>
      <c r="S108" s="381"/>
      <c r="T108" s="713"/>
      <c r="U108" s="812"/>
      <c r="V108" s="812"/>
      <c r="W108" s="812"/>
      <c r="X108" s="812"/>
      <c r="Y108" s="812"/>
      <c r="Z108" s="812"/>
      <c r="AA108" s="812"/>
      <c r="AB108" s="812"/>
      <c r="AC108" s="812"/>
      <c r="AD108" s="812"/>
      <c r="AE108" s="812"/>
    </row>
    <row r="109" spans="1:31" ht="15" customHeight="1" thickBot="1">
      <c r="A109" s="383"/>
      <c r="B109" s="383"/>
      <c r="C109" s="381"/>
      <c r="D109" s="381"/>
      <c r="E109" s="381"/>
      <c r="F109" s="381"/>
      <c r="G109" s="713"/>
      <c r="H109" s="713"/>
      <c r="I109" s="713"/>
      <c r="J109" s="713"/>
      <c r="K109" s="713"/>
      <c r="L109" s="713"/>
      <c r="M109" s="713"/>
      <c r="N109" s="383"/>
      <c r="O109" s="383"/>
      <c r="P109" s="381"/>
      <c r="Q109" s="381"/>
      <c r="R109" s="381"/>
      <c r="S109" s="381"/>
      <c r="T109" s="713"/>
      <c r="U109" s="812"/>
      <c r="V109" s="812"/>
      <c r="W109" s="812"/>
      <c r="X109" s="812"/>
      <c r="Y109" s="812"/>
      <c r="Z109" s="812"/>
      <c r="AA109" s="812"/>
      <c r="AB109" s="812"/>
      <c r="AC109" s="812"/>
      <c r="AD109" s="812"/>
      <c r="AE109" s="812"/>
    </row>
    <row r="110" spans="1:31" ht="15" customHeight="1" thickBot="1">
      <c r="A110" s="381" t="s">
        <v>733</v>
      </c>
      <c r="B110" s="385"/>
      <c r="C110" s="381" t="s">
        <v>1073</v>
      </c>
      <c r="D110" s="381"/>
      <c r="E110" s="381"/>
      <c r="F110" s="381"/>
      <c r="G110" s="713"/>
      <c r="H110" s="713"/>
      <c r="I110" s="713"/>
      <c r="J110" s="713"/>
      <c r="K110" s="713"/>
      <c r="L110" s="713"/>
      <c r="M110" s="713"/>
      <c r="N110" s="381" t="s">
        <v>733</v>
      </c>
      <c r="O110" s="385"/>
      <c r="P110" s="381" t="s">
        <v>771</v>
      </c>
      <c r="Q110" s="381"/>
      <c r="R110" s="381"/>
      <c r="S110" s="381"/>
      <c r="T110" s="713"/>
      <c r="U110" s="812"/>
      <c r="V110" s="812"/>
      <c r="W110" s="812"/>
      <c r="X110" s="812"/>
      <c r="Y110" s="812"/>
      <c r="Z110" s="812"/>
      <c r="AA110" s="812"/>
      <c r="AB110" s="812"/>
      <c r="AC110" s="812"/>
      <c r="AD110" s="812"/>
      <c r="AE110" s="812"/>
    </row>
    <row r="111" spans="1:31" ht="13.5" customHeight="1" thickBot="1">
      <c r="A111" s="381"/>
      <c r="B111" s="381"/>
      <c r="C111" s="381"/>
      <c r="D111" s="381"/>
      <c r="E111" s="381"/>
      <c r="F111" s="381"/>
      <c r="G111" s="713"/>
      <c r="H111" s="713"/>
      <c r="I111" s="713"/>
      <c r="J111" s="713"/>
      <c r="K111" s="713"/>
      <c r="L111" s="713"/>
      <c r="M111" s="713"/>
      <c r="N111" s="381"/>
      <c r="O111" s="381"/>
      <c r="P111" s="383"/>
      <c r="Q111" s="381"/>
      <c r="R111" s="381"/>
      <c r="S111" s="381"/>
      <c r="T111" s="713"/>
      <c r="U111" s="812"/>
      <c r="V111" s="812"/>
      <c r="W111" s="812"/>
      <c r="X111" s="812"/>
      <c r="Y111" s="812"/>
      <c r="Z111" s="812"/>
      <c r="AA111" s="812"/>
      <c r="AB111" s="812"/>
      <c r="AC111" s="812"/>
      <c r="AD111" s="812"/>
      <c r="AE111" s="812"/>
    </row>
    <row r="112" spans="1:31" ht="16.5" thickBot="1">
      <c r="A112" s="1813" t="s">
        <v>734</v>
      </c>
      <c r="B112" s="1814"/>
      <c r="C112" s="1815"/>
      <c r="D112" s="1813" t="s">
        <v>735</v>
      </c>
      <c r="E112" s="1814"/>
      <c r="F112" s="1815"/>
      <c r="G112" s="1834" t="s">
        <v>736</v>
      </c>
      <c r="H112" s="1834" t="s">
        <v>737</v>
      </c>
      <c r="I112" s="1834" t="s">
        <v>738</v>
      </c>
      <c r="J112" s="1837" t="s">
        <v>772</v>
      </c>
      <c r="K112" s="1840"/>
      <c r="L112" s="1837" t="s">
        <v>773</v>
      </c>
      <c r="M112" s="1840"/>
      <c r="N112" s="1800" t="s">
        <v>734</v>
      </c>
      <c r="O112" s="1801"/>
      <c r="P112" s="1802"/>
      <c r="Q112" s="1800" t="s">
        <v>739</v>
      </c>
      <c r="R112" s="1801"/>
      <c r="S112" s="1802"/>
      <c r="T112" s="1834" t="s">
        <v>740</v>
      </c>
      <c r="U112" s="1790" t="s">
        <v>741</v>
      </c>
      <c r="V112" s="1792"/>
      <c r="W112" s="1792"/>
      <c r="X112" s="1792"/>
      <c r="Y112" s="1792"/>
      <c r="Z112" s="1792"/>
      <c r="AA112" s="1792"/>
      <c r="AB112" s="1792"/>
      <c r="AC112" s="1792"/>
      <c r="AD112" s="1792"/>
      <c r="AE112" s="1791"/>
    </row>
    <row r="113" spans="1:31" ht="16.5" thickBot="1">
      <c r="A113" s="1816"/>
      <c r="B113" s="1817"/>
      <c r="C113" s="1818"/>
      <c r="D113" s="1816"/>
      <c r="E113" s="1817"/>
      <c r="F113" s="1818"/>
      <c r="G113" s="1835"/>
      <c r="H113" s="1835"/>
      <c r="I113" s="1835"/>
      <c r="J113" s="1839"/>
      <c r="K113" s="1841"/>
      <c r="L113" s="1839"/>
      <c r="M113" s="1841"/>
      <c r="N113" s="1809" t="s">
        <v>742</v>
      </c>
      <c r="O113" s="1809" t="s">
        <v>743</v>
      </c>
      <c r="P113" s="1809" t="s">
        <v>744</v>
      </c>
      <c r="Q113" s="1809" t="s">
        <v>745</v>
      </c>
      <c r="R113" s="1809" t="s">
        <v>746</v>
      </c>
      <c r="S113" s="1809" t="s">
        <v>747</v>
      </c>
      <c r="T113" s="1835"/>
      <c r="U113" s="1793" t="s">
        <v>748</v>
      </c>
      <c r="V113" s="1790" t="s">
        <v>774</v>
      </c>
      <c r="W113" s="1812"/>
      <c r="X113" s="1790" t="s">
        <v>775</v>
      </c>
      <c r="Y113" s="1812"/>
      <c r="Z113" s="1790" t="s">
        <v>776</v>
      </c>
      <c r="AA113" s="1791"/>
      <c r="AB113" s="1790" t="s">
        <v>777</v>
      </c>
      <c r="AC113" s="1791"/>
      <c r="AD113" s="1790" t="s">
        <v>749</v>
      </c>
      <c r="AE113" s="1791"/>
    </row>
    <row r="114" spans="1:31" ht="41.25" customHeight="1" thickBot="1">
      <c r="A114" s="386" t="s">
        <v>742</v>
      </c>
      <c r="B114" s="387" t="s">
        <v>743</v>
      </c>
      <c r="C114" s="388" t="s">
        <v>744</v>
      </c>
      <c r="D114" s="771" t="s">
        <v>750</v>
      </c>
      <c r="E114" s="770" t="s">
        <v>746</v>
      </c>
      <c r="F114" s="389" t="s">
        <v>394</v>
      </c>
      <c r="G114" s="1836"/>
      <c r="H114" s="1836"/>
      <c r="I114" s="1836"/>
      <c r="J114" s="913" t="s">
        <v>751</v>
      </c>
      <c r="K114" s="914" t="s">
        <v>752</v>
      </c>
      <c r="L114" s="913" t="s">
        <v>751</v>
      </c>
      <c r="M114" s="914" t="s">
        <v>752</v>
      </c>
      <c r="N114" s="1810"/>
      <c r="O114" s="1810"/>
      <c r="P114" s="1810"/>
      <c r="Q114" s="1810"/>
      <c r="R114" s="1810"/>
      <c r="S114" s="1810"/>
      <c r="T114" s="1836"/>
      <c r="U114" s="1794"/>
      <c r="V114" s="813" t="s">
        <v>751</v>
      </c>
      <c r="W114" s="814" t="s">
        <v>752</v>
      </c>
      <c r="X114" s="813" t="s">
        <v>751</v>
      </c>
      <c r="Y114" s="814" t="s">
        <v>752</v>
      </c>
      <c r="Z114" s="815" t="s">
        <v>753</v>
      </c>
      <c r="AA114" s="815" t="s">
        <v>754</v>
      </c>
      <c r="AB114" s="815" t="s">
        <v>753</v>
      </c>
      <c r="AC114" s="815" t="s">
        <v>754</v>
      </c>
      <c r="AD114" s="815" t="s">
        <v>753</v>
      </c>
      <c r="AE114" s="815" t="s">
        <v>754</v>
      </c>
    </row>
    <row r="115" spans="1:31" ht="15.75" customHeight="1" thickBot="1">
      <c r="A115" s="390" t="s">
        <v>499</v>
      </c>
      <c r="B115" s="391" t="s">
        <v>500</v>
      </c>
      <c r="C115" s="391" t="s">
        <v>538</v>
      </c>
      <c r="D115" s="391" t="s">
        <v>560</v>
      </c>
      <c r="E115" s="391" t="s">
        <v>562</v>
      </c>
      <c r="F115" s="391" t="s">
        <v>574</v>
      </c>
      <c r="G115" s="761" t="s">
        <v>778</v>
      </c>
      <c r="H115" s="761" t="s">
        <v>578</v>
      </c>
      <c r="I115" s="762" t="s">
        <v>580</v>
      </c>
      <c r="J115" s="761" t="s">
        <v>582</v>
      </c>
      <c r="K115" s="763" t="s">
        <v>584</v>
      </c>
      <c r="L115" s="761" t="s">
        <v>586</v>
      </c>
      <c r="M115" s="763" t="s">
        <v>590</v>
      </c>
      <c r="N115" s="401" t="s">
        <v>499</v>
      </c>
      <c r="O115" s="402" t="s">
        <v>500</v>
      </c>
      <c r="P115" s="402" t="s">
        <v>538</v>
      </c>
      <c r="Q115" s="402" t="s">
        <v>560</v>
      </c>
      <c r="R115" s="402" t="s">
        <v>562</v>
      </c>
      <c r="S115" s="402" t="s">
        <v>574</v>
      </c>
      <c r="T115" s="765" t="s">
        <v>779</v>
      </c>
      <c r="U115" s="816" t="s">
        <v>578</v>
      </c>
      <c r="V115" s="816" t="s">
        <v>580</v>
      </c>
      <c r="W115" s="816" t="s">
        <v>582</v>
      </c>
      <c r="X115" s="816" t="s">
        <v>584</v>
      </c>
      <c r="Y115" s="816" t="s">
        <v>586</v>
      </c>
      <c r="Z115" s="816" t="s">
        <v>590</v>
      </c>
      <c r="AA115" s="816" t="s">
        <v>755</v>
      </c>
      <c r="AB115" s="816" t="s">
        <v>780</v>
      </c>
      <c r="AC115" s="816" t="s">
        <v>781</v>
      </c>
      <c r="AD115" s="816" t="s">
        <v>782</v>
      </c>
      <c r="AE115" s="817" t="s">
        <v>783</v>
      </c>
    </row>
    <row r="116" spans="1:31" ht="16.5" thickBot="1">
      <c r="A116" s="779">
        <v>26</v>
      </c>
      <c r="B116" s="780">
        <v>67015826</v>
      </c>
      <c r="C116" s="781">
        <v>40663</v>
      </c>
      <c r="D116" s="780" t="s">
        <v>973</v>
      </c>
      <c r="E116" s="780" t="s">
        <v>464</v>
      </c>
      <c r="F116" s="780" t="s">
        <v>974</v>
      </c>
      <c r="G116" s="396">
        <v>5080528</v>
      </c>
      <c r="H116" s="396"/>
      <c r="I116" s="396"/>
      <c r="J116" s="396">
        <v>4233773</v>
      </c>
      <c r="K116" s="397">
        <v>846755</v>
      </c>
      <c r="L116" s="396"/>
      <c r="M116" s="397"/>
      <c r="N116" s="779">
        <v>115</v>
      </c>
      <c r="O116" s="780">
        <v>86200514</v>
      </c>
      <c r="P116" s="781">
        <v>40634</v>
      </c>
      <c r="Q116" s="780" t="s">
        <v>1074</v>
      </c>
      <c r="R116" s="780" t="s">
        <v>464</v>
      </c>
      <c r="S116" s="780" t="s">
        <v>991</v>
      </c>
      <c r="T116" s="396">
        <f>Z116+AA116</f>
        <v>109200</v>
      </c>
      <c r="U116" s="408"/>
      <c r="V116" s="408"/>
      <c r="W116" s="408"/>
      <c r="X116" s="408"/>
      <c r="Y116" s="408"/>
      <c r="Z116" s="408">
        <v>91000</v>
      </c>
      <c r="AA116" s="408">
        <f>Z116*0.2</f>
        <v>18200</v>
      </c>
      <c r="AB116" s="408"/>
      <c r="AC116" s="408"/>
      <c r="AD116" s="408"/>
      <c r="AE116" s="724"/>
    </row>
    <row r="117" spans="1:31" ht="16.5" thickBot="1">
      <c r="A117" s="1795" t="s">
        <v>757</v>
      </c>
      <c r="B117" s="1796"/>
      <c r="C117" s="1796"/>
      <c r="D117" s="1796"/>
      <c r="E117" s="1796"/>
      <c r="F117" s="1797"/>
      <c r="G117" s="398">
        <f>SUM(G116)</f>
        <v>5080528</v>
      </c>
      <c r="H117" s="398">
        <f t="shared" ref="H117:M117" si="36">SUM(H116)</f>
        <v>0</v>
      </c>
      <c r="I117" s="398">
        <f t="shared" si="36"/>
        <v>0</v>
      </c>
      <c r="J117" s="398">
        <f t="shared" si="36"/>
        <v>4233773</v>
      </c>
      <c r="K117" s="398">
        <f t="shared" si="36"/>
        <v>846755</v>
      </c>
      <c r="L117" s="398">
        <f t="shared" si="36"/>
        <v>0</v>
      </c>
      <c r="M117" s="398">
        <f t="shared" si="36"/>
        <v>0</v>
      </c>
      <c r="N117" s="779">
        <v>769</v>
      </c>
      <c r="O117" s="780">
        <v>85762969</v>
      </c>
      <c r="P117" s="781">
        <v>40639</v>
      </c>
      <c r="Q117" s="780" t="s">
        <v>995</v>
      </c>
      <c r="R117" s="780" t="s">
        <v>996</v>
      </c>
      <c r="S117" s="780" t="s">
        <v>997</v>
      </c>
      <c r="T117" s="396">
        <f t="shared" ref="T117:T133" si="37">Z117+AA117</f>
        <v>146025.60000000001</v>
      </c>
      <c r="U117" s="408"/>
      <c r="V117" s="408"/>
      <c r="W117" s="408"/>
      <c r="X117" s="408"/>
      <c r="Y117" s="408"/>
      <c r="Z117" s="408">
        <v>121688</v>
      </c>
      <c r="AA117" s="408">
        <f t="shared" ref="AA117:AA133" si="38">Z117*0.2</f>
        <v>24337.600000000002</v>
      </c>
      <c r="AB117" s="408"/>
      <c r="AC117" s="408"/>
      <c r="AD117" s="408"/>
      <c r="AE117" s="724"/>
    </row>
    <row r="118" spans="1:31" ht="16.5" thickBot="1">
      <c r="A118" s="1798" t="s">
        <v>758</v>
      </c>
      <c r="B118" s="1799"/>
      <c r="C118" s="1799"/>
      <c r="D118" s="1799"/>
      <c r="E118" s="1799"/>
      <c r="F118" s="1799"/>
      <c r="G118" s="1799"/>
      <c r="H118" s="915" t="s">
        <v>759</v>
      </c>
      <c r="I118" s="916" t="s">
        <v>760</v>
      </c>
      <c r="J118" s="915" t="s">
        <v>761</v>
      </c>
      <c r="K118" s="917" t="s">
        <v>762</v>
      </c>
      <c r="L118" s="915" t="s">
        <v>763</v>
      </c>
      <c r="M118" s="917" t="s">
        <v>764</v>
      </c>
      <c r="N118" s="779">
        <v>169</v>
      </c>
      <c r="O118" s="780">
        <v>86485578</v>
      </c>
      <c r="P118" s="781">
        <v>40640</v>
      </c>
      <c r="Q118" s="780" t="s">
        <v>1075</v>
      </c>
      <c r="R118" s="780" t="s">
        <v>784</v>
      </c>
      <c r="S118" s="780" t="s">
        <v>986</v>
      </c>
      <c r="T118" s="396">
        <f t="shared" si="37"/>
        <v>299389.2</v>
      </c>
      <c r="U118" s="408"/>
      <c r="V118" s="408"/>
      <c r="W118" s="408"/>
      <c r="X118" s="408"/>
      <c r="Y118" s="408"/>
      <c r="Z118" s="408">
        <v>249491</v>
      </c>
      <c r="AA118" s="408">
        <f t="shared" si="38"/>
        <v>49898.200000000004</v>
      </c>
      <c r="AB118" s="408"/>
      <c r="AC118" s="408"/>
      <c r="AD118" s="408"/>
      <c r="AE118" s="724"/>
    </row>
    <row r="119" spans="1:31" ht="15.75">
      <c r="A119" s="381"/>
      <c r="B119" s="381"/>
      <c r="C119" s="381"/>
      <c r="D119" s="381"/>
      <c r="E119" s="381"/>
      <c r="F119" s="381"/>
      <c r="G119" s="713"/>
      <c r="H119" s="713"/>
      <c r="I119" s="713"/>
      <c r="J119" s="713"/>
      <c r="K119" s="713"/>
      <c r="L119" s="713"/>
      <c r="M119" s="713"/>
      <c r="N119" s="779">
        <v>21</v>
      </c>
      <c r="O119" s="780">
        <v>84057871</v>
      </c>
      <c r="P119" s="781">
        <v>40640</v>
      </c>
      <c r="Q119" s="780" t="s">
        <v>1076</v>
      </c>
      <c r="R119" s="780" t="s">
        <v>464</v>
      </c>
      <c r="S119" s="780" t="s">
        <v>1077</v>
      </c>
      <c r="T119" s="396">
        <f t="shared" si="37"/>
        <v>450098.4</v>
      </c>
      <c r="U119" s="408"/>
      <c r="V119" s="408"/>
      <c r="W119" s="408"/>
      <c r="X119" s="408"/>
      <c r="Y119" s="408"/>
      <c r="Z119" s="408">
        <v>375082</v>
      </c>
      <c r="AA119" s="408">
        <f t="shared" si="38"/>
        <v>75016.400000000009</v>
      </c>
      <c r="AB119" s="408"/>
      <c r="AC119" s="408"/>
      <c r="AD119" s="408"/>
      <c r="AE119" s="724"/>
    </row>
    <row r="120" spans="1:31" ht="15.75">
      <c r="A120" s="381"/>
      <c r="B120" s="381"/>
      <c r="C120" s="381"/>
      <c r="D120" s="381"/>
      <c r="E120" s="381"/>
      <c r="F120" s="381"/>
      <c r="G120" s="713"/>
      <c r="H120" s="713"/>
      <c r="I120" s="713"/>
      <c r="J120" s="713"/>
      <c r="K120" s="713"/>
      <c r="L120" s="713"/>
      <c r="M120" s="713"/>
      <c r="N120" s="779">
        <v>134</v>
      </c>
      <c r="O120" s="780">
        <v>85276587</v>
      </c>
      <c r="P120" s="781">
        <v>40641</v>
      </c>
      <c r="Q120" s="780" t="s">
        <v>1078</v>
      </c>
      <c r="R120" s="780" t="s">
        <v>996</v>
      </c>
      <c r="S120" s="780" t="s">
        <v>1063</v>
      </c>
      <c r="T120" s="396">
        <f t="shared" si="37"/>
        <v>385440</v>
      </c>
      <c r="U120" s="408"/>
      <c r="V120" s="408"/>
      <c r="W120" s="408"/>
      <c r="X120" s="408"/>
      <c r="Y120" s="408"/>
      <c r="Z120" s="408">
        <v>321200</v>
      </c>
      <c r="AA120" s="408">
        <f t="shared" si="38"/>
        <v>64240</v>
      </c>
      <c r="AB120" s="408"/>
      <c r="AC120" s="408"/>
      <c r="AD120" s="408"/>
      <c r="AE120" s="724"/>
    </row>
    <row r="121" spans="1:31" ht="15.75">
      <c r="A121" s="381"/>
      <c r="B121" s="381"/>
      <c r="C121" s="381"/>
      <c r="D121" s="381"/>
      <c r="E121" s="381"/>
      <c r="F121" s="381"/>
      <c r="G121" s="713"/>
      <c r="H121" s="713"/>
      <c r="I121" s="713"/>
      <c r="J121" s="918" t="s">
        <v>951</v>
      </c>
      <c r="K121" s="713"/>
      <c r="L121" s="713"/>
      <c r="M121" s="713"/>
      <c r="N121" s="779">
        <v>28</v>
      </c>
      <c r="O121" s="780">
        <v>70975079</v>
      </c>
      <c r="P121" s="781">
        <v>40642</v>
      </c>
      <c r="Q121" s="780" t="s">
        <v>1079</v>
      </c>
      <c r="R121" s="780" t="s">
        <v>464</v>
      </c>
      <c r="S121" s="780" t="s">
        <v>1080</v>
      </c>
      <c r="T121" s="396">
        <f t="shared" si="37"/>
        <v>301200</v>
      </c>
      <c r="U121" s="408"/>
      <c r="V121" s="408"/>
      <c r="W121" s="408"/>
      <c r="X121" s="408"/>
      <c r="Y121" s="408"/>
      <c r="Z121" s="408">
        <v>251000</v>
      </c>
      <c r="AA121" s="408">
        <f t="shared" si="38"/>
        <v>50200</v>
      </c>
      <c r="AB121" s="408"/>
      <c r="AC121" s="408"/>
      <c r="AD121" s="408"/>
      <c r="AE121" s="724"/>
    </row>
    <row r="122" spans="1:31" ht="15.75">
      <c r="A122" s="381"/>
      <c r="B122" s="381"/>
      <c r="C122" s="381"/>
      <c r="D122" s="381"/>
      <c r="E122" s="381"/>
      <c r="F122" s="381"/>
      <c r="G122" s="713"/>
      <c r="H122" s="713"/>
      <c r="I122" s="713"/>
      <c r="J122" s="713"/>
      <c r="K122" s="713"/>
      <c r="L122" s="713"/>
      <c r="M122" s="713"/>
      <c r="N122" s="779">
        <v>178</v>
      </c>
      <c r="O122" s="780">
        <v>84685587</v>
      </c>
      <c r="P122" s="781">
        <v>40645</v>
      </c>
      <c r="Q122" s="780" t="s">
        <v>1075</v>
      </c>
      <c r="R122" s="780" t="s">
        <v>784</v>
      </c>
      <c r="S122" s="780" t="s">
        <v>986</v>
      </c>
      <c r="T122" s="396">
        <f t="shared" si="37"/>
        <v>299996.40000000002</v>
      </c>
      <c r="U122" s="408"/>
      <c r="V122" s="408"/>
      <c r="W122" s="408"/>
      <c r="X122" s="408"/>
      <c r="Y122" s="408"/>
      <c r="Z122" s="408">
        <v>249997</v>
      </c>
      <c r="AA122" s="408">
        <f t="shared" si="38"/>
        <v>49999.4</v>
      </c>
      <c r="AB122" s="408"/>
      <c r="AC122" s="408"/>
      <c r="AD122" s="408"/>
      <c r="AE122" s="724"/>
    </row>
    <row r="123" spans="1:31" ht="15.75">
      <c r="A123" s="381" t="s">
        <v>793</v>
      </c>
      <c r="B123" s="381"/>
      <c r="C123" s="381"/>
      <c r="D123" s="381"/>
      <c r="E123" s="381"/>
      <c r="F123" s="381"/>
      <c r="G123" s="713"/>
      <c r="H123" s="713"/>
      <c r="I123" s="713"/>
      <c r="J123" s="713"/>
      <c r="K123" s="713"/>
      <c r="L123" s="713"/>
      <c r="M123" s="713"/>
      <c r="N123" s="779">
        <v>344</v>
      </c>
      <c r="O123" s="780">
        <v>85786122</v>
      </c>
      <c r="P123" s="781">
        <v>40648</v>
      </c>
      <c r="Q123" s="780" t="s">
        <v>1081</v>
      </c>
      <c r="R123" s="780" t="s">
        <v>1082</v>
      </c>
      <c r="S123" s="780" t="s">
        <v>1083</v>
      </c>
      <c r="T123" s="396">
        <f t="shared" si="37"/>
        <v>158820</v>
      </c>
      <c r="U123" s="408"/>
      <c r="V123" s="408"/>
      <c r="W123" s="408"/>
      <c r="X123" s="408"/>
      <c r="Y123" s="408"/>
      <c r="Z123" s="408">
        <v>132350</v>
      </c>
      <c r="AA123" s="408">
        <f t="shared" si="38"/>
        <v>26470</v>
      </c>
      <c r="AB123" s="408"/>
      <c r="AC123" s="408"/>
      <c r="AD123" s="408"/>
      <c r="AE123" s="724"/>
    </row>
    <row r="124" spans="1:31" ht="15.75">
      <c r="A124" s="381" t="s">
        <v>785</v>
      </c>
      <c r="B124" s="381"/>
      <c r="C124" s="381"/>
      <c r="D124" s="381"/>
      <c r="E124" s="381"/>
      <c r="F124" s="381"/>
      <c r="G124" s="713"/>
      <c r="H124" s="713"/>
      <c r="I124" s="713"/>
      <c r="J124" s="713"/>
      <c r="K124" s="713"/>
      <c r="L124" s="713"/>
      <c r="M124" s="713"/>
      <c r="N124" s="779">
        <v>1491</v>
      </c>
      <c r="O124" s="780">
        <v>32831</v>
      </c>
      <c r="P124" s="781">
        <v>40649</v>
      </c>
      <c r="Q124" s="780" t="s">
        <v>1084</v>
      </c>
      <c r="R124" s="780" t="s">
        <v>1085</v>
      </c>
      <c r="S124" s="780" t="s">
        <v>1086</v>
      </c>
      <c r="T124" s="396">
        <f t="shared" si="37"/>
        <v>157455.6</v>
      </c>
      <c r="U124" s="408"/>
      <c r="V124" s="408"/>
      <c r="W124" s="408"/>
      <c r="X124" s="408"/>
      <c r="Y124" s="408"/>
      <c r="Z124" s="408">
        <v>131213</v>
      </c>
      <c r="AA124" s="408">
        <f t="shared" si="38"/>
        <v>26242.600000000002</v>
      </c>
      <c r="AB124" s="408"/>
      <c r="AC124" s="408"/>
      <c r="AD124" s="408"/>
      <c r="AE124" s="724"/>
    </row>
    <row r="125" spans="1:31" ht="15.75">
      <c r="A125" s="381" t="s">
        <v>792</v>
      </c>
      <c r="B125"/>
      <c r="C125"/>
      <c r="D125"/>
      <c r="E125"/>
      <c r="F125"/>
      <c r="G125" s="113"/>
      <c r="H125" s="113"/>
      <c r="I125" s="113"/>
      <c r="J125" s="113"/>
      <c r="K125" s="713"/>
      <c r="L125" s="713"/>
      <c r="M125" s="713"/>
      <c r="N125" s="780">
        <v>55635427</v>
      </c>
      <c r="O125" s="780">
        <v>55635427</v>
      </c>
      <c r="P125" s="781">
        <v>40651</v>
      </c>
      <c r="Q125" s="780" t="s">
        <v>987</v>
      </c>
      <c r="R125" s="780" t="s">
        <v>993</v>
      </c>
      <c r="S125" s="780" t="s">
        <v>988</v>
      </c>
      <c r="T125" s="396">
        <f t="shared" si="37"/>
        <v>309600</v>
      </c>
      <c r="U125" s="408"/>
      <c r="V125" s="408"/>
      <c r="W125" s="408"/>
      <c r="X125" s="408"/>
      <c r="Y125" s="408"/>
      <c r="Z125" s="408">
        <v>258000</v>
      </c>
      <c r="AA125" s="408">
        <f t="shared" si="38"/>
        <v>51600</v>
      </c>
      <c r="AB125" s="408"/>
      <c r="AC125" s="408"/>
      <c r="AD125" s="408"/>
      <c r="AE125" s="724"/>
    </row>
    <row r="126" spans="1:31" ht="15.75">
      <c r="N126" s="779">
        <v>15</v>
      </c>
      <c r="O126" s="780">
        <v>84240415</v>
      </c>
      <c r="P126" s="781">
        <v>40651</v>
      </c>
      <c r="Q126" s="780" t="s">
        <v>1087</v>
      </c>
      <c r="R126" s="780" t="s">
        <v>464</v>
      </c>
      <c r="S126" s="780" t="s">
        <v>999</v>
      </c>
      <c r="T126" s="396">
        <f t="shared" si="37"/>
        <v>270000</v>
      </c>
      <c r="U126" s="408"/>
      <c r="V126" s="408"/>
      <c r="W126" s="408"/>
      <c r="X126" s="408"/>
      <c r="Y126" s="408"/>
      <c r="Z126" s="408">
        <v>225000</v>
      </c>
      <c r="AA126" s="408">
        <f t="shared" si="38"/>
        <v>45000</v>
      </c>
      <c r="AB126" s="408"/>
      <c r="AC126" s="408"/>
      <c r="AD126" s="408"/>
      <c r="AE126" s="724"/>
    </row>
    <row r="127" spans="1:31" ht="15.75">
      <c r="N127" s="788">
        <v>193</v>
      </c>
      <c r="O127" s="789">
        <v>84685602</v>
      </c>
      <c r="P127" s="790">
        <v>40656</v>
      </c>
      <c r="Q127" s="780" t="s">
        <v>1075</v>
      </c>
      <c r="R127" s="780" t="s">
        <v>784</v>
      </c>
      <c r="S127" s="780" t="s">
        <v>986</v>
      </c>
      <c r="T127" s="396">
        <f t="shared" si="37"/>
        <v>252364.79999999999</v>
      </c>
      <c r="U127" s="408"/>
      <c r="V127" s="408"/>
      <c r="W127" s="408"/>
      <c r="X127" s="408"/>
      <c r="Y127" s="408"/>
      <c r="Z127" s="408">
        <v>210304</v>
      </c>
      <c r="AA127" s="408">
        <f t="shared" si="38"/>
        <v>42060.800000000003</v>
      </c>
      <c r="AB127" s="818"/>
      <c r="AC127" s="818"/>
      <c r="AD127" s="818"/>
      <c r="AE127" s="819"/>
    </row>
    <row r="128" spans="1:31" ht="15.75">
      <c r="N128" s="788">
        <v>155</v>
      </c>
      <c r="O128" s="789">
        <v>85276708</v>
      </c>
      <c r="P128" s="790">
        <v>40656</v>
      </c>
      <c r="Q128" s="780" t="s">
        <v>1078</v>
      </c>
      <c r="R128" s="780" t="s">
        <v>996</v>
      </c>
      <c r="S128" s="780" t="s">
        <v>1063</v>
      </c>
      <c r="T128" s="396">
        <f t="shared" si="37"/>
        <v>324060</v>
      </c>
      <c r="U128" s="408"/>
      <c r="V128" s="408"/>
      <c r="W128" s="408"/>
      <c r="X128" s="408"/>
      <c r="Y128" s="408"/>
      <c r="Z128" s="408">
        <v>270050</v>
      </c>
      <c r="AA128" s="408">
        <f t="shared" si="38"/>
        <v>54010</v>
      </c>
      <c r="AB128" s="818"/>
      <c r="AC128" s="818"/>
      <c r="AD128" s="818"/>
      <c r="AE128" s="819"/>
    </row>
    <row r="129" spans="1:31" ht="15.75">
      <c r="N129" s="788">
        <v>671</v>
      </c>
      <c r="O129" s="789">
        <v>85762871</v>
      </c>
      <c r="P129" s="790">
        <v>40627</v>
      </c>
      <c r="Q129" s="780" t="s">
        <v>995</v>
      </c>
      <c r="R129" s="780" t="s">
        <v>996</v>
      </c>
      <c r="S129" s="780" t="s">
        <v>997</v>
      </c>
      <c r="T129" s="396">
        <f t="shared" si="37"/>
        <v>290906.40000000002</v>
      </c>
      <c r="U129" s="408"/>
      <c r="V129" s="408"/>
      <c r="W129" s="408"/>
      <c r="X129" s="408"/>
      <c r="Y129" s="408"/>
      <c r="Z129" s="408">
        <v>242422</v>
      </c>
      <c r="AA129" s="408">
        <f t="shared" si="38"/>
        <v>48484.4</v>
      </c>
      <c r="AB129" s="818"/>
      <c r="AC129" s="818"/>
      <c r="AD129" s="818"/>
      <c r="AE129" s="819"/>
    </row>
    <row r="130" spans="1:31" ht="15.75">
      <c r="N130" s="788">
        <v>31</v>
      </c>
      <c r="O130" s="789">
        <v>67212632</v>
      </c>
      <c r="P130" s="790">
        <v>40658</v>
      </c>
      <c r="Q130" s="780" t="s">
        <v>1088</v>
      </c>
      <c r="R130" s="780" t="s">
        <v>464</v>
      </c>
      <c r="S130" s="780" t="s">
        <v>1089</v>
      </c>
      <c r="T130" s="396">
        <f t="shared" si="37"/>
        <v>296322</v>
      </c>
      <c r="U130" s="408"/>
      <c r="V130" s="408"/>
      <c r="W130" s="408"/>
      <c r="X130" s="408"/>
      <c r="Y130" s="408"/>
      <c r="Z130" s="408">
        <v>246935</v>
      </c>
      <c r="AA130" s="408">
        <f t="shared" si="38"/>
        <v>49387</v>
      </c>
      <c r="AB130" s="818"/>
      <c r="AC130" s="818"/>
      <c r="AD130" s="818"/>
      <c r="AE130" s="819"/>
    </row>
    <row r="131" spans="1:31" ht="15.75">
      <c r="N131" s="788">
        <v>33</v>
      </c>
      <c r="O131" s="789">
        <v>84242042</v>
      </c>
      <c r="P131" s="790">
        <v>40659</v>
      </c>
      <c r="Q131" s="780" t="s">
        <v>977</v>
      </c>
      <c r="R131" s="780" t="s">
        <v>464</v>
      </c>
      <c r="S131" s="780" t="s">
        <v>978</v>
      </c>
      <c r="T131" s="396">
        <f t="shared" si="37"/>
        <v>55700.4</v>
      </c>
      <c r="U131" s="408"/>
      <c r="V131" s="408"/>
      <c r="W131" s="408"/>
      <c r="X131" s="408"/>
      <c r="Y131" s="408"/>
      <c r="Z131" s="408">
        <v>46417</v>
      </c>
      <c r="AA131" s="408">
        <f t="shared" si="38"/>
        <v>9283.4</v>
      </c>
      <c r="AB131" s="818"/>
      <c r="AC131" s="818"/>
      <c r="AD131" s="818"/>
      <c r="AE131" s="819"/>
    </row>
    <row r="132" spans="1:31" ht="15.75">
      <c r="N132" s="788">
        <v>23</v>
      </c>
      <c r="O132" s="789">
        <v>84133023</v>
      </c>
      <c r="P132" s="790">
        <v>40661</v>
      </c>
      <c r="Q132" s="789" t="s">
        <v>1090</v>
      </c>
      <c r="R132" s="789" t="s">
        <v>993</v>
      </c>
      <c r="S132" s="789" t="s">
        <v>1091</v>
      </c>
      <c r="T132" s="396">
        <f t="shared" si="37"/>
        <v>150480</v>
      </c>
      <c r="U132" s="408"/>
      <c r="V132" s="408"/>
      <c r="W132" s="408"/>
      <c r="X132" s="408"/>
      <c r="Y132" s="408"/>
      <c r="Z132" s="408">
        <v>125400</v>
      </c>
      <c r="AA132" s="408">
        <f t="shared" si="38"/>
        <v>25080</v>
      </c>
      <c r="AB132" s="818"/>
      <c r="AC132" s="818"/>
      <c r="AD132" s="818"/>
      <c r="AE132" s="819"/>
    </row>
    <row r="133" spans="1:31" ht="16.5" thickBot="1">
      <c r="N133" s="792">
        <v>38</v>
      </c>
      <c r="O133" s="793">
        <v>84242047</v>
      </c>
      <c r="P133" s="794">
        <v>40649</v>
      </c>
      <c r="Q133" s="780" t="s">
        <v>977</v>
      </c>
      <c r="R133" s="780" t="s">
        <v>464</v>
      </c>
      <c r="S133" s="780" t="s">
        <v>978</v>
      </c>
      <c r="T133" s="396">
        <f t="shared" si="37"/>
        <v>87999.6</v>
      </c>
      <c r="U133" s="408"/>
      <c r="V133" s="408"/>
      <c r="W133" s="408"/>
      <c r="X133" s="408"/>
      <c r="Y133" s="408"/>
      <c r="Z133" s="408">
        <v>73333</v>
      </c>
      <c r="AA133" s="408">
        <f t="shared" si="38"/>
        <v>14666.6</v>
      </c>
      <c r="AB133" s="818"/>
      <c r="AC133" s="818"/>
      <c r="AD133" s="818"/>
      <c r="AE133" s="819"/>
    </row>
    <row r="134" spans="1:31" ht="16.5" thickBot="1">
      <c r="N134" s="1795" t="s">
        <v>757</v>
      </c>
      <c r="O134" s="1796"/>
      <c r="P134" s="1796"/>
      <c r="Q134" s="1796"/>
      <c r="R134" s="1796"/>
      <c r="S134" s="1797"/>
      <c r="T134" s="721">
        <f>SUM(T116:T133)</f>
        <v>4345058.3999999994</v>
      </c>
      <c r="U134" s="820">
        <f t="shared" ref="U134:AE134" si="39">SUM(U116:U133)</f>
        <v>0</v>
      </c>
      <c r="V134" s="820">
        <f t="shared" si="39"/>
        <v>0</v>
      </c>
      <c r="W134" s="820">
        <f t="shared" si="39"/>
        <v>0</v>
      </c>
      <c r="X134" s="820">
        <f t="shared" si="39"/>
        <v>0</v>
      </c>
      <c r="Y134" s="820">
        <f t="shared" si="39"/>
        <v>0</v>
      </c>
      <c r="Z134" s="820">
        <f t="shared" si="39"/>
        <v>3620882</v>
      </c>
      <c r="AA134" s="820">
        <f t="shared" si="39"/>
        <v>724176.4</v>
      </c>
      <c r="AB134" s="820">
        <f t="shared" si="39"/>
        <v>0</v>
      </c>
      <c r="AC134" s="820">
        <f t="shared" si="39"/>
        <v>0</v>
      </c>
      <c r="AD134" s="820">
        <f t="shared" si="39"/>
        <v>0</v>
      </c>
      <c r="AE134" s="820">
        <f t="shared" si="39"/>
        <v>0</v>
      </c>
    </row>
    <row r="135" spans="1:31" ht="16.5" thickBot="1">
      <c r="N135" s="1798" t="s">
        <v>758</v>
      </c>
      <c r="O135" s="1799"/>
      <c r="P135" s="1799"/>
      <c r="Q135" s="1799"/>
      <c r="R135" s="1799"/>
      <c r="S135" s="1799"/>
      <c r="T135" s="1799"/>
      <c r="U135" s="821" t="s">
        <v>765</v>
      </c>
      <c r="V135" s="821" t="s">
        <v>766</v>
      </c>
      <c r="W135" s="821" t="s">
        <v>767</v>
      </c>
      <c r="X135" s="821" t="s">
        <v>768</v>
      </c>
      <c r="Y135" s="821" t="s">
        <v>769</v>
      </c>
      <c r="Z135" s="821" t="s">
        <v>786</v>
      </c>
      <c r="AA135" s="821" t="s">
        <v>787</v>
      </c>
      <c r="AB135" s="821" t="s">
        <v>788</v>
      </c>
      <c r="AC135" s="821" t="s">
        <v>789</v>
      </c>
      <c r="AD135" s="821" t="s">
        <v>790</v>
      </c>
      <c r="AE135" s="822" t="s">
        <v>791</v>
      </c>
    </row>
    <row r="136" spans="1:31" ht="15.75">
      <c r="N136" s="381"/>
      <c r="O136" s="381"/>
      <c r="P136" s="381"/>
      <c r="Q136" s="381"/>
      <c r="R136" s="381"/>
      <c r="S136" s="381"/>
      <c r="T136" s="713"/>
      <c r="U136" s="812"/>
      <c r="V136" s="812"/>
      <c r="W136" s="812"/>
      <c r="X136" s="812"/>
      <c r="Y136" s="812"/>
      <c r="Z136" s="812"/>
      <c r="AA136" s="812"/>
      <c r="AB136" s="812"/>
      <c r="AC136" s="812"/>
      <c r="AD136" s="812"/>
      <c r="AE136" s="812"/>
    </row>
    <row r="137" spans="1:31" ht="19.5">
      <c r="A137" s="380" t="s">
        <v>727</v>
      </c>
      <c r="B137" s="381"/>
      <c r="C137" s="381"/>
      <c r="D137" s="381"/>
      <c r="E137" s="381"/>
      <c r="F137" s="381"/>
      <c r="G137" s="713"/>
      <c r="H137" s="713"/>
      <c r="I137" s="713"/>
      <c r="J137" s="713"/>
      <c r="K137" s="713"/>
      <c r="L137" s="713"/>
      <c r="M137" s="713"/>
      <c r="N137" s="380" t="s">
        <v>728</v>
      </c>
      <c r="O137" s="381"/>
      <c r="P137" s="381"/>
      <c r="Q137" s="381"/>
      <c r="R137" s="381"/>
      <c r="S137" s="381"/>
      <c r="T137" s="713"/>
      <c r="U137" s="812"/>
      <c r="V137" s="812"/>
      <c r="W137" s="812"/>
      <c r="X137" s="812"/>
      <c r="Y137" s="812"/>
      <c r="Z137" s="812"/>
      <c r="AA137" s="812"/>
      <c r="AB137" s="812"/>
      <c r="AC137" s="812"/>
      <c r="AD137" s="812"/>
      <c r="AE137" s="812"/>
    </row>
    <row r="138" spans="1:31" ht="15.75" customHeight="1">
      <c r="A138" s="383" t="s">
        <v>729</v>
      </c>
      <c r="B138" s="383"/>
      <c r="C138" s="777" t="s">
        <v>973</v>
      </c>
      <c r="D138" s="381"/>
      <c r="E138" s="381"/>
      <c r="F138" s="381"/>
      <c r="G138" s="713"/>
      <c r="H138" s="713"/>
      <c r="I138" s="713"/>
      <c r="J138" s="713"/>
      <c r="K138" s="713"/>
      <c r="L138" s="713"/>
      <c r="M138" s="713"/>
      <c r="N138" s="383" t="s">
        <v>729</v>
      </c>
      <c r="O138" s="383"/>
      <c r="P138" s="777" t="s">
        <v>973</v>
      </c>
      <c r="Q138" s="381"/>
      <c r="R138" s="381"/>
      <c r="S138" s="381"/>
      <c r="T138" s="713"/>
      <c r="U138" s="812"/>
      <c r="V138" s="812"/>
      <c r="W138" s="812"/>
      <c r="X138" s="812"/>
      <c r="Y138" s="812"/>
      <c r="Z138" s="812"/>
      <c r="AA138" s="812"/>
      <c r="AB138" s="812"/>
      <c r="AC138" s="812"/>
      <c r="AD138" s="812"/>
      <c r="AE138" s="812"/>
    </row>
    <row r="139" spans="1:31" ht="15.75" customHeight="1">
      <c r="A139" s="383" t="s">
        <v>401</v>
      </c>
      <c r="B139" s="383"/>
      <c r="C139" s="777" t="s">
        <v>974</v>
      </c>
      <c r="D139" s="381"/>
      <c r="E139" s="381"/>
      <c r="F139" s="381"/>
      <c r="G139" s="713"/>
      <c r="H139" s="713"/>
      <c r="I139" s="713"/>
      <c r="J139" s="713"/>
      <c r="K139" s="713"/>
      <c r="L139" s="713"/>
      <c r="M139" s="713"/>
      <c r="N139" s="383" t="s">
        <v>401</v>
      </c>
      <c r="O139" s="383"/>
      <c r="P139" s="777" t="s">
        <v>974</v>
      </c>
      <c r="Q139" s="381"/>
      <c r="R139" s="381"/>
      <c r="S139" s="381"/>
      <c r="T139" s="713"/>
      <c r="U139" s="812"/>
      <c r="V139" s="812"/>
      <c r="W139" s="812"/>
      <c r="X139" s="812"/>
      <c r="Y139" s="812"/>
      <c r="Z139" s="812"/>
      <c r="AA139" s="812"/>
      <c r="AB139" s="812"/>
      <c r="AC139" s="812"/>
      <c r="AD139" s="812"/>
      <c r="AE139" s="812"/>
    </row>
    <row r="140" spans="1:31" ht="15.75" customHeight="1">
      <c r="A140" s="383" t="s">
        <v>730</v>
      </c>
      <c r="B140" s="383"/>
      <c r="C140" s="384" t="s">
        <v>731</v>
      </c>
      <c r="D140" s="381"/>
      <c r="E140" s="381"/>
      <c r="F140" s="381"/>
      <c r="G140" s="713"/>
      <c r="H140" s="713"/>
      <c r="I140" s="713"/>
      <c r="J140" s="713"/>
      <c r="K140" s="713"/>
      <c r="L140" s="713"/>
      <c r="M140" s="713"/>
      <c r="N140" s="383" t="s">
        <v>730</v>
      </c>
      <c r="O140" s="383"/>
      <c r="P140" s="384" t="s">
        <v>731</v>
      </c>
      <c r="Q140" s="381"/>
      <c r="R140" s="381"/>
      <c r="S140" s="381"/>
      <c r="T140" s="713"/>
      <c r="U140" s="812"/>
      <c r="V140" s="812"/>
      <c r="W140" s="812"/>
      <c r="X140" s="812"/>
      <c r="Y140" s="812"/>
      <c r="Z140" s="812"/>
      <c r="AA140" s="812"/>
      <c r="AB140" s="812"/>
      <c r="AC140" s="812"/>
      <c r="AD140" s="812"/>
      <c r="AE140" s="812"/>
    </row>
    <row r="141" spans="1:31" ht="15.75" customHeight="1">
      <c r="A141" s="383" t="s">
        <v>169</v>
      </c>
      <c r="B141" s="383"/>
      <c r="C141" s="384" t="s">
        <v>968</v>
      </c>
      <c r="D141" s="381"/>
      <c r="E141" s="381"/>
      <c r="F141" s="381"/>
      <c r="G141" s="713"/>
      <c r="H141" s="713"/>
      <c r="I141" s="713"/>
      <c r="J141" s="713"/>
      <c r="K141" s="713"/>
      <c r="L141" s="713"/>
      <c r="M141" s="713"/>
      <c r="N141" s="383" t="s">
        <v>169</v>
      </c>
      <c r="O141" s="383"/>
      <c r="P141" s="384" t="s">
        <v>968</v>
      </c>
      <c r="Q141" s="381"/>
      <c r="R141" s="381"/>
      <c r="S141" s="381"/>
      <c r="T141" s="713"/>
      <c r="U141" s="812"/>
      <c r="V141" s="812"/>
      <c r="W141" s="812"/>
      <c r="X141" s="812"/>
      <c r="Y141" s="812"/>
      <c r="Z141" s="812"/>
      <c r="AA141" s="812"/>
      <c r="AB141" s="812"/>
      <c r="AC141" s="812"/>
      <c r="AD141" s="812"/>
      <c r="AE141" s="812"/>
    </row>
    <row r="142" spans="1:31" ht="15.75" customHeight="1" thickBot="1">
      <c r="A142" s="383"/>
      <c r="B142" s="383"/>
      <c r="C142" s="381"/>
      <c r="D142" s="381"/>
      <c r="E142" s="381"/>
      <c r="F142" s="381"/>
      <c r="G142" s="713"/>
      <c r="H142" s="713"/>
      <c r="I142" s="713"/>
      <c r="J142" s="713"/>
      <c r="K142" s="713"/>
      <c r="L142" s="713"/>
      <c r="M142" s="713"/>
      <c r="N142" s="383"/>
      <c r="O142" s="383"/>
      <c r="P142" s="381"/>
      <c r="Q142" s="381"/>
      <c r="R142" s="381"/>
      <c r="S142" s="381"/>
      <c r="T142" s="713"/>
      <c r="U142" s="812"/>
      <c r="V142" s="812"/>
      <c r="W142" s="812"/>
      <c r="X142" s="812"/>
      <c r="Y142" s="812"/>
      <c r="Z142" s="812"/>
      <c r="AA142" s="812"/>
      <c r="AB142" s="812"/>
      <c r="AC142" s="812"/>
      <c r="AD142" s="812"/>
      <c r="AE142" s="812"/>
    </row>
    <row r="143" spans="1:31" ht="15.75" customHeight="1" thickBot="1">
      <c r="A143" s="381" t="s">
        <v>733</v>
      </c>
      <c r="B143" s="385"/>
      <c r="C143" s="381" t="s">
        <v>771</v>
      </c>
      <c r="D143" s="381"/>
      <c r="E143" s="381"/>
      <c r="F143" s="381"/>
      <c r="G143" s="713"/>
      <c r="H143" s="713"/>
      <c r="I143" s="713"/>
      <c r="J143" s="713"/>
      <c r="K143" s="713"/>
      <c r="L143" s="713"/>
      <c r="M143" s="713"/>
      <c r="N143" s="381" t="s">
        <v>733</v>
      </c>
      <c r="O143" s="385"/>
      <c r="P143" s="381" t="s">
        <v>771</v>
      </c>
      <c r="Q143" s="381"/>
      <c r="R143" s="381"/>
      <c r="S143" s="381"/>
      <c r="T143" s="713"/>
      <c r="U143" s="812"/>
      <c r="V143" s="812"/>
      <c r="W143" s="812"/>
      <c r="X143" s="812"/>
      <c r="Y143" s="812"/>
      <c r="Z143" s="812"/>
      <c r="AA143" s="812"/>
      <c r="AB143" s="812"/>
      <c r="AC143" s="812"/>
      <c r="AD143" s="812"/>
      <c r="AE143" s="812"/>
    </row>
    <row r="144" spans="1:31" ht="15.75" customHeight="1" thickBot="1">
      <c r="A144" s="381"/>
      <c r="B144" s="381"/>
      <c r="C144" s="381"/>
      <c r="D144" s="381"/>
      <c r="E144" s="381"/>
      <c r="F144" s="381"/>
      <c r="G144" s="713"/>
      <c r="H144" s="713"/>
      <c r="I144" s="713"/>
      <c r="J144" s="713"/>
      <c r="K144" s="713"/>
      <c r="L144" s="713"/>
      <c r="M144" s="713"/>
      <c r="N144" s="381"/>
      <c r="O144" s="381"/>
      <c r="P144" s="383"/>
      <c r="Q144" s="381"/>
      <c r="R144" s="381"/>
      <c r="S144" s="381"/>
      <c r="T144" s="713"/>
      <c r="U144" s="812"/>
      <c r="V144" s="812"/>
      <c r="W144" s="812"/>
      <c r="X144" s="812"/>
      <c r="Y144" s="812"/>
      <c r="Z144" s="812"/>
      <c r="AA144" s="812"/>
      <c r="AB144" s="812"/>
      <c r="AC144" s="812"/>
      <c r="AD144" s="812"/>
      <c r="AE144" s="812"/>
    </row>
    <row r="145" spans="1:31" ht="16.5" thickBot="1">
      <c r="A145" s="1813" t="s">
        <v>734</v>
      </c>
      <c r="B145" s="1814"/>
      <c r="C145" s="1815"/>
      <c r="D145" s="1813" t="s">
        <v>735</v>
      </c>
      <c r="E145" s="1814"/>
      <c r="F145" s="1815"/>
      <c r="G145" s="1834" t="s">
        <v>736</v>
      </c>
      <c r="H145" s="1834" t="s">
        <v>737</v>
      </c>
      <c r="I145" s="1834" t="s">
        <v>738</v>
      </c>
      <c r="J145" s="1837" t="s">
        <v>772</v>
      </c>
      <c r="K145" s="1840"/>
      <c r="L145" s="1837" t="s">
        <v>773</v>
      </c>
      <c r="M145" s="1840"/>
      <c r="N145" s="1800" t="s">
        <v>734</v>
      </c>
      <c r="O145" s="1801"/>
      <c r="P145" s="1802"/>
      <c r="Q145" s="1800" t="s">
        <v>739</v>
      </c>
      <c r="R145" s="1801"/>
      <c r="S145" s="1802"/>
      <c r="T145" s="1834" t="s">
        <v>740</v>
      </c>
      <c r="U145" s="823" t="s">
        <v>741</v>
      </c>
      <c r="V145" s="824"/>
      <c r="W145" s="824"/>
      <c r="X145" s="824"/>
      <c r="Y145" s="824"/>
      <c r="Z145" s="824"/>
      <c r="AA145" s="824"/>
      <c r="AB145" s="824"/>
      <c r="AC145" s="824"/>
      <c r="AD145" s="824"/>
      <c r="AE145" s="825"/>
    </row>
    <row r="146" spans="1:31" ht="16.5" thickBot="1">
      <c r="A146" s="1816"/>
      <c r="B146" s="1817"/>
      <c r="C146" s="1818"/>
      <c r="D146" s="1816"/>
      <c r="E146" s="1817"/>
      <c r="F146" s="1818"/>
      <c r="G146" s="1835"/>
      <c r="H146" s="1835"/>
      <c r="I146" s="1835"/>
      <c r="J146" s="1839"/>
      <c r="K146" s="1841"/>
      <c r="L146" s="1839"/>
      <c r="M146" s="1841"/>
      <c r="N146" s="1809" t="s">
        <v>742</v>
      </c>
      <c r="O146" s="1809" t="s">
        <v>743</v>
      </c>
      <c r="P146" s="1809" t="s">
        <v>744</v>
      </c>
      <c r="Q146" s="1809" t="s">
        <v>745</v>
      </c>
      <c r="R146" s="1809" t="s">
        <v>746</v>
      </c>
      <c r="S146" s="1809" t="s">
        <v>747</v>
      </c>
      <c r="T146" s="1835"/>
      <c r="U146" s="1793" t="s">
        <v>748</v>
      </c>
      <c r="V146" s="1790" t="s">
        <v>774</v>
      </c>
      <c r="W146" s="1812"/>
      <c r="X146" s="1790" t="s">
        <v>775</v>
      </c>
      <c r="Y146" s="1812"/>
      <c r="Z146" s="1790" t="s">
        <v>776</v>
      </c>
      <c r="AA146" s="1791"/>
      <c r="AB146" s="1790" t="s">
        <v>777</v>
      </c>
      <c r="AC146" s="1791"/>
      <c r="AD146" s="1790" t="s">
        <v>749</v>
      </c>
      <c r="AE146" s="1791"/>
    </row>
    <row r="147" spans="1:31" ht="79.5" thickBot="1">
      <c r="A147" s="386" t="s">
        <v>742</v>
      </c>
      <c r="B147" s="387" t="s">
        <v>743</v>
      </c>
      <c r="C147" s="388" t="s">
        <v>744</v>
      </c>
      <c r="D147" s="771" t="s">
        <v>750</v>
      </c>
      <c r="E147" s="770" t="s">
        <v>746</v>
      </c>
      <c r="F147" s="389" t="s">
        <v>394</v>
      </c>
      <c r="G147" s="1836"/>
      <c r="H147" s="1836"/>
      <c r="I147" s="1836"/>
      <c r="J147" s="760" t="s">
        <v>751</v>
      </c>
      <c r="K147" s="768" t="s">
        <v>752</v>
      </c>
      <c r="L147" s="760" t="s">
        <v>751</v>
      </c>
      <c r="M147" s="768" t="s">
        <v>752</v>
      </c>
      <c r="N147" s="1810"/>
      <c r="O147" s="1810"/>
      <c r="P147" s="1810"/>
      <c r="Q147" s="1810"/>
      <c r="R147" s="1810"/>
      <c r="S147" s="1810"/>
      <c r="T147" s="1836"/>
      <c r="U147" s="1794"/>
      <c r="V147" s="813" t="s">
        <v>751</v>
      </c>
      <c r="W147" s="814" t="s">
        <v>752</v>
      </c>
      <c r="X147" s="813" t="s">
        <v>751</v>
      </c>
      <c r="Y147" s="814" t="s">
        <v>752</v>
      </c>
      <c r="Z147" s="815" t="s">
        <v>753</v>
      </c>
      <c r="AA147" s="815" t="s">
        <v>754</v>
      </c>
      <c r="AB147" s="815" t="s">
        <v>753</v>
      </c>
      <c r="AC147" s="815" t="s">
        <v>754</v>
      </c>
      <c r="AD147" s="815" t="s">
        <v>753</v>
      </c>
      <c r="AE147" s="815" t="s">
        <v>754</v>
      </c>
    </row>
    <row r="148" spans="1:31" ht="27" customHeight="1" thickBot="1">
      <c r="A148" s="390" t="s">
        <v>499</v>
      </c>
      <c r="B148" s="391" t="s">
        <v>500</v>
      </c>
      <c r="C148" s="391" t="s">
        <v>538</v>
      </c>
      <c r="D148" s="391" t="s">
        <v>560</v>
      </c>
      <c r="E148" s="391" t="s">
        <v>562</v>
      </c>
      <c r="F148" s="391" t="s">
        <v>574</v>
      </c>
      <c r="G148" s="761" t="s">
        <v>778</v>
      </c>
      <c r="H148" s="761" t="s">
        <v>578</v>
      </c>
      <c r="I148" s="762" t="s">
        <v>580</v>
      </c>
      <c r="J148" s="761" t="s">
        <v>582</v>
      </c>
      <c r="K148" s="763" t="s">
        <v>584</v>
      </c>
      <c r="L148" s="761" t="s">
        <v>586</v>
      </c>
      <c r="M148" s="763" t="s">
        <v>590</v>
      </c>
      <c r="N148" s="401" t="s">
        <v>499</v>
      </c>
      <c r="O148" s="402" t="s">
        <v>500</v>
      </c>
      <c r="P148" s="402" t="s">
        <v>538</v>
      </c>
      <c r="Q148" s="402" t="s">
        <v>560</v>
      </c>
      <c r="R148" s="402" t="s">
        <v>562</v>
      </c>
      <c r="S148" s="402" t="s">
        <v>574</v>
      </c>
      <c r="T148" s="765" t="s">
        <v>779</v>
      </c>
      <c r="U148" s="816" t="s">
        <v>578</v>
      </c>
      <c r="V148" s="816" t="s">
        <v>580</v>
      </c>
      <c r="W148" s="816" t="s">
        <v>582</v>
      </c>
      <c r="X148" s="816" t="s">
        <v>584</v>
      </c>
      <c r="Y148" s="816" t="s">
        <v>586</v>
      </c>
      <c r="Z148" s="816" t="s">
        <v>590</v>
      </c>
      <c r="AA148" s="816" t="s">
        <v>755</v>
      </c>
      <c r="AB148" s="816" t="s">
        <v>780</v>
      </c>
      <c r="AC148" s="816" t="s">
        <v>781</v>
      </c>
      <c r="AD148" s="816" t="s">
        <v>782</v>
      </c>
      <c r="AE148" s="817" t="s">
        <v>783</v>
      </c>
    </row>
    <row r="149" spans="1:31" ht="16.5" thickBot="1">
      <c r="A149" s="779">
        <v>27</v>
      </c>
      <c r="B149" s="780">
        <v>67015827</v>
      </c>
      <c r="C149" s="781">
        <v>40694</v>
      </c>
      <c r="D149" s="780" t="s">
        <v>973</v>
      </c>
      <c r="E149" s="780" t="s">
        <v>464</v>
      </c>
      <c r="F149" s="780" t="s">
        <v>974</v>
      </c>
      <c r="G149" s="396">
        <f>J149+K149</f>
        <v>7573701.5999999996</v>
      </c>
      <c r="H149" s="396"/>
      <c r="I149" s="396"/>
      <c r="J149" s="396">
        <v>6311418</v>
      </c>
      <c r="K149" s="397">
        <f>J149*0.2</f>
        <v>1262283.6000000001</v>
      </c>
      <c r="L149" s="396"/>
      <c r="M149" s="397"/>
      <c r="N149" s="779">
        <v>199</v>
      </c>
      <c r="O149" s="780">
        <v>84685608</v>
      </c>
      <c r="P149" s="781">
        <v>40663</v>
      </c>
      <c r="Q149" s="780" t="s">
        <v>985</v>
      </c>
      <c r="R149" s="780" t="s">
        <v>784</v>
      </c>
      <c r="S149" s="780" t="s">
        <v>986</v>
      </c>
      <c r="T149" s="396">
        <f>Z149+AA149</f>
        <v>166287.6</v>
      </c>
      <c r="U149" s="408"/>
      <c r="V149" s="408"/>
      <c r="W149" s="408"/>
      <c r="X149" s="408"/>
      <c r="Y149" s="408"/>
      <c r="Z149" s="408">
        <v>138573</v>
      </c>
      <c r="AA149" s="408">
        <f>Z149*0.2</f>
        <v>27714.600000000002</v>
      </c>
      <c r="AB149" s="408"/>
      <c r="AC149" s="408"/>
      <c r="AD149" s="408"/>
      <c r="AE149" s="724"/>
    </row>
    <row r="150" spans="1:31" ht="16.5" thickBot="1">
      <c r="A150" s="1795" t="s">
        <v>757</v>
      </c>
      <c r="B150" s="1796"/>
      <c r="C150" s="1796"/>
      <c r="D150" s="1796"/>
      <c r="E150" s="1796"/>
      <c r="F150" s="1797"/>
      <c r="G150" s="398">
        <f>SUM(G149)</f>
        <v>7573701.5999999996</v>
      </c>
      <c r="H150" s="398">
        <f t="shared" ref="H150:M150" si="40">SUM(H149)</f>
        <v>0</v>
      </c>
      <c r="I150" s="398">
        <f t="shared" si="40"/>
        <v>0</v>
      </c>
      <c r="J150" s="398">
        <f t="shared" si="40"/>
        <v>6311418</v>
      </c>
      <c r="K150" s="398">
        <f t="shared" si="40"/>
        <v>1262283.6000000001</v>
      </c>
      <c r="L150" s="398">
        <f t="shared" si="40"/>
        <v>0</v>
      </c>
      <c r="M150" s="398">
        <f t="shared" si="40"/>
        <v>0</v>
      </c>
      <c r="N150" s="779">
        <v>1779</v>
      </c>
      <c r="O150" s="780">
        <v>33110</v>
      </c>
      <c r="P150" s="781">
        <v>40665</v>
      </c>
      <c r="Q150" s="780" t="s">
        <v>1084</v>
      </c>
      <c r="R150" s="780" t="s">
        <v>1085</v>
      </c>
      <c r="S150" s="780" t="s">
        <v>1086</v>
      </c>
      <c r="T150" s="396">
        <f t="shared" ref="T150:T183" si="41">Z150+AA150</f>
        <v>166432.79999999999</v>
      </c>
      <c r="U150" s="408"/>
      <c r="V150" s="408"/>
      <c r="W150" s="408"/>
      <c r="X150" s="408"/>
      <c r="Y150" s="408"/>
      <c r="Z150" s="408">
        <v>138694</v>
      </c>
      <c r="AA150" s="408">
        <f t="shared" ref="AA150:AA183" si="42">Z150*0.2</f>
        <v>27738.800000000003</v>
      </c>
      <c r="AB150" s="408"/>
      <c r="AC150" s="408"/>
      <c r="AD150" s="408"/>
      <c r="AE150" s="724"/>
    </row>
    <row r="151" spans="1:31" ht="16.5" thickBot="1">
      <c r="A151" s="1798" t="s">
        <v>758</v>
      </c>
      <c r="B151" s="1799"/>
      <c r="C151" s="1799"/>
      <c r="D151" s="1799"/>
      <c r="E151" s="1799"/>
      <c r="F151" s="1799"/>
      <c r="G151" s="1799"/>
      <c r="H151" s="718" t="s">
        <v>759</v>
      </c>
      <c r="I151" s="719" t="s">
        <v>760</v>
      </c>
      <c r="J151" s="718" t="s">
        <v>761</v>
      </c>
      <c r="K151" s="764" t="s">
        <v>762</v>
      </c>
      <c r="L151" s="718" t="s">
        <v>763</v>
      </c>
      <c r="M151" s="764" t="s">
        <v>764</v>
      </c>
      <c r="N151" s="779">
        <v>1780</v>
      </c>
      <c r="O151" s="780">
        <v>33111</v>
      </c>
      <c r="P151" s="781">
        <v>40665</v>
      </c>
      <c r="Q151" s="780" t="s">
        <v>1084</v>
      </c>
      <c r="R151" s="780" t="s">
        <v>1085</v>
      </c>
      <c r="S151" s="780" t="s">
        <v>1086</v>
      </c>
      <c r="T151" s="396">
        <f t="shared" si="41"/>
        <v>179235.6</v>
      </c>
      <c r="U151" s="408"/>
      <c r="V151" s="408"/>
      <c r="W151" s="408"/>
      <c r="X151" s="408"/>
      <c r="Y151" s="408"/>
      <c r="Z151" s="408">
        <v>149363</v>
      </c>
      <c r="AA151" s="408">
        <f t="shared" si="42"/>
        <v>29872.600000000002</v>
      </c>
      <c r="AB151" s="408"/>
      <c r="AC151" s="408"/>
      <c r="AD151" s="408"/>
      <c r="AE151" s="724"/>
    </row>
    <row r="152" spans="1:31" ht="15.75">
      <c r="A152" s="381"/>
      <c r="B152" s="381"/>
      <c r="C152" s="381"/>
      <c r="D152" s="381"/>
      <c r="E152" s="381"/>
      <c r="F152" s="381"/>
      <c r="G152" s="713"/>
      <c r="H152" s="713"/>
      <c r="I152" s="713"/>
      <c r="J152" s="713"/>
      <c r="K152" s="713"/>
      <c r="L152" s="713"/>
      <c r="M152" s="713"/>
      <c r="N152" s="779">
        <v>1781</v>
      </c>
      <c r="O152" s="780">
        <v>33112</v>
      </c>
      <c r="P152" s="781">
        <v>40665</v>
      </c>
      <c r="Q152" s="780" t="s">
        <v>1084</v>
      </c>
      <c r="R152" s="780" t="s">
        <v>1085</v>
      </c>
      <c r="S152" s="780" t="s">
        <v>1086</v>
      </c>
      <c r="T152" s="396">
        <f t="shared" si="41"/>
        <v>160032</v>
      </c>
      <c r="U152" s="408"/>
      <c r="V152" s="408"/>
      <c r="W152" s="408"/>
      <c r="X152" s="408"/>
      <c r="Y152" s="408"/>
      <c r="Z152" s="408">
        <v>133360</v>
      </c>
      <c r="AA152" s="408">
        <f t="shared" si="42"/>
        <v>26672</v>
      </c>
      <c r="AB152" s="408"/>
      <c r="AC152" s="408"/>
      <c r="AD152" s="408"/>
      <c r="AE152" s="724"/>
    </row>
    <row r="153" spans="1:31" ht="15.75">
      <c r="A153" s="381"/>
      <c r="B153" s="381"/>
      <c r="C153" s="381"/>
      <c r="D153" s="381"/>
      <c r="E153" s="381"/>
      <c r="F153" s="381"/>
      <c r="G153" s="713"/>
      <c r="H153" s="713"/>
      <c r="I153" s="713"/>
      <c r="J153" s="713"/>
      <c r="K153" s="713"/>
      <c r="L153" s="713"/>
      <c r="M153" s="713"/>
      <c r="N153" s="779">
        <v>1783</v>
      </c>
      <c r="O153" s="780">
        <v>33114</v>
      </c>
      <c r="P153" s="781">
        <v>40665</v>
      </c>
      <c r="Q153" s="780" t="s">
        <v>1084</v>
      </c>
      <c r="R153" s="780" t="s">
        <v>1085</v>
      </c>
      <c r="S153" s="780" t="s">
        <v>1086</v>
      </c>
      <c r="T153" s="396">
        <f t="shared" si="41"/>
        <v>153631.20000000001</v>
      </c>
      <c r="U153" s="408"/>
      <c r="V153" s="408"/>
      <c r="W153" s="408"/>
      <c r="X153" s="408"/>
      <c r="Y153" s="408"/>
      <c r="Z153" s="408">
        <v>128026</v>
      </c>
      <c r="AA153" s="408">
        <f t="shared" si="42"/>
        <v>25605.200000000001</v>
      </c>
      <c r="AB153" s="408"/>
      <c r="AC153" s="408"/>
      <c r="AD153" s="408"/>
      <c r="AE153" s="724"/>
    </row>
    <row r="154" spans="1:31" ht="15.75">
      <c r="A154" s="381"/>
      <c r="B154" s="381"/>
      <c r="C154" s="381"/>
      <c r="D154" s="381"/>
      <c r="E154" s="381"/>
      <c r="F154" s="381"/>
      <c r="G154" s="713"/>
      <c r="H154" s="713"/>
      <c r="I154" s="713"/>
      <c r="J154" s="720" t="s">
        <v>951</v>
      </c>
      <c r="K154" s="713"/>
      <c r="L154" s="713"/>
      <c r="M154" s="713"/>
      <c r="N154" s="779">
        <v>1793</v>
      </c>
      <c r="O154" s="780">
        <v>33124</v>
      </c>
      <c r="P154" s="781">
        <v>40666</v>
      </c>
      <c r="Q154" s="780" t="s">
        <v>1084</v>
      </c>
      <c r="R154" s="780" t="s">
        <v>1085</v>
      </c>
      <c r="S154" s="780" t="s">
        <v>1086</v>
      </c>
      <c r="T154" s="396">
        <f t="shared" si="41"/>
        <v>153631.20000000001</v>
      </c>
      <c r="U154" s="408"/>
      <c r="V154" s="408"/>
      <c r="W154" s="408"/>
      <c r="X154" s="408"/>
      <c r="Y154" s="408"/>
      <c r="Z154" s="408">
        <v>128026</v>
      </c>
      <c r="AA154" s="408">
        <f t="shared" si="42"/>
        <v>25605.200000000001</v>
      </c>
      <c r="AB154" s="408"/>
      <c r="AC154" s="408"/>
      <c r="AD154" s="408"/>
      <c r="AE154" s="724"/>
    </row>
    <row r="155" spans="1:31" ht="15.75">
      <c r="A155" s="381"/>
      <c r="B155" s="381"/>
      <c r="C155" s="381"/>
      <c r="D155" s="381"/>
      <c r="E155" s="381"/>
      <c r="F155" s="381"/>
      <c r="G155" s="713"/>
      <c r="H155" s="713"/>
      <c r="I155" s="713"/>
      <c r="J155" s="713"/>
      <c r="K155" s="713"/>
      <c r="L155" s="713"/>
      <c r="M155" s="713"/>
      <c r="N155" s="779">
        <v>1794</v>
      </c>
      <c r="O155" s="780">
        <v>33125</v>
      </c>
      <c r="P155" s="781">
        <v>40666</v>
      </c>
      <c r="Q155" s="780" t="s">
        <v>1084</v>
      </c>
      <c r="R155" s="780" t="s">
        <v>1085</v>
      </c>
      <c r="S155" s="780" t="s">
        <v>1086</v>
      </c>
      <c r="T155" s="396">
        <f t="shared" si="41"/>
        <v>166432.79999999999</v>
      </c>
      <c r="U155" s="408"/>
      <c r="V155" s="408"/>
      <c r="W155" s="408"/>
      <c r="X155" s="408"/>
      <c r="Y155" s="408"/>
      <c r="Z155" s="408">
        <v>138694</v>
      </c>
      <c r="AA155" s="408">
        <f t="shared" si="42"/>
        <v>27738.800000000003</v>
      </c>
      <c r="AB155" s="408"/>
      <c r="AC155" s="408"/>
      <c r="AD155" s="408"/>
      <c r="AE155" s="724"/>
    </row>
    <row r="156" spans="1:31" ht="15.75">
      <c r="A156" s="381" t="s">
        <v>793</v>
      </c>
      <c r="B156" s="381"/>
      <c r="C156" s="381"/>
      <c r="D156" s="381"/>
      <c r="E156" s="381"/>
      <c r="F156" s="381"/>
      <c r="G156" s="713"/>
      <c r="H156" s="713"/>
      <c r="I156" s="713"/>
      <c r="J156" s="713"/>
      <c r="K156" s="713"/>
      <c r="L156" s="713"/>
      <c r="M156" s="713"/>
      <c r="N156" s="779">
        <v>1795</v>
      </c>
      <c r="O156" s="780">
        <v>33126</v>
      </c>
      <c r="P156" s="781">
        <v>40666</v>
      </c>
      <c r="Q156" s="780" t="s">
        <v>1084</v>
      </c>
      <c r="R156" s="780" t="s">
        <v>1085</v>
      </c>
      <c r="S156" s="780" t="s">
        <v>1086</v>
      </c>
      <c r="T156" s="396">
        <f t="shared" si="41"/>
        <v>166432.79999999999</v>
      </c>
      <c r="U156" s="408"/>
      <c r="V156" s="408"/>
      <c r="W156" s="408"/>
      <c r="X156" s="408"/>
      <c r="Y156" s="408"/>
      <c r="Z156" s="408">
        <v>138694</v>
      </c>
      <c r="AA156" s="408">
        <f t="shared" si="42"/>
        <v>27738.800000000003</v>
      </c>
      <c r="AB156" s="408"/>
      <c r="AC156" s="408"/>
      <c r="AD156" s="408"/>
      <c r="AE156" s="724"/>
    </row>
    <row r="157" spans="1:31" ht="15.75">
      <c r="A157" s="381" t="s">
        <v>785</v>
      </c>
      <c r="B157" s="381"/>
      <c r="C157" s="381"/>
      <c r="D157" s="381"/>
      <c r="E157" s="381"/>
      <c r="F157" s="381"/>
      <c r="G157" s="713"/>
      <c r="H157" s="713"/>
      <c r="I157" s="713"/>
      <c r="J157" s="713"/>
      <c r="K157" s="713"/>
      <c r="L157" s="713"/>
      <c r="M157" s="713"/>
      <c r="N157" s="779">
        <v>1798</v>
      </c>
      <c r="O157" s="780">
        <v>33129</v>
      </c>
      <c r="P157" s="781">
        <v>40666</v>
      </c>
      <c r="Q157" s="780" t="s">
        <v>1084</v>
      </c>
      <c r="R157" s="780" t="s">
        <v>1085</v>
      </c>
      <c r="S157" s="780" t="s">
        <v>1086</v>
      </c>
      <c r="T157" s="396">
        <f t="shared" si="41"/>
        <v>166432.79999999999</v>
      </c>
      <c r="U157" s="408"/>
      <c r="V157" s="408"/>
      <c r="W157" s="408"/>
      <c r="X157" s="408"/>
      <c r="Y157" s="408"/>
      <c r="Z157" s="408">
        <v>138694</v>
      </c>
      <c r="AA157" s="408">
        <f t="shared" si="42"/>
        <v>27738.800000000003</v>
      </c>
      <c r="AB157" s="408"/>
      <c r="AC157" s="408"/>
      <c r="AD157" s="408"/>
      <c r="AE157" s="724"/>
    </row>
    <row r="158" spans="1:31" ht="15.75">
      <c r="A158" s="381" t="s">
        <v>792</v>
      </c>
      <c r="B158"/>
      <c r="C158"/>
      <c r="D158"/>
      <c r="E158"/>
      <c r="F158"/>
      <c r="G158" s="113"/>
      <c r="H158" s="113"/>
      <c r="I158" s="113"/>
      <c r="J158" s="113"/>
      <c r="K158" s="713"/>
      <c r="L158" s="713"/>
      <c r="M158" s="713"/>
      <c r="N158" s="779">
        <v>1805</v>
      </c>
      <c r="O158" s="780">
        <v>33136</v>
      </c>
      <c r="P158" s="781">
        <v>40667</v>
      </c>
      <c r="Q158" s="780" t="s">
        <v>1084</v>
      </c>
      <c r="R158" s="780" t="s">
        <v>1085</v>
      </c>
      <c r="S158" s="780" t="s">
        <v>1086</v>
      </c>
      <c r="T158" s="396">
        <f t="shared" si="41"/>
        <v>166432.79999999999</v>
      </c>
      <c r="U158" s="408"/>
      <c r="V158" s="408"/>
      <c r="W158" s="408"/>
      <c r="X158" s="408"/>
      <c r="Y158" s="408"/>
      <c r="Z158" s="408">
        <v>138694</v>
      </c>
      <c r="AA158" s="408">
        <f t="shared" si="42"/>
        <v>27738.800000000003</v>
      </c>
      <c r="AB158" s="408"/>
      <c r="AC158" s="408"/>
      <c r="AD158" s="408"/>
      <c r="AE158" s="724"/>
    </row>
    <row r="159" spans="1:31" ht="15.75">
      <c r="N159" s="779">
        <v>1806</v>
      </c>
      <c r="O159" s="780">
        <v>33137</v>
      </c>
      <c r="P159" s="781">
        <v>40667</v>
      </c>
      <c r="Q159" s="780" t="s">
        <v>1084</v>
      </c>
      <c r="R159" s="780" t="s">
        <v>1085</v>
      </c>
      <c r="S159" s="780" t="s">
        <v>1086</v>
      </c>
      <c r="T159" s="396">
        <f t="shared" si="41"/>
        <v>153631.20000000001</v>
      </c>
      <c r="U159" s="408"/>
      <c r="V159" s="408"/>
      <c r="W159" s="408"/>
      <c r="X159" s="408"/>
      <c r="Y159" s="408"/>
      <c r="Z159" s="408">
        <v>128026</v>
      </c>
      <c r="AA159" s="408">
        <f t="shared" si="42"/>
        <v>25605.200000000001</v>
      </c>
      <c r="AB159" s="408"/>
      <c r="AC159" s="408"/>
      <c r="AD159" s="408"/>
      <c r="AE159" s="724"/>
    </row>
    <row r="160" spans="1:31" ht="15.75">
      <c r="N160" s="779">
        <v>1807</v>
      </c>
      <c r="O160" s="780">
        <v>33138</v>
      </c>
      <c r="P160" s="781">
        <v>40667</v>
      </c>
      <c r="Q160" s="780" t="s">
        <v>1084</v>
      </c>
      <c r="R160" s="780" t="s">
        <v>1085</v>
      </c>
      <c r="S160" s="780" t="s">
        <v>1086</v>
      </c>
      <c r="T160" s="396">
        <f t="shared" si="41"/>
        <v>166432.79999999999</v>
      </c>
      <c r="U160" s="408"/>
      <c r="V160" s="408"/>
      <c r="W160" s="408"/>
      <c r="X160" s="408"/>
      <c r="Y160" s="408"/>
      <c r="Z160" s="408">
        <v>138694</v>
      </c>
      <c r="AA160" s="408">
        <f t="shared" si="42"/>
        <v>27738.800000000003</v>
      </c>
      <c r="AB160" s="408"/>
      <c r="AC160" s="408"/>
      <c r="AD160" s="408"/>
      <c r="AE160" s="724"/>
    </row>
    <row r="161" spans="14:31" ht="15.75">
      <c r="N161" s="779">
        <v>1811</v>
      </c>
      <c r="O161" s="780">
        <v>33142</v>
      </c>
      <c r="P161" s="781">
        <v>40667</v>
      </c>
      <c r="Q161" s="780" t="s">
        <v>1084</v>
      </c>
      <c r="R161" s="780" t="s">
        <v>1085</v>
      </c>
      <c r="S161" s="780" t="s">
        <v>1086</v>
      </c>
      <c r="T161" s="396">
        <f t="shared" si="41"/>
        <v>166432.79999999999</v>
      </c>
      <c r="U161" s="408"/>
      <c r="V161" s="408"/>
      <c r="W161" s="408"/>
      <c r="X161" s="408"/>
      <c r="Y161" s="408"/>
      <c r="Z161" s="408">
        <v>138694</v>
      </c>
      <c r="AA161" s="408">
        <f t="shared" si="42"/>
        <v>27738.800000000003</v>
      </c>
      <c r="AB161" s="408"/>
      <c r="AC161" s="408"/>
      <c r="AD161" s="408"/>
      <c r="AE161" s="724"/>
    </row>
    <row r="162" spans="14:31" ht="15.75">
      <c r="N162" s="779">
        <v>1834</v>
      </c>
      <c r="O162" s="780">
        <v>33165</v>
      </c>
      <c r="P162" s="781">
        <v>40668</v>
      </c>
      <c r="Q162" s="780" t="s">
        <v>1084</v>
      </c>
      <c r="R162" s="780" t="s">
        <v>1085</v>
      </c>
      <c r="S162" s="780" t="s">
        <v>1086</v>
      </c>
      <c r="T162" s="396">
        <f t="shared" si="41"/>
        <v>166432.79999999999</v>
      </c>
      <c r="U162" s="408"/>
      <c r="V162" s="408"/>
      <c r="W162" s="408"/>
      <c r="X162" s="408"/>
      <c r="Y162" s="408"/>
      <c r="Z162" s="408">
        <v>138694</v>
      </c>
      <c r="AA162" s="408">
        <f t="shared" si="42"/>
        <v>27738.800000000003</v>
      </c>
      <c r="AB162" s="408"/>
      <c r="AC162" s="408"/>
      <c r="AD162" s="408"/>
      <c r="AE162" s="724"/>
    </row>
    <row r="163" spans="14:31" ht="15.75">
      <c r="N163" s="779">
        <v>1835</v>
      </c>
      <c r="O163" s="780">
        <v>33166</v>
      </c>
      <c r="P163" s="781">
        <v>40668</v>
      </c>
      <c r="Q163" s="780" t="s">
        <v>1084</v>
      </c>
      <c r="R163" s="780" t="s">
        <v>1085</v>
      </c>
      <c r="S163" s="780" t="s">
        <v>1086</v>
      </c>
      <c r="T163" s="396">
        <f t="shared" si="41"/>
        <v>166432.79999999999</v>
      </c>
      <c r="U163" s="408"/>
      <c r="V163" s="408"/>
      <c r="W163" s="408"/>
      <c r="X163" s="408"/>
      <c r="Y163" s="408"/>
      <c r="Z163" s="408">
        <v>138694</v>
      </c>
      <c r="AA163" s="408">
        <f t="shared" si="42"/>
        <v>27738.800000000003</v>
      </c>
      <c r="AB163" s="408"/>
      <c r="AC163" s="408"/>
      <c r="AD163" s="408"/>
      <c r="AE163" s="724"/>
    </row>
    <row r="164" spans="14:31" ht="15.75">
      <c r="N164" s="779">
        <v>1863</v>
      </c>
      <c r="O164" s="780">
        <v>33194</v>
      </c>
      <c r="P164" s="781">
        <v>40672</v>
      </c>
      <c r="Q164" s="780" t="s">
        <v>1084</v>
      </c>
      <c r="R164" s="780" t="s">
        <v>1085</v>
      </c>
      <c r="S164" s="780" t="s">
        <v>1086</v>
      </c>
      <c r="T164" s="396">
        <f t="shared" si="41"/>
        <v>160032</v>
      </c>
      <c r="U164" s="408"/>
      <c r="V164" s="408"/>
      <c r="W164" s="408"/>
      <c r="X164" s="408"/>
      <c r="Y164" s="408"/>
      <c r="Z164" s="408">
        <v>133360</v>
      </c>
      <c r="AA164" s="408">
        <f t="shared" si="42"/>
        <v>26672</v>
      </c>
      <c r="AB164" s="408"/>
      <c r="AC164" s="408"/>
      <c r="AD164" s="408"/>
      <c r="AE164" s="724"/>
    </row>
    <row r="165" spans="14:31" ht="15.75">
      <c r="N165" s="779">
        <v>1874</v>
      </c>
      <c r="O165" s="780">
        <v>33205</v>
      </c>
      <c r="P165" s="781">
        <v>40672</v>
      </c>
      <c r="Q165" s="780" t="s">
        <v>1084</v>
      </c>
      <c r="R165" s="780" t="s">
        <v>1085</v>
      </c>
      <c r="S165" s="780" t="s">
        <v>1086</v>
      </c>
      <c r="T165" s="396">
        <f t="shared" si="41"/>
        <v>166432.79999999999</v>
      </c>
      <c r="U165" s="408"/>
      <c r="V165" s="408"/>
      <c r="W165" s="408"/>
      <c r="X165" s="408"/>
      <c r="Y165" s="408"/>
      <c r="Z165" s="408">
        <v>138694</v>
      </c>
      <c r="AA165" s="408">
        <f t="shared" si="42"/>
        <v>27738.800000000003</v>
      </c>
      <c r="AB165" s="408"/>
      <c r="AC165" s="408"/>
      <c r="AD165" s="408"/>
      <c r="AE165" s="724"/>
    </row>
    <row r="166" spans="14:31" ht="15.75">
      <c r="N166" s="779">
        <v>182</v>
      </c>
      <c r="O166" s="780">
        <v>86200581</v>
      </c>
      <c r="P166" s="781">
        <v>40673</v>
      </c>
      <c r="Q166" s="780" t="s">
        <v>1074</v>
      </c>
      <c r="R166" s="780" t="s">
        <v>990</v>
      </c>
      <c r="S166" s="780" t="s">
        <v>991</v>
      </c>
      <c r="T166" s="396">
        <f t="shared" si="41"/>
        <v>122400</v>
      </c>
      <c r="U166" s="408"/>
      <c r="V166" s="408"/>
      <c r="W166" s="408"/>
      <c r="X166" s="408"/>
      <c r="Y166" s="408"/>
      <c r="Z166" s="408">
        <v>102000</v>
      </c>
      <c r="AA166" s="408">
        <f t="shared" si="42"/>
        <v>20400</v>
      </c>
      <c r="AB166" s="408"/>
      <c r="AC166" s="408"/>
      <c r="AD166" s="408"/>
      <c r="AE166" s="724"/>
    </row>
    <row r="167" spans="14:31" ht="15.75">
      <c r="N167" s="779">
        <v>221</v>
      </c>
      <c r="O167" s="780">
        <v>84685630</v>
      </c>
      <c r="P167" s="781">
        <v>40673</v>
      </c>
      <c r="Q167" s="780" t="s">
        <v>985</v>
      </c>
      <c r="R167" s="780" t="s">
        <v>784</v>
      </c>
      <c r="S167" s="780" t="s">
        <v>986</v>
      </c>
      <c r="T167" s="396">
        <f t="shared" si="41"/>
        <v>206530.8</v>
      </c>
      <c r="U167" s="408"/>
      <c r="V167" s="408"/>
      <c r="W167" s="408"/>
      <c r="X167" s="408"/>
      <c r="Y167" s="408"/>
      <c r="Z167" s="408">
        <v>172109</v>
      </c>
      <c r="AA167" s="408">
        <f t="shared" si="42"/>
        <v>34421.800000000003</v>
      </c>
      <c r="AB167" s="408"/>
      <c r="AC167" s="408"/>
      <c r="AD167" s="408"/>
      <c r="AE167" s="724"/>
    </row>
    <row r="168" spans="14:31" ht="15.75">
      <c r="N168" s="779">
        <v>1876</v>
      </c>
      <c r="O168" s="780">
        <v>33207</v>
      </c>
      <c r="P168" s="781">
        <v>40673</v>
      </c>
      <c r="Q168" s="780" t="s">
        <v>1084</v>
      </c>
      <c r="R168" s="780" t="s">
        <v>1085</v>
      </c>
      <c r="S168" s="780" t="s">
        <v>1086</v>
      </c>
      <c r="T168" s="396">
        <f t="shared" si="41"/>
        <v>166432.79999999999</v>
      </c>
      <c r="U168" s="408"/>
      <c r="V168" s="408"/>
      <c r="W168" s="408"/>
      <c r="X168" s="408"/>
      <c r="Y168" s="408"/>
      <c r="Z168" s="408">
        <v>138694</v>
      </c>
      <c r="AA168" s="408">
        <f t="shared" si="42"/>
        <v>27738.800000000003</v>
      </c>
      <c r="AB168" s="408"/>
      <c r="AC168" s="408"/>
      <c r="AD168" s="408"/>
      <c r="AE168" s="724"/>
    </row>
    <row r="169" spans="14:31" ht="15.75">
      <c r="N169" s="779">
        <v>1878</v>
      </c>
      <c r="O169" s="780">
        <v>33209</v>
      </c>
      <c r="P169" s="781">
        <v>40673</v>
      </c>
      <c r="Q169" s="780" t="s">
        <v>1084</v>
      </c>
      <c r="R169" s="780" t="s">
        <v>1085</v>
      </c>
      <c r="S169" s="780" t="s">
        <v>1086</v>
      </c>
      <c r="T169" s="396">
        <f t="shared" si="41"/>
        <v>153631.20000000001</v>
      </c>
      <c r="U169" s="408"/>
      <c r="V169" s="408"/>
      <c r="W169" s="408"/>
      <c r="X169" s="408"/>
      <c r="Y169" s="408"/>
      <c r="Z169" s="408">
        <v>128026</v>
      </c>
      <c r="AA169" s="408">
        <f t="shared" si="42"/>
        <v>25605.200000000001</v>
      </c>
      <c r="AB169" s="408"/>
      <c r="AC169" s="408"/>
      <c r="AD169" s="408"/>
      <c r="AE169" s="724"/>
    </row>
    <row r="170" spans="14:31" ht="15.75">
      <c r="N170" s="779">
        <v>1893</v>
      </c>
      <c r="O170" s="780">
        <v>33224</v>
      </c>
      <c r="P170" s="781">
        <v>40674</v>
      </c>
      <c r="Q170" s="780" t="s">
        <v>1084</v>
      </c>
      <c r="R170" s="780" t="s">
        <v>1085</v>
      </c>
      <c r="S170" s="780" t="s">
        <v>1086</v>
      </c>
      <c r="T170" s="396">
        <f t="shared" si="41"/>
        <v>166432.79999999999</v>
      </c>
      <c r="U170" s="408"/>
      <c r="V170" s="408"/>
      <c r="W170" s="408"/>
      <c r="X170" s="408"/>
      <c r="Y170" s="408"/>
      <c r="Z170" s="408">
        <v>138694</v>
      </c>
      <c r="AA170" s="408">
        <f t="shared" si="42"/>
        <v>27738.800000000003</v>
      </c>
      <c r="AB170" s="408"/>
      <c r="AC170" s="408"/>
      <c r="AD170" s="408"/>
      <c r="AE170" s="724"/>
    </row>
    <row r="171" spans="14:31" ht="15.75">
      <c r="N171" s="779">
        <v>1894</v>
      </c>
      <c r="O171" s="780">
        <v>33225</v>
      </c>
      <c r="P171" s="781">
        <v>40674</v>
      </c>
      <c r="Q171" s="780" t="s">
        <v>1084</v>
      </c>
      <c r="R171" s="780" t="s">
        <v>1085</v>
      </c>
      <c r="S171" s="780" t="s">
        <v>1086</v>
      </c>
      <c r="T171" s="396">
        <f t="shared" si="41"/>
        <v>166432.79999999999</v>
      </c>
      <c r="U171" s="408"/>
      <c r="V171" s="408"/>
      <c r="W171" s="408"/>
      <c r="X171" s="408"/>
      <c r="Y171" s="408"/>
      <c r="Z171" s="408">
        <v>138694</v>
      </c>
      <c r="AA171" s="408">
        <f t="shared" si="42"/>
        <v>27738.800000000003</v>
      </c>
      <c r="AB171" s="408"/>
      <c r="AC171" s="408"/>
      <c r="AD171" s="408"/>
      <c r="AE171" s="724"/>
    </row>
    <row r="172" spans="14:31" ht="15.75">
      <c r="N172" s="779">
        <v>1904</v>
      </c>
      <c r="O172" s="780">
        <v>33234</v>
      </c>
      <c r="P172" s="781">
        <v>40675</v>
      </c>
      <c r="Q172" s="780" t="s">
        <v>1084</v>
      </c>
      <c r="R172" s="780" t="s">
        <v>1085</v>
      </c>
      <c r="S172" s="780" t="s">
        <v>1086</v>
      </c>
      <c r="T172" s="396">
        <f t="shared" si="41"/>
        <v>166432.79999999999</v>
      </c>
      <c r="U172" s="408"/>
      <c r="V172" s="408"/>
      <c r="W172" s="408"/>
      <c r="X172" s="408"/>
      <c r="Y172" s="408"/>
      <c r="Z172" s="408">
        <v>138694</v>
      </c>
      <c r="AA172" s="408">
        <f t="shared" si="42"/>
        <v>27738.800000000003</v>
      </c>
      <c r="AB172" s="408"/>
      <c r="AC172" s="408"/>
      <c r="AD172" s="408"/>
      <c r="AE172" s="724"/>
    </row>
    <row r="173" spans="14:31" ht="15.75">
      <c r="N173" s="779">
        <v>1905</v>
      </c>
      <c r="O173" s="780">
        <v>33235</v>
      </c>
      <c r="P173" s="781">
        <v>40675</v>
      </c>
      <c r="Q173" s="780" t="s">
        <v>1084</v>
      </c>
      <c r="R173" s="780" t="s">
        <v>1085</v>
      </c>
      <c r="S173" s="780" t="s">
        <v>1086</v>
      </c>
      <c r="T173" s="396">
        <f t="shared" si="41"/>
        <v>166432.79999999999</v>
      </c>
      <c r="U173" s="408"/>
      <c r="V173" s="408"/>
      <c r="W173" s="408"/>
      <c r="X173" s="408"/>
      <c r="Y173" s="408"/>
      <c r="Z173" s="408">
        <v>138694</v>
      </c>
      <c r="AA173" s="408">
        <f t="shared" si="42"/>
        <v>27738.800000000003</v>
      </c>
      <c r="AB173" s="408"/>
      <c r="AC173" s="408"/>
      <c r="AD173" s="408"/>
      <c r="AE173" s="724"/>
    </row>
    <row r="174" spans="14:31" ht="15.75">
      <c r="N174" s="779">
        <v>1972</v>
      </c>
      <c r="O174" s="780">
        <v>33300</v>
      </c>
      <c r="P174" s="781">
        <v>40680</v>
      </c>
      <c r="Q174" s="780" t="s">
        <v>1084</v>
      </c>
      <c r="R174" s="780" t="s">
        <v>1085</v>
      </c>
      <c r="S174" s="780" t="s">
        <v>1086</v>
      </c>
      <c r="T174" s="396">
        <f t="shared" si="41"/>
        <v>166432.79999999999</v>
      </c>
      <c r="U174" s="408"/>
      <c r="V174" s="408"/>
      <c r="W174" s="408"/>
      <c r="X174" s="408"/>
      <c r="Y174" s="408"/>
      <c r="Z174" s="408">
        <v>138694</v>
      </c>
      <c r="AA174" s="408">
        <f t="shared" si="42"/>
        <v>27738.800000000003</v>
      </c>
      <c r="AB174" s="408"/>
      <c r="AC174" s="408"/>
      <c r="AD174" s="408"/>
      <c r="AE174" s="724"/>
    </row>
    <row r="175" spans="14:31" ht="15.75">
      <c r="N175" s="779">
        <v>1136</v>
      </c>
      <c r="O175" s="780">
        <v>86802436</v>
      </c>
      <c r="P175" s="781">
        <v>40681</v>
      </c>
      <c r="Q175" s="780" t="s">
        <v>995</v>
      </c>
      <c r="R175" s="780" t="s">
        <v>996</v>
      </c>
      <c r="S175" s="780" t="s">
        <v>997</v>
      </c>
      <c r="T175" s="396">
        <f t="shared" si="41"/>
        <v>223868.4</v>
      </c>
      <c r="U175" s="408"/>
      <c r="V175" s="408"/>
      <c r="W175" s="408"/>
      <c r="X175" s="408"/>
      <c r="Y175" s="408"/>
      <c r="Z175" s="408">
        <v>186557</v>
      </c>
      <c r="AA175" s="408">
        <f t="shared" si="42"/>
        <v>37311.4</v>
      </c>
      <c r="AB175" s="408"/>
      <c r="AC175" s="408"/>
      <c r="AD175" s="408"/>
      <c r="AE175" s="724"/>
    </row>
    <row r="176" spans="14:31" ht="15.75">
      <c r="N176" s="779">
        <v>19</v>
      </c>
      <c r="O176" s="780">
        <v>84240419</v>
      </c>
      <c r="P176" s="781">
        <v>40683</v>
      </c>
      <c r="Q176" s="780" t="s">
        <v>1092</v>
      </c>
      <c r="R176" s="780" t="s">
        <v>464</v>
      </c>
      <c r="S176" s="780" t="s">
        <v>999</v>
      </c>
      <c r="T176" s="396">
        <f t="shared" si="41"/>
        <v>271698</v>
      </c>
      <c r="U176" s="408"/>
      <c r="V176" s="408"/>
      <c r="W176" s="408"/>
      <c r="X176" s="408"/>
      <c r="Y176" s="408"/>
      <c r="Z176" s="408">
        <v>226415</v>
      </c>
      <c r="AA176" s="408">
        <f t="shared" si="42"/>
        <v>45283</v>
      </c>
      <c r="AB176" s="408"/>
      <c r="AC176" s="408"/>
      <c r="AD176" s="408"/>
      <c r="AE176" s="724"/>
    </row>
    <row r="177" spans="14:31" ht="15.75">
      <c r="N177" s="788">
        <v>34</v>
      </c>
      <c r="O177" s="789">
        <v>70512184</v>
      </c>
      <c r="P177" s="790">
        <v>40693</v>
      </c>
      <c r="Q177" s="789" t="s">
        <v>1010</v>
      </c>
      <c r="R177" s="789" t="s">
        <v>464</v>
      </c>
      <c r="S177" s="789" t="s">
        <v>1011</v>
      </c>
      <c r="T177" s="396">
        <f t="shared" si="41"/>
        <v>1204800</v>
      </c>
      <c r="U177" s="408"/>
      <c r="V177" s="408"/>
      <c r="W177" s="408"/>
      <c r="X177" s="408"/>
      <c r="Y177" s="408"/>
      <c r="Z177" s="408">
        <v>1004000</v>
      </c>
      <c r="AA177" s="408">
        <f t="shared" si="42"/>
        <v>200800</v>
      </c>
      <c r="AB177" s="818"/>
      <c r="AC177" s="818"/>
      <c r="AD177" s="818"/>
      <c r="AE177" s="819"/>
    </row>
    <row r="178" spans="14:31" ht="15.75">
      <c r="N178" s="788">
        <v>32</v>
      </c>
      <c r="O178" s="789">
        <v>85442932</v>
      </c>
      <c r="P178" s="790">
        <v>40693</v>
      </c>
      <c r="Q178" s="789" t="s">
        <v>1093</v>
      </c>
      <c r="R178" s="789" t="s">
        <v>1094</v>
      </c>
      <c r="S178" s="789" t="s">
        <v>1095</v>
      </c>
      <c r="T178" s="396">
        <f t="shared" si="41"/>
        <v>126360</v>
      </c>
      <c r="U178" s="408"/>
      <c r="V178" s="408"/>
      <c r="W178" s="408"/>
      <c r="X178" s="408"/>
      <c r="Y178" s="408"/>
      <c r="Z178" s="408">
        <v>105300</v>
      </c>
      <c r="AA178" s="408">
        <f t="shared" si="42"/>
        <v>21060</v>
      </c>
      <c r="AB178" s="818"/>
      <c r="AC178" s="818"/>
      <c r="AD178" s="818"/>
      <c r="AE178" s="819"/>
    </row>
    <row r="179" spans="14:31" ht="15.75">
      <c r="N179" s="788">
        <v>110</v>
      </c>
      <c r="O179" s="789">
        <v>71490949</v>
      </c>
      <c r="P179" s="790">
        <v>40694</v>
      </c>
      <c r="Q179" s="789" t="s">
        <v>1096</v>
      </c>
      <c r="R179" s="789" t="s">
        <v>464</v>
      </c>
      <c r="S179" s="789" t="s">
        <v>1097</v>
      </c>
      <c r="T179" s="396">
        <f t="shared" si="41"/>
        <v>199987.20000000001</v>
      </c>
      <c r="U179" s="408"/>
      <c r="V179" s="408"/>
      <c r="W179" s="408"/>
      <c r="X179" s="408"/>
      <c r="Y179" s="408"/>
      <c r="Z179" s="408">
        <v>166656</v>
      </c>
      <c r="AA179" s="408">
        <f t="shared" si="42"/>
        <v>33331.200000000004</v>
      </c>
      <c r="AB179" s="818"/>
      <c r="AC179" s="818"/>
      <c r="AD179" s="818"/>
      <c r="AE179" s="819"/>
    </row>
    <row r="180" spans="14:31" ht="15.75">
      <c r="N180" s="788">
        <v>48</v>
      </c>
      <c r="O180" s="789">
        <v>86191048</v>
      </c>
      <c r="P180" s="790">
        <v>40664</v>
      </c>
      <c r="Q180" s="789" t="s">
        <v>1098</v>
      </c>
      <c r="R180" s="789" t="s">
        <v>464</v>
      </c>
      <c r="S180" s="789" t="s">
        <v>972</v>
      </c>
      <c r="T180" s="396">
        <f t="shared" si="41"/>
        <v>75000</v>
      </c>
      <c r="U180" s="408"/>
      <c r="V180" s="408"/>
      <c r="W180" s="408"/>
      <c r="X180" s="408"/>
      <c r="Y180" s="408"/>
      <c r="Z180" s="408">
        <v>62500</v>
      </c>
      <c r="AA180" s="408">
        <f t="shared" si="42"/>
        <v>12500</v>
      </c>
      <c r="AB180" s="818"/>
      <c r="AC180" s="818"/>
      <c r="AD180" s="818"/>
      <c r="AE180" s="819"/>
    </row>
    <row r="181" spans="14:31" ht="15.75">
      <c r="N181" s="788">
        <v>102</v>
      </c>
      <c r="O181" s="789">
        <v>87216002</v>
      </c>
      <c r="P181" s="790">
        <v>40665</v>
      </c>
      <c r="Q181" s="789" t="s">
        <v>1098</v>
      </c>
      <c r="R181" s="789" t="s">
        <v>464</v>
      </c>
      <c r="S181" s="789" t="s">
        <v>972</v>
      </c>
      <c r="T181" s="396">
        <f t="shared" si="41"/>
        <v>69999.600000000006</v>
      </c>
      <c r="U181" s="408"/>
      <c r="V181" s="408"/>
      <c r="W181" s="408"/>
      <c r="X181" s="408"/>
      <c r="Y181" s="408"/>
      <c r="Z181" s="408">
        <v>58333</v>
      </c>
      <c r="AA181" s="408">
        <f>Z181*0.2</f>
        <v>11666.6</v>
      </c>
      <c r="AB181" s="818"/>
      <c r="AC181" s="818"/>
      <c r="AD181" s="818"/>
      <c r="AE181" s="819"/>
    </row>
    <row r="182" spans="14:31" ht="15.75">
      <c r="N182" s="788">
        <v>111</v>
      </c>
      <c r="O182" s="789">
        <v>71490950</v>
      </c>
      <c r="P182" s="790">
        <v>40694</v>
      </c>
      <c r="Q182" s="789" t="s">
        <v>1096</v>
      </c>
      <c r="R182" s="789" t="s">
        <v>464</v>
      </c>
      <c r="S182" s="789" t="s">
        <v>1097</v>
      </c>
      <c r="T182" s="396">
        <f t="shared" si="41"/>
        <v>199989.6</v>
      </c>
      <c r="U182" s="408"/>
      <c r="V182" s="408"/>
      <c r="W182" s="408"/>
      <c r="X182" s="408"/>
      <c r="Y182" s="408"/>
      <c r="Z182" s="408">
        <v>166658</v>
      </c>
      <c r="AA182" s="408">
        <f t="shared" si="42"/>
        <v>33331.599999999999</v>
      </c>
      <c r="AB182" s="818"/>
      <c r="AC182" s="818"/>
      <c r="AD182" s="818"/>
      <c r="AE182" s="819"/>
    </row>
    <row r="183" spans="14:31" ht="16.5" thickBot="1">
      <c r="N183" s="788">
        <v>112</v>
      </c>
      <c r="O183" s="789">
        <v>86189001</v>
      </c>
      <c r="P183" s="790">
        <v>40694</v>
      </c>
      <c r="Q183" s="789" t="s">
        <v>1096</v>
      </c>
      <c r="R183" s="789" t="s">
        <v>464</v>
      </c>
      <c r="S183" s="789" t="s">
        <v>1097</v>
      </c>
      <c r="T183" s="396">
        <f t="shared" si="41"/>
        <v>138297.60000000001</v>
      </c>
      <c r="U183" s="408"/>
      <c r="V183" s="408"/>
      <c r="W183" s="408"/>
      <c r="X183" s="408"/>
      <c r="Y183" s="408"/>
      <c r="Z183" s="408">
        <v>115248</v>
      </c>
      <c r="AA183" s="408">
        <f t="shared" si="42"/>
        <v>23049.600000000002</v>
      </c>
      <c r="AB183" s="818"/>
      <c r="AC183" s="818"/>
      <c r="AD183" s="818"/>
      <c r="AE183" s="819"/>
    </row>
    <row r="184" spans="14:31" ht="16.5" thickBot="1">
      <c r="N184" s="1795" t="s">
        <v>757</v>
      </c>
      <c r="O184" s="1796"/>
      <c r="P184" s="1796"/>
      <c r="Q184" s="1796"/>
      <c r="R184" s="1796"/>
      <c r="S184" s="1797"/>
      <c r="T184" s="721">
        <f t="shared" ref="T184:AE184" si="43">SUM(T149:T183)</f>
        <v>6781967.9999999981</v>
      </c>
      <c r="U184" s="820">
        <f t="shared" si="43"/>
        <v>0</v>
      </c>
      <c r="V184" s="820">
        <f t="shared" si="43"/>
        <v>0</v>
      </c>
      <c r="W184" s="820">
        <f t="shared" si="43"/>
        <v>0</v>
      </c>
      <c r="X184" s="820">
        <f t="shared" si="43"/>
        <v>0</v>
      </c>
      <c r="Y184" s="820">
        <f t="shared" si="43"/>
        <v>0</v>
      </c>
      <c r="Z184" s="820">
        <f t="shared" si="43"/>
        <v>5651640</v>
      </c>
      <c r="AA184" s="820">
        <f t="shared" si="43"/>
        <v>1130328.0000000005</v>
      </c>
      <c r="AB184" s="820">
        <f t="shared" si="43"/>
        <v>0</v>
      </c>
      <c r="AC184" s="820">
        <f t="shared" si="43"/>
        <v>0</v>
      </c>
      <c r="AD184" s="820">
        <f t="shared" si="43"/>
        <v>0</v>
      </c>
      <c r="AE184" s="820">
        <f t="shared" si="43"/>
        <v>0</v>
      </c>
    </row>
    <row r="185" spans="14:31" ht="16.5" thickBot="1">
      <c r="N185" s="1798" t="s">
        <v>758</v>
      </c>
      <c r="O185" s="1799"/>
      <c r="P185" s="1799"/>
      <c r="Q185" s="1799"/>
      <c r="R185" s="1799"/>
      <c r="S185" s="1799"/>
      <c r="T185" s="1799"/>
      <c r="U185" s="821" t="s">
        <v>765</v>
      </c>
      <c r="V185" s="821" t="s">
        <v>766</v>
      </c>
      <c r="W185" s="821" t="s">
        <v>767</v>
      </c>
      <c r="X185" s="821" t="s">
        <v>768</v>
      </c>
      <c r="Y185" s="821" t="s">
        <v>769</v>
      </c>
      <c r="Z185" s="821" t="s">
        <v>786</v>
      </c>
      <c r="AA185" s="821" t="s">
        <v>787</v>
      </c>
      <c r="AB185" s="821" t="s">
        <v>788</v>
      </c>
      <c r="AC185" s="821" t="s">
        <v>789</v>
      </c>
      <c r="AD185" s="821" t="s">
        <v>790</v>
      </c>
      <c r="AE185" s="822" t="s">
        <v>791</v>
      </c>
    </row>
    <row r="186" spans="14:31">
      <c r="AB186" s="791"/>
      <c r="AC186" s="791"/>
      <c r="AD186" s="791"/>
      <c r="AE186" s="791"/>
    </row>
    <row r="187" spans="14:31">
      <c r="AB187" s="791"/>
      <c r="AC187" s="791"/>
      <c r="AD187" s="791"/>
      <c r="AE187" s="791"/>
    </row>
    <row r="188" spans="14:31">
      <c r="AB188" s="791"/>
      <c r="AC188" s="791"/>
      <c r="AD188" s="791"/>
      <c r="AE188" s="791"/>
    </row>
    <row r="189" spans="14:31">
      <c r="AB189" s="791"/>
      <c r="AC189" s="791"/>
      <c r="AD189" s="791"/>
      <c r="AE189" s="791"/>
    </row>
    <row r="190" spans="14:31">
      <c r="AB190" s="791"/>
      <c r="AC190" s="791"/>
      <c r="AD190" s="791"/>
      <c r="AE190" s="791"/>
    </row>
    <row r="191" spans="14:31">
      <c r="AB191" s="791"/>
      <c r="AC191" s="791"/>
      <c r="AD191" s="791"/>
      <c r="AE191" s="791"/>
    </row>
    <row r="192" spans="14:31">
      <c r="AB192" s="791"/>
      <c r="AC192" s="791"/>
      <c r="AD192" s="791"/>
      <c r="AE192" s="791"/>
    </row>
    <row r="193" spans="28:31">
      <c r="AB193" s="791"/>
      <c r="AC193" s="791"/>
      <c r="AD193" s="791"/>
      <c r="AE193" s="791"/>
    </row>
    <row r="194" spans="28:31">
      <c r="AB194" s="791"/>
      <c r="AC194" s="791"/>
      <c r="AD194" s="791"/>
      <c r="AE194" s="791"/>
    </row>
    <row r="195" spans="28:31">
      <c r="AB195" s="791"/>
      <c r="AC195" s="791"/>
      <c r="AD195" s="791"/>
      <c r="AE195" s="791"/>
    </row>
    <row r="196" spans="28:31">
      <c r="AB196" s="791"/>
      <c r="AC196" s="791"/>
      <c r="AD196" s="791"/>
      <c r="AE196" s="791"/>
    </row>
    <row r="197" spans="28:31">
      <c r="AB197" s="791"/>
      <c r="AC197" s="791"/>
      <c r="AD197" s="791"/>
      <c r="AE197" s="791"/>
    </row>
    <row r="198" spans="28:31">
      <c r="AB198" s="791"/>
      <c r="AC198" s="791"/>
      <c r="AD198" s="791"/>
      <c r="AE198" s="791"/>
    </row>
    <row r="213" spans="1:31" ht="19.5">
      <c r="A213" s="380" t="s">
        <v>727</v>
      </c>
      <c r="B213" s="381"/>
      <c r="C213" s="381"/>
      <c r="D213" s="381"/>
      <c r="E213" s="381"/>
      <c r="F213" s="381"/>
      <c r="G213" s="381"/>
      <c r="H213" s="381"/>
      <c r="I213" s="381"/>
      <c r="J213" s="381"/>
      <c r="K213" s="381"/>
      <c r="L213" s="381"/>
      <c r="M213" s="381"/>
      <c r="N213" s="380" t="s">
        <v>728</v>
      </c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  <c r="Z213" s="381"/>
      <c r="AA213" s="381"/>
      <c r="AB213" s="381"/>
      <c r="AC213" s="381"/>
      <c r="AD213" s="381"/>
      <c r="AE213" s="381"/>
    </row>
    <row r="214" spans="1:31" ht="15.75">
      <c r="A214" s="383" t="s">
        <v>729</v>
      </c>
      <c r="B214" s="383"/>
      <c r="C214" s="384" t="s">
        <v>1224</v>
      </c>
      <c r="D214" s="381"/>
      <c r="E214" s="381"/>
      <c r="F214" s="381"/>
      <c r="G214" s="381"/>
      <c r="H214" s="381"/>
      <c r="I214" s="381"/>
      <c r="J214" s="381"/>
      <c r="K214" s="381"/>
      <c r="L214" s="381"/>
      <c r="M214" s="381"/>
      <c r="N214" s="383" t="s">
        <v>729</v>
      </c>
      <c r="O214" s="383"/>
      <c r="P214" s="384" t="s">
        <v>1224</v>
      </c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</row>
    <row r="215" spans="1:31" ht="15.75">
      <c r="A215" s="383" t="s">
        <v>401</v>
      </c>
      <c r="B215" s="383"/>
      <c r="C215" s="384" t="s">
        <v>974</v>
      </c>
      <c r="D215" s="381"/>
      <c r="E215" s="381"/>
      <c r="F215" s="381"/>
      <c r="G215" s="381"/>
      <c r="H215" s="381"/>
      <c r="I215" s="381"/>
      <c r="J215" s="381"/>
      <c r="K215" s="381"/>
      <c r="L215" s="381"/>
      <c r="M215" s="381"/>
      <c r="N215" s="383" t="s">
        <v>401</v>
      </c>
      <c r="O215" s="383"/>
      <c r="P215" s="384" t="s">
        <v>974</v>
      </c>
      <c r="Q215" s="381"/>
      <c r="R215" s="381"/>
      <c r="S215" s="381"/>
      <c r="T215" s="381"/>
      <c r="U215" s="381"/>
      <c r="V215" s="381"/>
      <c r="W215" s="381"/>
      <c r="X215" s="381"/>
      <c r="Y215" s="381"/>
      <c r="Z215" s="381"/>
      <c r="AA215" s="381"/>
      <c r="AB215" s="381"/>
      <c r="AC215" s="381"/>
      <c r="AD215" s="381"/>
      <c r="AE215" s="381"/>
    </row>
    <row r="216" spans="1:31" ht="15.75">
      <c r="A216" s="383" t="s">
        <v>730</v>
      </c>
      <c r="B216" s="383"/>
      <c r="C216" s="384" t="s">
        <v>731</v>
      </c>
      <c r="D216" s="381"/>
      <c r="E216" s="381"/>
      <c r="F216" s="381"/>
      <c r="G216" s="381"/>
      <c r="H216" s="381"/>
      <c r="I216" s="381"/>
      <c r="J216" s="381"/>
      <c r="K216" s="381"/>
      <c r="L216" s="381"/>
      <c r="M216" s="381"/>
      <c r="N216" s="383" t="s">
        <v>730</v>
      </c>
      <c r="O216" s="383"/>
      <c r="P216" s="384" t="s">
        <v>731</v>
      </c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  <c r="AC216" s="381"/>
      <c r="AD216" s="381"/>
      <c r="AE216" s="381"/>
    </row>
    <row r="217" spans="1:31" ht="15.75">
      <c r="A217" s="383" t="s">
        <v>169</v>
      </c>
      <c r="B217" s="383"/>
      <c r="C217" s="384" t="s">
        <v>1336</v>
      </c>
      <c r="D217" s="381"/>
      <c r="E217" s="381"/>
      <c r="F217" s="381"/>
      <c r="G217" s="381"/>
      <c r="H217" s="381"/>
      <c r="I217" s="381"/>
      <c r="J217" s="381"/>
      <c r="K217" s="381"/>
      <c r="L217" s="381"/>
      <c r="M217" s="381"/>
      <c r="N217" s="383" t="s">
        <v>169</v>
      </c>
      <c r="O217" s="383"/>
      <c r="P217" s="384" t="s">
        <v>1336</v>
      </c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  <c r="AA217" s="381"/>
      <c r="AB217" s="381"/>
      <c r="AC217" s="381"/>
      <c r="AD217" s="381"/>
      <c r="AE217" s="381"/>
    </row>
    <row r="218" spans="1:31" ht="16.5" thickBot="1">
      <c r="A218" s="383"/>
      <c r="B218" s="383"/>
      <c r="C218" s="381"/>
      <c r="D218" s="381"/>
      <c r="E218" s="381"/>
      <c r="F218" s="381"/>
      <c r="G218" s="381"/>
      <c r="H218" s="381"/>
      <c r="I218" s="381"/>
      <c r="J218" s="381"/>
      <c r="K218" s="381"/>
      <c r="L218" s="381"/>
      <c r="M218" s="381"/>
      <c r="N218" s="383"/>
      <c r="O218" s="383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  <c r="Z218" s="381"/>
      <c r="AA218" s="381"/>
      <c r="AB218" s="381"/>
      <c r="AC218" s="381"/>
      <c r="AD218" s="381"/>
      <c r="AE218" s="381"/>
    </row>
    <row r="219" spans="1:31" ht="16.5" thickBot="1">
      <c r="A219" s="381" t="s">
        <v>733</v>
      </c>
      <c r="B219" s="385"/>
      <c r="C219" s="381" t="s">
        <v>771</v>
      </c>
      <c r="D219" s="381"/>
      <c r="E219" s="381"/>
      <c r="F219" s="381"/>
      <c r="G219" s="381"/>
      <c r="H219" s="381"/>
      <c r="I219" s="381"/>
      <c r="J219" s="381"/>
      <c r="K219" s="381"/>
      <c r="L219" s="381"/>
      <c r="M219" s="381"/>
      <c r="N219" s="381" t="s">
        <v>733</v>
      </c>
      <c r="O219" s="385"/>
      <c r="P219" s="381" t="s">
        <v>771</v>
      </c>
      <c r="Q219" s="381"/>
      <c r="R219" s="381"/>
      <c r="S219" s="381"/>
      <c r="T219" s="381"/>
      <c r="U219" s="381"/>
      <c r="V219" s="381"/>
      <c r="W219" s="381"/>
      <c r="X219" s="381"/>
      <c r="Y219" s="381"/>
      <c r="Z219" s="381"/>
      <c r="AA219" s="381"/>
      <c r="AB219" s="381"/>
      <c r="AC219" s="381"/>
      <c r="AD219" s="381"/>
      <c r="AE219" s="381"/>
    </row>
    <row r="220" spans="1:31" ht="16.5" thickBot="1">
      <c r="A220" s="381"/>
      <c r="B220" s="381"/>
      <c r="C220" s="381"/>
      <c r="D220" s="381"/>
      <c r="E220" s="381"/>
      <c r="F220" s="381"/>
      <c r="G220" s="381"/>
      <c r="H220" s="381"/>
      <c r="I220" s="381"/>
      <c r="J220" s="381"/>
      <c r="K220" s="381"/>
      <c r="L220" s="381"/>
      <c r="M220" s="381"/>
      <c r="N220" s="381"/>
      <c r="O220" s="381"/>
      <c r="P220" s="383"/>
      <c r="Q220" s="381"/>
      <c r="R220" s="381"/>
      <c r="S220" s="381"/>
      <c r="T220" s="381"/>
      <c r="U220" s="381"/>
      <c r="V220" s="381"/>
      <c r="W220" s="381"/>
      <c r="X220" s="381"/>
      <c r="Y220" s="381"/>
      <c r="Z220" s="381"/>
      <c r="AA220" s="381"/>
      <c r="AB220" s="381"/>
      <c r="AC220" s="381"/>
      <c r="AD220" s="381"/>
      <c r="AE220" s="381"/>
    </row>
    <row r="221" spans="1:31" ht="16.5" customHeight="1" thickBot="1">
      <c r="A221" s="1813" t="s">
        <v>734</v>
      </c>
      <c r="B221" s="1814"/>
      <c r="C221" s="1815"/>
      <c r="D221" s="1813" t="s">
        <v>735</v>
      </c>
      <c r="E221" s="1814"/>
      <c r="F221" s="1815"/>
      <c r="G221" s="1809" t="s">
        <v>736</v>
      </c>
      <c r="H221" s="1809" t="s">
        <v>737</v>
      </c>
      <c r="I221" s="1809" t="s">
        <v>738</v>
      </c>
      <c r="J221" s="1813" t="s">
        <v>772</v>
      </c>
      <c r="K221" s="1815"/>
      <c r="L221" s="1820" t="s">
        <v>773</v>
      </c>
      <c r="M221" s="1821"/>
      <c r="N221" s="1800" t="s">
        <v>734</v>
      </c>
      <c r="O221" s="1801"/>
      <c r="P221" s="1802"/>
      <c r="Q221" s="1800" t="s">
        <v>739</v>
      </c>
      <c r="R221" s="1801"/>
      <c r="S221" s="1802"/>
      <c r="T221" s="1809" t="s">
        <v>740</v>
      </c>
      <c r="U221" s="1861" t="s">
        <v>741</v>
      </c>
      <c r="V221" s="1862"/>
      <c r="W221" s="1862"/>
      <c r="X221" s="1862"/>
      <c r="Y221" s="1862"/>
      <c r="Z221" s="1862"/>
      <c r="AA221" s="1862"/>
      <c r="AB221" s="1862"/>
      <c r="AC221" s="1862"/>
      <c r="AD221" s="1862"/>
      <c r="AE221" s="1863"/>
    </row>
    <row r="222" spans="1:31" ht="16.5" thickBot="1">
      <c r="A222" s="1816"/>
      <c r="B222" s="1817"/>
      <c r="C222" s="1818"/>
      <c r="D222" s="1816"/>
      <c r="E222" s="1817"/>
      <c r="F222" s="1818"/>
      <c r="G222" s="1819"/>
      <c r="H222" s="1819"/>
      <c r="I222" s="1819"/>
      <c r="J222" s="1816"/>
      <c r="K222" s="1818"/>
      <c r="L222" s="1822"/>
      <c r="M222" s="1823"/>
      <c r="N222" s="1809" t="s">
        <v>742</v>
      </c>
      <c r="O222" s="1809" t="s">
        <v>743</v>
      </c>
      <c r="P222" s="1809" t="s">
        <v>744</v>
      </c>
      <c r="Q222" s="1809" t="s">
        <v>745</v>
      </c>
      <c r="R222" s="1809" t="s">
        <v>746</v>
      </c>
      <c r="S222" s="1809" t="s">
        <v>747</v>
      </c>
      <c r="T222" s="1819"/>
      <c r="U222" s="1809" t="s">
        <v>748</v>
      </c>
      <c r="V222" s="1861" t="s">
        <v>774</v>
      </c>
      <c r="W222" s="1864"/>
      <c r="X222" s="1865" t="s">
        <v>775</v>
      </c>
      <c r="Y222" s="1866"/>
      <c r="Z222" s="1861" t="s">
        <v>776</v>
      </c>
      <c r="AA222" s="1863"/>
      <c r="AB222" s="1865" t="s">
        <v>777</v>
      </c>
      <c r="AC222" s="1867"/>
      <c r="AD222" s="1865" t="s">
        <v>749</v>
      </c>
      <c r="AE222" s="1867"/>
    </row>
    <row r="223" spans="1:31" ht="63.75" thickBot="1">
      <c r="A223" s="386" t="s">
        <v>742</v>
      </c>
      <c r="B223" s="387" t="s">
        <v>743</v>
      </c>
      <c r="C223" s="388" t="s">
        <v>744</v>
      </c>
      <c r="D223" s="1141" t="s">
        <v>750</v>
      </c>
      <c r="E223" s="1140" t="s">
        <v>746</v>
      </c>
      <c r="F223" s="389" t="s">
        <v>394</v>
      </c>
      <c r="G223" s="1810"/>
      <c r="H223" s="1810"/>
      <c r="I223" s="1810"/>
      <c r="J223" s="389" t="s">
        <v>751</v>
      </c>
      <c r="K223" s="1142" t="s">
        <v>752</v>
      </c>
      <c r="L223" s="752" t="s">
        <v>751</v>
      </c>
      <c r="M223" s="1143" t="s">
        <v>752</v>
      </c>
      <c r="N223" s="1810"/>
      <c r="O223" s="1810"/>
      <c r="P223" s="1810"/>
      <c r="Q223" s="1810"/>
      <c r="R223" s="1810"/>
      <c r="S223" s="1810"/>
      <c r="T223" s="1810"/>
      <c r="U223" s="1810"/>
      <c r="V223" s="941" t="s">
        <v>751</v>
      </c>
      <c r="W223" s="942" t="s">
        <v>752</v>
      </c>
      <c r="X223" s="945" t="s">
        <v>751</v>
      </c>
      <c r="Y223" s="747" t="s">
        <v>752</v>
      </c>
      <c r="Z223" s="943" t="s">
        <v>753</v>
      </c>
      <c r="AA223" s="943" t="s">
        <v>754</v>
      </c>
      <c r="AB223" s="944" t="s">
        <v>753</v>
      </c>
      <c r="AC223" s="944" t="s">
        <v>754</v>
      </c>
      <c r="AD223" s="944" t="s">
        <v>753</v>
      </c>
      <c r="AE223" s="944" t="s">
        <v>754</v>
      </c>
    </row>
    <row r="224" spans="1:31" ht="22.5" customHeight="1" thickBot="1">
      <c r="A224" s="390" t="s">
        <v>499</v>
      </c>
      <c r="B224" s="391" t="s">
        <v>500</v>
      </c>
      <c r="C224" s="391" t="s">
        <v>538</v>
      </c>
      <c r="D224" s="391" t="s">
        <v>560</v>
      </c>
      <c r="E224" s="391" t="s">
        <v>562</v>
      </c>
      <c r="F224" s="391" t="s">
        <v>574</v>
      </c>
      <c r="G224" s="391" t="s">
        <v>778</v>
      </c>
      <c r="H224" s="391" t="s">
        <v>578</v>
      </c>
      <c r="I224" s="392" t="s">
        <v>580</v>
      </c>
      <c r="J224" s="391" t="s">
        <v>582</v>
      </c>
      <c r="K224" s="393" t="s">
        <v>584</v>
      </c>
      <c r="L224" s="753" t="s">
        <v>586</v>
      </c>
      <c r="M224" s="754" t="s">
        <v>590</v>
      </c>
      <c r="N224" s="401" t="s">
        <v>499</v>
      </c>
      <c r="O224" s="402" t="s">
        <v>500</v>
      </c>
      <c r="P224" s="402" t="s">
        <v>538</v>
      </c>
      <c r="Q224" s="402" t="s">
        <v>560</v>
      </c>
      <c r="R224" s="402" t="s">
        <v>562</v>
      </c>
      <c r="S224" s="402" t="s">
        <v>574</v>
      </c>
      <c r="T224" s="403" t="s">
        <v>779</v>
      </c>
      <c r="U224" s="402" t="s">
        <v>578</v>
      </c>
      <c r="V224" s="402" t="s">
        <v>580</v>
      </c>
      <c r="W224" s="402" t="s">
        <v>582</v>
      </c>
      <c r="X224" s="748" t="s">
        <v>584</v>
      </c>
      <c r="Y224" s="748" t="s">
        <v>586</v>
      </c>
      <c r="Z224" s="402" t="s">
        <v>590</v>
      </c>
      <c r="AA224" s="402" t="s">
        <v>755</v>
      </c>
      <c r="AB224" s="748" t="s">
        <v>780</v>
      </c>
      <c r="AC224" s="748" t="s">
        <v>781</v>
      </c>
      <c r="AD224" s="748" t="s">
        <v>782</v>
      </c>
      <c r="AE224" s="749" t="s">
        <v>783</v>
      </c>
    </row>
    <row r="225" spans="1:31" ht="16.5" thickBot="1">
      <c r="A225" s="394" t="s">
        <v>1337</v>
      </c>
      <c r="B225" s="395" t="s">
        <v>1338</v>
      </c>
      <c r="C225" s="395" t="s">
        <v>1339</v>
      </c>
      <c r="D225" s="395" t="s">
        <v>1224</v>
      </c>
      <c r="E225" s="395" t="s">
        <v>756</v>
      </c>
      <c r="F225" s="395" t="s">
        <v>974</v>
      </c>
      <c r="G225" s="396">
        <f>+H225+I225+J225+K225</f>
        <v>5148872.4000000004</v>
      </c>
      <c r="H225" s="396"/>
      <c r="I225" s="396"/>
      <c r="J225" s="396">
        <v>4290727</v>
      </c>
      <c r="K225" s="397">
        <f>+J225*0.2</f>
        <v>858145.4</v>
      </c>
      <c r="L225" s="750"/>
      <c r="M225" s="755"/>
      <c r="N225" s="394" t="s">
        <v>1340</v>
      </c>
      <c r="O225" s="395" t="s">
        <v>1341</v>
      </c>
      <c r="P225" s="395" t="s">
        <v>1342</v>
      </c>
      <c r="Q225" s="395" t="s">
        <v>1343</v>
      </c>
      <c r="R225" s="395" t="s">
        <v>1344</v>
      </c>
      <c r="S225" s="395" t="s">
        <v>994</v>
      </c>
      <c r="T225" s="396">
        <f>+U225+V225+W225+Z225+AA225</f>
        <v>116520</v>
      </c>
      <c r="U225" s="396"/>
      <c r="V225" s="396"/>
      <c r="W225" s="396">
        <f>+V225*0.2</f>
        <v>0</v>
      </c>
      <c r="X225" s="750"/>
      <c r="Y225" s="750"/>
      <c r="Z225" s="396">
        <v>97100</v>
      </c>
      <c r="AA225" s="396">
        <f>+Z225*0.2</f>
        <v>19420</v>
      </c>
      <c r="AB225" s="750"/>
      <c r="AC225" s="750"/>
      <c r="AD225" s="750"/>
      <c r="AE225" s="755"/>
    </row>
    <row r="226" spans="1:31" ht="16.5" thickBot="1">
      <c r="A226" s="1795" t="s">
        <v>757</v>
      </c>
      <c r="B226" s="1796"/>
      <c r="C226" s="1796"/>
      <c r="D226" s="1796"/>
      <c r="E226" s="1796"/>
      <c r="F226" s="1797"/>
      <c r="G226" s="398">
        <f t="shared" ref="G226:M226" si="44">SUM(G225:G225)</f>
        <v>5148872.4000000004</v>
      </c>
      <c r="H226" s="398">
        <f t="shared" si="44"/>
        <v>0</v>
      </c>
      <c r="I226" s="398">
        <f t="shared" si="44"/>
        <v>0</v>
      </c>
      <c r="J226" s="398">
        <f t="shared" si="44"/>
        <v>4290727</v>
      </c>
      <c r="K226" s="398">
        <f t="shared" si="44"/>
        <v>858145.4</v>
      </c>
      <c r="L226" s="756">
        <f t="shared" si="44"/>
        <v>0</v>
      </c>
      <c r="M226" s="756">
        <f t="shared" si="44"/>
        <v>0</v>
      </c>
      <c r="N226" s="394" t="s">
        <v>1345</v>
      </c>
      <c r="O226" s="395" t="s">
        <v>1346</v>
      </c>
      <c r="P226" s="395" t="s">
        <v>1347</v>
      </c>
      <c r="Q226" s="395" t="s">
        <v>1348</v>
      </c>
      <c r="R226" s="395" t="s">
        <v>1349</v>
      </c>
      <c r="S226" s="395" t="s">
        <v>1350</v>
      </c>
      <c r="T226" s="396">
        <f t="shared" ref="T226:T243" si="45">+U226+V226+W226+Z226+AA226</f>
        <v>1000036.8</v>
      </c>
      <c r="U226" s="396"/>
      <c r="V226" s="396"/>
      <c r="W226" s="396">
        <f t="shared" ref="W226:W243" si="46">+V226*0.2</f>
        <v>0</v>
      </c>
      <c r="X226" s="750"/>
      <c r="Y226" s="750"/>
      <c r="Z226" s="396">
        <v>833364</v>
      </c>
      <c r="AA226" s="396">
        <f t="shared" ref="AA226:AA243" si="47">+Z226*0.2</f>
        <v>166672.80000000002</v>
      </c>
      <c r="AB226" s="750"/>
      <c r="AC226" s="750"/>
      <c r="AD226" s="750"/>
      <c r="AE226" s="755"/>
    </row>
    <row r="227" spans="1:31" ht="16.5" thickBot="1">
      <c r="A227" s="1798" t="s">
        <v>758</v>
      </c>
      <c r="B227" s="1799"/>
      <c r="C227" s="1799"/>
      <c r="D227" s="1799"/>
      <c r="E227" s="1799"/>
      <c r="F227" s="1799"/>
      <c r="G227" s="1860"/>
      <c r="H227" s="406" t="s">
        <v>759</v>
      </c>
      <c r="I227" s="1139" t="s">
        <v>760</v>
      </c>
      <c r="J227" s="406" t="s">
        <v>761</v>
      </c>
      <c r="K227" s="399" t="s">
        <v>762</v>
      </c>
      <c r="L227" s="757" t="s">
        <v>763</v>
      </c>
      <c r="M227" s="758" t="s">
        <v>764</v>
      </c>
      <c r="N227" s="394" t="s">
        <v>1351</v>
      </c>
      <c r="O227" s="395" t="s">
        <v>1352</v>
      </c>
      <c r="P227" s="395" t="s">
        <v>1353</v>
      </c>
      <c r="Q227" s="395" t="s">
        <v>1354</v>
      </c>
      <c r="R227" s="395" t="s">
        <v>1355</v>
      </c>
      <c r="S227" s="395" t="s">
        <v>991</v>
      </c>
      <c r="T227" s="396">
        <f t="shared" si="45"/>
        <v>198000</v>
      </c>
      <c r="U227" s="396"/>
      <c r="V227" s="396"/>
      <c r="W227" s="396">
        <f t="shared" si="46"/>
        <v>0</v>
      </c>
      <c r="X227" s="750"/>
      <c r="Y227" s="750"/>
      <c r="Z227" s="396">
        <v>165000</v>
      </c>
      <c r="AA227" s="396">
        <f t="shared" si="47"/>
        <v>33000</v>
      </c>
      <c r="AB227" s="750"/>
      <c r="AC227" s="750"/>
      <c r="AD227" s="750"/>
      <c r="AE227" s="755"/>
    </row>
    <row r="228" spans="1:31" ht="15.75">
      <c r="A228" s="381"/>
      <c r="B228" s="381"/>
      <c r="C228" s="381"/>
      <c r="D228" s="381"/>
      <c r="E228" s="381"/>
      <c r="F228" s="381"/>
      <c r="G228" s="381"/>
      <c r="H228" s="381"/>
      <c r="I228" s="381"/>
      <c r="J228" s="381"/>
      <c r="K228" s="381"/>
      <c r="L228" s="381"/>
      <c r="M228" s="381"/>
      <c r="N228" s="394" t="s">
        <v>1356</v>
      </c>
      <c r="O228" s="395" t="s">
        <v>1357</v>
      </c>
      <c r="P228" s="395" t="s">
        <v>1358</v>
      </c>
      <c r="Q228" s="395" t="s">
        <v>1359</v>
      </c>
      <c r="R228" s="395" t="s">
        <v>1360</v>
      </c>
      <c r="S228" s="395" t="s">
        <v>1063</v>
      </c>
      <c r="T228" s="396">
        <f t="shared" si="45"/>
        <v>509520</v>
      </c>
      <c r="U228" s="396"/>
      <c r="V228" s="396"/>
      <c r="W228" s="396">
        <f t="shared" si="46"/>
        <v>0</v>
      </c>
      <c r="X228" s="750"/>
      <c r="Y228" s="750"/>
      <c r="Z228" s="396">
        <v>424600</v>
      </c>
      <c r="AA228" s="396">
        <f t="shared" si="47"/>
        <v>84920</v>
      </c>
      <c r="AB228" s="750"/>
      <c r="AC228" s="750"/>
      <c r="AD228" s="750"/>
      <c r="AE228" s="755"/>
    </row>
    <row r="229" spans="1:31" ht="15.75">
      <c r="A229" s="381"/>
      <c r="B229" s="381"/>
      <c r="C229" s="381"/>
      <c r="D229" s="381"/>
      <c r="E229" s="381"/>
      <c r="F229" s="381"/>
      <c r="G229" s="381"/>
      <c r="H229" s="381"/>
      <c r="I229" s="381"/>
      <c r="J229" s="381"/>
      <c r="K229" s="381"/>
      <c r="L229" s="381"/>
      <c r="M229" s="381"/>
      <c r="N229" s="394" t="s">
        <v>1361</v>
      </c>
      <c r="O229" s="395" t="s">
        <v>1362</v>
      </c>
      <c r="P229" s="395" t="s">
        <v>1339</v>
      </c>
      <c r="Q229" s="395" t="s">
        <v>1363</v>
      </c>
      <c r="R229" s="395" t="s">
        <v>756</v>
      </c>
      <c r="S229" s="395" t="s">
        <v>980</v>
      </c>
      <c r="T229" s="396">
        <f t="shared" si="45"/>
        <v>45998.400000000001</v>
      </c>
      <c r="U229" s="396"/>
      <c r="V229" s="396"/>
      <c r="W229" s="396">
        <f t="shared" si="46"/>
        <v>0</v>
      </c>
      <c r="X229" s="750"/>
      <c r="Y229" s="750"/>
      <c r="Z229" s="396">
        <v>38332</v>
      </c>
      <c r="AA229" s="396">
        <f t="shared" si="47"/>
        <v>7666.4000000000005</v>
      </c>
      <c r="AB229" s="750"/>
      <c r="AC229" s="750"/>
      <c r="AD229" s="750"/>
      <c r="AE229" s="755"/>
    </row>
    <row r="230" spans="1:31" ht="15.75">
      <c r="A230" s="381"/>
      <c r="B230" s="381"/>
      <c r="C230" s="381"/>
      <c r="D230" s="381"/>
      <c r="E230" s="381"/>
      <c r="F230" s="381"/>
      <c r="G230" s="381"/>
      <c r="H230" s="381"/>
      <c r="I230" s="381"/>
      <c r="J230" s="725" t="s">
        <v>951</v>
      </c>
      <c r="K230" s="381"/>
      <c r="L230" s="381"/>
      <c r="M230" s="381"/>
      <c r="N230" s="394" t="s">
        <v>1364</v>
      </c>
      <c r="O230" s="395" t="s">
        <v>1365</v>
      </c>
      <c r="P230" s="395" t="s">
        <v>1366</v>
      </c>
      <c r="Q230" s="395" t="s">
        <v>1363</v>
      </c>
      <c r="R230" s="395" t="s">
        <v>756</v>
      </c>
      <c r="S230" s="395" t="s">
        <v>980</v>
      </c>
      <c r="T230" s="396">
        <f t="shared" si="45"/>
        <v>80505.600000000006</v>
      </c>
      <c r="U230" s="396"/>
      <c r="V230" s="396"/>
      <c r="W230" s="396">
        <f t="shared" si="46"/>
        <v>0</v>
      </c>
      <c r="X230" s="750"/>
      <c r="Y230" s="750"/>
      <c r="Z230" s="396">
        <v>67088</v>
      </c>
      <c r="AA230" s="396">
        <f t="shared" si="47"/>
        <v>13417.6</v>
      </c>
      <c r="AB230" s="750"/>
      <c r="AC230" s="750"/>
      <c r="AD230" s="750"/>
      <c r="AE230" s="755"/>
    </row>
    <row r="231" spans="1:31" ht="15.75">
      <c r="A231" s="381"/>
      <c r="B231" s="381"/>
      <c r="C231" s="381"/>
      <c r="D231" s="381"/>
      <c r="E231" s="381"/>
      <c r="F231" s="381"/>
      <c r="G231" s="381"/>
      <c r="H231" s="381"/>
      <c r="I231" s="381"/>
      <c r="J231" s="381"/>
      <c r="K231" s="381"/>
      <c r="L231" s="381"/>
      <c r="M231" s="381"/>
      <c r="N231" s="394" t="s">
        <v>1367</v>
      </c>
      <c r="O231" s="395" t="s">
        <v>1368</v>
      </c>
      <c r="P231" s="395" t="s">
        <v>1369</v>
      </c>
      <c r="Q231" s="395" t="s">
        <v>1370</v>
      </c>
      <c r="R231" s="395" t="s">
        <v>756</v>
      </c>
      <c r="S231" s="395" t="s">
        <v>1097</v>
      </c>
      <c r="T231" s="396">
        <f t="shared" si="45"/>
        <v>152880</v>
      </c>
      <c r="U231" s="396"/>
      <c r="V231" s="396"/>
      <c r="W231" s="396">
        <f t="shared" si="46"/>
        <v>0</v>
      </c>
      <c r="X231" s="750"/>
      <c r="Y231" s="750"/>
      <c r="Z231" s="396">
        <v>127400</v>
      </c>
      <c r="AA231" s="396">
        <f t="shared" si="47"/>
        <v>25480</v>
      </c>
      <c r="AB231" s="750"/>
      <c r="AC231" s="750"/>
      <c r="AD231" s="750"/>
      <c r="AE231" s="755"/>
    </row>
    <row r="232" spans="1:31" ht="15.75">
      <c r="A232" s="381" t="s">
        <v>793</v>
      </c>
      <c r="B232" s="381"/>
      <c r="C232" s="381"/>
      <c r="D232" s="381"/>
      <c r="E232" s="381"/>
      <c r="F232" s="381"/>
      <c r="G232" s="381"/>
      <c r="H232" s="381"/>
      <c r="I232" s="381"/>
      <c r="J232" s="381"/>
      <c r="K232" s="381"/>
      <c r="L232" s="381"/>
      <c r="M232" s="381"/>
      <c r="N232" s="394" t="s">
        <v>1364</v>
      </c>
      <c r="O232" s="395" t="s">
        <v>1371</v>
      </c>
      <c r="P232" s="395" t="s">
        <v>1369</v>
      </c>
      <c r="Q232" s="395" t="s">
        <v>1370</v>
      </c>
      <c r="R232" s="395" t="s">
        <v>756</v>
      </c>
      <c r="S232" s="395" t="s">
        <v>1097</v>
      </c>
      <c r="T232" s="396">
        <f t="shared" si="45"/>
        <v>151233.60000000001</v>
      </c>
      <c r="U232" s="396"/>
      <c r="V232" s="396"/>
      <c r="W232" s="396">
        <f t="shared" si="46"/>
        <v>0</v>
      </c>
      <c r="X232" s="750"/>
      <c r="Y232" s="750"/>
      <c r="Z232" s="396">
        <v>126028</v>
      </c>
      <c r="AA232" s="396">
        <f t="shared" si="47"/>
        <v>25205.600000000002</v>
      </c>
      <c r="AB232" s="750"/>
      <c r="AC232" s="750"/>
      <c r="AD232" s="750"/>
      <c r="AE232" s="755"/>
    </row>
    <row r="233" spans="1:31" ht="15.75">
      <c r="A233" s="381" t="s">
        <v>785</v>
      </c>
      <c r="B233" s="381"/>
      <c r="C233" s="381"/>
      <c r="D233" s="381"/>
      <c r="E233" s="381"/>
      <c r="F233" s="381"/>
      <c r="G233" s="381"/>
      <c r="H233" s="381"/>
      <c r="I233" s="381"/>
      <c r="J233" s="381"/>
      <c r="K233" s="381"/>
      <c r="L233" s="381"/>
      <c r="M233" s="381"/>
      <c r="N233" s="394" t="s">
        <v>1372</v>
      </c>
      <c r="O233" s="395" t="s">
        <v>1373</v>
      </c>
      <c r="P233" s="395" t="s">
        <v>1374</v>
      </c>
      <c r="Q233" s="395" t="s">
        <v>1375</v>
      </c>
      <c r="R233" s="395" t="s">
        <v>1349</v>
      </c>
      <c r="S233" s="395" t="s">
        <v>1035</v>
      </c>
      <c r="T233" s="396">
        <f t="shared" si="45"/>
        <v>52920</v>
      </c>
      <c r="U233" s="396"/>
      <c r="V233" s="396"/>
      <c r="W233" s="396">
        <f t="shared" si="46"/>
        <v>0</v>
      </c>
      <c r="X233" s="750"/>
      <c r="Y233" s="750"/>
      <c r="Z233" s="396">
        <v>44100</v>
      </c>
      <c r="AA233" s="396">
        <f>+Z233*0.2</f>
        <v>8820</v>
      </c>
      <c r="AB233" s="750"/>
      <c r="AC233" s="750"/>
      <c r="AD233" s="750"/>
      <c r="AE233" s="755"/>
    </row>
    <row r="234" spans="1:31" ht="15.75">
      <c r="A234" s="381" t="s">
        <v>792</v>
      </c>
      <c r="B234"/>
      <c r="C234"/>
      <c r="D234"/>
      <c r="E234"/>
      <c r="F234"/>
      <c r="G234"/>
      <c r="H234"/>
      <c r="I234"/>
      <c r="J234"/>
      <c r="K234" s="381"/>
      <c r="L234" s="381"/>
      <c r="M234" s="381"/>
      <c r="N234" s="394" t="s">
        <v>1376</v>
      </c>
      <c r="O234" s="395" t="s">
        <v>1377</v>
      </c>
      <c r="P234" s="395" t="s">
        <v>1358</v>
      </c>
      <c r="Q234" s="395" t="s">
        <v>1375</v>
      </c>
      <c r="R234" s="395" t="s">
        <v>1349</v>
      </c>
      <c r="S234" s="395" t="s">
        <v>1035</v>
      </c>
      <c r="T234" s="396">
        <f t="shared" si="45"/>
        <v>52920</v>
      </c>
      <c r="U234" s="396"/>
      <c r="V234" s="396"/>
      <c r="W234" s="396">
        <f t="shared" si="46"/>
        <v>0</v>
      </c>
      <c r="X234" s="750"/>
      <c r="Y234" s="750"/>
      <c r="Z234" s="396">
        <v>44100</v>
      </c>
      <c r="AA234" s="396">
        <f t="shared" si="47"/>
        <v>8820</v>
      </c>
      <c r="AB234" s="750"/>
      <c r="AC234" s="750"/>
      <c r="AD234" s="750"/>
      <c r="AE234" s="755"/>
    </row>
    <row r="235" spans="1:31" ht="15.75">
      <c r="A235" s="381"/>
      <c r="B235" s="381"/>
      <c r="C235" s="381"/>
      <c r="D235" s="381"/>
      <c r="E235" s="381"/>
      <c r="F235" s="381"/>
      <c r="G235" s="381"/>
      <c r="H235" s="381"/>
      <c r="I235" s="381"/>
      <c r="J235" s="381"/>
      <c r="K235" s="381"/>
      <c r="L235" s="381"/>
      <c r="M235" s="381"/>
      <c r="N235" s="394" t="s">
        <v>1378</v>
      </c>
      <c r="O235" s="395" t="s">
        <v>1379</v>
      </c>
      <c r="P235" s="395" t="s">
        <v>1380</v>
      </c>
      <c r="Q235" s="395" t="s">
        <v>1381</v>
      </c>
      <c r="R235" s="395" t="s">
        <v>756</v>
      </c>
      <c r="S235" s="395" t="s">
        <v>978</v>
      </c>
      <c r="T235" s="396">
        <f t="shared" si="45"/>
        <v>94500</v>
      </c>
      <c r="U235" s="396"/>
      <c r="V235" s="396"/>
      <c r="W235" s="396">
        <f t="shared" si="46"/>
        <v>0</v>
      </c>
      <c r="X235" s="750"/>
      <c r="Y235" s="750"/>
      <c r="Z235" s="396">
        <v>78750</v>
      </c>
      <c r="AA235" s="396">
        <f t="shared" si="47"/>
        <v>15750</v>
      </c>
      <c r="AB235" s="750"/>
      <c r="AC235" s="750"/>
      <c r="AD235" s="750"/>
      <c r="AE235" s="755"/>
    </row>
    <row r="236" spans="1:31" ht="15.75">
      <c r="A236" s="381"/>
      <c r="B236" s="381"/>
      <c r="C236" s="381"/>
      <c r="D236" s="381"/>
      <c r="E236" s="381"/>
      <c r="F236" s="381"/>
      <c r="G236" s="381"/>
      <c r="H236" s="381"/>
      <c r="I236" s="381"/>
      <c r="J236" s="381"/>
      <c r="K236" s="381"/>
      <c r="L236" s="381"/>
      <c r="M236" s="381"/>
      <c r="N236" s="394" t="s">
        <v>1382</v>
      </c>
      <c r="O236" s="395" t="s">
        <v>1383</v>
      </c>
      <c r="P236" s="395" t="s">
        <v>1384</v>
      </c>
      <c r="Q236" s="395" t="s">
        <v>1381</v>
      </c>
      <c r="R236" s="395" t="s">
        <v>756</v>
      </c>
      <c r="S236" s="395" t="s">
        <v>978</v>
      </c>
      <c r="T236" s="396">
        <f t="shared" si="45"/>
        <v>24500.003999999997</v>
      </c>
      <c r="U236" s="396"/>
      <c r="V236" s="396"/>
      <c r="W236" s="396">
        <f t="shared" si="46"/>
        <v>0</v>
      </c>
      <c r="X236" s="750"/>
      <c r="Y236" s="750"/>
      <c r="Z236" s="396">
        <v>20416.669999999998</v>
      </c>
      <c r="AA236" s="396">
        <f t="shared" si="47"/>
        <v>4083.3339999999998</v>
      </c>
      <c r="AB236" s="750"/>
      <c r="AC236" s="750"/>
      <c r="AD236" s="750"/>
      <c r="AE236" s="755"/>
    </row>
    <row r="237" spans="1:31" ht="15.75">
      <c r="A237" s="381"/>
      <c r="B237" s="381"/>
      <c r="C237" s="381"/>
      <c r="D237" s="381"/>
      <c r="E237" s="381"/>
      <c r="F237" s="381"/>
      <c r="G237" s="381"/>
      <c r="H237" s="381"/>
      <c r="I237" s="381"/>
      <c r="J237" s="381"/>
      <c r="K237" s="381"/>
      <c r="L237" s="381"/>
      <c r="M237" s="381"/>
      <c r="N237" s="394" t="s">
        <v>1385</v>
      </c>
      <c r="O237" s="395" t="s">
        <v>1386</v>
      </c>
      <c r="P237" s="395" t="s">
        <v>1387</v>
      </c>
      <c r="Q237" s="395" t="s">
        <v>1388</v>
      </c>
      <c r="R237" s="395" t="s">
        <v>1349</v>
      </c>
      <c r="S237" s="395" t="s">
        <v>986</v>
      </c>
      <c r="T237" s="396">
        <f t="shared" si="45"/>
        <v>299784</v>
      </c>
      <c r="U237" s="396"/>
      <c r="V237" s="396"/>
      <c r="W237" s="396">
        <f t="shared" si="46"/>
        <v>0</v>
      </c>
      <c r="X237" s="750"/>
      <c r="Y237" s="750"/>
      <c r="Z237" s="396">
        <v>249820</v>
      </c>
      <c r="AA237" s="396">
        <f t="shared" si="47"/>
        <v>49964</v>
      </c>
      <c r="AB237" s="750"/>
      <c r="AC237" s="750"/>
      <c r="AD237" s="750"/>
      <c r="AE237" s="755"/>
    </row>
    <row r="238" spans="1:31" ht="15.75">
      <c r="N238" s="394" t="s">
        <v>1389</v>
      </c>
      <c r="O238" s="395" t="s">
        <v>1390</v>
      </c>
      <c r="P238" s="395" t="s">
        <v>1391</v>
      </c>
      <c r="Q238" s="395" t="s">
        <v>1388</v>
      </c>
      <c r="R238" s="395" t="s">
        <v>1349</v>
      </c>
      <c r="S238" s="395" t="s">
        <v>986</v>
      </c>
      <c r="T238" s="396">
        <f t="shared" si="45"/>
        <v>166308</v>
      </c>
      <c r="U238" s="396"/>
      <c r="V238" s="396"/>
      <c r="W238" s="396">
        <f t="shared" si="46"/>
        <v>0</v>
      </c>
      <c r="X238" s="750"/>
      <c r="Y238" s="750"/>
      <c r="Z238" s="396">
        <v>138590</v>
      </c>
      <c r="AA238" s="396">
        <f t="shared" si="47"/>
        <v>27718</v>
      </c>
      <c r="AB238" s="750"/>
      <c r="AC238" s="750"/>
      <c r="AD238" s="750"/>
      <c r="AE238" s="755"/>
    </row>
    <row r="239" spans="1:31" ht="15.75">
      <c r="N239" s="394" t="s">
        <v>1392</v>
      </c>
      <c r="O239" s="395" t="s">
        <v>1393</v>
      </c>
      <c r="P239" s="395" t="s">
        <v>1342</v>
      </c>
      <c r="Q239" s="395" t="s">
        <v>1388</v>
      </c>
      <c r="R239" s="395" t="s">
        <v>1349</v>
      </c>
      <c r="S239" s="395" t="s">
        <v>986</v>
      </c>
      <c r="T239" s="396">
        <f t="shared" si="45"/>
        <v>269466</v>
      </c>
      <c r="U239" s="396"/>
      <c r="V239" s="396"/>
      <c r="W239" s="396">
        <f t="shared" si="46"/>
        <v>0</v>
      </c>
      <c r="X239" s="750"/>
      <c r="Y239" s="750"/>
      <c r="Z239" s="396">
        <v>224555</v>
      </c>
      <c r="AA239" s="396">
        <f t="shared" si="47"/>
        <v>44911</v>
      </c>
      <c r="AB239" s="750"/>
      <c r="AC239" s="750"/>
      <c r="AD239" s="750"/>
      <c r="AE239" s="755"/>
    </row>
    <row r="240" spans="1:31" ht="15.75">
      <c r="N240" s="394" t="s">
        <v>1394</v>
      </c>
      <c r="O240" s="395" t="s">
        <v>1395</v>
      </c>
      <c r="P240" s="395" t="s">
        <v>1396</v>
      </c>
      <c r="Q240" s="395" t="s">
        <v>1388</v>
      </c>
      <c r="R240" s="395" t="s">
        <v>1349</v>
      </c>
      <c r="S240" s="395" t="s">
        <v>986</v>
      </c>
      <c r="T240" s="396">
        <f t="shared" si="45"/>
        <v>297630</v>
      </c>
      <c r="U240" s="396"/>
      <c r="V240" s="396"/>
      <c r="W240" s="396">
        <f t="shared" si="46"/>
        <v>0</v>
      </c>
      <c r="X240" s="750"/>
      <c r="Y240" s="750"/>
      <c r="Z240" s="396">
        <v>248025</v>
      </c>
      <c r="AA240" s="396">
        <f t="shared" si="47"/>
        <v>49605</v>
      </c>
      <c r="AB240" s="750"/>
      <c r="AC240" s="750"/>
      <c r="AD240" s="750"/>
      <c r="AE240" s="755"/>
    </row>
    <row r="241" spans="1:31" ht="15.75">
      <c r="N241" s="394" t="s">
        <v>1397</v>
      </c>
      <c r="O241" s="395" t="s">
        <v>1398</v>
      </c>
      <c r="P241" s="395" t="s">
        <v>1399</v>
      </c>
      <c r="Q241" s="395" t="s">
        <v>1388</v>
      </c>
      <c r="R241" s="395" t="s">
        <v>1349</v>
      </c>
      <c r="S241" s="395" t="s">
        <v>986</v>
      </c>
      <c r="T241" s="396">
        <f t="shared" si="45"/>
        <v>248022</v>
      </c>
      <c r="U241" s="396"/>
      <c r="V241" s="396"/>
      <c r="W241" s="396">
        <f t="shared" si="46"/>
        <v>0</v>
      </c>
      <c r="X241" s="750"/>
      <c r="Y241" s="750"/>
      <c r="Z241" s="396">
        <v>206685</v>
      </c>
      <c r="AA241" s="396">
        <f t="shared" si="47"/>
        <v>41337</v>
      </c>
      <c r="AB241" s="750"/>
      <c r="AC241" s="750"/>
      <c r="AD241" s="750"/>
      <c r="AE241" s="755"/>
    </row>
    <row r="242" spans="1:31" ht="15.75">
      <c r="N242" s="394" t="s">
        <v>1400</v>
      </c>
      <c r="O242" s="395" t="s">
        <v>1401</v>
      </c>
      <c r="P242" s="395" t="s">
        <v>1402</v>
      </c>
      <c r="Q242" s="395" t="s">
        <v>1403</v>
      </c>
      <c r="R242" s="395" t="s">
        <v>1344</v>
      </c>
      <c r="S242" s="395" t="s">
        <v>997</v>
      </c>
      <c r="T242" s="396">
        <f t="shared" si="45"/>
        <v>251211.6</v>
      </c>
      <c r="U242" s="396"/>
      <c r="V242" s="396"/>
      <c r="W242" s="396">
        <f t="shared" si="46"/>
        <v>0</v>
      </c>
      <c r="X242" s="750"/>
      <c r="Y242" s="750"/>
      <c r="Z242" s="396">
        <v>209343</v>
      </c>
      <c r="AA242" s="396">
        <f t="shared" si="47"/>
        <v>41868.600000000006</v>
      </c>
      <c r="AB242" s="750"/>
      <c r="AC242" s="750"/>
      <c r="AD242" s="750"/>
      <c r="AE242" s="755"/>
    </row>
    <row r="243" spans="1:31" ht="16.5" thickBot="1">
      <c r="N243" s="394" t="s">
        <v>1404</v>
      </c>
      <c r="O243" s="395" t="s">
        <v>1405</v>
      </c>
      <c r="P243" s="395" t="s">
        <v>1342</v>
      </c>
      <c r="Q243" s="395" t="s">
        <v>1406</v>
      </c>
      <c r="R243" s="395" t="s">
        <v>1407</v>
      </c>
      <c r="S243" s="395" t="s">
        <v>1086</v>
      </c>
      <c r="T243" s="396">
        <f t="shared" si="45"/>
        <v>200064</v>
      </c>
      <c r="U243" s="396"/>
      <c r="V243" s="396"/>
      <c r="W243" s="396">
        <f t="shared" si="46"/>
        <v>0</v>
      </c>
      <c r="X243" s="750"/>
      <c r="Y243" s="750"/>
      <c r="Z243" s="396">
        <v>166720</v>
      </c>
      <c r="AA243" s="396">
        <f t="shared" si="47"/>
        <v>33344</v>
      </c>
      <c r="AB243" s="750"/>
      <c r="AC243" s="750"/>
      <c r="AD243" s="750"/>
      <c r="AE243" s="755"/>
    </row>
    <row r="244" spans="1:31" ht="16.5" thickBot="1">
      <c r="N244" s="1795" t="s">
        <v>757</v>
      </c>
      <c r="O244" s="1796"/>
      <c r="P244" s="1796"/>
      <c r="Q244" s="1796"/>
      <c r="R244" s="1796"/>
      <c r="S244" s="1797"/>
      <c r="T244" s="721">
        <f t="shared" ref="T244:AE244" si="48">SUM(T225:T243)</f>
        <v>4212020.0040000007</v>
      </c>
      <c r="U244" s="721">
        <f t="shared" si="48"/>
        <v>0</v>
      </c>
      <c r="V244" s="721">
        <f t="shared" si="48"/>
        <v>0</v>
      </c>
      <c r="W244" s="721">
        <f t="shared" si="48"/>
        <v>0</v>
      </c>
      <c r="X244" s="751">
        <f t="shared" si="48"/>
        <v>0</v>
      </c>
      <c r="Y244" s="751">
        <f t="shared" si="48"/>
        <v>0</v>
      </c>
      <c r="Z244" s="721">
        <f t="shared" si="48"/>
        <v>3510016.67</v>
      </c>
      <c r="AA244" s="721">
        <f t="shared" si="48"/>
        <v>702003.33399999992</v>
      </c>
      <c r="AB244" s="751">
        <f t="shared" si="48"/>
        <v>0</v>
      </c>
      <c r="AC244" s="751">
        <f t="shared" si="48"/>
        <v>0</v>
      </c>
      <c r="AD244" s="751">
        <f t="shared" si="48"/>
        <v>0</v>
      </c>
      <c r="AE244" s="751">
        <f t="shared" si="48"/>
        <v>0</v>
      </c>
    </row>
    <row r="245" spans="1:31" ht="16.5" thickBot="1">
      <c r="N245" s="1798" t="s">
        <v>758</v>
      </c>
      <c r="O245" s="1799"/>
      <c r="P245" s="1799"/>
      <c r="Q245" s="1799"/>
      <c r="R245" s="1799"/>
      <c r="S245" s="1799"/>
      <c r="T245" s="1799"/>
      <c r="U245" s="406" t="s">
        <v>765</v>
      </c>
      <c r="V245" s="406" t="s">
        <v>766</v>
      </c>
      <c r="W245" s="406" t="s">
        <v>767</v>
      </c>
      <c r="X245" s="757" t="s">
        <v>768</v>
      </c>
      <c r="Y245" s="757" t="s">
        <v>769</v>
      </c>
      <c r="Z245" s="406" t="s">
        <v>786</v>
      </c>
      <c r="AA245" s="406" t="s">
        <v>787</v>
      </c>
      <c r="AB245" s="757" t="s">
        <v>788</v>
      </c>
      <c r="AC245" s="757" t="s">
        <v>789</v>
      </c>
      <c r="AD245" s="757" t="s">
        <v>790</v>
      </c>
      <c r="AE245" s="758" t="s">
        <v>791</v>
      </c>
    </row>
    <row r="246" spans="1:31" ht="15.75">
      <c r="N246" s="381"/>
      <c r="O246" s="381"/>
      <c r="P246" s="381"/>
      <c r="Q246" s="381"/>
      <c r="R246" s="381"/>
      <c r="S246" s="381"/>
      <c r="T246" s="381"/>
      <c r="U246" s="381"/>
      <c r="V246" s="381"/>
      <c r="W246" s="381"/>
      <c r="X246" s="381"/>
      <c r="Y246" s="381"/>
      <c r="Z246" s="381"/>
      <c r="AA246" s="381"/>
      <c r="AB246" s="381"/>
      <c r="AC246" s="381"/>
      <c r="AD246" s="381"/>
      <c r="AE246" s="381"/>
    </row>
    <row r="247" spans="1:31" ht="15.75"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1"/>
      <c r="Y247" s="381"/>
      <c r="Z247" s="381"/>
      <c r="AA247" s="381"/>
      <c r="AB247" s="381"/>
      <c r="AC247" s="381"/>
      <c r="AD247" s="381"/>
      <c r="AE247" s="381"/>
    </row>
    <row r="248" spans="1:31" ht="15.75">
      <c r="N248" s="381"/>
      <c r="O248" s="381"/>
      <c r="P248" s="381"/>
      <c r="Q248" s="381"/>
      <c r="R248" s="381"/>
      <c r="S248" s="381"/>
      <c r="T248" s="381"/>
      <c r="U248" s="381"/>
      <c r="V248" s="381"/>
      <c r="W248" s="381"/>
      <c r="X248" s="381"/>
      <c r="Y248" s="381"/>
      <c r="Z248" s="381"/>
      <c r="AA248" s="381"/>
      <c r="AB248" s="381"/>
      <c r="AC248" s="381"/>
      <c r="AD248" s="725" t="s">
        <v>952</v>
      </c>
      <c r="AE248" s="381"/>
    </row>
    <row r="249" spans="1:31" ht="19.5">
      <c r="A249" s="380" t="s">
        <v>727</v>
      </c>
      <c r="B249" s="381"/>
      <c r="C249" s="381"/>
      <c r="D249" s="381"/>
      <c r="E249" s="381"/>
      <c r="F249" s="381"/>
      <c r="G249" s="713"/>
      <c r="H249" s="713"/>
      <c r="I249" s="713"/>
      <c r="J249" s="713"/>
      <c r="K249" s="713"/>
      <c r="L249" s="713"/>
      <c r="M249" s="713"/>
      <c r="N249" s="380" t="s">
        <v>728</v>
      </c>
      <c r="O249" s="381"/>
      <c r="P249" s="381"/>
      <c r="Q249" s="381"/>
      <c r="R249" s="381"/>
      <c r="S249" s="381"/>
      <c r="T249" s="713"/>
      <c r="U249" s="713"/>
      <c r="V249" s="713"/>
      <c r="W249" s="713"/>
      <c r="X249" s="713"/>
      <c r="Y249" s="713"/>
      <c r="Z249" s="713"/>
      <c r="AA249" s="713"/>
      <c r="AB249" s="713"/>
      <c r="AC249" s="713"/>
      <c r="AD249" s="713"/>
      <c r="AE249" s="713"/>
    </row>
    <row r="250" spans="1:31" ht="15.75">
      <c r="A250" s="383" t="s">
        <v>729</v>
      </c>
      <c r="B250" s="383"/>
      <c r="C250" s="384" t="s">
        <v>1224</v>
      </c>
      <c r="D250" s="381"/>
      <c r="E250" s="381"/>
      <c r="F250" s="381"/>
      <c r="G250" s="713"/>
      <c r="H250" s="713"/>
      <c r="I250" s="713"/>
      <c r="J250" s="713"/>
      <c r="K250" s="713"/>
      <c r="L250" s="713"/>
      <c r="M250" s="713"/>
      <c r="N250" s="383" t="s">
        <v>729</v>
      </c>
      <c r="O250" s="383"/>
      <c r="P250" s="384" t="s">
        <v>1224</v>
      </c>
      <c r="Q250" s="381"/>
      <c r="R250" s="381"/>
      <c r="S250" s="381"/>
      <c r="T250" s="713"/>
      <c r="U250" s="713"/>
      <c r="V250" s="713"/>
      <c r="W250" s="713"/>
      <c r="X250" s="713"/>
      <c r="Y250" s="713"/>
      <c r="Z250" s="713"/>
      <c r="AA250" s="713"/>
      <c r="AB250" s="713"/>
      <c r="AC250" s="713"/>
      <c r="AD250" s="713"/>
      <c r="AE250" s="713"/>
    </row>
    <row r="251" spans="1:31" ht="15.75">
      <c r="A251" s="383" t="s">
        <v>401</v>
      </c>
      <c r="B251" s="383"/>
      <c r="C251" s="384" t="s">
        <v>974</v>
      </c>
      <c r="D251" s="381"/>
      <c r="E251" s="381"/>
      <c r="F251" s="381"/>
      <c r="G251" s="713"/>
      <c r="H251" s="713"/>
      <c r="I251" s="713"/>
      <c r="J251" s="713"/>
      <c r="K251" s="713"/>
      <c r="L251" s="713"/>
      <c r="M251" s="713"/>
      <c r="N251" s="383" t="s">
        <v>401</v>
      </c>
      <c r="O251" s="383"/>
      <c r="P251" s="384" t="s">
        <v>974</v>
      </c>
      <c r="Q251" s="381"/>
      <c r="R251" s="381"/>
      <c r="S251" s="381"/>
      <c r="T251" s="713"/>
      <c r="U251" s="713"/>
      <c r="V251" s="713"/>
      <c r="W251" s="713"/>
      <c r="X251" s="713"/>
      <c r="Y251" s="713"/>
      <c r="Z251" s="713"/>
      <c r="AA251" s="713"/>
      <c r="AB251" s="713"/>
      <c r="AC251" s="713"/>
      <c r="AD251" s="713"/>
      <c r="AE251" s="713"/>
    </row>
    <row r="252" spans="1:31" ht="15.75">
      <c r="A252" s="383" t="s">
        <v>730</v>
      </c>
      <c r="B252" s="383"/>
      <c r="C252" s="384" t="s">
        <v>731</v>
      </c>
      <c r="D252" s="381"/>
      <c r="E252" s="381"/>
      <c r="F252" s="381"/>
      <c r="G252" s="713"/>
      <c r="H252" s="713"/>
      <c r="I252" s="713"/>
      <c r="J252" s="713"/>
      <c r="K252" s="713"/>
      <c r="L252" s="713"/>
      <c r="M252" s="713"/>
      <c r="N252" s="383" t="s">
        <v>730</v>
      </c>
      <c r="O252" s="383"/>
      <c r="P252" s="384" t="s">
        <v>731</v>
      </c>
      <c r="Q252" s="381"/>
      <c r="R252" s="381"/>
      <c r="S252" s="381"/>
      <c r="T252" s="713"/>
      <c r="U252" s="713"/>
      <c r="V252" s="713"/>
      <c r="W252" s="713"/>
      <c r="X252" s="713"/>
      <c r="Y252" s="713"/>
      <c r="Z252" s="713"/>
      <c r="AA252" s="713"/>
      <c r="AB252" s="713"/>
      <c r="AC252" s="713"/>
      <c r="AD252" s="713"/>
      <c r="AE252" s="713"/>
    </row>
    <row r="253" spans="1:31" ht="15.75">
      <c r="A253" s="383" t="s">
        <v>169</v>
      </c>
      <c r="B253" s="383"/>
      <c r="C253" s="384" t="s">
        <v>1413</v>
      </c>
      <c r="D253" s="381"/>
      <c r="E253" s="381"/>
      <c r="F253" s="381"/>
      <c r="G253" s="713"/>
      <c r="H253" s="713"/>
      <c r="I253" s="713"/>
      <c r="J253" s="713"/>
      <c r="K253" s="713"/>
      <c r="L253" s="713"/>
      <c r="M253" s="713"/>
      <c r="N253" s="383" t="s">
        <v>169</v>
      </c>
      <c r="O253" s="383"/>
      <c r="P253" s="384" t="s">
        <v>1413</v>
      </c>
      <c r="Q253" s="381"/>
      <c r="R253" s="381"/>
      <c r="S253" s="381"/>
      <c r="T253" s="713"/>
      <c r="U253" s="713"/>
      <c r="V253" s="713"/>
      <c r="W253" s="713"/>
      <c r="X253" s="713"/>
      <c r="Y253" s="713"/>
      <c r="Z253" s="713"/>
      <c r="AA253" s="713"/>
      <c r="AB253" s="713"/>
      <c r="AC253" s="713"/>
      <c r="AD253" s="713"/>
      <c r="AE253" s="713"/>
    </row>
    <row r="254" spans="1:31" ht="16.5" thickBot="1">
      <c r="A254" s="383"/>
      <c r="B254" s="383"/>
      <c r="C254" s="381"/>
      <c r="D254" s="381"/>
      <c r="E254" s="381"/>
      <c r="F254" s="381"/>
      <c r="G254" s="713"/>
      <c r="H254" s="713"/>
      <c r="I254" s="713"/>
      <c r="J254" s="713"/>
      <c r="K254" s="713"/>
      <c r="L254" s="713"/>
      <c r="M254" s="713"/>
      <c r="N254" s="383"/>
      <c r="O254" s="383"/>
      <c r="P254" s="381"/>
      <c r="Q254" s="381"/>
      <c r="R254" s="381"/>
      <c r="S254" s="381"/>
      <c r="T254" s="713"/>
      <c r="U254" s="713"/>
      <c r="V254" s="713"/>
      <c r="W254" s="713"/>
      <c r="X254" s="713"/>
      <c r="Y254" s="713"/>
      <c r="Z254" s="713"/>
      <c r="AA254" s="713"/>
      <c r="AB254" s="713"/>
      <c r="AC254" s="713"/>
      <c r="AD254" s="713"/>
      <c r="AE254" s="713"/>
    </row>
    <row r="255" spans="1:31" ht="16.5" thickBot="1">
      <c r="A255" s="381" t="s">
        <v>733</v>
      </c>
      <c r="B255" s="385"/>
      <c r="C255" s="381" t="s">
        <v>771</v>
      </c>
      <c r="D255" s="381"/>
      <c r="E255" s="381"/>
      <c r="F255" s="381"/>
      <c r="G255" s="713"/>
      <c r="H255" s="713"/>
      <c r="I255" s="713"/>
      <c r="J255" s="713"/>
      <c r="K255" s="713"/>
      <c r="L255" s="713"/>
      <c r="M255" s="713"/>
      <c r="N255" s="381" t="s">
        <v>733</v>
      </c>
      <c r="O255" s="385"/>
      <c r="P255" s="381" t="s">
        <v>771</v>
      </c>
      <c r="Q255" s="381"/>
      <c r="R255" s="381"/>
      <c r="S255" s="381"/>
      <c r="T255" s="713"/>
      <c r="U255" s="713"/>
      <c r="V255" s="713"/>
      <c r="W255" s="713"/>
      <c r="X255" s="713"/>
      <c r="Y255" s="713"/>
      <c r="Z255" s="713"/>
      <c r="AA255" s="713"/>
      <c r="AB255" s="713"/>
      <c r="AC255" s="713"/>
      <c r="AD255" s="713"/>
      <c r="AE255" s="713"/>
    </row>
    <row r="256" spans="1:31" ht="16.5" thickBot="1">
      <c r="A256" s="381"/>
      <c r="B256" s="381"/>
      <c r="C256" s="381"/>
      <c r="D256" s="381"/>
      <c r="E256" s="381"/>
      <c r="F256" s="381"/>
      <c r="G256" s="713"/>
      <c r="H256" s="713"/>
      <c r="I256" s="713"/>
      <c r="J256" s="713"/>
      <c r="K256" s="713"/>
      <c r="L256" s="713"/>
      <c r="M256" s="713"/>
      <c r="N256" s="381"/>
      <c r="O256" s="381"/>
      <c r="P256" s="383"/>
      <c r="Q256" s="381"/>
      <c r="R256" s="381"/>
      <c r="S256" s="381"/>
      <c r="T256" s="713"/>
      <c r="U256" s="713"/>
      <c r="V256" s="713"/>
      <c r="W256" s="713"/>
      <c r="X256" s="713"/>
      <c r="Y256" s="713"/>
      <c r="Z256" s="713"/>
      <c r="AA256" s="713"/>
      <c r="AB256" s="713"/>
      <c r="AC256" s="713"/>
      <c r="AD256" s="713"/>
      <c r="AE256" s="713"/>
    </row>
    <row r="257" spans="1:31" ht="16.5" customHeight="1" thickBot="1">
      <c r="A257" s="1813" t="s">
        <v>734</v>
      </c>
      <c r="B257" s="1814"/>
      <c r="C257" s="1815"/>
      <c r="D257" s="1813" t="s">
        <v>735</v>
      </c>
      <c r="E257" s="1814"/>
      <c r="F257" s="1815"/>
      <c r="G257" s="1834" t="s">
        <v>736</v>
      </c>
      <c r="H257" s="1834" t="s">
        <v>737</v>
      </c>
      <c r="I257" s="1834" t="s">
        <v>738</v>
      </c>
      <c r="J257" s="1837" t="s">
        <v>772</v>
      </c>
      <c r="K257" s="1840"/>
      <c r="L257" s="1868" t="s">
        <v>773</v>
      </c>
      <c r="M257" s="1869"/>
      <c r="N257" s="1800" t="s">
        <v>734</v>
      </c>
      <c r="O257" s="1801"/>
      <c r="P257" s="1802"/>
      <c r="Q257" s="1800" t="s">
        <v>739</v>
      </c>
      <c r="R257" s="1801"/>
      <c r="S257" s="1802"/>
      <c r="T257" s="1834" t="s">
        <v>740</v>
      </c>
      <c r="U257" s="1824" t="s">
        <v>741</v>
      </c>
      <c r="V257" s="1825"/>
      <c r="W257" s="1825"/>
      <c r="X257" s="1825"/>
      <c r="Y257" s="1825"/>
      <c r="Z257" s="1825"/>
      <c r="AA257" s="1825"/>
      <c r="AB257" s="1825"/>
      <c r="AC257" s="1825"/>
      <c r="AD257" s="1825"/>
      <c r="AE257" s="1826"/>
    </row>
    <row r="258" spans="1:31" ht="16.5" customHeight="1" thickBot="1">
      <c r="A258" s="1816"/>
      <c r="B258" s="1817"/>
      <c r="C258" s="1818"/>
      <c r="D258" s="1816"/>
      <c r="E258" s="1817"/>
      <c r="F258" s="1818"/>
      <c r="G258" s="1835"/>
      <c r="H258" s="1835"/>
      <c r="I258" s="1835"/>
      <c r="J258" s="1839"/>
      <c r="K258" s="1841"/>
      <c r="L258" s="1870"/>
      <c r="M258" s="1871"/>
      <c r="N258" s="1809" t="s">
        <v>742</v>
      </c>
      <c r="O258" s="1809" t="s">
        <v>743</v>
      </c>
      <c r="P258" s="1809" t="s">
        <v>744</v>
      </c>
      <c r="Q258" s="1809" t="s">
        <v>745</v>
      </c>
      <c r="R258" s="1809" t="s">
        <v>746</v>
      </c>
      <c r="S258" s="1809" t="s">
        <v>747</v>
      </c>
      <c r="T258" s="1835"/>
      <c r="U258" s="1834" t="s">
        <v>748</v>
      </c>
      <c r="V258" s="1824" t="s">
        <v>774</v>
      </c>
      <c r="W258" s="1872"/>
      <c r="X258" s="1873" t="s">
        <v>775</v>
      </c>
      <c r="Y258" s="1874"/>
      <c r="Z258" s="1824" t="s">
        <v>776</v>
      </c>
      <c r="AA258" s="1826"/>
      <c r="AB258" s="1873" t="s">
        <v>777</v>
      </c>
      <c r="AC258" s="1875"/>
      <c r="AD258" s="1873" t="s">
        <v>749</v>
      </c>
      <c r="AE258" s="1875"/>
    </row>
    <row r="259" spans="1:31" ht="41.25" customHeight="1" thickBot="1">
      <c r="A259" s="386" t="s">
        <v>742</v>
      </c>
      <c r="B259" s="387" t="s">
        <v>743</v>
      </c>
      <c r="C259" s="388" t="s">
        <v>744</v>
      </c>
      <c r="D259" s="952" t="s">
        <v>750</v>
      </c>
      <c r="E259" s="951" t="s">
        <v>746</v>
      </c>
      <c r="F259" s="389" t="s">
        <v>394</v>
      </c>
      <c r="G259" s="1836"/>
      <c r="H259" s="1836"/>
      <c r="I259" s="1836"/>
      <c r="J259" s="760" t="s">
        <v>751</v>
      </c>
      <c r="K259" s="953" t="s">
        <v>752</v>
      </c>
      <c r="L259" s="955" t="s">
        <v>751</v>
      </c>
      <c r="M259" s="956" t="s">
        <v>752</v>
      </c>
      <c r="N259" s="1810"/>
      <c r="O259" s="1810"/>
      <c r="P259" s="1810"/>
      <c r="Q259" s="1810"/>
      <c r="R259" s="1810"/>
      <c r="S259" s="1810"/>
      <c r="T259" s="1836"/>
      <c r="U259" s="1836"/>
      <c r="V259" s="970" t="s">
        <v>751</v>
      </c>
      <c r="W259" s="967" t="s">
        <v>752</v>
      </c>
      <c r="X259" s="971" t="s">
        <v>751</v>
      </c>
      <c r="Y259" s="963" t="s">
        <v>752</v>
      </c>
      <c r="Z259" s="968" t="s">
        <v>753</v>
      </c>
      <c r="AA259" s="968" t="s">
        <v>754</v>
      </c>
      <c r="AB259" s="969" t="s">
        <v>753</v>
      </c>
      <c r="AC259" s="969" t="s">
        <v>754</v>
      </c>
      <c r="AD259" s="969" t="s">
        <v>753</v>
      </c>
      <c r="AE259" s="969" t="s">
        <v>754</v>
      </c>
    </row>
    <row r="260" spans="1:31" ht="21" customHeight="1" thickBot="1">
      <c r="A260" s="390" t="s">
        <v>499</v>
      </c>
      <c r="B260" s="391" t="s">
        <v>500</v>
      </c>
      <c r="C260" s="391" t="s">
        <v>538</v>
      </c>
      <c r="D260" s="391" t="s">
        <v>560</v>
      </c>
      <c r="E260" s="391" t="s">
        <v>562</v>
      </c>
      <c r="F260" s="391" t="s">
        <v>574</v>
      </c>
      <c r="G260" s="761" t="s">
        <v>778</v>
      </c>
      <c r="H260" s="761" t="s">
        <v>578</v>
      </c>
      <c r="I260" s="762" t="s">
        <v>580</v>
      </c>
      <c r="J260" s="761" t="s">
        <v>582</v>
      </c>
      <c r="K260" s="763" t="s">
        <v>584</v>
      </c>
      <c r="L260" s="957" t="s">
        <v>586</v>
      </c>
      <c r="M260" s="958" t="s">
        <v>590</v>
      </c>
      <c r="N260" s="401" t="s">
        <v>499</v>
      </c>
      <c r="O260" s="402" t="s">
        <v>500</v>
      </c>
      <c r="P260" s="402" t="s">
        <v>538</v>
      </c>
      <c r="Q260" s="402" t="s">
        <v>560</v>
      </c>
      <c r="R260" s="402" t="s">
        <v>562</v>
      </c>
      <c r="S260" s="402" t="s">
        <v>574</v>
      </c>
      <c r="T260" s="765" t="s">
        <v>779</v>
      </c>
      <c r="U260" s="766" t="s">
        <v>578</v>
      </c>
      <c r="V260" s="766" t="s">
        <v>580</v>
      </c>
      <c r="W260" s="766" t="s">
        <v>582</v>
      </c>
      <c r="X260" s="964" t="s">
        <v>584</v>
      </c>
      <c r="Y260" s="964" t="s">
        <v>586</v>
      </c>
      <c r="Z260" s="766" t="s">
        <v>590</v>
      </c>
      <c r="AA260" s="766" t="s">
        <v>755</v>
      </c>
      <c r="AB260" s="964" t="s">
        <v>780</v>
      </c>
      <c r="AC260" s="964" t="s">
        <v>781</v>
      </c>
      <c r="AD260" s="964" t="s">
        <v>782</v>
      </c>
      <c r="AE260" s="965" t="s">
        <v>783</v>
      </c>
    </row>
    <row r="261" spans="1:31" ht="16.5" thickBot="1">
      <c r="A261" s="394" t="s">
        <v>1414</v>
      </c>
      <c r="B261" s="395" t="s">
        <v>1415</v>
      </c>
      <c r="C261" s="395" t="s">
        <v>1416</v>
      </c>
      <c r="D261" s="395" t="s">
        <v>1224</v>
      </c>
      <c r="E261" s="395" t="s">
        <v>756</v>
      </c>
      <c r="F261" s="395" t="s">
        <v>974</v>
      </c>
      <c r="G261" s="396">
        <f>+H261+I261+J261+K261</f>
        <v>3249962.4</v>
      </c>
      <c r="H261" s="396"/>
      <c r="I261" s="396"/>
      <c r="J261" s="396">
        <v>2708302</v>
      </c>
      <c r="K261" s="397">
        <f>+J261*0.2</f>
        <v>541660.4</v>
      </c>
      <c r="L261" s="750"/>
      <c r="M261" s="755"/>
      <c r="N261" s="394" t="s">
        <v>1417</v>
      </c>
      <c r="O261" s="395" t="s">
        <v>1418</v>
      </c>
      <c r="P261" s="395" t="s">
        <v>1419</v>
      </c>
      <c r="Q261" s="395" t="s">
        <v>1420</v>
      </c>
      <c r="R261" s="395" t="s">
        <v>756</v>
      </c>
      <c r="S261" s="395" t="s">
        <v>1077</v>
      </c>
      <c r="T261" s="396">
        <f>+U261+V261+W261+Z261+AA261</f>
        <v>604800</v>
      </c>
      <c r="U261" s="396"/>
      <c r="V261" s="396"/>
      <c r="W261" s="396">
        <f>+V261*0.2</f>
        <v>0</v>
      </c>
      <c r="X261" s="750"/>
      <c r="Y261" s="750"/>
      <c r="Z261" s="396">
        <v>504000</v>
      </c>
      <c r="AA261" s="396">
        <f>+Z261*0.2</f>
        <v>100800</v>
      </c>
      <c r="AB261" s="750"/>
      <c r="AC261" s="750"/>
      <c r="AD261" s="750"/>
      <c r="AE261" s="755"/>
    </row>
    <row r="262" spans="1:31" ht="16.5" thickBot="1">
      <c r="A262" s="1795" t="s">
        <v>757</v>
      </c>
      <c r="B262" s="1796"/>
      <c r="C262" s="1796"/>
      <c r="D262" s="1796"/>
      <c r="E262" s="1796"/>
      <c r="F262" s="1797"/>
      <c r="G262" s="398">
        <f>SUM(G261:G261)</f>
        <v>3249962.4</v>
      </c>
      <c r="H262" s="398">
        <f>SUM(H261:H261)</f>
        <v>0</v>
      </c>
      <c r="I262" s="398">
        <f>SUM(I261:I261)</f>
        <v>0</v>
      </c>
      <c r="J262" s="398">
        <f>SUM(J261:J261)</f>
        <v>2708302</v>
      </c>
      <c r="K262" s="398">
        <f>SUM(K261:K261)</f>
        <v>541660.4</v>
      </c>
      <c r="L262" s="756"/>
      <c r="M262" s="959"/>
      <c r="N262" s="394" t="s">
        <v>1421</v>
      </c>
      <c r="O262" s="395" t="s">
        <v>1422</v>
      </c>
      <c r="P262" s="395" t="s">
        <v>1423</v>
      </c>
      <c r="Q262" s="395" t="s">
        <v>1381</v>
      </c>
      <c r="R262" s="395" t="s">
        <v>756</v>
      </c>
      <c r="S262" s="395" t="s">
        <v>978</v>
      </c>
      <c r="T262" s="396">
        <f t="shared" ref="T262:T273" si="49">+U262+V262+W262+Z262+AA262</f>
        <v>28000.008000000002</v>
      </c>
      <c r="U262" s="396"/>
      <c r="V262" s="396"/>
      <c r="W262" s="396">
        <f t="shared" ref="W262:W273" si="50">+V262*0.2</f>
        <v>0</v>
      </c>
      <c r="X262" s="750"/>
      <c r="Y262" s="750"/>
      <c r="Z262" s="396">
        <v>23333.34</v>
      </c>
      <c r="AA262" s="396">
        <f t="shared" ref="AA262:AA273" si="51">+Z262*0.2</f>
        <v>4666.6680000000006</v>
      </c>
      <c r="AB262" s="750"/>
      <c r="AC262" s="750"/>
      <c r="AD262" s="750"/>
      <c r="AE262" s="755"/>
    </row>
    <row r="263" spans="1:31" ht="16.5" thickBot="1">
      <c r="A263" s="1798" t="s">
        <v>758</v>
      </c>
      <c r="B263" s="1799"/>
      <c r="C263" s="1799"/>
      <c r="D263" s="1799"/>
      <c r="E263" s="1799"/>
      <c r="F263" s="1799"/>
      <c r="G263" s="1799"/>
      <c r="H263" s="718" t="s">
        <v>759</v>
      </c>
      <c r="I263" s="719" t="s">
        <v>760</v>
      </c>
      <c r="J263" s="718" t="s">
        <v>761</v>
      </c>
      <c r="K263" s="764" t="s">
        <v>762</v>
      </c>
      <c r="L263" s="960" t="s">
        <v>763</v>
      </c>
      <c r="M263" s="961" t="s">
        <v>764</v>
      </c>
      <c r="N263" s="394" t="s">
        <v>1424</v>
      </c>
      <c r="O263" s="395" t="s">
        <v>1425</v>
      </c>
      <c r="P263" s="395" t="s">
        <v>1426</v>
      </c>
      <c r="Q263" s="395" t="s">
        <v>1427</v>
      </c>
      <c r="R263" s="395" t="s">
        <v>756</v>
      </c>
      <c r="S263" s="395" t="s">
        <v>1428</v>
      </c>
      <c r="T263" s="396">
        <f t="shared" si="49"/>
        <v>263596.79999999999</v>
      </c>
      <c r="U263" s="396"/>
      <c r="V263" s="396"/>
      <c r="W263" s="396">
        <f t="shared" si="50"/>
        <v>0</v>
      </c>
      <c r="X263" s="750"/>
      <c r="Y263" s="750"/>
      <c r="Z263" s="396">
        <v>219664</v>
      </c>
      <c r="AA263" s="396">
        <f t="shared" si="51"/>
        <v>43932.800000000003</v>
      </c>
      <c r="AB263" s="750"/>
      <c r="AC263" s="750"/>
      <c r="AD263" s="750"/>
      <c r="AE263" s="755"/>
    </row>
    <row r="264" spans="1:31" ht="15.75">
      <c r="A264" s="381"/>
      <c r="B264" s="381"/>
      <c r="C264" s="381"/>
      <c r="D264" s="381"/>
      <c r="E264" s="381"/>
      <c r="F264" s="381"/>
      <c r="G264" s="713"/>
      <c r="H264" s="713"/>
      <c r="I264" s="713"/>
      <c r="J264" s="713"/>
      <c r="K264" s="713"/>
      <c r="L264" s="713"/>
      <c r="M264" s="713"/>
      <c r="N264" s="394" t="s">
        <v>1429</v>
      </c>
      <c r="O264" s="395" t="s">
        <v>1430</v>
      </c>
      <c r="P264" s="395" t="s">
        <v>1431</v>
      </c>
      <c r="Q264" s="395" t="s">
        <v>1432</v>
      </c>
      <c r="R264" s="395" t="s">
        <v>1360</v>
      </c>
      <c r="S264" s="395" t="s">
        <v>1063</v>
      </c>
      <c r="T264" s="396">
        <f t="shared" si="49"/>
        <v>283800</v>
      </c>
      <c r="U264" s="396"/>
      <c r="V264" s="396"/>
      <c r="W264" s="396">
        <f t="shared" si="50"/>
        <v>0</v>
      </c>
      <c r="X264" s="750"/>
      <c r="Y264" s="750"/>
      <c r="Z264" s="396">
        <v>236500</v>
      </c>
      <c r="AA264" s="396">
        <f t="shared" si="51"/>
        <v>47300</v>
      </c>
      <c r="AB264" s="750"/>
      <c r="AC264" s="750"/>
      <c r="AD264" s="750"/>
      <c r="AE264" s="755"/>
    </row>
    <row r="265" spans="1:31" ht="15.75">
      <c r="A265" s="381"/>
      <c r="B265" s="381"/>
      <c r="C265" s="381"/>
      <c r="D265" s="381"/>
      <c r="E265" s="381"/>
      <c r="F265" s="381"/>
      <c r="G265" s="713"/>
      <c r="H265" s="713"/>
      <c r="I265" s="713"/>
      <c r="J265" s="713"/>
      <c r="K265" s="713"/>
      <c r="L265" s="713"/>
      <c r="M265" s="713"/>
      <c r="N265" s="394" t="s">
        <v>1433</v>
      </c>
      <c r="O265" s="395" t="s">
        <v>1434</v>
      </c>
      <c r="P265" s="395" t="s">
        <v>1435</v>
      </c>
      <c r="Q265" s="395" t="s">
        <v>1354</v>
      </c>
      <c r="R265" s="395" t="s">
        <v>1355</v>
      </c>
      <c r="S265" s="395" t="s">
        <v>1436</v>
      </c>
      <c r="T265" s="396">
        <f t="shared" si="49"/>
        <v>52800</v>
      </c>
      <c r="U265" s="396"/>
      <c r="V265" s="396"/>
      <c r="W265" s="396">
        <f t="shared" si="50"/>
        <v>0</v>
      </c>
      <c r="X265" s="750"/>
      <c r="Y265" s="750"/>
      <c r="Z265" s="396">
        <v>44000</v>
      </c>
      <c r="AA265" s="396">
        <f t="shared" si="51"/>
        <v>8800</v>
      </c>
      <c r="AB265" s="750"/>
      <c r="AC265" s="750"/>
      <c r="AD265" s="750"/>
      <c r="AE265" s="755"/>
    </row>
    <row r="266" spans="1:31" ht="15.75">
      <c r="A266" s="381"/>
      <c r="B266" s="381"/>
      <c r="C266" s="381"/>
      <c r="D266" s="381"/>
      <c r="E266" s="381"/>
      <c r="F266" s="381"/>
      <c r="G266" s="713"/>
      <c r="H266" s="713"/>
      <c r="I266" s="713"/>
      <c r="J266" s="720" t="s">
        <v>951</v>
      </c>
      <c r="K266" s="713"/>
      <c r="L266" s="713"/>
      <c r="M266" s="713"/>
      <c r="N266" s="394" t="s">
        <v>1340</v>
      </c>
      <c r="O266" s="395" t="s">
        <v>1437</v>
      </c>
      <c r="P266" s="395" t="s">
        <v>1438</v>
      </c>
      <c r="Q266" s="395" t="s">
        <v>1439</v>
      </c>
      <c r="R266" s="395" t="s">
        <v>1349</v>
      </c>
      <c r="S266" s="395" t="s">
        <v>986</v>
      </c>
      <c r="T266" s="396">
        <f t="shared" si="49"/>
        <v>293622</v>
      </c>
      <c r="U266" s="396"/>
      <c r="V266" s="396"/>
      <c r="W266" s="396">
        <f t="shared" si="50"/>
        <v>0</v>
      </c>
      <c r="X266" s="750"/>
      <c r="Y266" s="750"/>
      <c r="Z266" s="396">
        <v>244685</v>
      </c>
      <c r="AA266" s="396">
        <f t="shared" si="51"/>
        <v>48937</v>
      </c>
      <c r="AB266" s="750"/>
      <c r="AC266" s="750"/>
      <c r="AD266" s="750"/>
      <c r="AE266" s="755"/>
    </row>
    <row r="267" spans="1:31" ht="15.75">
      <c r="A267" s="381"/>
      <c r="B267" s="381"/>
      <c r="C267" s="381"/>
      <c r="D267" s="381"/>
      <c r="E267" s="381"/>
      <c r="F267" s="381"/>
      <c r="G267" s="713"/>
      <c r="H267" s="713"/>
      <c r="I267" s="713"/>
      <c r="J267" s="713"/>
      <c r="K267" s="713"/>
      <c r="L267" s="713"/>
      <c r="M267" s="713"/>
      <c r="N267" s="394" t="s">
        <v>1440</v>
      </c>
      <c r="O267" s="395" t="s">
        <v>1441</v>
      </c>
      <c r="P267" s="395" t="s">
        <v>1442</v>
      </c>
      <c r="Q267" s="395" t="s">
        <v>1439</v>
      </c>
      <c r="R267" s="395" t="s">
        <v>1349</v>
      </c>
      <c r="S267" s="395" t="s">
        <v>986</v>
      </c>
      <c r="T267" s="396">
        <f t="shared" si="49"/>
        <v>296520</v>
      </c>
      <c r="U267" s="396"/>
      <c r="V267" s="396"/>
      <c r="W267" s="396">
        <f t="shared" si="50"/>
        <v>0</v>
      </c>
      <c r="X267" s="750"/>
      <c r="Y267" s="750"/>
      <c r="Z267" s="396">
        <v>247100</v>
      </c>
      <c r="AA267" s="396">
        <f t="shared" si="51"/>
        <v>49420</v>
      </c>
      <c r="AB267" s="750"/>
      <c r="AC267" s="750"/>
      <c r="AD267" s="750"/>
      <c r="AE267" s="755"/>
    </row>
    <row r="268" spans="1:31" ht="15.75">
      <c r="A268" s="381" t="s">
        <v>793</v>
      </c>
      <c r="B268" s="381"/>
      <c r="C268" s="381"/>
      <c r="D268" s="381"/>
      <c r="E268" s="381"/>
      <c r="F268" s="381"/>
      <c r="G268" s="713"/>
      <c r="H268" s="713"/>
      <c r="I268" s="713"/>
      <c r="J268" s="713"/>
      <c r="K268" s="713"/>
      <c r="L268" s="713"/>
      <c r="M268" s="713"/>
      <c r="N268" s="394" t="s">
        <v>1443</v>
      </c>
      <c r="O268" s="395" t="s">
        <v>1444</v>
      </c>
      <c r="P268" s="395" t="s">
        <v>1445</v>
      </c>
      <c r="Q268" s="395" t="s">
        <v>1406</v>
      </c>
      <c r="R268" s="395" t="s">
        <v>1407</v>
      </c>
      <c r="S268" s="395" t="s">
        <v>1086</v>
      </c>
      <c r="T268" s="396">
        <f t="shared" si="49"/>
        <v>89618.4</v>
      </c>
      <c r="U268" s="396"/>
      <c r="V268" s="396"/>
      <c r="W268" s="396">
        <f t="shared" si="50"/>
        <v>0</v>
      </c>
      <c r="X268" s="750"/>
      <c r="Y268" s="750"/>
      <c r="Z268" s="396">
        <v>74682</v>
      </c>
      <c r="AA268" s="396">
        <f t="shared" si="51"/>
        <v>14936.400000000001</v>
      </c>
      <c r="AB268" s="750"/>
      <c r="AC268" s="750"/>
      <c r="AD268" s="750"/>
      <c r="AE268" s="755"/>
    </row>
    <row r="269" spans="1:31" ht="15.75">
      <c r="A269" s="381" t="s">
        <v>785</v>
      </c>
      <c r="B269" s="381"/>
      <c r="C269" s="381"/>
      <c r="D269" s="381"/>
      <c r="E269" s="381"/>
      <c r="F269" s="381"/>
      <c r="G269" s="713"/>
      <c r="H269" s="713"/>
      <c r="I269" s="713"/>
      <c r="J269" s="713"/>
      <c r="K269" s="713"/>
      <c r="L269" s="713"/>
      <c r="M269" s="713"/>
      <c r="N269" s="394" t="s">
        <v>1446</v>
      </c>
      <c r="O269" s="395" t="s">
        <v>1447</v>
      </c>
      <c r="P269" s="395" t="s">
        <v>1448</v>
      </c>
      <c r="Q269" s="395" t="s">
        <v>1406</v>
      </c>
      <c r="R269" s="395" t="s">
        <v>1407</v>
      </c>
      <c r="S269" s="395" t="s">
        <v>1086</v>
      </c>
      <c r="T269" s="396">
        <f t="shared" si="49"/>
        <v>166432.79999999999</v>
      </c>
      <c r="U269" s="396"/>
      <c r="V269" s="396"/>
      <c r="W269" s="396">
        <f t="shared" si="50"/>
        <v>0</v>
      </c>
      <c r="X269" s="750"/>
      <c r="Y269" s="750"/>
      <c r="Z269" s="396">
        <v>138694</v>
      </c>
      <c r="AA269" s="396">
        <f t="shared" si="51"/>
        <v>27738.800000000003</v>
      </c>
      <c r="AB269" s="750"/>
      <c r="AC269" s="750"/>
      <c r="AD269" s="750"/>
      <c r="AE269" s="755"/>
    </row>
    <row r="270" spans="1:31" ht="15.75">
      <c r="A270" s="381" t="s">
        <v>792</v>
      </c>
      <c r="B270"/>
      <c r="C270"/>
      <c r="D270"/>
      <c r="E270"/>
      <c r="F270"/>
      <c r="G270" s="962"/>
      <c r="H270" s="962"/>
      <c r="I270" s="962"/>
      <c r="J270" s="962"/>
      <c r="K270" s="713"/>
      <c r="L270" s="713"/>
      <c r="M270" s="713"/>
      <c r="N270" s="394" t="s">
        <v>1449</v>
      </c>
      <c r="O270" s="395" t="s">
        <v>1450</v>
      </c>
      <c r="P270" s="395" t="s">
        <v>1451</v>
      </c>
      <c r="Q270" s="395" t="s">
        <v>1406</v>
      </c>
      <c r="R270" s="395" t="s">
        <v>1407</v>
      </c>
      <c r="S270" s="395" t="s">
        <v>1086</v>
      </c>
      <c r="T270" s="396">
        <f t="shared" si="49"/>
        <v>89618.4</v>
      </c>
      <c r="U270" s="396"/>
      <c r="V270" s="396"/>
      <c r="W270" s="396">
        <f t="shared" si="50"/>
        <v>0</v>
      </c>
      <c r="X270" s="750"/>
      <c r="Y270" s="750"/>
      <c r="Z270" s="396">
        <v>74682</v>
      </c>
      <c r="AA270" s="396">
        <f t="shared" si="51"/>
        <v>14936.400000000001</v>
      </c>
      <c r="AB270" s="750"/>
      <c r="AC270" s="750"/>
      <c r="AD270" s="750"/>
      <c r="AE270" s="755"/>
    </row>
    <row r="271" spans="1:31" ht="15.75">
      <c r="A271" s="381"/>
      <c r="B271" s="381"/>
      <c r="C271" s="381"/>
      <c r="D271" s="381"/>
      <c r="E271" s="381"/>
      <c r="F271" s="381"/>
      <c r="G271" s="713"/>
      <c r="H271" s="713"/>
      <c r="I271" s="713"/>
      <c r="J271" s="713"/>
      <c r="K271" s="713"/>
      <c r="L271" s="713"/>
      <c r="M271" s="713"/>
      <c r="N271" s="394" t="s">
        <v>1452</v>
      </c>
      <c r="O271" s="395" t="s">
        <v>1453</v>
      </c>
      <c r="P271" s="395" t="s">
        <v>1451</v>
      </c>
      <c r="Q271" s="395" t="s">
        <v>1406</v>
      </c>
      <c r="R271" s="395" t="s">
        <v>1407</v>
      </c>
      <c r="S271" s="395" t="s">
        <v>1086</v>
      </c>
      <c r="T271" s="396">
        <f t="shared" si="49"/>
        <v>89618.4</v>
      </c>
      <c r="U271" s="396"/>
      <c r="V271" s="396"/>
      <c r="W271" s="396">
        <f t="shared" si="50"/>
        <v>0</v>
      </c>
      <c r="X271" s="750"/>
      <c r="Y271" s="750"/>
      <c r="Z271" s="396">
        <v>74682</v>
      </c>
      <c r="AA271" s="396">
        <f t="shared" si="51"/>
        <v>14936.400000000001</v>
      </c>
      <c r="AB271" s="750"/>
      <c r="AC271" s="750"/>
      <c r="AD271" s="750"/>
      <c r="AE271" s="755"/>
    </row>
    <row r="272" spans="1:31" ht="15.75">
      <c r="A272" s="381"/>
      <c r="B272" s="381"/>
      <c r="C272" s="381"/>
      <c r="D272" s="381"/>
      <c r="E272" s="381"/>
      <c r="F272" s="381"/>
      <c r="G272" s="713"/>
      <c r="H272" s="713"/>
      <c r="I272" s="713"/>
      <c r="J272" s="713"/>
      <c r="K272" s="713"/>
      <c r="L272" s="713"/>
      <c r="M272" s="713"/>
      <c r="N272" s="394" t="s">
        <v>1454</v>
      </c>
      <c r="O272" s="395" t="s">
        <v>1455</v>
      </c>
      <c r="P272" s="395" t="s">
        <v>1387</v>
      </c>
      <c r="Q272" s="395" t="s">
        <v>1406</v>
      </c>
      <c r="R272" s="395" t="s">
        <v>1407</v>
      </c>
      <c r="S272" s="395" t="s">
        <v>1086</v>
      </c>
      <c r="T272" s="396">
        <f t="shared" si="49"/>
        <v>166432.79999999999</v>
      </c>
      <c r="U272" s="396"/>
      <c r="V272" s="396"/>
      <c r="W272" s="396">
        <f t="shared" si="50"/>
        <v>0</v>
      </c>
      <c r="X272" s="750"/>
      <c r="Y272" s="750"/>
      <c r="Z272" s="396">
        <v>138694</v>
      </c>
      <c r="AA272" s="396">
        <f t="shared" si="51"/>
        <v>27738.800000000003</v>
      </c>
      <c r="AB272" s="750"/>
      <c r="AC272" s="750"/>
      <c r="AD272" s="750"/>
      <c r="AE272" s="755"/>
    </row>
    <row r="273" spans="1:31" ht="16.5" thickBot="1">
      <c r="A273" s="381"/>
      <c r="B273" s="381"/>
      <c r="C273" s="381"/>
      <c r="D273" s="381"/>
      <c r="E273" s="381"/>
      <c r="F273" s="381"/>
      <c r="G273" s="713"/>
      <c r="H273" s="713"/>
      <c r="I273" s="713"/>
      <c r="J273" s="713"/>
      <c r="K273" s="713"/>
      <c r="L273" s="713"/>
      <c r="M273" s="713"/>
      <c r="N273" s="394" t="s">
        <v>1456</v>
      </c>
      <c r="O273" s="395" t="s">
        <v>1457</v>
      </c>
      <c r="P273" s="395" t="s">
        <v>1458</v>
      </c>
      <c r="Q273" s="395" t="s">
        <v>1406</v>
      </c>
      <c r="R273" s="395" t="s">
        <v>1407</v>
      </c>
      <c r="S273" s="395" t="s">
        <v>1086</v>
      </c>
      <c r="T273" s="396">
        <f t="shared" si="49"/>
        <v>184972.79999999999</v>
      </c>
      <c r="U273" s="396"/>
      <c r="V273" s="396"/>
      <c r="W273" s="396">
        <f t="shared" si="50"/>
        <v>0</v>
      </c>
      <c r="X273" s="750"/>
      <c r="Y273" s="750"/>
      <c r="Z273" s="396">
        <v>154144</v>
      </c>
      <c r="AA273" s="396">
        <f t="shared" si="51"/>
        <v>30828.800000000003</v>
      </c>
      <c r="AB273" s="750"/>
      <c r="AC273" s="750"/>
      <c r="AD273" s="750"/>
      <c r="AE273" s="755"/>
    </row>
    <row r="274" spans="1:31" ht="16.5" thickBot="1">
      <c r="A274" s="381"/>
      <c r="B274" s="381"/>
      <c r="C274" s="381"/>
      <c r="D274" s="381"/>
      <c r="E274" s="381"/>
      <c r="F274" s="381"/>
      <c r="G274" s="713"/>
      <c r="H274" s="713"/>
      <c r="I274" s="713"/>
      <c r="J274" s="713"/>
      <c r="K274" s="713"/>
      <c r="L274" s="713"/>
      <c r="M274" s="713"/>
      <c r="N274" s="1795" t="s">
        <v>757</v>
      </c>
      <c r="O274" s="1796"/>
      <c r="P274" s="1796"/>
      <c r="Q274" s="1796"/>
      <c r="R274" s="1796"/>
      <c r="S274" s="1797"/>
      <c r="T274" s="721">
        <f t="shared" ref="T274:AE274" si="52">SUM(T261:T273)</f>
        <v>2609832.4079999994</v>
      </c>
      <c r="U274" s="721">
        <f t="shared" si="52"/>
        <v>0</v>
      </c>
      <c r="V274" s="721">
        <f t="shared" si="52"/>
        <v>0</v>
      </c>
      <c r="W274" s="721">
        <f t="shared" si="52"/>
        <v>0</v>
      </c>
      <c r="X274" s="751">
        <f t="shared" si="52"/>
        <v>0</v>
      </c>
      <c r="Y274" s="751">
        <f t="shared" si="52"/>
        <v>0</v>
      </c>
      <c r="Z274" s="721">
        <f t="shared" si="52"/>
        <v>2174860.34</v>
      </c>
      <c r="AA274" s="721">
        <f>SUM(AA261:AA273)</f>
        <v>434972.06800000003</v>
      </c>
      <c r="AB274" s="751">
        <f t="shared" si="52"/>
        <v>0</v>
      </c>
      <c r="AC274" s="751">
        <f t="shared" si="52"/>
        <v>0</v>
      </c>
      <c r="AD274" s="751">
        <f t="shared" si="52"/>
        <v>0</v>
      </c>
      <c r="AE274" s="751">
        <f t="shared" si="52"/>
        <v>0</v>
      </c>
    </row>
    <row r="275" spans="1:31" ht="16.5" thickBot="1">
      <c r="N275" s="1798" t="s">
        <v>758</v>
      </c>
      <c r="O275" s="1799"/>
      <c r="P275" s="1799"/>
      <c r="Q275" s="1799"/>
      <c r="R275" s="1799"/>
      <c r="S275" s="1799"/>
      <c r="T275" s="1799"/>
      <c r="U275" s="718" t="s">
        <v>765</v>
      </c>
      <c r="V275" s="718" t="s">
        <v>766</v>
      </c>
      <c r="W275" s="718" t="s">
        <v>767</v>
      </c>
      <c r="X275" s="960" t="s">
        <v>768</v>
      </c>
      <c r="Y275" s="960" t="s">
        <v>769</v>
      </c>
      <c r="Z275" s="718" t="s">
        <v>786</v>
      </c>
      <c r="AA275" s="718" t="s">
        <v>787</v>
      </c>
      <c r="AB275" s="960" t="s">
        <v>788</v>
      </c>
      <c r="AC275" s="960" t="s">
        <v>789</v>
      </c>
      <c r="AD275" s="960" t="s">
        <v>790</v>
      </c>
      <c r="AE275" s="961" t="s">
        <v>791</v>
      </c>
    </row>
    <row r="276" spans="1:31" ht="15.75">
      <c r="N276" s="381"/>
      <c r="O276" s="381"/>
      <c r="P276" s="381"/>
      <c r="Q276" s="381"/>
      <c r="R276" s="381"/>
      <c r="S276" s="381"/>
      <c r="T276" s="713"/>
      <c r="U276" s="713"/>
      <c r="V276" s="713"/>
      <c r="W276" s="713"/>
      <c r="X276" s="713"/>
      <c r="Y276" s="713"/>
      <c r="Z276" s="713"/>
      <c r="AA276" s="713"/>
      <c r="AB276" s="713"/>
      <c r="AC276" s="713"/>
      <c r="AD276" s="713"/>
      <c r="AE276" s="713"/>
    </row>
    <row r="277" spans="1:31" ht="15.75">
      <c r="N277" s="381"/>
      <c r="O277" s="381"/>
      <c r="P277" s="381"/>
      <c r="Q277" s="381"/>
      <c r="R277" s="381"/>
      <c r="S277" s="381"/>
      <c r="T277" s="713"/>
      <c r="U277" s="713"/>
      <c r="V277" s="713"/>
      <c r="W277" s="713"/>
      <c r="X277" s="713"/>
      <c r="Y277" s="713"/>
      <c r="Z277" s="713"/>
      <c r="AA277" s="713"/>
      <c r="AB277" s="713"/>
      <c r="AC277" s="713"/>
      <c r="AD277" s="713"/>
      <c r="AE277" s="713"/>
    </row>
    <row r="278" spans="1:31" ht="19.5">
      <c r="A278" s="380" t="s">
        <v>727</v>
      </c>
      <c r="B278" s="381"/>
      <c r="C278" s="1129"/>
      <c r="D278" s="1129"/>
      <c r="E278" s="1129"/>
      <c r="F278" s="1129"/>
      <c r="G278" s="1129"/>
      <c r="H278" s="1129"/>
      <c r="I278" s="1129"/>
      <c r="J278" s="1129"/>
      <c r="K278" s="1129"/>
      <c r="L278" s="1129"/>
      <c r="M278" s="1129"/>
      <c r="N278" s="380" t="s">
        <v>728</v>
      </c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  <c r="Z278" s="381"/>
      <c r="AA278" s="381"/>
      <c r="AB278" s="381"/>
      <c r="AC278" s="381"/>
      <c r="AD278" s="381"/>
      <c r="AE278" s="381"/>
    </row>
    <row r="279" spans="1:31" ht="15.75">
      <c r="A279" s="383" t="s">
        <v>729</v>
      </c>
      <c r="B279" s="383"/>
      <c r="C279" s="1147" t="s">
        <v>1224</v>
      </c>
      <c r="D279" s="1129"/>
      <c r="E279" s="1129"/>
      <c r="F279" s="1129"/>
      <c r="G279" s="1129"/>
      <c r="H279" s="1129"/>
      <c r="I279" s="1129"/>
      <c r="J279" s="1129"/>
      <c r="K279" s="1129"/>
      <c r="L279" s="1129"/>
      <c r="M279" s="1129"/>
      <c r="N279" s="383" t="s">
        <v>729</v>
      </c>
      <c r="O279" s="383"/>
      <c r="P279" s="384" t="s">
        <v>1224</v>
      </c>
      <c r="Q279" s="381"/>
      <c r="R279" s="381"/>
      <c r="S279" s="381"/>
      <c r="T279" s="381"/>
      <c r="U279" s="381"/>
      <c r="V279" s="381"/>
      <c r="W279" s="381"/>
      <c r="X279" s="381"/>
      <c r="Y279" s="381"/>
      <c r="Z279" s="381"/>
      <c r="AA279" s="381"/>
      <c r="AB279" s="381"/>
      <c r="AC279" s="381"/>
      <c r="AD279" s="381"/>
      <c r="AE279" s="381"/>
    </row>
    <row r="280" spans="1:31" ht="15.75">
      <c r="A280" s="383" t="s">
        <v>401</v>
      </c>
      <c r="B280" s="383"/>
      <c r="C280" s="1147" t="s">
        <v>974</v>
      </c>
      <c r="D280" s="1129"/>
      <c r="E280" s="1129"/>
      <c r="F280" s="1129"/>
      <c r="G280" s="1129"/>
      <c r="H280" s="1129"/>
      <c r="I280" s="1129"/>
      <c r="J280" s="1129"/>
      <c r="K280" s="1129"/>
      <c r="L280" s="1129"/>
      <c r="M280" s="1129"/>
      <c r="N280" s="383" t="s">
        <v>401</v>
      </c>
      <c r="O280" s="383"/>
      <c r="P280" s="384" t="s">
        <v>974</v>
      </c>
      <c r="Q280" s="381"/>
      <c r="R280" s="381"/>
      <c r="S280" s="381"/>
      <c r="T280" s="381"/>
      <c r="U280" s="381"/>
      <c r="V280" s="381"/>
      <c r="W280" s="381"/>
      <c r="X280" s="381"/>
      <c r="Y280" s="381"/>
      <c r="Z280" s="381"/>
      <c r="AA280" s="381"/>
      <c r="AB280" s="381"/>
      <c r="AC280" s="381"/>
      <c r="AD280" s="381"/>
      <c r="AE280" s="381"/>
    </row>
    <row r="281" spans="1:31" ht="15.75">
      <c r="A281" s="383" t="s">
        <v>730</v>
      </c>
      <c r="B281" s="383"/>
      <c r="C281" s="1147" t="s">
        <v>731</v>
      </c>
      <c r="D281" s="1129"/>
      <c r="E281" s="1129"/>
      <c r="F281" s="1129"/>
      <c r="G281" s="1129"/>
      <c r="H281" s="1129"/>
      <c r="I281" s="1129"/>
      <c r="J281" s="1129"/>
      <c r="K281" s="1129"/>
      <c r="L281" s="1129"/>
      <c r="M281" s="1129"/>
      <c r="N281" s="383" t="s">
        <v>730</v>
      </c>
      <c r="O281" s="383"/>
      <c r="P281" s="384" t="s">
        <v>731</v>
      </c>
      <c r="Q281" s="381"/>
      <c r="R281" s="381"/>
      <c r="S281" s="381"/>
      <c r="T281" s="381"/>
      <c r="U281" s="381"/>
      <c r="V281" s="381"/>
      <c r="W281" s="381"/>
      <c r="X281" s="381"/>
      <c r="Y281" s="381"/>
      <c r="Z281" s="381"/>
      <c r="AA281" s="381"/>
      <c r="AB281" s="381"/>
      <c r="AC281" s="381"/>
      <c r="AD281" s="381"/>
      <c r="AE281" s="381"/>
    </row>
    <row r="282" spans="1:31" ht="15.75">
      <c r="A282" s="383" t="s">
        <v>169</v>
      </c>
      <c r="B282" s="383"/>
      <c r="C282" s="1147" t="s">
        <v>1497</v>
      </c>
      <c r="D282" s="1129"/>
      <c r="E282" s="1129"/>
      <c r="F282" s="1129"/>
      <c r="G282" s="1129"/>
      <c r="H282" s="1129"/>
      <c r="I282" s="1129"/>
      <c r="J282" s="1129"/>
      <c r="K282" s="1129"/>
      <c r="L282" s="1129"/>
      <c r="M282" s="1129"/>
      <c r="N282" s="383" t="s">
        <v>169</v>
      </c>
      <c r="O282" s="383"/>
      <c r="P282" s="384" t="s">
        <v>1497</v>
      </c>
      <c r="Q282" s="381"/>
      <c r="R282" s="381"/>
      <c r="S282" s="381"/>
      <c r="T282" s="381"/>
      <c r="U282" s="381"/>
      <c r="V282" s="381"/>
      <c r="W282" s="381"/>
      <c r="X282" s="381"/>
      <c r="Y282" s="381"/>
      <c r="Z282" s="381"/>
      <c r="AA282" s="381"/>
      <c r="AB282" s="381"/>
      <c r="AC282" s="381"/>
      <c r="AD282" s="381"/>
      <c r="AE282" s="381"/>
    </row>
    <row r="283" spans="1:31" ht="16.5" thickBot="1">
      <c r="A283" s="383"/>
      <c r="B283" s="383"/>
      <c r="C283" s="1129"/>
      <c r="D283" s="1129"/>
      <c r="E283" s="1129"/>
      <c r="F283" s="1129"/>
      <c r="G283" s="1129"/>
      <c r="H283" s="1129"/>
      <c r="I283" s="1129"/>
      <c r="J283" s="1129"/>
      <c r="K283" s="1129"/>
      <c r="L283" s="1129"/>
      <c r="M283" s="1129"/>
      <c r="N283" s="383"/>
      <c r="O283" s="383"/>
      <c r="P283" s="381"/>
      <c r="Q283" s="381"/>
      <c r="R283" s="381"/>
      <c r="S283" s="381"/>
      <c r="T283" s="381"/>
      <c r="U283" s="381"/>
      <c r="V283" s="381"/>
      <c r="W283" s="381"/>
      <c r="X283" s="381"/>
      <c r="Y283" s="381"/>
      <c r="Z283" s="381"/>
      <c r="AA283" s="381"/>
      <c r="AB283" s="381"/>
      <c r="AC283" s="381"/>
      <c r="AD283" s="381"/>
      <c r="AE283" s="381"/>
    </row>
    <row r="284" spans="1:31" ht="16.5" thickBot="1">
      <c r="A284" s="381" t="s">
        <v>733</v>
      </c>
      <c r="B284" s="385"/>
      <c r="C284" s="1129" t="s">
        <v>771</v>
      </c>
      <c r="D284" s="1129"/>
      <c r="E284" s="1129"/>
      <c r="F284" s="1129"/>
      <c r="G284" s="1129"/>
      <c r="H284" s="1129"/>
      <c r="I284" s="1129"/>
      <c r="J284" s="1129"/>
      <c r="K284" s="1129"/>
      <c r="L284" s="1129"/>
      <c r="M284" s="1129"/>
      <c r="N284" s="381" t="s">
        <v>733</v>
      </c>
      <c r="O284" s="385"/>
      <c r="P284" s="381" t="s">
        <v>771</v>
      </c>
      <c r="Q284" s="381"/>
      <c r="R284" s="381"/>
      <c r="S284" s="381"/>
      <c r="T284" s="381"/>
      <c r="U284" s="381"/>
      <c r="V284" s="381"/>
      <c r="W284" s="381"/>
      <c r="X284" s="381"/>
      <c r="Y284" s="381"/>
      <c r="Z284" s="381"/>
      <c r="AA284" s="381"/>
      <c r="AB284" s="381"/>
      <c r="AC284" s="381"/>
      <c r="AD284" s="381"/>
      <c r="AE284" s="381"/>
    </row>
    <row r="285" spans="1:31" ht="16.5" thickBot="1">
      <c r="A285" s="381"/>
      <c r="B285" s="381"/>
      <c r="C285" s="1129"/>
      <c r="D285" s="1129"/>
      <c r="E285" s="1129"/>
      <c r="F285" s="1129"/>
      <c r="G285" s="1129"/>
      <c r="H285" s="1129"/>
      <c r="I285" s="1129"/>
      <c r="J285" s="1129"/>
      <c r="K285" s="1129"/>
      <c r="L285" s="1129"/>
      <c r="M285" s="1129"/>
      <c r="N285" s="381"/>
      <c r="O285" s="381"/>
      <c r="P285" s="383"/>
      <c r="Q285" s="381"/>
      <c r="R285" s="381"/>
      <c r="S285" s="381"/>
      <c r="T285" s="381"/>
      <c r="U285" s="381"/>
      <c r="V285" s="381"/>
      <c r="W285" s="381"/>
      <c r="X285" s="381"/>
      <c r="Y285" s="381"/>
      <c r="Z285" s="381"/>
      <c r="AA285" s="381"/>
      <c r="AB285" s="381"/>
      <c r="AC285" s="381"/>
      <c r="AD285" s="381"/>
      <c r="AE285" s="381"/>
    </row>
    <row r="286" spans="1:31" ht="16.5" customHeight="1" thickBot="1">
      <c r="A286" s="1813" t="s">
        <v>734</v>
      </c>
      <c r="B286" s="1814"/>
      <c r="C286" s="1815"/>
      <c r="D286" s="1876" t="s">
        <v>735</v>
      </c>
      <c r="E286" s="1877"/>
      <c r="F286" s="1878"/>
      <c r="G286" s="1803" t="s">
        <v>736</v>
      </c>
      <c r="H286" s="1803" t="s">
        <v>737</v>
      </c>
      <c r="I286" s="1803" t="s">
        <v>738</v>
      </c>
      <c r="J286" s="1876" t="s">
        <v>772</v>
      </c>
      <c r="K286" s="1878"/>
      <c r="L286" s="1876" t="s">
        <v>773</v>
      </c>
      <c r="M286" s="1878"/>
      <c r="N286" s="1800" t="s">
        <v>734</v>
      </c>
      <c r="O286" s="1801"/>
      <c r="P286" s="1802"/>
      <c r="Q286" s="1800" t="s">
        <v>739</v>
      </c>
      <c r="R286" s="1801"/>
      <c r="S286" s="1802"/>
      <c r="T286" s="1809" t="s">
        <v>740</v>
      </c>
      <c r="U286" s="1861" t="s">
        <v>741</v>
      </c>
      <c r="V286" s="1862"/>
      <c r="W286" s="1862"/>
      <c r="X286" s="1862"/>
      <c r="Y286" s="1862"/>
      <c r="Z286" s="1862"/>
      <c r="AA286" s="1862"/>
      <c r="AB286" s="1862"/>
      <c r="AC286" s="1862"/>
      <c r="AD286" s="1862"/>
      <c r="AE286" s="1863"/>
    </row>
    <row r="287" spans="1:31" ht="16.5" thickBot="1">
      <c r="A287" s="1816"/>
      <c r="B287" s="1817"/>
      <c r="C287" s="1818"/>
      <c r="D287" s="1879"/>
      <c r="E287" s="1880"/>
      <c r="F287" s="1881"/>
      <c r="G287" s="1804"/>
      <c r="H287" s="1804"/>
      <c r="I287" s="1804"/>
      <c r="J287" s="1879"/>
      <c r="K287" s="1881"/>
      <c r="L287" s="1879"/>
      <c r="M287" s="1881"/>
      <c r="N287" s="1809" t="s">
        <v>742</v>
      </c>
      <c r="O287" s="1809" t="s">
        <v>743</v>
      </c>
      <c r="P287" s="1809" t="s">
        <v>744</v>
      </c>
      <c r="Q287" s="1809" t="s">
        <v>745</v>
      </c>
      <c r="R287" s="1809" t="s">
        <v>746</v>
      </c>
      <c r="S287" s="1809" t="s">
        <v>747</v>
      </c>
      <c r="T287" s="1819"/>
      <c r="U287" s="1809" t="s">
        <v>748</v>
      </c>
      <c r="V287" s="1861" t="s">
        <v>774</v>
      </c>
      <c r="W287" s="1864"/>
      <c r="X287" s="1865" t="s">
        <v>775</v>
      </c>
      <c r="Y287" s="1866"/>
      <c r="Z287" s="1861" t="s">
        <v>776</v>
      </c>
      <c r="AA287" s="1863"/>
      <c r="AB287" s="1865" t="s">
        <v>777</v>
      </c>
      <c r="AC287" s="1867"/>
      <c r="AD287" s="1865" t="s">
        <v>749</v>
      </c>
      <c r="AE287" s="1867"/>
    </row>
    <row r="288" spans="1:31" ht="42.75" customHeight="1" thickBot="1">
      <c r="A288" s="386" t="s">
        <v>742</v>
      </c>
      <c r="B288" s="387" t="s">
        <v>743</v>
      </c>
      <c r="C288" s="1148" t="s">
        <v>744</v>
      </c>
      <c r="D288" s="1145" t="s">
        <v>750</v>
      </c>
      <c r="E288" s="1144" t="s">
        <v>746</v>
      </c>
      <c r="F288" s="1149" t="s">
        <v>394</v>
      </c>
      <c r="G288" s="1805"/>
      <c r="H288" s="1805"/>
      <c r="I288" s="1805"/>
      <c r="J288" s="1149" t="s">
        <v>751</v>
      </c>
      <c r="K288" s="1146" t="s">
        <v>752</v>
      </c>
      <c r="L288" s="1149" t="s">
        <v>751</v>
      </c>
      <c r="M288" s="1146" t="s">
        <v>752</v>
      </c>
      <c r="N288" s="1810"/>
      <c r="O288" s="1810"/>
      <c r="P288" s="1810"/>
      <c r="Q288" s="1810"/>
      <c r="R288" s="1810"/>
      <c r="S288" s="1810"/>
      <c r="T288" s="1810"/>
      <c r="U288" s="1810"/>
      <c r="V288" s="989" t="s">
        <v>751</v>
      </c>
      <c r="W288" s="988" t="s">
        <v>752</v>
      </c>
      <c r="X288" s="992" t="s">
        <v>751</v>
      </c>
      <c r="Y288" s="747" t="s">
        <v>752</v>
      </c>
      <c r="Z288" s="990" t="s">
        <v>753</v>
      </c>
      <c r="AA288" s="990" t="s">
        <v>754</v>
      </c>
      <c r="AB288" s="991" t="s">
        <v>753</v>
      </c>
      <c r="AC288" s="991" t="s">
        <v>754</v>
      </c>
      <c r="AD288" s="991" t="s">
        <v>753</v>
      </c>
      <c r="AE288" s="991" t="s">
        <v>754</v>
      </c>
    </row>
    <row r="289" spans="1:31" ht="21" customHeight="1" thickBot="1">
      <c r="A289" s="390" t="s">
        <v>499</v>
      </c>
      <c r="B289" s="391" t="s">
        <v>500</v>
      </c>
      <c r="C289" s="1150" t="s">
        <v>538</v>
      </c>
      <c r="D289" s="1150" t="s">
        <v>560</v>
      </c>
      <c r="E289" s="1150" t="s">
        <v>562</v>
      </c>
      <c r="F289" s="1150" t="s">
        <v>574</v>
      </c>
      <c r="G289" s="1150" t="s">
        <v>778</v>
      </c>
      <c r="H289" s="1150" t="s">
        <v>578</v>
      </c>
      <c r="I289" s="1151" t="s">
        <v>580</v>
      </c>
      <c r="J289" s="1150" t="s">
        <v>582</v>
      </c>
      <c r="K289" s="1152" t="s">
        <v>584</v>
      </c>
      <c r="L289" s="1150" t="s">
        <v>586</v>
      </c>
      <c r="M289" s="1152" t="s">
        <v>590</v>
      </c>
      <c r="N289" s="401" t="s">
        <v>499</v>
      </c>
      <c r="O289" s="402" t="s">
        <v>500</v>
      </c>
      <c r="P289" s="402" t="s">
        <v>538</v>
      </c>
      <c r="Q289" s="402" t="s">
        <v>560</v>
      </c>
      <c r="R289" s="402" t="s">
        <v>562</v>
      </c>
      <c r="S289" s="402" t="s">
        <v>574</v>
      </c>
      <c r="T289" s="403" t="s">
        <v>779</v>
      </c>
      <c r="U289" s="402" t="s">
        <v>578</v>
      </c>
      <c r="V289" s="402" t="s">
        <v>580</v>
      </c>
      <c r="W289" s="402" t="s">
        <v>582</v>
      </c>
      <c r="X289" s="748" t="s">
        <v>584</v>
      </c>
      <c r="Y289" s="748" t="s">
        <v>586</v>
      </c>
      <c r="Z289" s="402" t="s">
        <v>590</v>
      </c>
      <c r="AA289" s="402" t="s">
        <v>755</v>
      </c>
      <c r="AB289" s="748" t="s">
        <v>780</v>
      </c>
      <c r="AC289" s="748" t="s">
        <v>781</v>
      </c>
      <c r="AD289" s="748" t="s">
        <v>782</v>
      </c>
      <c r="AE289" s="749" t="s">
        <v>783</v>
      </c>
    </row>
    <row r="290" spans="1:31" ht="16.5" thickBot="1">
      <c r="A290" s="394" t="s">
        <v>1048</v>
      </c>
      <c r="B290" s="395" t="s">
        <v>1755</v>
      </c>
      <c r="C290" s="407" t="s">
        <v>1610</v>
      </c>
      <c r="D290" s="407" t="s">
        <v>1224</v>
      </c>
      <c r="E290" s="407" t="s">
        <v>756</v>
      </c>
      <c r="F290" s="407" t="s">
        <v>974</v>
      </c>
      <c r="G290" s="404">
        <v>8238532.7999999998</v>
      </c>
      <c r="H290" s="404"/>
      <c r="I290" s="404"/>
      <c r="J290" s="404">
        <v>6865444</v>
      </c>
      <c r="K290" s="405">
        <v>1373088.8</v>
      </c>
      <c r="L290" s="404"/>
      <c r="M290" s="405"/>
      <c r="N290" s="394" t="s">
        <v>1498</v>
      </c>
      <c r="O290" s="395" t="s">
        <v>1499</v>
      </c>
      <c r="P290" s="395" t="s">
        <v>1500</v>
      </c>
      <c r="Q290" s="395" t="s">
        <v>1363</v>
      </c>
      <c r="R290" s="395" t="s">
        <v>756</v>
      </c>
      <c r="S290" s="395" t="s">
        <v>980</v>
      </c>
      <c r="T290" s="396">
        <f>+U290+V290+W290+Z290+AA290</f>
        <v>69421.2</v>
      </c>
      <c r="U290" s="396"/>
      <c r="V290" s="396"/>
      <c r="W290" s="396">
        <f>+V290*0.2</f>
        <v>0</v>
      </c>
      <c r="X290" s="750"/>
      <c r="Y290" s="750"/>
      <c r="Z290" s="396">
        <v>57851</v>
      </c>
      <c r="AA290" s="408">
        <f t="shared" ref="AA290:AA309" si="53">+Z290*0.2</f>
        <v>11570.2</v>
      </c>
      <c r="AB290" s="750"/>
      <c r="AC290" s="750"/>
      <c r="AD290" s="750"/>
      <c r="AE290" s="755"/>
    </row>
    <row r="291" spans="1:31" ht="16.5" thickBot="1">
      <c r="A291" s="1795" t="s">
        <v>757</v>
      </c>
      <c r="B291" s="1796"/>
      <c r="C291" s="1796"/>
      <c r="D291" s="1796"/>
      <c r="E291" s="1796"/>
      <c r="F291" s="1797"/>
      <c r="G291" s="1153">
        <v>8238532.7999999998</v>
      </c>
      <c r="H291" s="1153">
        <v>0</v>
      </c>
      <c r="I291" s="1153">
        <v>0</v>
      </c>
      <c r="J291" s="1153">
        <v>6865444</v>
      </c>
      <c r="K291" s="1153">
        <v>1373088.8</v>
      </c>
      <c r="L291" s="1153">
        <v>0</v>
      </c>
      <c r="M291" s="1153">
        <v>0</v>
      </c>
      <c r="N291" s="394" t="s">
        <v>1611</v>
      </c>
      <c r="O291" s="395" t="s">
        <v>1612</v>
      </c>
      <c r="P291" s="395" t="s">
        <v>1500</v>
      </c>
      <c r="Q291" s="395" t="s">
        <v>1613</v>
      </c>
      <c r="R291" s="395" t="s">
        <v>756</v>
      </c>
      <c r="S291" s="395" t="s">
        <v>1614</v>
      </c>
      <c r="T291" s="396">
        <f t="shared" ref="T291:T304" si="54">+U291+V291+W291+Z291+AA291</f>
        <v>45000</v>
      </c>
      <c r="U291" s="396"/>
      <c r="V291" s="396"/>
      <c r="W291" s="396">
        <f>+V291*0.2</f>
        <v>0</v>
      </c>
      <c r="X291" s="750"/>
      <c r="Y291" s="750"/>
      <c r="Z291" s="396">
        <v>37500</v>
      </c>
      <c r="AA291" s="408">
        <f t="shared" si="53"/>
        <v>7500</v>
      </c>
      <c r="AB291" s="750"/>
      <c r="AC291" s="750"/>
      <c r="AD291" s="750"/>
      <c r="AE291" s="755"/>
    </row>
    <row r="292" spans="1:31" ht="16.5" thickBot="1">
      <c r="A292" s="1798" t="s">
        <v>758</v>
      </c>
      <c r="B292" s="1799"/>
      <c r="C292" s="1799"/>
      <c r="D292" s="1799"/>
      <c r="E292" s="1799"/>
      <c r="F292" s="1799"/>
      <c r="G292" s="1799"/>
      <c r="H292" s="1136" t="s">
        <v>759</v>
      </c>
      <c r="I292" s="1154" t="s">
        <v>760</v>
      </c>
      <c r="J292" s="1136" t="s">
        <v>761</v>
      </c>
      <c r="K292" s="1137" t="s">
        <v>762</v>
      </c>
      <c r="L292" s="1136" t="s">
        <v>763</v>
      </c>
      <c r="M292" s="1137" t="s">
        <v>764</v>
      </c>
      <c r="N292" s="394" t="s">
        <v>1615</v>
      </c>
      <c r="O292" s="395" t="s">
        <v>1616</v>
      </c>
      <c r="P292" s="395" t="s">
        <v>1617</v>
      </c>
      <c r="Q292" s="395" t="s">
        <v>1618</v>
      </c>
      <c r="R292" s="395" t="s">
        <v>1349</v>
      </c>
      <c r="S292" s="395" t="s">
        <v>986</v>
      </c>
      <c r="T292" s="396">
        <f t="shared" si="54"/>
        <v>297186</v>
      </c>
      <c r="U292" s="396"/>
      <c r="V292" s="396"/>
      <c r="W292" s="396">
        <f t="shared" ref="W292:W304" si="55">+V292*0.2</f>
        <v>0</v>
      </c>
      <c r="X292" s="750"/>
      <c r="Y292" s="750"/>
      <c r="Z292" s="396">
        <v>247655</v>
      </c>
      <c r="AA292" s="408">
        <f t="shared" si="53"/>
        <v>49531</v>
      </c>
      <c r="AB292" s="750"/>
      <c r="AC292" s="750"/>
      <c r="AD292" s="750"/>
      <c r="AE292" s="755"/>
    </row>
    <row r="293" spans="1:31" ht="15.75">
      <c r="A293" s="381"/>
      <c r="B293" s="381"/>
      <c r="C293" s="1129"/>
      <c r="D293" s="1129"/>
      <c r="E293" s="1129"/>
      <c r="F293" s="1129"/>
      <c r="G293" s="1129"/>
      <c r="H293" s="1129"/>
      <c r="I293" s="1129"/>
      <c r="J293" s="1129"/>
      <c r="K293" s="1129"/>
      <c r="L293" s="1129"/>
      <c r="M293" s="1129"/>
      <c r="N293" s="394" t="s">
        <v>1619</v>
      </c>
      <c r="O293" s="395" t="s">
        <v>1620</v>
      </c>
      <c r="P293" s="395" t="s">
        <v>1621</v>
      </c>
      <c r="Q293" s="395" t="s">
        <v>1622</v>
      </c>
      <c r="R293" s="395" t="s">
        <v>1344</v>
      </c>
      <c r="S293" s="395" t="s">
        <v>994</v>
      </c>
      <c r="T293" s="396">
        <f t="shared" si="54"/>
        <v>154800</v>
      </c>
      <c r="U293" s="396"/>
      <c r="V293" s="396"/>
      <c r="W293" s="396">
        <f t="shared" si="55"/>
        <v>0</v>
      </c>
      <c r="X293" s="750"/>
      <c r="Y293" s="750"/>
      <c r="Z293" s="396">
        <v>129000</v>
      </c>
      <c r="AA293" s="408">
        <f t="shared" si="53"/>
        <v>25800</v>
      </c>
      <c r="AB293" s="750"/>
      <c r="AC293" s="750"/>
      <c r="AD293" s="750"/>
      <c r="AE293" s="755"/>
    </row>
    <row r="294" spans="1:31" ht="15.75">
      <c r="A294" s="381"/>
      <c r="B294" s="381"/>
      <c r="C294" s="1129"/>
      <c r="D294" s="1129"/>
      <c r="E294" s="1129"/>
      <c r="F294" s="1129"/>
      <c r="G294" s="1129"/>
      <c r="H294" s="1129"/>
      <c r="I294" s="1129"/>
      <c r="J294" s="1129"/>
      <c r="K294" s="1129"/>
      <c r="L294" s="1129"/>
      <c r="M294" s="1129"/>
      <c r="N294" s="394" t="s">
        <v>1623</v>
      </c>
      <c r="O294" s="395" t="s">
        <v>1624</v>
      </c>
      <c r="P294" s="395" t="s">
        <v>1625</v>
      </c>
      <c r="Q294" s="395" t="s">
        <v>1354</v>
      </c>
      <c r="R294" s="395" t="s">
        <v>1355</v>
      </c>
      <c r="S294" s="395" t="s">
        <v>991</v>
      </c>
      <c r="T294" s="396">
        <f t="shared" si="54"/>
        <v>112800</v>
      </c>
      <c r="U294" s="396"/>
      <c r="V294" s="396"/>
      <c r="W294" s="396">
        <f t="shared" si="55"/>
        <v>0</v>
      </c>
      <c r="X294" s="750"/>
      <c r="Y294" s="750"/>
      <c r="Z294" s="396">
        <v>94000</v>
      </c>
      <c r="AA294" s="408">
        <f t="shared" si="53"/>
        <v>18800</v>
      </c>
      <c r="AB294" s="750"/>
      <c r="AC294" s="750"/>
      <c r="AD294" s="750"/>
      <c r="AE294" s="755"/>
    </row>
    <row r="295" spans="1:31" ht="15.75">
      <c r="A295" s="381"/>
      <c r="B295" s="381"/>
      <c r="C295" s="1129"/>
      <c r="D295" s="1129"/>
      <c r="E295" s="1129"/>
      <c r="F295" s="1129"/>
      <c r="G295" s="1129"/>
      <c r="H295" s="1129"/>
      <c r="I295" s="1129"/>
      <c r="J295" s="1138" t="s">
        <v>951</v>
      </c>
      <c r="K295" s="1129"/>
      <c r="L295" s="1129"/>
      <c r="M295" s="1129"/>
      <c r="N295" s="984" t="s">
        <v>1626</v>
      </c>
      <c r="O295" s="985" t="s">
        <v>1627</v>
      </c>
      <c r="P295" s="985" t="s">
        <v>1628</v>
      </c>
      <c r="Q295" s="985" t="s">
        <v>1629</v>
      </c>
      <c r="R295" s="985" t="s">
        <v>756</v>
      </c>
      <c r="S295" s="985" t="s">
        <v>1047</v>
      </c>
      <c r="T295" s="396">
        <f t="shared" si="54"/>
        <v>146502</v>
      </c>
      <c r="U295" s="803"/>
      <c r="V295" s="803"/>
      <c r="W295" s="396">
        <f t="shared" si="55"/>
        <v>0</v>
      </c>
      <c r="X295" s="986"/>
      <c r="Y295" s="986"/>
      <c r="Z295" s="800">
        <v>122085</v>
      </c>
      <c r="AA295" s="408">
        <f t="shared" si="53"/>
        <v>24417</v>
      </c>
      <c r="AB295" s="986"/>
      <c r="AC295" s="986"/>
      <c r="AD295" s="986"/>
      <c r="AE295" s="987"/>
    </row>
    <row r="296" spans="1:31" ht="15.75">
      <c r="A296" s="381"/>
      <c r="B296" s="381"/>
      <c r="C296" s="1129"/>
      <c r="D296" s="1129"/>
      <c r="E296" s="1129"/>
      <c r="F296" s="1129"/>
      <c r="G296" s="1129"/>
      <c r="H296" s="1129"/>
      <c r="I296" s="1129"/>
      <c r="J296" s="1129"/>
      <c r="K296" s="1129"/>
      <c r="L296" s="1129"/>
      <c r="M296" s="1129"/>
      <c r="N296" s="984" t="s">
        <v>1031</v>
      </c>
      <c r="O296" s="985" t="s">
        <v>1630</v>
      </c>
      <c r="P296" s="985" t="s">
        <v>1631</v>
      </c>
      <c r="Q296" s="985" t="s">
        <v>1632</v>
      </c>
      <c r="R296" s="985" t="s">
        <v>1344</v>
      </c>
      <c r="S296" s="985" t="s">
        <v>1633</v>
      </c>
      <c r="T296" s="396">
        <f t="shared" si="54"/>
        <v>61236</v>
      </c>
      <c r="U296" s="803"/>
      <c r="V296" s="803"/>
      <c r="W296" s="396">
        <f t="shared" si="55"/>
        <v>0</v>
      </c>
      <c r="X296" s="986"/>
      <c r="Y296" s="986"/>
      <c r="Z296" s="800">
        <v>51030</v>
      </c>
      <c r="AA296" s="408">
        <f t="shared" si="53"/>
        <v>10206</v>
      </c>
      <c r="AB296" s="986"/>
      <c r="AC296" s="986"/>
      <c r="AD296" s="986"/>
      <c r="AE296" s="987"/>
    </row>
    <row r="297" spans="1:31" ht="15.75">
      <c r="A297" s="381" t="s">
        <v>793</v>
      </c>
      <c r="B297" s="381"/>
      <c r="C297" s="1129"/>
      <c r="D297" s="1129"/>
      <c r="E297" s="1129"/>
      <c r="F297" s="1129"/>
      <c r="G297" s="1129"/>
      <c r="H297" s="1129"/>
      <c r="I297" s="1129"/>
      <c r="J297" s="1129"/>
      <c r="K297" s="1129"/>
      <c r="L297" s="1129"/>
      <c r="M297" s="1129"/>
      <c r="N297" s="984" t="s">
        <v>1424</v>
      </c>
      <c r="O297" s="985" t="s">
        <v>1634</v>
      </c>
      <c r="P297" s="985" t="s">
        <v>1610</v>
      </c>
      <c r="Q297" s="985" t="s">
        <v>1635</v>
      </c>
      <c r="R297" s="985" t="s">
        <v>756</v>
      </c>
      <c r="S297" s="985" t="s">
        <v>1636</v>
      </c>
      <c r="T297" s="396">
        <f t="shared" si="54"/>
        <v>600000</v>
      </c>
      <c r="U297" s="803"/>
      <c r="V297" s="803"/>
      <c r="W297" s="396">
        <f t="shared" si="55"/>
        <v>0</v>
      </c>
      <c r="X297" s="986"/>
      <c r="Y297" s="986"/>
      <c r="Z297" s="800">
        <v>500000</v>
      </c>
      <c r="AA297" s="408">
        <f t="shared" si="53"/>
        <v>100000</v>
      </c>
      <c r="AB297" s="986"/>
      <c r="AC297" s="986"/>
      <c r="AD297" s="986"/>
      <c r="AE297" s="987"/>
    </row>
    <row r="298" spans="1:31" ht="15.75">
      <c r="A298" s="381" t="s">
        <v>785</v>
      </c>
      <c r="B298" s="381"/>
      <c r="C298" s="1129"/>
      <c r="D298" s="1129"/>
      <c r="E298" s="1129"/>
      <c r="F298" s="1129"/>
      <c r="G298" s="1129"/>
      <c r="H298" s="1129"/>
      <c r="I298" s="1129"/>
      <c r="J298" s="1129"/>
      <c r="K298" s="1129"/>
      <c r="L298" s="1129"/>
      <c r="M298" s="1129"/>
      <c r="N298" s="984" t="s">
        <v>1637</v>
      </c>
      <c r="O298" s="985" t="s">
        <v>1638</v>
      </c>
      <c r="P298" s="985" t="s">
        <v>1639</v>
      </c>
      <c r="Q298" s="985" t="s">
        <v>1640</v>
      </c>
      <c r="R298" s="985" t="s">
        <v>1344</v>
      </c>
      <c r="S298" s="985" t="s">
        <v>997</v>
      </c>
      <c r="T298" s="396">
        <f t="shared" si="54"/>
        <v>435028.8</v>
      </c>
      <c r="U298" s="803"/>
      <c r="V298" s="803"/>
      <c r="W298" s="396">
        <f t="shared" si="55"/>
        <v>0</v>
      </c>
      <c r="X298" s="986"/>
      <c r="Y298" s="986"/>
      <c r="Z298" s="800">
        <v>362524</v>
      </c>
      <c r="AA298" s="408">
        <f t="shared" si="53"/>
        <v>72504.800000000003</v>
      </c>
      <c r="AB298" s="986"/>
      <c r="AC298" s="986"/>
      <c r="AD298" s="986"/>
      <c r="AE298" s="987"/>
    </row>
    <row r="299" spans="1:31" ht="15.75">
      <c r="A299" s="381" t="s">
        <v>792</v>
      </c>
      <c r="B299"/>
      <c r="G299" s="85"/>
      <c r="H299" s="85"/>
      <c r="I299" s="85"/>
      <c r="J299" s="85"/>
      <c r="K299" s="1129"/>
      <c r="L299" s="1129"/>
      <c r="M299" s="1129"/>
      <c r="N299" s="984"/>
      <c r="O299" s="985" t="s">
        <v>1641</v>
      </c>
      <c r="P299" s="985" t="s">
        <v>1639</v>
      </c>
      <c r="Q299" s="985" t="s">
        <v>1642</v>
      </c>
      <c r="R299" s="985" t="s">
        <v>1360</v>
      </c>
      <c r="S299" s="985" t="s">
        <v>1643</v>
      </c>
      <c r="T299" s="396">
        <f t="shared" si="54"/>
        <v>1284535.2</v>
      </c>
      <c r="U299" s="803"/>
      <c r="V299" s="803"/>
      <c r="W299" s="396">
        <f t="shared" si="55"/>
        <v>0</v>
      </c>
      <c r="X299" s="986"/>
      <c r="Y299" s="986"/>
      <c r="Z299" s="800">
        <v>1070446</v>
      </c>
      <c r="AA299" s="408">
        <f t="shared" si="53"/>
        <v>214089.2</v>
      </c>
      <c r="AB299" s="986"/>
      <c r="AC299" s="986"/>
      <c r="AD299" s="986"/>
      <c r="AE299" s="987"/>
    </row>
    <row r="300" spans="1:31" ht="15.75">
      <c r="A300" s="381"/>
      <c r="B300" s="381"/>
      <c r="C300" s="1129"/>
      <c r="D300" s="1129"/>
      <c r="E300" s="1129"/>
      <c r="F300" s="1129"/>
      <c r="G300" s="1129"/>
      <c r="H300" s="1129"/>
      <c r="I300" s="1129"/>
      <c r="J300" s="1129"/>
      <c r="K300" s="1129"/>
      <c r="L300" s="1129"/>
      <c r="M300" s="1129"/>
      <c r="N300" s="984" t="s">
        <v>1644</v>
      </c>
      <c r="O300" s="985" t="s">
        <v>1645</v>
      </c>
      <c r="P300" s="985" t="s">
        <v>1646</v>
      </c>
      <c r="Q300" s="985" t="s">
        <v>1647</v>
      </c>
      <c r="R300" s="985" t="s">
        <v>1349</v>
      </c>
      <c r="S300" s="985" t="s">
        <v>1648</v>
      </c>
      <c r="T300" s="396">
        <f t="shared" si="54"/>
        <v>295800</v>
      </c>
      <c r="U300" s="396"/>
      <c r="V300" s="396"/>
      <c r="W300" s="396">
        <f t="shared" si="55"/>
        <v>0</v>
      </c>
      <c r="X300" s="750"/>
      <c r="Y300" s="750"/>
      <c r="Z300" s="396">
        <v>246500</v>
      </c>
      <c r="AA300" s="408">
        <f t="shared" si="53"/>
        <v>49300</v>
      </c>
      <c r="AB300" s="750"/>
      <c r="AC300" s="750"/>
      <c r="AD300" s="750"/>
      <c r="AE300" s="755"/>
    </row>
    <row r="301" spans="1:31" ht="15.75">
      <c r="A301" s="381"/>
      <c r="B301" s="381"/>
      <c r="C301" s="1129"/>
      <c r="D301" s="1129"/>
      <c r="E301" s="1129"/>
      <c r="F301" s="1129"/>
      <c r="G301" s="1129"/>
      <c r="H301" s="1129"/>
      <c r="I301" s="1129"/>
      <c r="J301" s="1129"/>
      <c r="K301" s="1129"/>
      <c r="L301" s="1129"/>
      <c r="M301" s="1129"/>
      <c r="N301" s="984" t="s">
        <v>1649</v>
      </c>
      <c r="O301" s="985" t="s">
        <v>1650</v>
      </c>
      <c r="P301" s="985" t="s">
        <v>1651</v>
      </c>
      <c r="Q301" s="985" t="s">
        <v>1652</v>
      </c>
      <c r="R301" s="985" t="s">
        <v>1653</v>
      </c>
      <c r="S301" s="985" t="s">
        <v>1083</v>
      </c>
      <c r="T301" s="396">
        <f t="shared" si="54"/>
        <v>199494</v>
      </c>
      <c r="U301" s="396"/>
      <c r="V301" s="396"/>
      <c r="W301" s="396">
        <f t="shared" si="55"/>
        <v>0</v>
      </c>
      <c r="X301" s="750"/>
      <c r="Y301" s="750"/>
      <c r="Z301" s="396">
        <v>166245</v>
      </c>
      <c r="AA301" s="408">
        <f t="shared" si="53"/>
        <v>33249</v>
      </c>
      <c r="AB301" s="750"/>
      <c r="AC301" s="750"/>
      <c r="AD301" s="750"/>
      <c r="AE301" s="755"/>
    </row>
    <row r="302" spans="1:31" ht="15.75">
      <c r="A302" s="381"/>
      <c r="B302" s="381"/>
      <c r="C302" s="381"/>
      <c r="D302" s="381"/>
      <c r="E302" s="381"/>
      <c r="F302" s="381"/>
      <c r="G302" s="381"/>
      <c r="H302" s="381"/>
      <c r="I302" s="381"/>
      <c r="J302" s="381"/>
      <c r="K302" s="381"/>
      <c r="L302" s="381"/>
      <c r="M302" s="381"/>
      <c r="N302" s="984" t="s">
        <v>1654</v>
      </c>
      <c r="O302" s="985" t="s">
        <v>1655</v>
      </c>
      <c r="P302" s="985" t="s">
        <v>1631</v>
      </c>
      <c r="Q302" s="985" t="s">
        <v>1656</v>
      </c>
      <c r="R302" s="985" t="s">
        <v>756</v>
      </c>
      <c r="S302" s="985" t="s">
        <v>1657</v>
      </c>
      <c r="T302" s="396">
        <f t="shared" si="54"/>
        <v>1562702.4</v>
      </c>
      <c r="U302" s="803"/>
      <c r="V302" s="803"/>
      <c r="W302" s="396">
        <f t="shared" si="55"/>
        <v>0</v>
      </c>
      <c r="X302" s="986"/>
      <c r="Y302" s="986"/>
      <c r="Z302" s="800">
        <v>1302252</v>
      </c>
      <c r="AA302" s="408">
        <f t="shared" si="53"/>
        <v>260450.40000000002</v>
      </c>
      <c r="AB302" s="986"/>
      <c r="AC302" s="986"/>
      <c r="AD302" s="986"/>
      <c r="AE302" s="987"/>
    </row>
    <row r="303" spans="1:31" ht="15.75">
      <c r="N303" s="984" t="s">
        <v>1658</v>
      </c>
      <c r="O303" s="985" t="s">
        <v>1659</v>
      </c>
      <c r="P303" s="985" t="s">
        <v>1660</v>
      </c>
      <c r="Q303" s="985" t="s">
        <v>1656</v>
      </c>
      <c r="R303" s="985" t="s">
        <v>756</v>
      </c>
      <c r="S303" s="985" t="s">
        <v>1657</v>
      </c>
      <c r="T303" s="396">
        <f t="shared" si="54"/>
        <v>962400</v>
      </c>
      <c r="U303" s="803"/>
      <c r="V303" s="803"/>
      <c r="W303" s="396">
        <f t="shared" si="55"/>
        <v>0</v>
      </c>
      <c r="X303" s="986"/>
      <c r="Y303" s="986"/>
      <c r="Z303" s="800">
        <v>802000</v>
      </c>
      <c r="AA303" s="408">
        <f t="shared" si="53"/>
        <v>160400</v>
      </c>
      <c r="AB303" s="986"/>
      <c r="AC303" s="986"/>
      <c r="AD303" s="986"/>
      <c r="AE303" s="987"/>
    </row>
    <row r="304" spans="1:31" ht="15.75">
      <c r="N304" s="984" t="s">
        <v>1661</v>
      </c>
      <c r="O304" s="985" t="s">
        <v>1662</v>
      </c>
      <c r="P304" s="985" t="s">
        <v>1651</v>
      </c>
      <c r="Q304" s="985" t="s">
        <v>1663</v>
      </c>
      <c r="R304" s="985" t="s">
        <v>1349</v>
      </c>
      <c r="S304" s="985" t="s">
        <v>1664</v>
      </c>
      <c r="T304" s="396">
        <f t="shared" si="54"/>
        <v>316800</v>
      </c>
      <c r="U304" s="803"/>
      <c r="V304" s="803"/>
      <c r="W304" s="396">
        <f t="shared" si="55"/>
        <v>0</v>
      </c>
      <c r="X304" s="986"/>
      <c r="Y304" s="986"/>
      <c r="Z304" s="800">
        <v>264000</v>
      </c>
      <c r="AA304" s="408">
        <f t="shared" si="53"/>
        <v>52800</v>
      </c>
      <c r="AB304" s="986"/>
      <c r="AC304" s="986"/>
      <c r="AD304" s="986"/>
      <c r="AE304" s="987"/>
    </row>
    <row r="305" spans="1:31" ht="15.75">
      <c r="N305" s="984" t="s">
        <v>1665</v>
      </c>
      <c r="O305" s="985" t="s">
        <v>1666</v>
      </c>
      <c r="P305" s="985" t="s">
        <v>1651</v>
      </c>
      <c r="Q305" s="985" t="s">
        <v>1663</v>
      </c>
      <c r="R305" s="985" t="s">
        <v>1349</v>
      </c>
      <c r="S305" s="985" t="s">
        <v>1664</v>
      </c>
      <c r="T305" s="396">
        <f>+U305+V305+W305+Z305+AA305</f>
        <v>316800</v>
      </c>
      <c r="U305" s="803"/>
      <c r="V305" s="803"/>
      <c r="W305" s="396">
        <f>+V305*0.2</f>
        <v>0</v>
      </c>
      <c r="X305" s="986"/>
      <c r="Y305" s="986"/>
      <c r="Z305" s="800">
        <v>264000</v>
      </c>
      <c r="AA305" s="408">
        <f t="shared" si="53"/>
        <v>52800</v>
      </c>
      <c r="AB305" s="986"/>
      <c r="AC305" s="986"/>
      <c r="AD305" s="986"/>
      <c r="AE305" s="987"/>
    </row>
    <row r="306" spans="1:31" ht="15.75">
      <c r="N306" s="984" t="s">
        <v>1667</v>
      </c>
      <c r="O306" s="985" t="s">
        <v>1668</v>
      </c>
      <c r="P306" s="985" t="s">
        <v>1500</v>
      </c>
      <c r="Q306" s="985" t="s">
        <v>1381</v>
      </c>
      <c r="R306" s="985" t="s">
        <v>756</v>
      </c>
      <c r="S306" s="985" t="s">
        <v>978</v>
      </c>
      <c r="T306" s="396">
        <f>+U306+V306+W306+Z306+AA306</f>
        <v>137499.99600000001</v>
      </c>
      <c r="U306" s="803"/>
      <c r="V306" s="803"/>
      <c r="W306" s="396">
        <f>+V306*0.2</f>
        <v>0</v>
      </c>
      <c r="X306" s="986"/>
      <c r="Y306" s="986"/>
      <c r="Z306" s="800">
        <v>114583.33</v>
      </c>
      <c r="AA306" s="408">
        <f t="shared" si="53"/>
        <v>22916.666000000001</v>
      </c>
      <c r="AB306" s="986"/>
      <c r="AC306" s="986"/>
      <c r="AD306" s="986"/>
      <c r="AE306" s="987"/>
    </row>
    <row r="307" spans="1:31" ht="15.75">
      <c r="N307" s="984" t="s">
        <v>1669</v>
      </c>
      <c r="O307" s="985" t="s">
        <v>1670</v>
      </c>
      <c r="P307" s="985" t="s">
        <v>1671</v>
      </c>
      <c r="Q307" s="985" t="s">
        <v>1381</v>
      </c>
      <c r="R307" s="985" t="s">
        <v>756</v>
      </c>
      <c r="S307" s="985" t="s">
        <v>978</v>
      </c>
      <c r="T307" s="396">
        <f>+U307+V307+W307+Z307+AA307</f>
        <v>30000</v>
      </c>
      <c r="U307" s="803"/>
      <c r="V307" s="803"/>
      <c r="W307" s="396">
        <f>+V307*0.2</f>
        <v>0</v>
      </c>
      <c r="X307" s="986"/>
      <c r="Y307" s="986"/>
      <c r="Z307" s="800">
        <v>25000</v>
      </c>
      <c r="AA307" s="408">
        <f t="shared" si="53"/>
        <v>5000</v>
      </c>
      <c r="AB307" s="986"/>
      <c r="AC307" s="986"/>
      <c r="AD307" s="986"/>
      <c r="AE307" s="987"/>
    </row>
    <row r="308" spans="1:31" ht="15.75">
      <c r="N308" s="984" t="s">
        <v>1672</v>
      </c>
      <c r="O308" s="985" t="s">
        <v>1673</v>
      </c>
      <c r="P308" s="985" t="s">
        <v>1610</v>
      </c>
      <c r="Q308" s="985" t="s">
        <v>1674</v>
      </c>
      <c r="R308" s="985" t="s">
        <v>1360</v>
      </c>
      <c r="S308" s="985" t="s">
        <v>1024</v>
      </c>
      <c r="T308" s="396">
        <f>+U308+V308+W308+Z308+AA308</f>
        <v>280577.45999999996</v>
      </c>
      <c r="U308" s="803"/>
      <c r="V308" s="803"/>
      <c r="W308" s="396">
        <f>+V308*0.2</f>
        <v>0</v>
      </c>
      <c r="X308" s="986"/>
      <c r="Y308" s="986"/>
      <c r="Z308" s="800">
        <v>233814.55</v>
      </c>
      <c r="AA308" s="408">
        <f t="shared" si="53"/>
        <v>46762.91</v>
      </c>
      <c r="AB308" s="986"/>
      <c r="AC308" s="986"/>
      <c r="AD308" s="986"/>
      <c r="AE308" s="987"/>
    </row>
    <row r="309" spans="1:31" ht="16.5" thickBot="1">
      <c r="N309" s="984" t="s">
        <v>1675</v>
      </c>
      <c r="O309" s="985" t="s">
        <v>1676</v>
      </c>
      <c r="P309" s="985" t="s">
        <v>1617</v>
      </c>
      <c r="Q309" s="985" t="s">
        <v>1406</v>
      </c>
      <c r="R309" s="985" t="s">
        <v>1407</v>
      </c>
      <c r="S309" s="985" t="s">
        <v>1086</v>
      </c>
      <c r="T309" s="396">
        <f>+U309+V309+W309+Z309+AA309</f>
        <v>166432.79999999999</v>
      </c>
      <c r="U309" s="396"/>
      <c r="V309" s="396"/>
      <c r="W309" s="396">
        <f>+V309*0.2</f>
        <v>0</v>
      </c>
      <c r="X309" s="750"/>
      <c r="Y309" s="750"/>
      <c r="Z309" s="396">
        <v>138694</v>
      </c>
      <c r="AA309" s="408">
        <f t="shared" si="53"/>
        <v>27738.800000000003</v>
      </c>
      <c r="AB309" s="750"/>
      <c r="AC309" s="750"/>
      <c r="AD309" s="750"/>
      <c r="AE309" s="755"/>
    </row>
    <row r="310" spans="1:31" ht="16.5" thickBot="1">
      <c r="N310" s="1795" t="s">
        <v>757</v>
      </c>
      <c r="O310" s="1796"/>
      <c r="P310" s="1796"/>
      <c r="Q310" s="1796"/>
      <c r="R310" s="1796"/>
      <c r="S310" s="1797"/>
      <c r="T310" s="721">
        <f t="shared" ref="T310:AE310" si="56">SUM(T290:T309)</f>
        <v>7475015.8559999997</v>
      </c>
      <c r="U310" s="721">
        <f t="shared" si="56"/>
        <v>0</v>
      </c>
      <c r="V310" s="721">
        <f t="shared" si="56"/>
        <v>0</v>
      </c>
      <c r="W310" s="721">
        <f t="shared" si="56"/>
        <v>0</v>
      </c>
      <c r="X310" s="751">
        <f t="shared" si="56"/>
        <v>0</v>
      </c>
      <c r="Y310" s="751">
        <f t="shared" si="56"/>
        <v>0</v>
      </c>
      <c r="Z310" s="721">
        <f t="shared" si="56"/>
        <v>6229179.8799999999</v>
      </c>
      <c r="AA310" s="721">
        <f>SUM(AA290:AA309)</f>
        <v>1245835.976</v>
      </c>
      <c r="AB310" s="751">
        <f t="shared" si="56"/>
        <v>0</v>
      </c>
      <c r="AC310" s="751">
        <f t="shared" si="56"/>
        <v>0</v>
      </c>
      <c r="AD310" s="751">
        <f t="shared" si="56"/>
        <v>0</v>
      </c>
      <c r="AE310" s="751">
        <f t="shared" si="56"/>
        <v>0</v>
      </c>
    </row>
    <row r="311" spans="1:31" ht="16.5" thickBot="1">
      <c r="N311" s="1798" t="s">
        <v>758</v>
      </c>
      <c r="O311" s="1799"/>
      <c r="P311" s="1799"/>
      <c r="Q311" s="1799"/>
      <c r="R311" s="1799"/>
      <c r="S311" s="1799"/>
      <c r="T311" s="1799"/>
      <c r="U311" s="406" t="s">
        <v>765</v>
      </c>
      <c r="V311" s="406" t="s">
        <v>766</v>
      </c>
      <c r="W311" s="406" t="s">
        <v>767</v>
      </c>
      <c r="X311" s="757" t="s">
        <v>768</v>
      </c>
      <c r="Y311" s="757" t="s">
        <v>769</v>
      </c>
      <c r="Z311" s="406" t="s">
        <v>786</v>
      </c>
      <c r="AA311" s="406" t="s">
        <v>787</v>
      </c>
      <c r="AB311" s="757" t="s">
        <v>788</v>
      </c>
      <c r="AC311" s="757" t="s">
        <v>789</v>
      </c>
      <c r="AD311" s="757" t="s">
        <v>790</v>
      </c>
      <c r="AE311" s="758" t="s">
        <v>791</v>
      </c>
    </row>
    <row r="312" spans="1:31" ht="15.75">
      <c r="N312" s="381"/>
      <c r="O312" s="381"/>
      <c r="P312" s="381"/>
      <c r="Q312" s="381"/>
      <c r="R312" s="381"/>
      <c r="S312" s="381"/>
      <c r="T312" s="381"/>
      <c r="U312" s="381"/>
      <c r="V312" s="381"/>
      <c r="W312" s="381"/>
      <c r="X312" s="381"/>
      <c r="Y312" s="381"/>
      <c r="Z312" s="381"/>
      <c r="AA312" s="381"/>
      <c r="AB312" s="381"/>
      <c r="AC312" s="381"/>
      <c r="AD312" s="381"/>
      <c r="AE312" s="381"/>
    </row>
    <row r="313" spans="1:31" ht="15.75">
      <c r="N313" s="381"/>
      <c r="O313" s="381"/>
      <c r="P313" s="381"/>
      <c r="Q313" s="381"/>
      <c r="R313" s="381"/>
      <c r="S313" s="381"/>
      <c r="T313" s="381"/>
      <c r="U313" s="381"/>
      <c r="V313" s="381"/>
      <c r="W313" s="381"/>
      <c r="X313" s="381"/>
      <c r="Y313" s="381"/>
      <c r="Z313" s="381"/>
      <c r="AA313" s="381"/>
      <c r="AB313" s="381"/>
      <c r="AC313" s="381"/>
      <c r="AD313" s="381"/>
      <c r="AE313" s="381"/>
    </row>
    <row r="314" spans="1:31" ht="19.5">
      <c r="A314" s="380" t="s">
        <v>727</v>
      </c>
      <c r="B314" s="381"/>
      <c r="C314" s="381"/>
      <c r="D314" s="381"/>
      <c r="E314" s="381"/>
      <c r="F314" s="381"/>
      <c r="G314" s="381"/>
      <c r="H314" s="381"/>
      <c r="I314" s="381"/>
      <c r="J314" s="381"/>
      <c r="K314" s="381"/>
      <c r="L314" s="381"/>
      <c r="M314" s="381"/>
      <c r="N314" s="380" t="s">
        <v>728</v>
      </c>
      <c r="O314" s="381"/>
      <c r="P314" s="384"/>
      <c r="Q314" s="381"/>
      <c r="R314" s="381"/>
      <c r="S314" s="381"/>
      <c r="T314" s="1129"/>
      <c r="U314" s="1129"/>
      <c r="V314" s="1129"/>
      <c r="W314" s="1129"/>
      <c r="X314" s="1129"/>
      <c r="Y314" s="1129"/>
      <c r="Z314" s="1129"/>
      <c r="AA314" s="1129"/>
      <c r="AB314" s="1129"/>
      <c r="AC314" s="1129"/>
      <c r="AD314" s="1129"/>
      <c r="AE314" s="1129"/>
    </row>
    <row r="315" spans="1:31" ht="15.75">
      <c r="A315" s="383" t="s">
        <v>729</v>
      </c>
      <c r="B315" s="383"/>
      <c r="C315" s="384" t="s">
        <v>1224</v>
      </c>
      <c r="D315" s="381"/>
      <c r="E315" s="381"/>
      <c r="F315" s="381"/>
      <c r="G315" s="381"/>
      <c r="H315" s="381"/>
      <c r="I315" s="381"/>
      <c r="J315" s="381"/>
      <c r="K315" s="381"/>
      <c r="L315" s="381"/>
      <c r="M315" s="381"/>
      <c r="N315" s="383" t="s">
        <v>729</v>
      </c>
      <c r="O315" s="383"/>
      <c r="P315" s="384" t="s">
        <v>1224</v>
      </c>
      <c r="Q315" s="381"/>
      <c r="R315" s="381"/>
      <c r="S315" s="381"/>
      <c r="T315" s="1129"/>
      <c r="U315" s="1129"/>
      <c r="V315" s="1129"/>
      <c r="W315" s="1129"/>
      <c r="X315" s="1129"/>
      <c r="Y315" s="1129"/>
      <c r="Z315" s="1129"/>
      <c r="AA315" s="1129"/>
      <c r="AB315" s="1129"/>
      <c r="AC315" s="1129"/>
      <c r="AD315" s="1129"/>
      <c r="AE315" s="1129"/>
    </row>
    <row r="316" spans="1:31" ht="15.75">
      <c r="A316" s="383" t="s">
        <v>401</v>
      </c>
      <c r="B316" s="383"/>
      <c r="C316" s="384" t="s">
        <v>974</v>
      </c>
      <c r="D316" s="381"/>
      <c r="E316" s="381"/>
      <c r="F316" s="381"/>
      <c r="G316" s="381"/>
      <c r="H316" s="381"/>
      <c r="I316" s="381"/>
      <c r="J316" s="381"/>
      <c r="K316" s="381"/>
      <c r="L316" s="381"/>
      <c r="M316" s="381"/>
      <c r="N316" s="383" t="s">
        <v>401</v>
      </c>
      <c r="O316" s="383"/>
      <c r="P316" s="384" t="s">
        <v>974</v>
      </c>
      <c r="Q316" s="381"/>
      <c r="R316" s="381"/>
      <c r="S316" s="381"/>
      <c r="T316" s="1129"/>
      <c r="U316" s="1129"/>
      <c r="V316" s="1129"/>
      <c r="W316" s="1129"/>
      <c r="X316" s="1129"/>
      <c r="Y316" s="1129"/>
      <c r="Z316" s="1129"/>
      <c r="AA316" s="1129"/>
      <c r="AB316" s="1129"/>
      <c r="AC316" s="1129"/>
      <c r="AD316" s="1129"/>
      <c r="AE316" s="1129"/>
    </row>
    <row r="317" spans="1:31" ht="15.75">
      <c r="A317" s="383" t="s">
        <v>730</v>
      </c>
      <c r="B317" s="383"/>
      <c r="C317" s="384" t="s">
        <v>731</v>
      </c>
      <c r="D317" s="381"/>
      <c r="E317" s="381"/>
      <c r="F317" s="381"/>
      <c r="G317" s="381"/>
      <c r="H317" s="381"/>
      <c r="I317" s="381"/>
      <c r="J317" s="381"/>
      <c r="K317" s="381"/>
      <c r="L317" s="381"/>
      <c r="M317" s="381"/>
      <c r="N317" s="383" t="s">
        <v>730</v>
      </c>
      <c r="O317" s="383"/>
      <c r="P317" s="384" t="s">
        <v>731</v>
      </c>
      <c r="Q317" s="381"/>
      <c r="R317" s="381"/>
      <c r="S317" s="381"/>
      <c r="T317" s="1129"/>
      <c r="U317" s="1129"/>
      <c r="V317" s="1129"/>
      <c r="W317" s="1129"/>
      <c r="X317" s="1129"/>
      <c r="Y317" s="1129"/>
      <c r="Z317" s="1129"/>
      <c r="AA317" s="1129"/>
      <c r="AB317" s="1129"/>
      <c r="AC317" s="1129"/>
      <c r="AD317" s="1129"/>
      <c r="AE317" s="1129"/>
    </row>
    <row r="318" spans="1:31" ht="15.75">
      <c r="A318" s="383" t="s">
        <v>169</v>
      </c>
      <c r="B318" s="383"/>
      <c r="C318" s="384" t="s">
        <v>1699</v>
      </c>
      <c r="D318" s="381"/>
      <c r="E318" s="381"/>
      <c r="F318" s="381"/>
      <c r="G318" s="381"/>
      <c r="H318" s="381"/>
      <c r="I318" s="381"/>
      <c r="J318" s="381"/>
      <c r="K318" s="381"/>
      <c r="L318" s="381"/>
      <c r="M318" s="381"/>
      <c r="N318" s="383" t="s">
        <v>169</v>
      </c>
      <c r="O318" s="383"/>
      <c r="P318" s="384" t="s">
        <v>1699</v>
      </c>
      <c r="Q318" s="381"/>
      <c r="R318" s="381"/>
      <c r="S318" s="381"/>
      <c r="T318" s="1129"/>
      <c r="U318" s="1129"/>
      <c r="V318" s="1129"/>
      <c r="W318" s="1129"/>
      <c r="X318" s="1129"/>
      <c r="Y318" s="1129"/>
      <c r="Z318" s="1129"/>
      <c r="AA318" s="1129"/>
      <c r="AB318" s="1129"/>
      <c r="AC318" s="1129"/>
      <c r="AD318" s="1129"/>
      <c r="AE318" s="1129"/>
    </row>
    <row r="319" spans="1:31" ht="16.5" thickBot="1">
      <c r="A319" s="383"/>
      <c r="B319" s="383"/>
      <c r="C319" s="381"/>
      <c r="D319" s="381"/>
      <c r="E319" s="381"/>
      <c r="F319" s="381"/>
      <c r="G319" s="381"/>
      <c r="H319" s="381"/>
      <c r="I319" s="381"/>
      <c r="J319" s="381"/>
      <c r="K319" s="381"/>
      <c r="L319" s="381"/>
      <c r="M319" s="381"/>
      <c r="N319" s="383"/>
      <c r="O319" s="383"/>
      <c r="P319" s="381"/>
      <c r="Q319" s="381"/>
      <c r="R319" s="381"/>
      <c r="S319" s="381"/>
      <c r="T319" s="1129"/>
      <c r="U319" s="1129"/>
      <c r="V319" s="1129"/>
      <c r="W319" s="1129"/>
      <c r="X319" s="1129"/>
      <c r="Y319" s="1129"/>
      <c r="Z319" s="1129"/>
      <c r="AA319" s="1129"/>
      <c r="AB319" s="1129"/>
      <c r="AC319" s="1129"/>
      <c r="AD319" s="1129"/>
      <c r="AE319" s="1129"/>
    </row>
    <row r="320" spans="1:31" ht="16.5" thickBot="1">
      <c r="A320" s="381" t="s">
        <v>733</v>
      </c>
      <c r="B320" s="385"/>
      <c r="C320" s="381" t="s">
        <v>771</v>
      </c>
      <c r="D320" s="381"/>
      <c r="E320" s="381"/>
      <c r="F320" s="381"/>
      <c r="G320" s="381"/>
      <c r="H320" s="381"/>
      <c r="I320" s="381"/>
      <c r="J320" s="381"/>
      <c r="K320" s="381"/>
      <c r="L320" s="381"/>
      <c r="M320" s="381"/>
      <c r="N320" s="381" t="s">
        <v>733</v>
      </c>
      <c r="O320" s="385"/>
      <c r="P320" s="381" t="s">
        <v>771</v>
      </c>
      <c r="Q320" s="381"/>
      <c r="R320" s="381"/>
      <c r="S320" s="381"/>
      <c r="T320" s="1129"/>
      <c r="U320" s="1129"/>
      <c r="V320" s="1129"/>
      <c r="W320" s="1129"/>
      <c r="X320" s="1129"/>
      <c r="Y320" s="1129"/>
      <c r="Z320" s="1129"/>
      <c r="AA320" s="1129"/>
      <c r="AB320" s="1129"/>
      <c r="AC320" s="1129"/>
      <c r="AD320" s="1129"/>
      <c r="AE320" s="1129"/>
    </row>
    <row r="321" spans="1:31" ht="16.5" thickBot="1">
      <c r="A321" s="381"/>
      <c r="B321" s="381"/>
      <c r="C321" s="381"/>
      <c r="D321" s="381"/>
      <c r="E321" s="381"/>
      <c r="F321" s="381"/>
      <c r="G321" s="381"/>
      <c r="H321" s="381"/>
      <c r="I321" s="381"/>
      <c r="J321" s="381"/>
      <c r="K321" s="381"/>
      <c r="L321" s="381"/>
      <c r="M321" s="381"/>
      <c r="N321" s="381"/>
      <c r="O321" s="381"/>
      <c r="P321" s="383"/>
      <c r="Q321" s="381"/>
      <c r="R321" s="381"/>
      <c r="S321" s="381"/>
      <c r="T321" s="1129"/>
      <c r="U321" s="1129"/>
      <c r="V321" s="1129"/>
      <c r="W321" s="1129"/>
      <c r="X321" s="1129"/>
      <c r="Y321" s="1129"/>
      <c r="Z321" s="1129"/>
      <c r="AA321" s="1129"/>
      <c r="AB321" s="1129"/>
      <c r="AC321" s="1129"/>
      <c r="AD321" s="1129"/>
      <c r="AE321" s="1129"/>
    </row>
    <row r="322" spans="1:31" ht="16.5" thickBot="1">
      <c r="A322" s="1813" t="s">
        <v>734</v>
      </c>
      <c r="B322" s="1814"/>
      <c r="C322" s="1815"/>
      <c r="D322" s="1813" t="s">
        <v>735</v>
      </c>
      <c r="E322" s="1814"/>
      <c r="F322" s="1815"/>
      <c r="G322" s="1809" t="s">
        <v>736</v>
      </c>
      <c r="H322" s="1809" t="s">
        <v>737</v>
      </c>
      <c r="I322" s="1809" t="s">
        <v>738</v>
      </c>
      <c r="J322" s="1813" t="s">
        <v>772</v>
      </c>
      <c r="K322" s="1815"/>
      <c r="L322" s="1820" t="s">
        <v>773</v>
      </c>
      <c r="M322" s="1821"/>
      <c r="N322" s="1800" t="s">
        <v>734</v>
      </c>
      <c r="O322" s="1801"/>
      <c r="P322" s="1802"/>
      <c r="Q322" s="1800" t="s">
        <v>739</v>
      </c>
      <c r="R322" s="1801"/>
      <c r="S322" s="1802"/>
      <c r="T322" s="1803" t="s">
        <v>740</v>
      </c>
      <c r="U322" s="1806" t="s">
        <v>741</v>
      </c>
      <c r="V322" s="1807"/>
      <c r="W322" s="1807"/>
      <c r="X322" s="1807"/>
      <c r="Y322" s="1807"/>
      <c r="Z322" s="1807"/>
      <c r="AA322" s="1807"/>
      <c r="AB322" s="1807"/>
      <c r="AC322" s="1807"/>
      <c r="AD322" s="1807"/>
      <c r="AE322" s="1808"/>
    </row>
    <row r="323" spans="1:31" ht="16.5" thickBot="1">
      <c r="A323" s="1816"/>
      <c r="B323" s="1817"/>
      <c r="C323" s="1818"/>
      <c r="D323" s="1816"/>
      <c r="E323" s="1817"/>
      <c r="F323" s="1818"/>
      <c r="G323" s="1819"/>
      <c r="H323" s="1819"/>
      <c r="I323" s="1819"/>
      <c r="J323" s="1816"/>
      <c r="K323" s="1818"/>
      <c r="L323" s="1822"/>
      <c r="M323" s="1823"/>
      <c r="N323" s="1809" t="s">
        <v>742</v>
      </c>
      <c r="O323" s="1809" t="s">
        <v>743</v>
      </c>
      <c r="P323" s="1809" t="s">
        <v>744</v>
      </c>
      <c r="Q323" s="1809" t="s">
        <v>745</v>
      </c>
      <c r="R323" s="1809" t="s">
        <v>746</v>
      </c>
      <c r="S323" s="1809" t="s">
        <v>747</v>
      </c>
      <c r="T323" s="1804"/>
      <c r="U323" s="1803" t="s">
        <v>748</v>
      </c>
      <c r="V323" s="1806" t="s">
        <v>774</v>
      </c>
      <c r="W323" s="1811"/>
      <c r="X323" s="1806" t="s">
        <v>775</v>
      </c>
      <c r="Y323" s="1811"/>
      <c r="Z323" s="1806" t="s">
        <v>776</v>
      </c>
      <c r="AA323" s="1808"/>
      <c r="AB323" s="1806" t="s">
        <v>777</v>
      </c>
      <c r="AC323" s="1808"/>
      <c r="AD323" s="1806" t="s">
        <v>749</v>
      </c>
      <c r="AE323" s="1808"/>
    </row>
    <row r="324" spans="1:31" ht="63.75" thickBot="1">
      <c r="A324" s="386" t="s">
        <v>742</v>
      </c>
      <c r="B324" s="387" t="s">
        <v>743</v>
      </c>
      <c r="C324" s="388" t="s">
        <v>744</v>
      </c>
      <c r="D324" s="1125" t="s">
        <v>750</v>
      </c>
      <c r="E324" s="1124" t="s">
        <v>746</v>
      </c>
      <c r="F324" s="389" t="s">
        <v>394</v>
      </c>
      <c r="G324" s="1810"/>
      <c r="H324" s="1810"/>
      <c r="I324" s="1810"/>
      <c r="J324" s="389" t="s">
        <v>751</v>
      </c>
      <c r="K324" s="1126" t="s">
        <v>752</v>
      </c>
      <c r="L324" s="752" t="s">
        <v>751</v>
      </c>
      <c r="M324" s="1127" t="s">
        <v>752</v>
      </c>
      <c r="N324" s="1810"/>
      <c r="O324" s="1810"/>
      <c r="P324" s="1810"/>
      <c r="Q324" s="1810"/>
      <c r="R324" s="1810"/>
      <c r="S324" s="1810"/>
      <c r="T324" s="1805"/>
      <c r="U324" s="1805"/>
      <c r="V324" s="1130" t="s">
        <v>751</v>
      </c>
      <c r="W324" s="1131" t="s">
        <v>752</v>
      </c>
      <c r="X324" s="1130" t="s">
        <v>751</v>
      </c>
      <c r="Y324" s="1131" t="s">
        <v>752</v>
      </c>
      <c r="Z324" s="1132" t="s">
        <v>753</v>
      </c>
      <c r="AA324" s="1132" t="s">
        <v>754</v>
      </c>
      <c r="AB324" s="1132" t="s">
        <v>753</v>
      </c>
      <c r="AC324" s="1132" t="s">
        <v>754</v>
      </c>
      <c r="AD324" s="1132" t="s">
        <v>753</v>
      </c>
      <c r="AE324" s="1132" t="s">
        <v>754</v>
      </c>
    </row>
    <row r="325" spans="1:31" ht="29.25" thickBot="1">
      <c r="A325" s="390" t="s">
        <v>499</v>
      </c>
      <c r="B325" s="391" t="s">
        <v>500</v>
      </c>
      <c r="C325" s="391" t="s">
        <v>538</v>
      </c>
      <c r="D325" s="391" t="s">
        <v>560</v>
      </c>
      <c r="E325" s="391" t="s">
        <v>562</v>
      </c>
      <c r="F325" s="391" t="s">
        <v>574</v>
      </c>
      <c r="G325" s="391" t="s">
        <v>778</v>
      </c>
      <c r="H325" s="391" t="s">
        <v>578</v>
      </c>
      <c r="I325" s="392" t="s">
        <v>580</v>
      </c>
      <c r="J325" s="391" t="s">
        <v>582</v>
      </c>
      <c r="K325" s="393" t="s">
        <v>584</v>
      </c>
      <c r="L325" s="753" t="s">
        <v>586</v>
      </c>
      <c r="M325" s="754" t="s">
        <v>590</v>
      </c>
      <c r="N325" s="401" t="s">
        <v>499</v>
      </c>
      <c r="O325" s="402" t="s">
        <v>500</v>
      </c>
      <c r="P325" s="402" t="s">
        <v>538</v>
      </c>
      <c r="Q325" s="402" t="s">
        <v>560</v>
      </c>
      <c r="R325" s="402" t="s">
        <v>562</v>
      </c>
      <c r="S325" s="402" t="s">
        <v>574</v>
      </c>
      <c r="T325" s="1133" t="s">
        <v>779</v>
      </c>
      <c r="U325" s="1134" t="s">
        <v>578</v>
      </c>
      <c r="V325" s="1134" t="s">
        <v>580</v>
      </c>
      <c r="W325" s="1134" t="s">
        <v>582</v>
      </c>
      <c r="X325" s="1134" t="s">
        <v>584</v>
      </c>
      <c r="Y325" s="1134" t="s">
        <v>586</v>
      </c>
      <c r="Z325" s="1134" t="s">
        <v>590</v>
      </c>
      <c r="AA325" s="1134" t="s">
        <v>755</v>
      </c>
      <c r="AB325" s="1134" t="s">
        <v>780</v>
      </c>
      <c r="AC325" s="1134" t="s">
        <v>781</v>
      </c>
      <c r="AD325" s="1134" t="s">
        <v>782</v>
      </c>
      <c r="AE325" s="1135" t="s">
        <v>783</v>
      </c>
    </row>
    <row r="326" spans="1:31" ht="16.5" thickBot="1">
      <c r="A326" s="394" t="s">
        <v>1700</v>
      </c>
      <c r="B326" s="395" t="s">
        <v>1701</v>
      </c>
      <c r="C326" s="395" t="s">
        <v>1702</v>
      </c>
      <c r="D326" s="395" t="s">
        <v>1224</v>
      </c>
      <c r="E326" s="395" t="s">
        <v>756</v>
      </c>
      <c r="F326" s="395" t="s">
        <v>974</v>
      </c>
      <c r="G326" s="396">
        <f>SUM(H326:M326)</f>
        <v>2870940</v>
      </c>
      <c r="H326" s="396"/>
      <c r="I326" s="396"/>
      <c r="J326" s="396">
        <v>2392450</v>
      </c>
      <c r="K326" s="397">
        <f>+J326*0.2</f>
        <v>478490</v>
      </c>
      <c r="L326" s="750"/>
      <c r="M326" s="755"/>
      <c r="N326" s="394" t="s">
        <v>1059</v>
      </c>
      <c r="O326" s="395" t="s">
        <v>1703</v>
      </c>
      <c r="P326" s="395" t="s">
        <v>1704</v>
      </c>
      <c r="Q326" s="395" t="s">
        <v>1381</v>
      </c>
      <c r="R326" s="395" t="s">
        <v>756</v>
      </c>
      <c r="S326" s="395" t="s">
        <v>978</v>
      </c>
      <c r="T326" s="408">
        <f>SUM(U326:AE326)</f>
        <v>31500</v>
      </c>
      <c r="U326" s="408"/>
      <c r="V326" s="408"/>
      <c r="W326" s="408">
        <v>0</v>
      </c>
      <c r="X326" s="408"/>
      <c r="Y326" s="408"/>
      <c r="Z326" s="408">
        <v>26250</v>
      </c>
      <c r="AA326" s="408">
        <f>+Z326*0.2</f>
        <v>5250</v>
      </c>
      <c r="AB326" s="408"/>
      <c r="AC326" s="408"/>
      <c r="AD326" s="408"/>
      <c r="AE326" s="724"/>
    </row>
    <row r="327" spans="1:31" ht="16.5" thickBot="1">
      <c r="A327" s="1795" t="s">
        <v>757</v>
      </c>
      <c r="B327" s="1796"/>
      <c r="C327" s="1796"/>
      <c r="D327" s="1796"/>
      <c r="E327" s="1796"/>
      <c r="F327" s="1797"/>
      <c r="G327" s="398">
        <f t="shared" ref="G327:M327" si="57">SUM(G326:G326)</f>
        <v>2870940</v>
      </c>
      <c r="H327" s="398">
        <f t="shared" si="57"/>
        <v>0</v>
      </c>
      <c r="I327" s="398">
        <f t="shared" si="57"/>
        <v>0</v>
      </c>
      <c r="J327" s="398">
        <f t="shared" si="57"/>
        <v>2392450</v>
      </c>
      <c r="K327" s="398">
        <f t="shared" si="57"/>
        <v>478490</v>
      </c>
      <c r="L327" s="756">
        <f t="shared" si="57"/>
        <v>0</v>
      </c>
      <c r="M327" s="756">
        <f t="shared" si="57"/>
        <v>0</v>
      </c>
      <c r="N327" s="394" t="s">
        <v>1059</v>
      </c>
      <c r="O327" s="395" t="s">
        <v>1705</v>
      </c>
      <c r="P327" s="395" t="s">
        <v>1706</v>
      </c>
      <c r="Q327" s="395" t="s">
        <v>1707</v>
      </c>
      <c r="R327" s="395" t="s">
        <v>1349</v>
      </c>
      <c r="S327" s="395" t="s">
        <v>1035</v>
      </c>
      <c r="T327" s="408">
        <f t="shared" ref="T327:T341" si="58">SUM(U327:AE327)</f>
        <v>65520</v>
      </c>
      <c r="U327" s="408"/>
      <c r="V327" s="408"/>
      <c r="W327" s="408">
        <v>0</v>
      </c>
      <c r="X327" s="408"/>
      <c r="Y327" s="408"/>
      <c r="Z327" s="408">
        <v>54600</v>
      </c>
      <c r="AA327" s="408">
        <f>+Z327*0.2</f>
        <v>10920</v>
      </c>
      <c r="AB327" s="408"/>
      <c r="AC327" s="408"/>
      <c r="AD327" s="408"/>
      <c r="AE327" s="724"/>
    </row>
    <row r="328" spans="1:31" ht="16.5" thickBot="1">
      <c r="A328" s="1798" t="s">
        <v>758</v>
      </c>
      <c r="B328" s="1799"/>
      <c r="C328" s="1799"/>
      <c r="D328" s="1799"/>
      <c r="E328" s="1799"/>
      <c r="F328" s="1799"/>
      <c r="G328" s="1799"/>
      <c r="H328" s="406" t="s">
        <v>759</v>
      </c>
      <c r="I328" s="1123" t="s">
        <v>760</v>
      </c>
      <c r="J328" s="406" t="s">
        <v>761</v>
      </c>
      <c r="K328" s="399" t="s">
        <v>762</v>
      </c>
      <c r="L328" s="757" t="s">
        <v>763</v>
      </c>
      <c r="M328" s="758" t="s">
        <v>764</v>
      </c>
      <c r="N328" s="394" t="s">
        <v>1708</v>
      </c>
      <c r="O328" s="395" t="s">
        <v>1709</v>
      </c>
      <c r="P328" s="395" t="s">
        <v>1706</v>
      </c>
      <c r="Q328" s="395" t="s">
        <v>1710</v>
      </c>
      <c r="R328" s="395" t="s">
        <v>1344</v>
      </c>
      <c r="S328" s="395" t="s">
        <v>997</v>
      </c>
      <c r="T328" s="408">
        <f t="shared" si="58"/>
        <v>249999.6</v>
      </c>
      <c r="U328" s="408"/>
      <c r="V328" s="408"/>
      <c r="W328" s="408">
        <v>0</v>
      </c>
      <c r="X328" s="408"/>
      <c r="Y328" s="408"/>
      <c r="Z328" s="408">
        <v>208333</v>
      </c>
      <c r="AA328" s="408">
        <f t="shared" ref="AA328:AA341" si="59">+Z328*0.2</f>
        <v>41666.600000000006</v>
      </c>
      <c r="AB328" s="408"/>
      <c r="AC328" s="408"/>
      <c r="AD328" s="408"/>
      <c r="AE328" s="724"/>
    </row>
    <row r="329" spans="1:31" ht="15.75">
      <c r="A329" s="381"/>
      <c r="B329" s="381"/>
      <c r="C329" s="381"/>
      <c r="D329" s="381"/>
      <c r="E329" s="381"/>
      <c r="F329" s="381"/>
      <c r="G329" s="381"/>
      <c r="H329" s="381"/>
      <c r="I329" s="381"/>
      <c r="J329" s="381"/>
      <c r="K329" s="381"/>
      <c r="L329" s="381"/>
      <c r="M329" s="381"/>
      <c r="N329" s="394" t="s">
        <v>1711</v>
      </c>
      <c r="O329" s="395" t="s">
        <v>1712</v>
      </c>
      <c r="P329" s="395" t="s">
        <v>1713</v>
      </c>
      <c r="Q329" s="395" t="s">
        <v>1714</v>
      </c>
      <c r="R329" s="395" t="s">
        <v>1344</v>
      </c>
      <c r="S329" s="395" t="s">
        <v>994</v>
      </c>
      <c r="T329" s="408">
        <f t="shared" si="58"/>
        <v>112140</v>
      </c>
      <c r="U329" s="408"/>
      <c r="V329" s="408"/>
      <c r="W329" s="408">
        <v>0</v>
      </c>
      <c r="X329" s="408"/>
      <c r="Y329" s="408"/>
      <c r="Z329" s="408">
        <v>93450</v>
      </c>
      <c r="AA329" s="408">
        <f t="shared" si="59"/>
        <v>18690</v>
      </c>
      <c r="AB329" s="408"/>
      <c r="AC329" s="408"/>
      <c r="AD329" s="408"/>
      <c r="AE329" s="724"/>
    </row>
    <row r="330" spans="1:31" ht="15.75">
      <c r="A330" s="381"/>
      <c r="B330" s="381"/>
      <c r="C330" s="381"/>
      <c r="D330" s="381"/>
      <c r="E330" s="381"/>
      <c r="F330" s="381"/>
      <c r="G330" s="381"/>
      <c r="H330" s="381"/>
      <c r="I330" s="381"/>
      <c r="J330" s="381"/>
      <c r="K330" s="381"/>
      <c r="L330" s="381"/>
      <c r="M330" s="381"/>
      <c r="N330" s="394" t="s">
        <v>1715</v>
      </c>
      <c r="O330" s="395" t="s">
        <v>1716</v>
      </c>
      <c r="P330" s="395" t="s">
        <v>1717</v>
      </c>
      <c r="Q330" s="395" t="s">
        <v>1718</v>
      </c>
      <c r="R330" s="395" t="s">
        <v>1349</v>
      </c>
      <c r="S330" s="395" t="s">
        <v>1648</v>
      </c>
      <c r="T330" s="408">
        <f t="shared" si="58"/>
        <v>296400</v>
      </c>
      <c r="U330" s="408"/>
      <c r="V330" s="408"/>
      <c r="W330" s="408">
        <v>0</v>
      </c>
      <c r="X330" s="408"/>
      <c r="Y330" s="408"/>
      <c r="Z330" s="408">
        <v>247000</v>
      </c>
      <c r="AA330" s="408">
        <f t="shared" si="59"/>
        <v>49400</v>
      </c>
      <c r="AB330" s="408"/>
      <c r="AC330" s="408"/>
      <c r="AD330" s="408"/>
      <c r="AE330" s="724"/>
    </row>
    <row r="331" spans="1:31" ht="15.75">
      <c r="A331" s="381"/>
      <c r="B331" s="381"/>
      <c r="C331" s="381"/>
      <c r="D331" s="381"/>
      <c r="E331" s="381"/>
      <c r="F331" s="381"/>
      <c r="G331" s="381"/>
      <c r="H331" s="381"/>
      <c r="I331" s="381"/>
      <c r="J331" s="725" t="s">
        <v>951</v>
      </c>
      <c r="K331" s="381"/>
      <c r="L331" s="381"/>
      <c r="M331" s="381"/>
      <c r="N331" s="394" t="s">
        <v>1719</v>
      </c>
      <c r="O331" s="395" t="s">
        <v>1720</v>
      </c>
      <c r="P331" s="395" t="s">
        <v>1721</v>
      </c>
      <c r="Q331" s="395" t="s">
        <v>1722</v>
      </c>
      <c r="R331" s="395" t="s">
        <v>756</v>
      </c>
      <c r="S331" s="395" t="s">
        <v>1723</v>
      </c>
      <c r="T331" s="408">
        <f t="shared" si="58"/>
        <v>86400</v>
      </c>
      <c r="U331" s="408"/>
      <c r="V331" s="408"/>
      <c r="W331" s="408">
        <v>0</v>
      </c>
      <c r="X331" s="408"/>
      <c r="Y331" s="408"/>
      <c r="Z331" s="408">
        <v>72000</v>
      </c>
      <c r="AA331" s="408">
        <f t="shared" si="59"/>
        <v>14400</v>
      </c>
      <c r="AB331" s="408"/>
      <c r="AC331" s="408"/>
      <c r="AD331" s="408"/>
      <c r="AE331" s="724"/>
    </row>
    <row r="332" spans="1:31" ht="15.75">
      <c r="A332" s="381"/>
      <c r="B332" s="381"/>
      <c r="C332" s="381"/>
      <c r="D332" s="381"/>
      <c r="E332" s="381"/>
      <c r="F332" s="381"/>
      <c r="G332" s="381"/>
      <c r="H332" s="381"/>
      <c r="I332" s="381"/>
      <c r="J332" s="381"/>
      <c r="K332" s="381"/>
      <c r="L332" s="381"/>
      <c r="M332" s="381"/>
      <c r="N332" s="394" t="s">
        <v>1724</v>
      </c>
      <c r="O332" s="395" t="s">
        <v>1725</v>
      </c>
      <c r="P332" s="395" t="s">
        <v>1726</v>
      </c>
      <c r="Q332" s="395" t="s">
        <v>1727</v>
      </c>
      <c r="R332" s="395" t="s">
        <v>756</v>
      </c>
      <c r="S332" s="395" t="s">
        <v>984</v>
      </c>
      <c r="T332" s="408">
        <f t="shared" si="58"/>
        <v>96000</v>
      </c>
      <c r="U332" s="408"/>
      <c r="V332" s="408"/>
      <c r="W332" s="408">
        <v>0</v>
      </c>
      <c r="X332" s="408"/>
      <c r="Y332" s="408"/>
      <c r="Z332" s="408">
        <v>80000</v>
      </c>
      <c r="AA332" s="408">
        <f t="shared" si="59"/>
        <v>16000</v>
      </c>
      <c r="AB332" s="408"/>
      <c r="AC332" s="408"/>
      <c r="AD332" s="408"/>
      <c r="AE332" s="724"/>
    </row>
    <row r="333" spans="1:31" ht="15.75">
      <c r="A333" s="381" t="s">
        <v>793</v>
      </c>
      <c r="B333" s="381"/>
      <c r="C333" s="381"/>
      <c r="D333" s="381"/>
      <c r="E333" s="381"/>
      <c r="F333" s="381"/>
      <c r="G333" s="381"/>
      <c r="H333" s="381"/>
      <c r="I333" s="381"/>
      <c r="J333" s="381"/>
      <c r="K333" s="381"/>
      <c r="L333" s="381"/>
      <c r="M333" s="381"/>
      <c r="N333" s="394" t="s">
        <v>1728</v>
      </c>
      <c r="O333" s="395" t="s">
        <v>1729</v>
      </c>
      <c r="P333" s="395" t="s">
        <v>1730</v>
      </c>
      <c r="Q333" s="395" t="s">
        <v>1731</v>
      </c>
      <c r="R333" s="395" t="s">
        <v>756</v>
      </c>
      <c r="S333" s="395" t="s">
        <v>1732</v>
      </c>
      <c r="T333" s="408">
        <f t="shared" si="58"/>
        <v>214999.2</v>
      </c>
      <c r="U333" s="408"/>
      <c r="V333" s="408"/>
      <c r="W333" s="408">
        <v>0</v>
      </c>
      <c r="X333" s="408"/>
      <c r="Y333" s="408"/>
      <c r="Z333" s="408">
        <v>179166</v>
      </c>
      <c r="AA333" s="408">
        <f t="shared" si="59"/>
        <v>35833.200000000004</v>
      </c>
      <c r="AB333" s="408"/>
      <c r="AC333" s="408"/>
      <c r="AD333" s="408"/>
      <c r="AE333" s="724"/>
    </row>
    <row r="334" spans="1:31" ht="15.75">
      <c r="A334" s="381" t="s">
        <v>785</v>
      </c>
      <c r="B334" s="381"/>
      <c r="C334" s="381"/>
      <c r="D334" s="381"/>
      <c r="E334" s="381"/>
      <c r="F334" s="381"/>
      <c r="G334" s="381"/>
      <c r="H334" s="381"/>
      <c r="I334" s="381"/>
      <c r="J334" s="381"/>
      <c r="K334" s="381"/>
      <c r="L334" s="381"/>
      <c r="M334" s="381"/>
      <c r="N334" s="394" t="s">
        <v>1036</v>
      </c>
      <c r="O334" s="395" t="s">
        <v>1733</v>
      </c>
      <c r="P334" s="395" t="s">
        <v>1734</v>
      </c>
      <c r="Q334" s="395" t="s">
        <v>1735</v>
      </c>
      <c r="R334" s="395" t="s">
        <v>1355</v>
      </c>
      <c r="S334" s="395" t="s">
        <v>991</v>
      </c>
      <c r="T334" s="408">
        <f t="shared" si="58"/>
        <v>64800</v>
      </c>
      <c r="U334" s="408"/>
      <c r="V334" s="408"/>
      <c r="W334" s="408">
        <v>0</v>
      </c>
      <c r="X334" s="408"/>
      <c r="Y334" s="408"/>
      <c r="Z334" s="408">
        <v>54000</v>
      </c>
      <c r="AA334" s="408">
        <f t="shared" si="59"/>
        <v>10800</v>
      </c>
      <c r="AB334" s="408"/>
      <c r="AC334" s="408"/>
      <c r="AD334" s="408"/>
      <c r="AE334" s="724"/>
    </row>
    <row r="335" spans="1:31" ht="15.75">
      <c r="A335" s="381" t="s">
        <v>792</v>
      </c>
      <c r="B335"/>
      <c r="C335"/>
      <c r="D335"/>
      <c r="E335"/>
      <c r="F335"/>
      <c r="G335"/>
      <c r="H335"/>
      <c r="I335"/>
      <c r="J335"/>
      <c r="K335" s="381"/>
      <c r="L335" s="381"/>
      <c r="M335" s="381"/>
      <c r="N335" s="394" t="s">
        <v>1736</v>
      </c>
      <c r="O335" s="395" t="s">
        <v>1737</v>
      </c>
      <c r="P335" s="395" t="s">
        <v>1734</v>
      </c>
      <c r="Q335" s="395" t="s">
        <v>1735</v>
      </c>
      <c r="R335" s="395" t="s">
        <v>1355</v>
      </c>
      <c r="S335" s="395" t="s">
        <v>991</v>
      </c>
      <c r="T335" s="408">
        <f t="shared" si="58"/>
        <v>100800</v>
      </c>
      <c r="U335" s="408"/>
      <c r="V335" s="408"/>
      <c r="W335" s="408">
        <v>0</v>
      </c>
      <c r="X335" s="408"/>
      <c r="Y335" s="408"/>
      <c r="Z335" s="408">
        <v>84000</v>
      </c>
      <c r="AA335" s="408">
        <f t="shared" si="59"/>
        <v>16800</v>
      </c>
      <c r="AB335" s="408"/>
      <c r="AC335" s="408"/>
      <c r="AD335" s="408"/>
      <c r="AE335" s="724"/>
    </row>
    <row r="336" spans="1:31" ht="15.75">
      <c r="A336" s="381"/>
      <c r="B336" s="381"/>
      <c r="C336" s="381"/>
      <c r="D336" s="381"/>
      <c r="E336" s="381"/>
      <c r="F336" s="381"/>
      <c r="G336" s="381"/>
      <c r="H336" s="381"/>
      <c r="I336" s="381"/>
      <c r="J336" s="381"/>
      <c r="K336" s="381"/>
      <c r="L336" s="381"/>
      <c r="M336" s="381"/>
      <c r="N336" s="394" t="s">
        <v>1738</v>
      </c>
      <c r="O336" s="395" t="s">
        <v>1739</v>
      </c>
      <c r="P336" s="395" t="s">
        <v>1740</v>
      </c>
      <c r="Q336" s="395" t="s">
        <v>1741</v>
      </c>
      <c r="R336" s="395" t="s">
        <v>1407</v>
      </c>
      <c r="S336" s="395" t="s">
        <v>1086</v>
      </c>
      <c r="T336" s="408">
        <f t="shared" si="58"/>
        <v>153631.20000000001</v>
      </c>
      <c r="U336" s="408"/>
      <c r="V336" s="408"/>
      <c r="W336" s="408">
        <v>0</v>
      </c>
      <c r="X336" s="408"/>
      <c r="Y336" s="408"/>
      <c r="Z336" s="408">
        <v>128026</v>
      </c>
      <c r="AA336" s="408">
        <f t="shared" si="59"/>
        <v>25605.200000000001</v>
      </c>
      <c r="AB336" s="408"/>
      <c r="AC336" s="408"/>
      <c r="AD336" s="408"/>
      <c r="AE336" s="724"/>
    </row>
    <row r="337" spans="1:31" ht="15.75">
      <c r="A337" s="381"/>
      <c r="B337" s="381"/>
      <c r="C337" s="381"/>
      <c r="D337" s="381"/>
      <c r="E337" s="381"/>
      <c r="F337" s="381"/>
      <c r="G337" s="381"/>
      <c r="H337" s="381"/>
      <c r="I337" s="381"/>
      <c r="J337" s="381"/>
      <c r="K337" s="381"/>
      <c r="L337" s="381"/>
      <c r="M337" s="381"/>
      <c r="N337" s="394" t="s">
        <v>1742</v>
      </c>
      <c r="O337" s="395" t="s">
        <v>1743</v>
      </c>
      <c r="P337" s="395" t="s">
        <v>1740</v>
      </c>
      <c r="Q337" s="395" t="s">
        <v>1741</v>
      </c>
      <c r="R337" s="395" t="s">
        <v>1407</v>
      </c>
      <c r="S337" s="395" t="s">
        <v>1086</v>
      </c>
      <c r="T337" s="408">
        <f t="shared" si="58"/>
        <v>224640</v>
      </c>
      <c r="U337" s="408"/>
      <c r="V337" s="408"/>
      <c r="W337" s="408">
        <v>0</v>
      </c>
      <c r="X337" s="408"/>
      <c r="Y337" s="408"/>
      <c r="Z337" s="408">
        <v>187200</v>
      </c>
      <c r="AA337" s="408">
        <f t="shared" si="59"/>
        <v>37440</v>
      </c>
      <c r="AB337" s="408"/>
      <c r="AC337" s="408"/>
      <c r="AD337" s="408"/>
      <c r="AE337" s="724"/>
    </row>
    <row r="338" spans="1:31" ht="15.75">
      <c r="A338" s="381"/>
      <c r="B338" s="381"/>
      <c r="C338" s="381"/>
      <c r="D338" s="381"/>
      <c r="E338" s="381"/>
      <c r="F338" s="381"/>
      <c r="G338" s="381"/>
      <c r="H338" s="381"/>
      <c r="I338" s="381"/>
      <c r="J338" s="381"/>
      <c r="K338" s="381"/>
      <c r="L338" s="381"/>
      <c r="M338" s="381"/>
      <c r="N338" s="394" t="s">
        <v>1744</v>
      </c>
      <c r="O338" s="395" t="s">
        <v>1745</v>
      </c>
      <c r="P338" s="395" t="s">
        <v>1746</v>
      </c>
      <c r="Q338" s="395" t="s">
        <v>1741</v>
      </c>
      <c r="R338" s="395" t="s">
        <v>1407</v>
      </c>
      <c r="S338" s="395" t="s">
        <v>1086</v>
      </c>
      <c r="T338" s="408">
        <f t="shared" si="58"/>
        <v>153631.20000000001</v>
      </c>
      <c r="U338" s="408"/>
      <c r="V338" s="408"/>
      <c r="W338" s="408">
        <v>0</v>
      </c>
      <c r="X338" s="408"/>
      <c r="Y338" s="408"/>
      <c r="Z338" s="408">
        <v>128026</v>
      </c>
      <c r="AA338" s="408">
        <f t="shared" si="59"/>
        <v>25605.200000000001</v>
      </c>
      <c r="AB338" s="408"/>
      <c r="AC338" s="408"/>
      <c r="AD338" s="408"/>
      <c r="AE338" s="724"/>
    </row>
    <row r="339" spans="1:31" ht="15.75">
      <c r="N339" s="394" t="s">
        <v>1747</v>
      </c>
      <c r="O339" s="395" t="s">
        <v>1748</v>
      </c>
      <c r="P339" s="395" t="s">
        <v>1746</v>
      </c>
      <c r="Q339" s="395" t="s">
        <v>1741</v>
      </c>
      <c r="R339" s="395" t="s">
        <v>1407</v>
      </c>
      <c r="S339" s="395" t="s">
        <v>1086</v>
      </c>
      <c r="T339" s="408">
        <f t="shared" si="58"/>
        <v>166432.79999999999</v>
      </c>
      <c r="U339" s="408"/>
      <c r="V339" s="408"/>
      <c r="W339" s="408">
        <v>0</v>
      </c>
      <c r="X339" s="408"/>
      <c r="Y339" s="408"/>
      <c r="Z339" s="408">
        <v>138694</v>
      </c>
      <c r="AA339" s="408">
        <f t="shared" si="59"/>
        <v>27738.800000000003</v>
      </c>
      <c r="AB339" s="408"/>
      <c r="AC339" s="408"/>
      <c r="AD339" s="408"/>
      <c r="AE339" s="724"/>
    </row>
    <row r="340" spans="1:31" ht="15.75">
      <c r="N340" s="394" t="s">
        <v>1749</v>
      </c>
      <c r="O340" s="395" t="s">
        <v>1750</v>
      </c>
      <c r="P340" s="395" t="s">
        <v>1751</v>
      </c>
      <c r="Q340" s="395" t="s">
        <v>1741</v>
      </c>
      <c r="R340" s="395" t="s">
        <v>1407</v>
      </c>
      <c r="S340" s="395" t="s">
        <v>1086</v>
      </c>
      <c r="T340" s="408">
        <f t="shared" si="58"/>
        <v>224640</v>
      </c>
      <c r="U340" s="408"/>
      <c r="V340" s="408"/>
      <c r="W340" s="408">
        <v>0</v>
      </c>
      <c r="X340" s="408"/>
      <c r="Y340" s="408"/>
      <c r="Z340" s="408">
        <v>187200</v>
      </c>
      <c r="AA340" s="408">
        <f t="shared" si="59"/>
        <v>37440</v>
      </c>
      <c r="AB340" s="408"/>
      <c r="AC340" s="408"/>
      <c r="AD340" s="408"/>
      <c r="AE340" s="724"/>
    </row>
    <row r="341" spans="1:31" ht="16.5" thickBot="1">
      <c r="N341" s="394" t="s">
        <v>1752</v>
      </c>
      <c r="O341" s="395" t="s">
        <v>1753</v>
      </c>
      <c r="P341" s="395" t="s">
        <v>1751</v>
      </c>
      <c r="Q341" s="395" t="s">
        <v>1741</v>
      </c>
      <c r="R341" s="395" t="s">
        <v>1407</v>
      </c>
      <c r="S341" s="395" t="s">
        <v>1086</v>
      </c>
      <c r="T341" s="408">
        <f t="shared" si="58"/>
        <v>166432.79999999999</v>
      </c>
      <c r="U341" s="408"/>
      <c r="V341" s="408"/>
      <c r="W341" s="408">
        <v>0</v>
      </c>
      <c r="X341" s="408"/>
      <c r="Y341" s="408"/>
      <c r="Z341" s="408">
        <v>138694</v>
      </c>
      <c r="AA341" s="408">
        <f t="shared" si="59"/>
        <v>27738.800000000003</v>
      </c>
      <c r="AB341" s="408"/>
      <c r="AC341" s="408"/>
      <c r="AD341" s="408"/>
      <c r="AE341" s="724"/>
    </row>
    <row r="342" spans="1:31" ht="16.5" thickBot="1">
      <c r="N342" s="1795" t="s">
        <v>757</v>
      </c>
      <c r="O342" s="1796"/>
      <c r="P342" s="1796"/>
      <c r="Q342" s="1796"/>
      <c r="R342" s="1796"/>
      <c r="S342" s="1797"/>
      <c r="T342" s="820">
        <f>SUM(T326:T341)</f>
        <v>2407966.7999999998</v>
      </c>
      <c r="U342" s="820">
        <f t="shared" ref="U342:AE342" si="60">SUM(U326:U341)</f>
        <v>0</v>
      </c>
      <c r="V342" s="820">
        <f t="shared" si="60"/>
        <v>0</v>
      </c>
      <c r="W342" s="820">
        <f t="shared" si="60"/>
        <v>0</v>
      </c>
      <c r="X342" s="820">
        <f t="shared" si="60"/>
        <v>0</v>
      </c>
      <c r="Y342" s="820">
        <f t="shared" si="60"/>
        <v>0</v>
      </c>
      <c r="Z342" s="820">
        <f t="shared" si="60"/>
        <v>2006639</v>
      </c>
      <c r="AA342" s="820">
        <f t="shared" si="60"/>
        <v>401327.8</v>
      </c>
      <c r="AB342" s="820">
        <f t="shared" si="60"/>
        <v>0</v>
      </c>
      <c r="AC342" s="820">
        <f t="shared" si="60"/>
        <v>0</v>
      </c>
      <c r="AD342" s="820">
        <f t="shared" si="60"/>
        <v>0</v>
      </c>
      <c r="AE342" s="820">
        <f t="shared" si="60"/>
        <v>0</v>
      </c>
    </row>
    <row r="343" spans="1:31" ht="16.5" thickBot="1">
      <c r="N343" s="1798" t="s">
        <v>758</v>
      </c>
      <c r="O343" s="1799"/>
      <c r="P343" s="1799"/>
      <c r="Q343" s="1799"/>
      <c r="R343" s="1799"/>
      <c r="S343" s="1799"/>
      <c r="T343" s="1799"/>
      <c r="U343" s="1136" t="s">
        <v>765</v>
      </c>
      <c r="V343" s="1136" t="s">
        <v>766</v>
      </c>
      <c r="W343" s="1136" t="s">
        <v>767</v>
      </c>
      <c r="X343" s="1136" t="s">
        <v>768</v>
      </c>
      <c r="Y343" s="1136" t="s">
        <v>769</v>
      </c>
      <c r="Z343" s="1136" t="s">
        <v>786</v>
      </c>
      <c r="AA343" s="1136" t="s">
        <v>787</v>
      </c>
      <c r="AB343" s="1136" t="s">
        <v>788</v>
      </c>
      <c r="AC343" s="1136" t="s">
        <v>789</v>
      </c>
      <c r="AD343" s="1136" t="s">
        <v>790</v>
      </c>
      <c r="AE343" s="1137" t="s">
        <v>791</v>
      </c>
    </row>
    <row r="344" spans="1:31" ht="15.75">
      <c r="N344" s="381"/>
      <c r="O344" s="381"/>
      <c r="P344" s="381"/>
      <c r="Q344" s="381"/>
      <c r="R344" s="381"/>
      <c r="S344" s="381"/>
      <c r="T344" s="1129"/>
      <c r="U344" s="1129"/>
      <c r="V344" s="1129"/>
      <c r="W344" s="1129"/>
      <c r="X344" s="1129"/>
      <c r="Y344" s="1129"/>
      <c r="Z344" s="1129"/>
      <c r="AA344" s="1129"/>
      <c r="AB344" s="1129"/>
      <c r="AC344" s="1129"/>
      <c r="AD344" s="1129"/>
      <c r="AE344" s="1129"/>
    </row>
    <row r="345" spans="1:31" ht="15.75">
      <c r="N345" s="381"/>
      <c r="O345" s="381"/>
      <c r="P345" s="381"/>
      <c r="Q345" s="381"/>
      <c r="R345" s="381"/>
      <c r="S345" s="381"/>
      <c r="T345" s="1129"/>
      <c r="U345" s="1129"/>
      <c r="V345" s="1129"/>
      <c r="W345" s="1129"/>
      <c r="X345" s="1129"/>
      <c r="Y345" s="1129"/>
      <c r="Z345" s="1129"/>
      <c r="AA345" s="1129"/>
      <c r="AB345" s="1129"/>
      <c r="AC345" s="1129"/>
      <c r="AD345" s="1129"/>
      <c r="AE345" s="1129"/>
    </row>
    <row r="346" spans="1:31" ht="19.5">
      <c r="A346" s="380" t="s">
        <v>727</v>
      </c>
      <c r="B346" s="381"/>
      <c r="C346" s="381"/>
      <c r="D346" s="381"/>
      <c r="E346" s="381"/>
      <c r="F346" s="381"/>
      <c r="G346" s="381"/>
      <c r="H346" s="381"/>
      <c r="I346" s="381"/>
      <c r="J346" s="381"/>
      <c r="K346" s="381"/>
      <c r="L346" s="381"/>
      <c r="M346" s="381"/>
      <c r="N346" s="380" t="s">
        <v>728</v>
      </c>
      <c r="O346" s="381"/>
      <c r="P346" s="381"/>
      <c r="Q346" s="381"/>
      <c r="R346" s="381"/>
      <c r="S346" s="381"/>
      <c r="T346" s="713"/>
      <c r="U346" s="713"/>
      <c r="V346" s="713"/>
      <c r="W346" s="713"/>
      <c r="X346" s="713"/>
      <c r="Y346" s="713"/>
      <c r="Z346" s="713"/>
      <c r="AA346" s="713"/>
      <c r="AB346" s="713"/>
      <c r="AC346" s="713"/>
      <c r="AD346" s="713"/>
      <c r="AE346" s="713"/>
    </row>
    <row r="347" spans="1:31" ht="15.75">
      <c r="A347" s="383" t="s">
        <v>729</v>
      </c>
      <c r="B347" s="383"/>
      <c r="C347" s="384" t="s">
        <v>1224</v>
      </c>
      <c r="D347" s="381"/>
      <c r="E347" s="381"/>
      <c r="F347" s="381"/>
      <c r="G347" s="381"/>
      <c r="H347" s="381"/>
      <c r="I347" s="381"/>
      <c r="J347" s="381"/>
      <c r="K347" s="381"/>
      <c r="L347" s="381"/>
      <c r="M347" s="381"/>
      <c r="N347" s="383" t="s">
        <v>729</v>
      </c>
      <c r="O347" s="383"/>
      <c r="P347" s="384" t="s">
        <v>1224</v>
      </c>
      <c r="Q347" s="381"/>
      <c r="R347" s="381"/>
      <c r="S347" s="381"/>
      <c r="T347" s="713"/>
      <c r="U347" s="713"/>
      <c r="V347" s="713"/>
      <c r="W347" s="713"/>
      <c r="X347" s="713"/>
      <c r="Y347" s="713"/>
      <c r="Z347" s="713"/>
      <c r="AA347" s="713"/>
      <c r="AB347" s="713"/>
      <c r="AC347" s="713"/>
      <c r="AD347" s="713"/>
      <c r="AE347" s="713"/>
    </row>
    <row r="348" spans="1:31" ht="15.75">
      <c r="A348" s="383" t="s">
        <v>401</v>
      </c>
      <c r="B348" s="383"/>
      <c r="C348" s="384" t="s">
        <v>974</v>
      </c>
      <c r="D348" s="381"/>
      <c r="E348" s="381"/>
      <c r="F348" s="381"/>
      <c r="G348" s="381"/>
      <c r="H348" s="381"/>
      <c r="I348" s="381"/>
      <c r="J348" s="381"/>
      <c r="K348" s="381"/>
      <c r="L348" s="381"/>
      <c r="M348" s="381"/>
      <c r="N348" s="383" t="s">
        <v>401</v>
      </c>
      <c r="O348" s="383"/>
      <c r="P348" s="384" t="s">
        <v>974</v>
      </c>
      <c r="Q348" s="381"/>
      <c r="R348" s="381"/>
      <c r="S348" s="381"/>
      <c r="T348" s="713"/>
      <c r="U348" s="713"/>
      <c r="V348" s="713"/>
      <c r="W348" s="713"/>
      <c r="X348" s="713"/>
      <c r="Y348" s="713"/>
      <c r="Z348" s="713"/>
      <c r="AA348" s="713"/>
      <c r="AB348" s="713"/>
      <c r="AC348" s="713"/>
      <c r="AD348" s="713"/>
      <c r="AE348" s="713"/>
    </row>
    <row r="349" spans="1:31" ht="15.75">
      <c r="A349" s="383" t="s">
        <v>730</v>
      </c>
      <c r="B349" s="383"/>
      <c r="C349" s="384" t="s">
        <v>731</v>
      </c>
      <c r="D349" s="381"/>
      <c r="E349" s="381"/>
      <c r="F349" s="381"/>
      <c r="G349" s="381"/>
      <c r="H349" s="381"/>
      <c r="I349" s="381"/>
      <c r="J349" s="381"/>
      <c r="K349" s="381"/>
      <c r="L349" s="381"/>
      <c r="M349" s="381"/>
      <c r="N349" s="383" t="s">
        <v>730</v>
      </c>
      <c r="O349" s="383"/>
      <c r="P349" s="384" t="s">
        <v>731</v>
      </c>
      <c r="Q349" s="381"/>
      <c r="R349" s="381"/>
      <c r="S349" s="381"/>
      <c r="T349" s="713"/>
      <c r="U349" s="713"/>
      <c r="V349" s="713"/>
      <c r="W349" s="713"/>
      <c r="X349" s="713"/>
      <c r="Y349" s="713"/>
      <c r="Z349" s="713"/>
      <c r="AA349" s="713"/>
      <c r="AB349" s="713"/>
      <c r="AC349" s="713"/>
      <c r="AD349" s="713"/>
      <c r="AE349" s="713"/>
    </row>
    <row r="350" spans="1:31" ht="15.75">
      <c r="A350" s="383" t="s">
        <v>169</v>
      </c>
      <c r="B350" s="383"/>
      <c r="C350" s="384" t="s">
        <v>1012</v>
      </c>
      <c r="D350" s="381"/>
      <c r="E350" s="381"/>
      <c r="F350" s="381"/>
      <c r="G350" s="381"/>
      <c r="H350" s="381"/>
      <c r="I350" s="381"/>
      <c r="J350" s="381"/>
      <c r="K350" s="381"/>
      <c r="L350" s="381"/>
      <c r="M350" s="381"/>
      <c r="N350" s="383" t="s">
        <v>169</v>
      </c>
      <c r="O350" s="383"/>
      <c r="P350" s="384" t="s">
        <v>1012</v>
      </c>
      <c r="Q350" s="381"/>
      <c r="R350" s="381"/>
      <c r="S350" s="381"/>
      <c r="T350" s="713"/>
      <c r="U350" s="713"/>
      <c r="V350" s="713"/>
      <c r="W350" s="713"/>
      <c r="X350" s="713"/>
      <c r="Y350" s="713"/>
      <c r="Z350" s="713"/>
      <c r="AA350" s="713"/>
      <c r="AB350" s="713"/>
      <c r="AC350" s="713"/>
      <c r="AD350" s="713"/>
      <c r="AE350" s="713"/>
    </row>
    <row r="351" spans="1:31" ht="16.5" thickBot="1">
      <c r="A351" s="383"/>
      <c r="B351" s="383"/>
      <c r="C351" s="381"/>
      <c r="D351" s="381"/>
      <c r="E351" s="381"/>
      <c r="F351" s="381"/>
      <c r="G351" s="381"/>
      <c r="H351" s="381"/>
      <c r="I351" s="381"/>
      <c r="J351" s="381"/>
      <c r="K351" s="381"/>
      <c r="L351" s="381"/>
      <c r="M351" s="381"/>
      <c r="N351" s="383"/>
      <c r="O351" s="383"/>
      <c r="P351" s="381"/>
      <c r="Q351" s="381"/>
      <c r="R351" s="381"/>
      <c r="S351" s="381"/>
      <c r="T351" s="713"/>
      <c r="U351" s="713"/>
      <c r="V351" s="713"/>
      <c r="W351" s="713"/>
      <c r="X351" s="713"/>
      <c r="Y351" s="713"/>
      <c r="Z351" s="713"/>
      <c r="AA351" s="713"/>
      <c r="AB351" s="713"/>
      <c r="AC351" s="713"/>
      <c r="AD351" s="713"/>
      <c r="AE351" s="713"/>
    </row>
    <row r="352" spans="1:31" ht="16.5" thickBot="1">
      <c r="A352" s="381" t="s">
        <v>733</v>
      </c>
      <c r="B352" s="385"/>
      <c r="C352" s="381" t="s">
        <v>771</v>
      </c>
      <c r="D352" s="381"/>
      <c r="E352" s="381"/>
      <c r="F352" s="381"/>
      <c r="G352" s="381"/>
      <c r="H352" s="381"/>
      <c r="I352" s="381"/>
      <c r="J352" s="381"/>
      <c r="K352" s="381"/>
      <c r="L352" s="381"/>
      <c r="M352" s="381"/>
      <c r="N352" s="381" t="s">
        <v>733</v>
      </c>
      <c r="O352" s="385"/>
      <c r="P352" s="381" t="s">
        <v>771</v>
      </c>
      <c r="Q352" s="381"/>
      <c r="R352" s="381"/>
      <c r="S352" s="381"/>
      <c r="T352" s="713"/>
      <c r="U352" s="713"/>
      <c r="V352" s="713"/>
      <c r="W352" s="713"/>
      <c r="X352" s="713"/>
      <c r="Y352" s="713"/>
      <c r="Z352" s="713"/>
      <c r="AA352" s="713"/>
      <c r="AB352" s="713"/>
      <c r="AC352" s="713"/>
      <c r="AD352" s="713"/>
      <c r="AE352" s="713"/>
    </row>
    <row r="353" spans="1:31" ht="16.5" thickBot="1">
      <c r="A353" s="381"/>
      <c r="B353" s="381"/>
      <c r="C353" s="381"/>
      <c r="D353" s="381"/>
      <c r="E353" s="381"/>
      <c r="F353" s="381"/>
      <c r="G353" s="381"/>
      <c r="H353" s="381"/>
      <c r="I353" s="381"/>
      <c r="J353" s="381"/>
      <c r="K353" s="381"/>
      <c r="L353" s="381"/>
      <c r="M353" s="381"/>
      <c r="N353" s="381"/>
      <c r="O353" s="381"/>
      <c r="P353" s="383"/>
      <c r="Q353" s="381"/>
      <c r="R353" s="381"/>
      <c r="S353" s="381"/>
      <c r="T353" s="713"/>
      <c r="U353" s="713"/>
      <c r="V353" s="713"/>
      <c r="W353" s="713"/>
      <c r="X353" s="713"/>
      <c r="Y353" s="713"/>
      <c r="Z353" s="713"/>
      <c r="AA353" s="713"/>
      <c r="AB353" s="713"/>
      <c r="AC353" s="713"/>
      <c r="AD353" s="713"/>
      <c r="AE353" s="713"/>
    </row>
    <row r="354" spans="1:31" ht="16.5" thickBot="1">
      <c r="A354" s="1813" t="s">
        <v>734</v>
      </c>
      <c r="B354" s="1814"/>
      <c r="C354" s="1815"/>
      <c r="D354" s="1813" t="s">
        <v>735</v>
      </c>
      <c r="E354" s="1814"/>
      <c r="F354" s="1815"/>
      <c r="G354" s="1809" t="s">
        <v>736</v>
      </c>
      <c r="H354" s="1809" t="s">
        <v>737</v>
      </c>
      <c r="I354" s="1809" t="s">
        <v>738</v>
      </c>
      <c r="J354" s="1813" t="s">
        <v>772</v>
      </c>
      <c r="K354" s="1815"/>
      <c r="L354" s="1820" t="s">
        <v>773</v>
      </c>
      <c r="M354" s="1821"/>
      <c r="N354" s="1800" t="s">
        <v>734</v>
      </c>
      <c r="O354" s="1801"/>
      <c r="P354" s="1802"/>
      <c r="Q354" s="1800" t="s">
        <v>739</v>
      </c>
      <c r="R354" s="1801"/>
      <c r="S354" s="1802"/>
      <c r="T354" s="1834" t="s">
        <v>740</v>
      </c>
      <c r="U354" s="1824" t="s">
        <v>741</v>
      </c>
      <c r="V354" s="1825"/>
      <c r="W354" s="1825"/>
      <c r="X354" s="1825"/>
      <c r="Y354" s="1825"/>
      <c r="Z354" s="1825"/>
      <c r="AA354" s="1825"/>
      <c r="AB354" s="1825"/>
      <c r="AC354" s="1825"/>
      <c r="AD354" s="1825"/>
      <c r="AE354" s="1826"/>
    </row>
    <row r="355" spans="1:31" ht="16.5" thickBot="1">
      <c r="A355" s="1816"/>
      <c r="B355" s="1817"/>
      <c r="C355" s="1818"/>
      <c r="D355" s="1816"/>
      <c r="E355" s="1817"/>
      <c r="F355" s="1818"/>
      <c r="G355" s="1819"/>
      <c r="H355" s="1819"/>
      <c r="I355" s="1819"/>
      <c r="J355" s="1816"/>
      <c r="K355" s="1818"/>
      <c r="L355" s="1822"/>
      <c r="M355" s="1823"/>
      <c r="N355" s="1809" t="s">
        <v>742</v>
      </c>
      <c r="O355" s="1809" t="s">
        <v>743</v>
      </c>
      <c r="P355" s="1809" t="s">
        <v>744</v>
      </c>
      <c r="Q355" s="1809" t="s">
        <v>745</v>
      </c>
      <c r="R355" s="1809" t="s">
        <v>746</v>
      </c>
      <c r="S355" s="1809" t="s">
        <v>747</v>
      </c>
      <c r="T355" s="1835"/>
      <c r="U355" s="1834" t="s">
        <v>748</v>
      </c>
      <c r="V355" s="1824" t="s">
        <v>774</v>
      </c>
      <c r="W355" s="1882"/>
      <c r="X355" s="1873" t="s">
        <v>775</v>
      </c>
      <c r="Y355" s="1883"/>
      <c r="Z355" s="1824" t="s">
        <v>776</v>
      </c>
      <c r="AA355" s="1826"/>
      <c r="AB355" s="1873" t="s">
        <v>777</v>
      </c>
      <c r="AC355" s="1875"/>
      <c r="AD355" s="1873" t="s">
        <v>749</v>
      </c>
      <c r="AE355" s="1875"/>
    </row>
    <row r="356" spans="1:31" ht="79.5" thickBot="1">
      <c r="A356" s="386" t="s">
        <v>742</v>
      </c>
      <c r="B356" s="387" t="s">
        <v>743</v>
      </c>
      <c r="C356" s="388" t="s">
        <v>744</v>
      </c>
      <c r="D356" s="1164" t="s">
        <v>750</v>
      </c>
      <c r="E356" s="1163" t="s">
        <v>746</v>
      </c>
      <c r="F356" s="389" t="s">
        <v>394</v>
      </c>
      <c r="G356" s="1810"/>
      <c r="H356" s="1810"/>
      <c r="I356" s="1810"/>
      <c r="J356" s="389" t="s">
        <v>751</v>
      </c>
      <c r="K356" s="1165" t="s">
        <v>752</v>
      </c>
      <c r="L356" s="752" t="s">
        <v>751</v>
      </c>
      <c r="M356" s="1166" t="s">
        <v>752</v>
      </c>
      <c r="N356" s="1810"/>
      <c r="O356" s="1810"/>
      <c r="P356" s="1810"/>
      <c r="Q356" s="1810"/>
      <c r="R356" s="1810"/>
      <c r="S356" s="1810"/>
      <c r="T356" s="1836"/>
      <c r="U356" s="1836"/>
      <c r="V356" s="1173" t="s">
        <v>751</v>
      </c>
      <c r="W356" s="1170" t="s">
        <v>752</v>
      </c>
      <c r="X356" s="1174" t="s">
        <v>751</v>
      </c>
      <c r="Y356" s="963" t="s">
        <v>752</v>
      </c>
      <c r="Z356" s="1171" t="s">
        <v>753</v>
      </c>
      <c r="AA356" s="1171" t="s">
        <v>754</v>
      </c>
      <c r="AB356" s="1172" t="s">
        <v>753</v>
      </c>
      <c r="AC356" s="1172" t="s">
        <v>754</v>
      </c>
      <c r="AD356" s="1172" t="s">
        <v>753</v>
      </c>
      <c r="AE356" s="1172" t="s">
        <v>754</v>
      </c>
    </row>
    <row r="357" spans="1:31" ht="43.5" thickBot="1">
      <c r="A357" s="390" t="s">
        <v>499</v>
      </c>
      <c r="B357" s="391" t="s">
        <v>500</v>
      </c>
      <c r="C357" s="391" t="s">
        <v>538</v>
      </c>
      <c r="D357" s="391" t="s">
        <v>560</v>
      </c>
      <c r="E357" s="391" t="s">
        <v>562</v>
      </c>
      <c r="F357" s="391" t="s">
        <v>574</v>
      </c>
      <c r="G357" s="391" t="s">
        <v>778</v>
      </c>
      <c r="H357" s="391" t="s">
        <v>578</v>
      </c>
      <c r="I357" s="392" t="s">
        <v>580</v>
      </c>
      <c r="J357" s="391" t="s">
        <v>582</v>
      </c>
      <c r="K357" s="393" t="s">
        <v>584</v>
      </c>
      <c r="L357" s="753" t="s">
        <v>586</v>
      </c>
      <c r="M357" s="754" t="s">
        <v>590</v>
      </c>
      <c r="N357" s="401" t="s">
        <v>499</v>
      </c>
      <c r="O357" s="402" t="s">
        <v>500</v>
      </c>
      <c r="P357" s="402" t="s">
        <v>538</v>
      </c>
      <c r="Q357" s="402" t="s">
        <v>560</v>
      </c>
      <c r="R357" s="402" t="s">
        <v>562</v>
      </c>
      <c r="S357" s="402" t="s">
        <v>574</v>
      </c>
      <c r="T357" s="765" t="s">
        <v>779</v>
      </c>
      <c r="U357" s="766" t="s">
        <v>578</v>
      </c>
      <c r="V357" s="766" t="s">
        <v>580</v>
      </c>
      <c r="W357" s="766" t="s">
        <v>582</v>
      </c>
      <c r="X357" s="964" t="s">
        <v>584</v>
      </c>
      <c r="Y357" s="964" t="s">
        <v>586</v>
      </c>
      <c r="Z357" s="766" t="s">
        <v>590</v>
      </c>
      <c r="AA357" s="766" t="s">
        <v>755</v>
      </c>
      <c r="AB357" s="964" t="s">
        <v>780</v>
      </c>
      <c r="AC357" s="964" t="s">
        <v>781</v>
      </c>
      <c r="AD357" s="964" t="s">
        <v>782</v>
      </c>
      <c r="AE357" s="965" t="s">
        <v>783</v>
      </c>
    </row>
    <row r="358" spans="1:31" ht="16.5" thickBot="1">
      <c r="A358" s="394"/>
      <c r="B358" s="395"/>
      <c r="C358" s="395" t="s">
        <v>1799</v>
      </c>
      <c r="D358" s="395" t="s">
        <v>1224</v>
      </c>
      <c r="E358" s="395" t="s">
        <v>756</v>
      </c>
      <c r="F358" s="395" t="s">
        <v>974</v>
      </c>
      <c r="G358" s="396">
        <f>+H358+I358+J358+K358</f>
        <v>13862252.4</v>
      </c>
      <c r="H358" s="396"/>
      <c r="I358" s="396"/>
      <c r="J358" s="396">
        <v>11551877</v>
      </c>
      <c r="K358" s="397">
        <f>+J358*0.2</f>
        <v>2310375.4</v>
      </c>
      <c r="L358" s="750"/>
      <c r="M358" s="755"/>
      <c r="N358" s="394" t="s">
        <v>1800</v>
      </c>
      <c r="O358" s="395" t="s">
        <v>1800</v>
      </c>
      <c r="P358" s="395" t="s">
        <v>1801</v>
      </c>
      <c r="Q358" s="395" t="s">
        <v>1802</v>
      </c>
      <c r="R358" s="395" t="s">
        <v>1803</v>
      </c>
      <c r="S358" s="395" t="s">
        <v>1804</v>
      </c>
      <c r="T358" s="396">
        <f>+U358+V358+W358+Z358+AA358</f>
        <v>1574551.2</v>
      </c>
      <c r="U358" s="396"/>
      <c r="V358" s="396">
        <v>1312126</v>
      </c>
      <c r="W358" s="396">
        <f>+V358*0.2</f>
        <v>262425.2</v>
      </c>
      <c r="X358" s="750"/>
      <c r="Y358" s="750"/>
      <c r="Z358" s="396"/>
      <c r="AA358" s="396">
        <f>+Z358*0.2</f>
        <v>0</v>
      </c>
      <c r="AB358" s="750"/>
      <c r="AC358" s="750"/>
      <c r="AD358" s="750"/>
      <c r="AE358" s="755"/>
    </row>
    <row r="359" spans="1:31" ht="16.5" thickBot="1">
      <c r="A359" s="1795" t="s">
        <v>757</v>
      </c>
      <c r="B359" s="1796"/>
      <c r="C359" s="1796"/>
      <c r="D359" s="1796"/>
      <c r="E359" s="1796"/>
      <c r="F359" s="1797"/>
      <c r="G359" s="398">
        <f t="shared" ref="G359:M359" si="61">SUM(G358:G358)</f>
        <v>13862252.4</v>
      </c>
      <c r="H359" s="398">
        <f t="shared" si="61"/>
        <v>0</v>
      </c>
      <c r="I359" s="398">
        <f t="shared" si="61"/>
        <v>0</v>
      </c>
      <c r="J359" s="398">
        <f t="shared" si="61"/>
        <v>11551877</v>
      </c>
      <c r="K359" s="398">
        <f t="shared" si="61"/>
        <v>2310375.4</v>
      </c>
      <c r="L359" s="756">
        <f t="shared" si="61"/>
        <v>0</v>
      </c>
      <c r="M359" s="756">
        <f t="shared" si="61"/>
        <v>0</v>
      </c>
      <c r="N359" s="394" t="s">
        <v>1800</v>
      </c>
      <c r="O359" s="395" t="s">
        <v>1800</v>
      </c>
      <c r="P359" s="395" t="s">
        <v>1801</v>
      </c>
      <c r="Q359" s="395" t="s">
        <v>1802</v>
      </c>
      <c r="R359" s="395" t="s">
        <v>1803</v>
      </c>
      <c r="S359" s="395" t="s">
        <v>1804</v>
      </c>
      <c r="T359" s="396">
        <f t="shared" ref="T359:T377" si="62">+U359+V359+W359+Z359+AA359</f>
        <v>500115.6</v>
      </c>
      <c r="U359" s="396"/>
      <c r="V359" s="396">
        <f>145356+271407</f>
        <v>416763</v>
      </c>
      <c r="W359" s="396">
        <f t="shared" ref="W359:W377" si="63">+V359*0.2</f>
        <v>83352.600000000006</v>
      </c>
      <c r="X359" s="750"/>
      <c r="Y359" s="750"/>
      <c r="Z359" s="396"/>
      <c r="AA359" s="396">
        <f t="shared" ref="AA359:AA377" si="64">+Z359*0.2</f>
        <v>0</v>
      </c>
      <c r="AB359" s="750"/>
      <c r="AC359" s="750"/>
      <c r="AD359" s="750"/>
      <c r="AE359" s="755"/>
    </row>
    <row r="360" spans="1:31" ht="16.5" thickBot="1">
      <c r="A360" s="1798" t="s">
        <v>758</v>
      </c>
      <c r="B360" s="1799"/>
      <c r="C360" s="1799"/>
      <c r="D360" s="1799"/>
      <c r="E360" s="1799"/>
      <c r="F360" s="1799"/>
      <c r="G360" s="1799"/>
      <c r="H360" s="406" t="s">
        <v>759</v>
      </c>
      <c r="I360" s="1161" t="s">
        <v>760</v>
      </c>
      <c r="J360" s="406" t="s">
        <v>761</v>
      </c>
      <c r="K360" s="1176" t="s">
        <v>762</v>
      </c>
      <c r="L360" s="757" t="s">
        <v>763</v>
      </c>
      <c r="M360" s="758" t="s">
        <v>764</v>
      </c>
      <c r="N360" s="394" t="s">
        <v>1805</v>
      </c>
      <c r="O360" s="395" t="s">
        <v>1805</v>
      </c>
      <c r="P360" s="395" t="s">
        <v>1801</v>
      </c>
      <c r="Q360" s="395" t="s">
        <v>1806</v>
      </c>
      <c r="R360" s="395" t="s">
        <v>1803</v>
      </c>
      <c r="S360" s="395" t="s">
        <v>1804</v>
      </c>
      <c r="T360" s="396">
        <f t="shared" si="62"/>
        <v>419336.4</v>
      </c>
      <c r="U360" s="396"/>
      <c r="V360" s="396">
        <v>349447</v>
      </c>
      <c r="W360" s="396">
        <f t="shared" si="63"/>
        <v>69889.400000000009</v>
      </c>
      <c r="X360" s="750"/>
      <c r="Y360" s="750"/>
      <c r="Z360" s="396"/>
      <c r="AA360" s="396">
        <f t="shared" si="64"/>
        <v>0</v>
      </c>
      <c r="AB360" s="750"/>
      <c r="AC360" s="750"/>
      <c r="AD360" s="750"/>
      <c r="AE360" s="755"/>
    </row>
    <row r="361" spans="1:31" ht="15.75">
      <c r="A361" s="381"/>
      <c r="B361" s="381"/>
      <c r="C361" s="381"/>
      <c r="D361" s="381"/>
      <c r="E361" s="381"/>
      <c r="F361" s="381"/>
      <c r="G361" s="381"/>
      <c r="H361" s="381"/>
      <c r="I361" s="381"/>
      <c r="J361" s="381"/>
      <c r="K361" s="381"/>
      <c r="L361" s="381"/>
      <c r="M361" s="381"/>
      <c r="N361" s="394" t="s">
        <v>1805</v>
      </c>
      <c r="O361" s="395" t="s">
        <v>1805</v>
      </c>
      <c r="P361" s="395" t="s">
        <v>1801</v>
      </c>
      <c r="Q361" s="395" t="s">
        <v>1806</v>
      </c>
      <c r="R361" s="395" t="s">
        <v>1803</v>
      </c>
      <c r="S361" s="395" t="s">
        <v>1804</v>
      </c>
      <c r="T361" s="396">
        <f t="shared" si="62"/>
        <v>492840</v>
      </c>
      <c r="U361" s="396"/>
      <c r="V361" s="396">
        <v>410700</v>
      </c>
      <c r="W361" s="396">
        <f t="shared" si="63"/>
        <v>82140</v>
      </c>
      <c r="X361" s="750"/>
      <c r="Y361" s="750"/>
      <c r="Z361" s="396"/>
      <c r="AA361" s="396">
        <f t="shared" si="64"/>
        <v>0</v>
      </c>
      <c r="AB361" s="750"/>
      <c r="AC361" s="750"/>
      <c r="AD361" s="750"/>
      <c r="AE361" s="755"/>
    </row>
    <row r="362" spans="1:31" ht="15.75">
      <c r="A362" s="381"/>
      <c r="B362" s="381"/>
      <c r="C362" s="381"/>
      <c r="D362" s="381"/>
      <c r="E362" s="381"/>
      <c r="F362" s="381"/>
      <c r="G362" s="381"/>
      <c r="H362" s="381"/>
      <c r="I362" s="381"/>
      <c r="J362" s="381"/>
      <c r="K362" s="381"/>
      <c r="L362" s="381"/>
      <c r="M362" s="381"/>
      <c r="N362" s="394" t="s">
        <v>1807</v>
      </c>
      <c r="O362" s="395" t="s">
        <v>1807</v>
      </c>
      <c r="P362" s="395" t="s">
        <v>1801</v>
      </c>
      <c r="Q362" s="395" t="s">
        <v>1808</v>
      </c>
      <c r="R362" s="395" t="s">
        <v>1803</v>
      </c>
      <c r="S362" s="395" t="s">
        <v>1804</v>
      </c>
      <c r="T362" s="396">
        <f t="shared" si="62"/>
        <v>1001565.6</v>
      </c>
      <c r="U362" s="396"/>
      <c r="V362" s="396">
        <v>834638</v>
      </c>
      <c r="W362" s="396">
        <f t="shared" si="63"/>
        <v>166927.6</v>
      </c>
      <c r="X362" s="750"/>
      <c r="Y362" s="750"/>
      <c r="Z362" s="396"/>
      <c r="AA362" s="396">
        <f t="shared" si="64"/>
        <v>0</v>
      </c>
      <c r="AB362" s="750"/>
      <c r="AC362" s="750"/>
      <c r="AD362" s="750"/>
      <c r="AE362" s="755"/>
    </row>
    <row r="363" spans="1:31" ht="15.75">
      <c r="A363" s="381"/>
      <c r="B363" s="381"/>
      <c r="C363" s="381"/>
      <c r="D363" s="381"/>
      <c r="E363" s="381"/>
      <c r="F363" s="381"/>
      <c r="G363" s="381"/>
      <c r="H363" s="381"/>
      <c r="I363" s="381"/>
      <c r="J363" s="725" t="s">
        <v>951</v>
      </c>
      <c r="K363" s="381"/>
      <c r="L363" s="381"/>
      <c r="M363" s="381"/>
      <c r="N363" s="394" t="s">
        <v>1807</v>
      </c>
      <c r="O363" s="395" t="s">
        <v>1807</v>
      </c>
      <c r="P363" s="395" t="s">
        <v>1801</v>
      </c>
      <c r="Q363" s="395" t="s">
        <v>1808</v>
      </c>
      <c r="R363" s="395" t="s">
        <v>1803</v>
      </c>
      <c r="S363" s="395" t="s">
        <v>1804</v>
      </c>
      <c r="T363" s="396">
        <f t="shared" si="62"/>
        <v>358214.40000000002</v>
      </c>
      <c r="U363" s="396"/>
      <c r="V363" s="396">
        <f>148106+150406</f>
        <v>298512</v>
      </c>
      <c r="W363" s="396">
        <f t="shared" si="63"/>
        <v>59702.400000000001</v>
      </c>
      <c r="X363" s="750"/>
      <c r="Y363" s="750"/>
      <c r="Z363" s="396"/>
      <c r="AA363" s="396">
        <f t="shared" si="64"/>
        <v>0</v>
      </c>
      <c r="AB363" s="750"/>
      <c r="AC363" s="750"/>
      <c r="AD363" s="750"/>
      <c r="AE363" s="755"/>
    </row>
    <row r="364" spans="1:31" ht="15.75">
      <c r="A364" s="381"/>
      <c r="B364" s="381"/>
      <c r="C364" s="381"/>
      <c r="D364" s="381"/>
      <c r="E364" s="381"/>
      <c r="F364" s="381"/>
      <c r="G364" s="381"/>
      <c r="H364" s="381"/>
      <c r="I364" s="381"/>
      <c r="J364" s="381"/>
      <c r="K364" s="381"/>
      <c r="L364" s="381"/>
      <c r="M364" s="381"/>
      <c r="N364" s="394" t="s">
        <v>1809</v>
      </c>
      <c r="O364" s="395" t="s">
        <v>1809</v>
      </c>
      <c r="P364" s="395" t="s">
        <v>1801</v>
      </c>
      <c r="Q364" s="395" t="s">
        <v>1810</v>
      </c>
      <c r="R364" s="395" t="s">
        <v>1803</v>
      </c>
      <c r="S364" s="395" t="s">
        <v>1804</v>
      </c>
      <c r="T364" s="396">
        <f t="shared" si="62"/>
        <v>457515.6</v>
      </c>
      <c r="U364" s="396"/>
      <c r="V364" s="396">
        <v>381263</v>
      </c>
      <c r="W364" s="396">
        <f t="shared" si="63"/>
        <v>76252.600000000006</v>
      </c>
      <c r="X364" s="750"/>
      <c r="Y364" s="750"/>
      <c r="Z364" s="396"/>
      <c r="AA364" s="396">
        <f t="shared" si="64"/>
        <v>0</v>
      </c>
      <c r="AB364" s="750"/>
      <c r="AC364" s="750"/>
      <c r="AD364" s="750"/>
      <c r="AE364" s="755"/>
    </row>
    <row r="365" spans="1:31" ht="15.75">
      <c r="A365" s="381" t="s">
        <v>793</v>
      </c>
      <c r="B365" s="381"/>
      <c r="C365" s="381"/>
      <c r="D365" s="381"/>
      <c r="E365" s="381"/>
      <c r="F365" s="381"/>
      <c r="G365" s="381"/>
      <c r="H365" s="381"/>
      <c r="I365" s="381"/>
      <c r="J365" s="381"/>
      <c r="K365" s="381"/>
      <c r="L365" s="381"/>
      <c r="M365" s="381"/>
      <c r="N365" s="394" t="s">
        <v>1809</v>
      </c>
      <c r="O365" s="395" t="s">
        <v>1809</v>
      </c>
      <c r="P365" s="395" t="s">
        <v>1801</v>
      </c>
      <c r="Q365" s="395" t="s">
        <v>1810</v>
      </c>
      <c r="R365" s="395" t="s">
        <v>1803</v>
      </c>
      <c r="S365" s="395" t="s">
        <v>1804</v>
      </c>
      <c r="T365" s="396">
        <f t="shared" si="62"/>
        <v>1467026.4</v>
      </c>
      <c r="U365" s="396"/>
      <c r="V365" s="396">
        <f>187472+1035050</f>
        <v>1222522</v>
      </c>
      <c r="W365" s="396">
        <f t="shared" si="63"/>
        <v>244504.40000000002</v>
      </c>
      <c r="X365" s="750"/>
      <c r="Y365" s="750"/>
      <c r="Z365" s="396"/>
      <c r="AA365" s="396">
        <f t="shared" si="64"/>
        <v>0</v>
      </c>
      <c r="AB365" s="750"/>
      <c r="AC365" s="750"/>
      <c r="AD365" s="750"/>
      <c r="AE365" s="755"/>
    </row>
    <row r="366" spans="1:31" ht="15.75">
      <c r="A366" s="381" t="s">
        <v>785</v>
      </c>
      <c r="B366" s="381"/>
      <c r="C366" s="381"/>
      <c r="D366" s="381"/>
      <c r="E366" s="381"/>
      <c r="F366" s="381"/>
      <c r="G366" s="381"/>
      <c r="H366" s="381"/>
      <c r="I366" s="381"/>
      <c r="J366" s="381"/>
      <c r="K366" s="381"/>
      <c r="L366" s="381"/>
      <c r="M366" s="381"/>
      <c r="N366" s="394" t="s">
        <v>1811</v>
      </c>
      <c r="O366" s="395" t="s">
        <v>1811</v>
      </c>
      <c r="P366" s="395" t="s">
        <v>1801</v>
      </c>
      <c r="Q366" s="395" t="s">
        <v>1812</v>
      </c>
      <c r="R366" s="395" t="s">
        <v>1803</v>
      </c>
      <c r="S366" s="395" t="s">
        <v>1804</v>
      </c>
      <c r="T366" s="396">
        <f t="shared" si="62"/>
        <v>2037066</v>
      </c>
      <c r="U366" s="396"/>
      <c r="V366" s="396">
        <v>1697555</v>
      </c>
      <c r="W366" s="396">
        <f t="shared" si="63"/>
        <v>339511</v>
      </c>
      <c r="X366" s="750"/>
      <c r="Y366" s="750"/>
      <c r="Z366" s="396"/>
      <c r="AA366" s="396">
        <f t="shared" si="64"/>
        <v>0</v>
      </c>
      <c r="AB366" s="750"/>
      <c r="AC366" s="750"/>
      <c r="AD366" s="750"/>
      <c r="AE366" s="755"/>
    </row>
    <row r="367" spans="1:31" ht="15.75">
      <c r="A367" s="381" t="s">
        <v>792</v>
      </c>
      <c r="B367"/>
      <c r="C367"/>
      <c r="D367"/>
      <c r="E367"/>
      <c r="F367"/>
      <c r="G367"/>
      <c r="H367"/>
      <c r="I367"/>
      <c r="J367"/>
      <c r="K367" s="381"/>
      <c r="L367" s="381"/>
      <c r="M367" s="381"/>
      <c r="N367" s="394" t="s">
        <v>1811</v>
      </c>
      <c r="O367" s="395" t="s">
        <v>1811</v>
      </c>
      <c r="P367" s="395" t="s">
        <v>1801</v>
      </c>
      <c r="Q367" s="395" t="s">
        <v>1812</v>
      </c>
      <c r="R367" s="395" t="s">
        <v>1803</v>
      </c>
      <c r="S367" s="395" t="s">
        <v>1804</v>
      </c>
      <c r="T367" s="396">
        <f t="shared" si="62"/>
        <v>1076960.3999999999</v>
      </c>
      <c r="U367" s="396"/>
      <c r="V367" s="396">
        <f>136917+760550</f>
        <v>897467</v>
      </c>
      <c r="W367" s="396">
        <f t="shared" si="63"/>
        <v>179493.40000000002</v>
      </c>
      <c r="X367" s="750"/>
      <c r="Y367" s="750"/>
      <c r="Z367" s="396"/>
      <c r="AA367" s="396">
        <f t="shared" si="64"/>
        <v>0</v>
      </c>
      <c r="AB367" s="750"/>
      <c r="AC367" s="750"/>
      <c r="AD367" s="750"/>
      <c r="AE367" s="755"/>
    </row>
    <row r="368" spans="1:31" ht="15.75">
      <c r="A368" s="381"/>
      <c r="B368" s="381"/>
      <c r="C368" s="381"/>
      <c r="D368" s="381"/>
      <c r="E368" s="381"/>
      <c r="F368" s="381"/>
      <c r="G368" s="381"/>
      <c r="H368" s="381"/>
      <c r="I368" s="381"/>
      <c r="J368" s="381"/>
      <c r="K368" s="381"/>
      <c r="L368" s="381"/>
      <c r="M368" s="381"/>
      <c r="N368" s="394" t="s">
        <v>1813</v>
      </c>
      <c r="O368" s="395" t="s">
        <v>1814</v>
      </c>
      <c r="P368" s="395" t="s">
        <v>1815</v>
      </c>
      <c r="Q368" s="395" t="s">
        <v>1363</v>
      </c>
      <c r="R368" s="395" t="s">
        <v>756</v>
      </c>
      <c r="S368" s="395" t="s">
        <v>980</v>
      </c>
      <c r="T368" s="396">
        <f t="shared" si="62"/>
        <v>297830.40000000002</v>
      </c>
      <c r="U368" s="396"/>
      <c r="V368" s="396"/>
      <c r="W368" s="396">
        <f t="shared" si="63"/>
        <v>0</v>
      </c>
      <c r="X368" s="750"/>
      <c r="Y368" s="750"/>
      <c r="Z368" s="396">
        <v>248192</v>
      </c>
      <c r="AA368" s="396">
        <f t="shared" si="64"/>
        <v>49638.400000000001</v>
      </c>
      <c r="AB368" s="750"/>
      <c r="AC368" s="750"/>
      <c r="AD368" s="750"/>
      <c r="AE368" s="755"/>
    </row>
    <row r="369" spans="1:31" ht="15.75">
      <c r="A369" s="381"/>
      <c r="B369" s="381"/>
      <c r="C369" s="381"/>
      <c r="D369" s="381"/>
      <c r="E369" s="381"/>
      <c r="F369" s="381"/>
      <c r="G369" s="381"/>
      <c r="H369" s="381"/>
      <c r="I369" s="381"/>
      <c r="J369" s="381"/>
      <c r="K369" s="381"/>
      <c r="L369" s="381"/>
      <c r="M369" s="381"/>
      <c r="N369" s="394" t="s">
        <v>1816</v>
      </c>
      <c r="O369" s="395" t="s">
        <v>1817</v>
      </c>
      <c r="P369" s="395" t="s">
        <v>1818</v>
      </c>
      <c r="Q369" s="395" t="s">
        <v>1819</v>
      </c>
      <c r="R369" s="395" t="s">
        <v>1344</v>
      </c>
      <c r="S369" s="395" t="s">
        <v>1820</v>
      </c>
      <c r="T369" s="396">
        <f t="shared" si="62"/>
        <v>283560</v>
      </c>
      <c r="U369" s="396"/>
      <c r="V369" s="396"/>
      <c r="W369" s="396">
        <f t="shared" si="63"/>
        <v>0</v>
      </c>
      <c r="X369" s="750"/>
      <c r="Y369" s="750"/>
      <c r="Z369" s="396">
        <v>236300</v>
      </c>
      <c r="AA369" s="396">
        <f t="shared" si="64"/>
        <v>47260</v>
      </c>
      <c r="AB369" s="750"/>
      <c r="AC369" s="750"/>
      <c r="AD369" s="750"/>
      <c r="AE369" s="755"/>
    </row>
    <row r="370" spans="1:31" ht="15.75">
      <c r="A370" s="381"/>
      <c r="B370" s="381"/>
      <c r="C370" s="381"/>
      <c r="D370" s="381"/>
      <c r="E370" s="381"/>
      <c r="F370" s="381"/>
      <c r="G370" s="381"/>
      <c r="H370" s="381"/>
      <c r="I370" s="381"/>
      <c r="J370" s="381"/>
      <c r="K370" s="381"/>
      <c r="L370" s="381"/>
      <c r="M370" s="381"/>
      <c r="N370" s="394" t="s">
        <v>950</v>
      </c>
      <c r="O370" s="395" t="s">
        <v>1821</v>
      </c>
      <c r="P370" s="395" t="s">
        <v>1822</v>
      </c>
      <c r="Q370" s="395" t="s">
        <v>1823</v>
      </c>
      <c r="R370" s="395" t="s">
        <v>1824</v>
      </c>
      <c r="S370" s="395" t="s">
        <v>1095</v>
      </c>
      <c r="T370" s="396">
        <f t="shared" si="62"/>
        <v>114264</v>
      </c>
      <c r="U370" s="396"/>
      <c r="V370" s="396"/>
      <c r="W370" s="396">
        <f t="shared" si="63"/>
        <v>0</v>
      </c>
      <c r="X370" s="750"/>
      <c r="Y370" s="750"/>
      <c r="Z370" s="396">
        <v>95220</v>
      </c>
      <c r="AA370" s="396">
        <f t="shared" si="64"/>
        <v>19044</v>
      </c>
      <c r="AB370" s="750"/>
      <c r="AC370" s="750"/>
      <c r="AD370" s="750"/>
      <c r="AE370" s="755"/>
    </row>
    <row r="371" spans="1:31" ht="15.75">
      <c r="G371" s="85"/>
      <c r="H371" s="85"/>
      <c r="I371" s="85"/>
      <c r="J371" s="85"/>
      <c r="K371" s="85"/>
      <c r="L371" s="85"/>
      <c r="M371" s="85"/>
      <c r="N371" s="394" t="s">
        <v>1825</v>
      </c>
      <c r="O371" s="395" t="s">
        <v>1826</v>
      </c>
      <c r="P371" s="395" t="s">
        <v>1827</v>
      </c>
      <c r="Q371" s="395" t="s">
        <v>1828</v>
      </c>
      <c r="R371" s="395" t="s">
        <v>756</v>
      </c>
      <c r="S371" s="395" t="s">
        <v>1829</v>
      </c>
      <c r="T371" s="396">
        <f t="shared" si="62"/>
        <v>349566</v>
      </c>
      <c r="U371" s="396"/>
      <c r="V371" s="396"/>
      <c r="W371" s="396">
        <f t="shared" si="63"/>
        <v>0</v>
      </c>
      <c r="X371" s="750"/>
      <c r="Y371" s="750"/>
      <c r="Z371" s="396">
        <v>291305</v>
      </c>
      <c r="AA371" s="396">
        <f t="shared" si="64"/>
        <v>58261</v>
      </c>
      <c r="AB371" s="750"/>
      <c r="AC371" s="750"/>
      <c r="AD371" s="750"/>
      <c r="AE371" s="755"/>
    </row>
    <row r="372" spans="1:31" ht="15.75">
      <c r="G372" s="85"/>
      <c r="H372" s="85"/>
      <c r="I372" s="85"/>
      <c r="J372" s="85"/>
      <c r="K372" s="85"/>
      <c r="L372" s="85"/>
      <c r="M372" s="85"/>
      <c r="N372" s="394" t="s">
        <v>1830</v>
      </c>
      <c r="O372" s="395" t="s">
        <v>1831</v>
      </c>
      <c r="P372" s="395" t="s">
        <v>1832</v>
      </c>
      <c r="Q372" s="395" t="s">
        <v>1833</v>
      </c>
      <c r="R372" s="395" t="s">
        <v>756</v>
      </c>
      <c r="S372" s="395" t="s">
        <v>1834</v>
      </c>
      <c r="T372" s="396">
        <f t="shared" si="62"/>
        <v>288000</v>
      </c>
      <c r="U372" s="396"/>
      <c r="V372" s="396"/>
      <c r="W372" s="396">
        <f t="shared" si="63"/>
        <v>0</v>
      </c>
      <c r="X372" s="750"/>
      <c r="Y372" s="750"/>
      <c r="Z372" s="396">
        <v>240000</v>
      </c>
      <c r="AA372" s="396">
        <f t="shared" si="64"/>
        <v>48000</v>
      </c>
      <c r="AB372" s="750"/>
      <c r="AC372" s="750"/>
      <c r="AD372" s="750"/>
      <c r="AE372" s="755"/>
    </row>
    <row r="373" spans="1:31" ht="15.75">
      <c r="G373" s="85"/>
      <c r="H373" s="85"/>
      <c r="I373" s="85"/>
      <c r="J373" s="85"/>
      <c r="K373" s="85"/>
      <c r="L373" s="85"/>
      <c r="M373" s="85"/>
      <c r="N373" s="394" t="s">
        <v>1835</v>
      </c>
      <c r="O373" s="395" t="s">
        <v>1836</v>
      </c>
      <c r="P373" s="395" t="s">
        <v>1837</v>
      </c>
      <c r="Q373" s="395" t="s">
        <v>1833</v>
      </c>
      <c r="R373" s="395" t="s">
        <v>756</v>
      </c>
      <c r="S373" s="395" t="s">
        <v>1834</v>
      </c>
      <c r="T373" s="396">
        <f t="shared" si="62"/>
        <v>279000</v>
      </c>
      <c r="U373" s="396"/>
      <c r="V373" s="396"/>
      <c r="W373" s="396">
        <f t="shared" si="63"/>
        <v>0</v>
      </c>
      <c r="X373" s="750"/>
      <c r="Y373" s="750"/>
      <c r="Z373" s="396">
        <v>232500</v>
      </c>
      <c r="AA373" s="396">
        <f t="shared" si="64"/>
        <v>46500</v>
      </c>
      <c r="AB373" s="750"/>
      <c r="AC373" s="750"/>
      <c r="AD373" s="750"/>
      <c r="AE373" s="755"/>
    </row>
    <row r="374" spans="1:31" ht="15.75">
      <c r="G374" s="85"/>
      <c r="H374" s="85"/>
      <c r="I374" s="85"/>
      <c r="J374" s="85"/>
      <c r="K374" s="85"/>
      <c r="L374" s="85"/>
      <c r="M374" s="85"/>
      <c r="N374" s="394" t="s">
        <v>1838</v>
      </c>
      <c r="O374" s="395" t="s">
        <v>1839</v>
      </c>
      <c r="P374" s="395" t="s">
        <v>1840</v>
      </c>
      <c r="Q374" s="395" t="s">
        <v>1841</v>
      </c>
      <c r="R374" s="395" t="s">
        <v>756</v>
      </c>
      <c r="S374" s="395" t="s">
        <v>980</v>
      </c>
      <c r="T374" s="396">
        <f t="shared" si="62"/>
        <v>95226</v>
      </c>
      <c r="U374" s="396"/>
      <c r="V374" s="396"/>
      <c r="W374" s="396">
        <f t="shared" si="63"/>
        <v>0</v>
      </c>
      <c r="X374" s="750"/>
      <c r="Y374" s="750"/>
      <c r="Z374" s="396">
        <v>79355</v>
      </c>
      <c r="AA374" s="396">
        <f t="shared" si="64"/>
        <v>15871</v>
      </c>
      <c r="AB374" s="750"/>
      <c r="AC374" s="750"/>
      <c r="AD374" s="750"/>
      <c r="AE374" s="755"/>
    </row>
    <row r="375" spans="1:31" ht="15.75">
      <c r="G375" s="85"/>
      <c r="H375" s="85"/>
      <c r="I375" s="85"/>
      <c r="J375" s="85"/>
      <c r="K375" s="85"/>
      <c r="L375" s="85"/>
      <c r="M375" s="85"/>
      <c r="N375" s="394" t="s">
        <v>1842</v>
      </c>
      <c r="O375" s="395" t="s">
        <v>1843</v>
      </c>
      <c r="P375" s="395" t="s">
        <v>1801</v>
      </c>
      <c r="Q375" s="395" t="s">
        <v>1841</v>
      </c>
      <c r="R375" s="395" t="s">
        <v>756</v>
      </c>
      <c r="S375" s="395" t="s">
        <v>980</v>
      </c>
      <c r="T375" s="396">
        <f t="shared" si="62"/>
        <v>262372.8</v>
      </c>
      <c r="U375" s="396"/>
      <c r="V375" s="396"/>
      <c r="W375" s="396">
        <f t="shared" si="63"/>
        <v>0</v>
      </c>
      <c r="X375" s="750"/>
      <c r="Y375" s="750"/>
      <c r="Z375" s="396">
        <v>218644</v>
      </c>
      <c r="AA375" s="396">
        <f t="shared" si="64"/>
        <v>43728.800000000003</v>
      </c>
      <c r="AB375" s="750"/>
      <c r="AC375" s="750"/>
      <c r="AD375" s="750"/>
      <c r="AE375" s="755"/>
    </row>
    <row r="376" spans="1:31" ht="15.75">
      <c r="G376" s="85"/>
      <c r="H376" s="85"/>
      <c r="I376" s="85"/>
      <c r="J376" s="85"/>
      <c r="K376" s="85"/>
      <c r="L376" s="85"/>
      <c r="M376" s="85"/>
      <c r="N376" s="394" t="s">
        <v>1844</v>
      </c>
      <c r="O376" s="395" t="s">
        <v>1845</v>
      </c>
      <c r="P376" s="395" t="s">
        <v>1846</v>
      </c>
      <c r="Q376" s="395" t="s">
        <v>1841</v>
      </c>
      <c r="R376" s="395" t="s">
        <v>756</v>
      </c>
      <c r="S376" s="395" t="s">
        <v>980</v>
      </c>
      <c r="T376" s="396">
        <f t="shared" si="62"/>
        <v>61696.800000000003</v>
      </c>
      <c r="U376" s="396"/>
      <c r="V376" s="396"/>
      <c r="W376" s="396">
        <f t="shared" si="63"/>
        <v>0</v>
      </c>
      <c r="X376" s="750"/>
      <c r="Y376" s="750"/>
      <c r="Z376" s="396">
        <v>51414</v>
      </c>
      <c r="AA376" s="396">
        <f t="shared" si="64"/>
        <v>10282.800000000001</v>
      </c>
      <c r="AB376" s="750"/>
      <c r="AC376" s="750"/>
      <c r="AD376" s="750"/>
      <c r="AE376" s="755"/>
    </row>
    <row r="377" spans="1:31" ht="16.5" thickBot="1">
      <c r="G377" s="85"/>
      <c r="H377" s="85"/>
      <c r="I377" s="85"/>
      <c r="J377" s="85"/>
      <c r="K377" s="85"/>
      <c r="L377" s="85"/>
      <c r="M377" s="85"/>
      <c r="N377" s="394" t="s">
        <v>1847</v>
      </c>
      <c r="O377" s="395" t="s">
        <v>1848</v>
      </c>
      <c r="P377" s="395" t="s">
        <v>1801</v>
      </c>
      <c r="Q377" s="395" t="s">
        <v>1849</v>
      </c>
      <c r="R377" s="395" t="s">
        <v>1850</v>
      </c>
      <c r="S377" s="395" t="s">
        <v>1851</v>
      </c>
      <c r="T377" s="396">
        <f t="shared" si="62"/>
        <v>999999.6</v>
      </c>
      <c r="U377" s="396"/>
      <c r="V377" s="396"/>
      <c r="W377" s="396">
        <f t="shared" si="63"/>
        <v>0</v>
      </c>
      <c r="X377" s="750"/>
      <c r="Y377" s="750"/>
      <c r="Z377" s="396">
        <v>833333</v>
      </c>
      <c r="AA377" s="396">
        <f t="shared" si="64"/>
        <v>166666.6</v>
      </c>
      <c r="AB377" s="750"/>
      <c r="AC377" s="750"/>
      <c r="AD377" s="750"/>
      <c r="AE377" s="755"/>
    </row>
    <row r="378" spans="1:31" ht="16.5" thickBot="1">
      <c r="G378" s="85"/>
      <c r="H378" s="85"/>
      <c r="I378" s="85"/>
      <c r="J378" s="85"/>
      <c r="K378" s="85"/>
      <c r="L378" s="85"/>
      <c r="M378" s="85"/>
      <c r="N378" s="1795" t="s">
        <v>757</v>
      </c>
      <c r="O378" s="1796"/>
      <c r="P378" s="1796"/>
      <c r="Q378" s="1796"/>
      <c r="R378" s="1796"/>
      <c r="S378" s="1797"/>
      <c r="T378" s="721">
        <f t="shared" ref="T378:AE378" si="65">SUM(T358:T377)</f>
        <v>12416707.200000001</v>
      </c>
      <c r="U378" s="721">
        <f t="shared" si="65"/>
        <v>0</v>
      </c>
      <c r="V378" s="721">
        <f t="shared" si="65"/>
        <v>7820993</v>
      </c>
      <c r="W378" s="721">
        <f t="shared" si="65"/>
        <v>1564198.6</v>
      </c>
      <c r="X378" s="751">
        <f t="shared" si="65"/>
        <v>0</v>
      </c>
      <c r="Y378" s="751">
        <f t="shared" si="65"/>
        <v>0</v>
      </c>
      <c r="Z378" s="721">
        <f t="shared" si="65"/>
        <v>2526263</v>
      </c>
      <c r="AA378" s="721">
        <f t="shared" si="65"/>
        <v>505252.6</v>
      </c>
      <c r="AB378" s="751">
        <f t="shared" si="65"/>
        <v>0</v>
      </c>
      <c r="AC378" s="751">
        <f t="shared" si="65"/>
        <v>0</v>
      </c>
      <c r="AD378" s="751">
        <f t="shared" si="65"/>
        <v>0</v>
      </c>
      <c r="AE378" s="751">
        <f t="shared" si="65"/>
        <v>0</v>
      </c>
    </row>
    <row r="379" spans="1:31" ht="16.5" thickBot="1">
      <c r="G379" s="85"/>
      <c r="H379" s="85"/>
      <c r="I379" s="85"/>
      <c r="J379" s="85"/>
      <c r="K379" s="85"/>
      <c r="L379" s="85"/>
      <c r="M379" s="85"/>
      <c r="N379" s="1798" t="s">
        <v>758</v>
      </c>
      <c r="O379" s="1799"/>
      <c r="P379" s="1799"/>
      <c r="Q379" s="1799"/>
      <c r="R379" s="1799"/>
      <c r="S379" s="1799"/>
      <c r="T379" s="1799"/>
      <c r="U379" s="718" t="s">
        <v>765</v>
      </c>
      <c r="V379" s="718" t="s">
        <v>766</v>
      </c>
      <c r="W379" s="718" t="s">
        <v>767</v>
      </c>
      <c r="X379" s="960" t="s">
        <v>768</v>
      </c>
      <c r="Y379" s="960" t="s">
        <v>769</v>
      </c>
      <c r="Z379" s="718" t="s">
        <v>786</v>
      </c>
      <c r="AA379" s="718" t="s">
        <v>787</v>
      </c>
      <c r="AB379" s="718" t="s">
        <v>788</v>
      </c>
      <c r="AC379" s="718" t="s">
        <v>789</v>
      </c>
      <c r="AD379" s="718" t="s">
        <v>790</v>
      </c>
      <c r="AE379" s="764" t="s">
        <v>791</v>
      </c>
    </row>
    <row r="380" spans="1:31" ht="19.5">
      <c r="A380" s="380" t="s">
        <v>727</v>
      </c>
      <c r="B380" s="381"/>
      <c r="C380" s="381"/>
      <c r="D380" s="381"/>
      <c r="E380" s="381"/>
      <c r="F380" s="381"/>
      <c r="G380" s="713"/>
      <c r="H380" s="713"/>
      <c r="I380" s="713"/>
      <c r="J380" s="713"/>
      <c r="K380" s="713"/>
      <c r="L380" s="713"/>
      <c r="M380" s="713"/>
      <c r="N380" s="380" t="s">
        <v>728</v>
      </c>
      <c r="O380" s="381"/>
      <c r="P380" s="381"/>
      <c r="Q380" s="381"/>
      <c r="R380" s="381"/>
      <c r="S380" s="381"/>
      <c r="T380" s="381"/>
      <c r="U380" s="381"/>
      <c r="V380" s="381"/>
      <c r="W380" s="381"/>
      <c r="X380" s="381"/>
      <c r="Y380" s="381"/>
      <c r="Z380" s="381"/>
      <c r="AA380" s="381"/>
      <c r="AB380" s="381"/>
      <c r="AC380" s="381"/>
      <c r="AD380" s="381"/>
      <c r="AE380" s="381"/>
    </row>
    <row r="381" spans="1:31" ht="15.75">
      <c r="A381" s="383" t="s">
        <v>729</v>
      </c>
      <c r="B381" s="383"/>
      <c r="C381" s="384" t="s">
        <v>1224</v>
      </c>
      <c r="D381" s="381"/>
      <c r="E381" s="381"/>
      <c r="F381" s="381"/>
      <c r="G381" s="713"/>
      <c r="H381" s="713"/>
      <c r="I381" s="713"/>
      <c r="J381" s="713"/>
      <c r="K381" s="713"/>
      <c r="L381" s="713"/>
      <c r="M381" s="713"/>
      <c r="N381" s="383" t="s">
        <v>729</v>
      </c>
      <c r="O381" s="383"/>
      <c r="P381" s="384" t="s">
        <v>1224</v>
      </c>
      <c r="Q381" s="381"/>
      <c r="R381" s="381"/>
      <c r="S381" s="381"/>
      <c r="T381" s="381"/>
      <c r="U381" s="381"/>
      <c r="V381" s="381"/>
      <c r="W381" s="381"/>
      <c r="X381" s="381"/>
      <c r="Y381" s="381"/>
      <c r="Z381" s="381"/>
      <c r="AA381" s="381"/>
      <c r="AB381" s="381"/>
      <c r="AC381" s="381"/>
      <c r="AD381" s="381"/>
      <c r="AE381" s="381"/>
    </row>
    <row r="382" spans="1:31" ht="15.75">
      <c r="A382" s="383" t="s">
        <v>401</v>
      </c>
      <c r="B382" s="383"/>
      <c r="C382" s="384" t="s">
        <v>974</v>
      </c>
      <c r="D382" s="381"/>
      <c r="E382" s="381"/>
      <c r="F382" s="381"/>
      <c r="G382" s="713"/>
      <c r="H382" s="713"/>
      <c r="I382" s="713"/>
      <c r="J382" s="713"/>
      <c r="K382" s="713"/>
      <c r="L382" s="713"/>
      <c r="M382" s="713"/>
      <c r="N382" s="383" t="s">
        <v>401</v>
      </c>
      <c r="O382" s="383"/>
      <c r="P382" s="384" t="s">
        <v>1852</v>
      </c>
      <c r="Q382" s="381"/>
      <c r="R382" s="381"/>
      <c r="S382" s="381"/>
      <c r="T382" s="381"/>
      <c r="U382" s="381"/>
      <c r="V382" s="381"/>
      <c r="W382" s="381"/>
      <c r="X382" s="381"/>
      <c r="Y382" s="381"/>
      <c r="Z382" s="381"/>
      <c r="AA382" s="381"/>
      <c r="AB382" s="381"/>
      <c r="AC382" s="381"/>
      <c r="AD382" s="381"/>
      <c r="AE382" s="381"/>
    </row>
    <row r="383" spans="1:31" ht="15.75">
      <c r="A383" s="383" t="s">
        <v>730</v>
      </c>
      <c r="B383" s="383"/>
      <c r="C383" s="384" t="s">
        <v>731</v>
      </c>
      <c r="D383" s="381"/>
      <c r="E383" s="381"/>
      <c r="F383" s="381"/>
      <c r="G383" s="713"/>
      <c r="H383" s="713"/>
      <c r="I383" s="713"/>
      <c r="J383" s="713"/>
      <c r="K383" s="713"/>
      <c r="L383" s="713"/>
      <c r="M383" s="713"/>
      <c r="N383" s="383" t="s">
        <v>730</v>
      </c>
      <c r="O383" s="383"/>
      <c r="P383" s="384" t="s">
        <v>731</v>
      </c>
      <c r="Q383" s="381"/>
      <c r="R383" s="381"/>
      <c r="S383" s="381"/>
      <c r="T383" s="381"/>
      <c r="U383" s="381"/>
      <c r="V383" s="381"/>
      <c r="W383" s="381"/>
      <c r="X383" s="381"/>
      <c r="Y383" s="381"/>
      <c r="Z383" s="381"/>
      <c r="AA383" s="381"/>
      <c r="AB383" s="381"/>
      <c r="AC383" s="381"/>
      <c r="AD383" s="381"/>
      <c r="AE383" s="381"/>
    </row>
    <row r="384" spans="1:31" ht="15.75">
      <c r="A384" s="383" t="s">
        <v>169</v>
      </c>
      <c r="B384" s="383"/>
      <c r="C384" s="384" t="s">
        <v>1018</v>
      </c>
      <c r="D384" s="381"/>
      <c r="E384" s="381"/>
      <c r="F384" s="381"/>
      <c r="G384" s="713"/>
      <c r="H384" s="713"/>
      <c r="I384" s="713"/>
      <c r="J384" s="713"/>
      <c r="K384" s="713"/>
      <c r="L384" s="713"/>
      <c r="M384" s="713"/>
      <c r="N384" s="383" t="s">
        <v>169</v>
      </c>
      <c r="O384" s="383"/>
      <c r="P384" s="384" t="s">
        <v>1018</v>
      </c>
      <c r="Q384" s="381"/>
      <c r="R384" s="381"/>
      <c r="S384" s="381"/>
      <c r="T384" s="381"/>
      <c r="U384" s="381"/>
      <c r="V384" s="381"/>
      <c r="W384" s="381"/>
      <c r="X384" s="381"/>
      <c r="Y384" s="381"/>
      <c r="Z384" s="381"/>
      <c r="AA384" s="381"/>
      <c r="AB384" s="381"/>
      <c r="AC384" s="381"/>
      <c r="AD384" s="381"/>
      <c r="AE384" s="381"/>
    </row>
    <row r="385" spans="1:31" ht="16.5" thickBot="1">
      <c r="A385" s="383"/>
      <c r="B385" s="383"/>
      <c r="C385" s="381"/>
      <c r="D385" s="381"/>
      <c r="E385" s="381"/>
      <c r="F385" s="381"/>
      <c r="G385" s="713"/>
      <c r="H385" s="713"/>
      <c r="I385" s="713"/>
      <c r="J385" s="713"/>
      <c r="K385" s="713"/>
      <c r="L385" s="713"/>
      <c r="M385" s="713"/>
      <c r="N385" s="383"/>
      <c r="O385" s="383"/>
      <c r="P385" s="381"/>
      <c r="Q385" s="381"/>
      <c r="R385" s="381"/>
      <c r="S385" s="381"/>
      <c r="T385" s="381"/>
      <c r="U385" s="381"/>
      <c r="V385" s="381"/>
      <c r="W385" s="381"/>
      <c r="X385" s="381"/>
      <c r="Y385" s="381"/>
      <c r="Z385" s="381"/>
      <c r="AA385" s="381"/>
      <c r="AB385" s="381"/>
      <c r="AC385" s="381"/>
      <c r="AD385" s="381"/>
      <c r="AE385" s="381"/>
    </row>
    <row r="386" spans="1:31" ht="16.5" thickBot="1">
      <c r="A386" s="381" t="s">
        <v>733</v>
      </c>
      <c r="B386" s="385"/>
      <c r="C386" s="381" t="s">
        <v>771</v>
      </c>
      <c r="D386" s="381"/>
      <c r="E386" s="381"/>
      <c r="F386" s="381"/>
      <c r="G386" s="713"/>
      <c r="H386" s="713"/>
      <c r="I386" s="713"/>
      <c r="J386" s="713"/>
      <c r="K386" s="713"/>
      <c r="L386" s="713"/>
      <c r="M386" s="713"/>
      <c r="N386" s="381" t="s">
        <v>733</v>
      </c>
      <c r="O386" s="385"/>
      <c r="P386" s="381" t="s">
        <v>771</v>
      </c>
      <c r="Q386" s="381"/>
      <c r="R386" s="381"/>
      <c r="S386" s="381"/>
      <c r="T386" s="381"/>
      <c r="U386" s="381"/>
      <c r="V386" s="381"/>
      <c r="W386" s="381"/>
      <c r="X386" s="381"/>
      <c r="Y386" s="381"/>
      <c r="Z386" s="381"/>
      <c r="AA386" s="381"/>
      <c r="AB386" s="381"/>
      <c r="AC386" s="381"/>
      <c r="AD386" s="381"/>
      <c r="AE386" s="381"/>
    </row>
    <row r="387" spans="1:31" ht="16.5" thickBot="1">
      <c r="A387" s="381"/>
      <c r="B387" s="381"/>
      <c r="C387" s="381"/>
      <c r="D387" s="381"/>
      <c r="E387" s="381"/>
      <c r="F387" s="381"/>
      <c r="G387" s="713"/>
      <c r="H387" s="713"/>
      <c r="I387" s="713"/>
      <c r="J387" s="713"/>
      <c r="K387" s="713"/>
      <c r="L387" s="713"/>
      <c r="M387" s="713"/>
      <c r="N387" s="381"/>
      <c r="O387" s="381"/>
      <c r="P387" s="383"/>
      <c r="Q387" s="381"/>
      <c r="R387" s="381"/>
      <c r="S387" s="381"/>
      <c r="T387" s="381"/>
      <c r="U387" s="381"/>
      <c r="V387" s="381"/>
      <c r="W387" s="381"/>
      <c r="X387" s="381"/>
      <c r="Y387" s="381"/>
      <c r="Z387" s="381"/>
      <c r="AA387" s="381"/>
      <c r="AB387" s="381"/>
      <c r="AC387" s="381"/>
      <c r="AD387" s="381"/>
      <c r="AE387" s="381"/>
    </row>
    <row r="388" spans="1:31" ht="16.5" thickBot="1">
      <c r="A388" s="1813" t="s">
        <v>734</v>
      </c>
      <c r="B388" s="1814"/>
      <c r="C388" s="1815"/>
      <c r="D388" s="1813" t="s">
        <v>735</v>
      </c>
      <c r="E388" s="1814"/>
      <c r="F388" s="1815"/>
      <c r="G388" s="1834" t="s">
        <v>736</v>
      </c>
      <c r="H388" s="1834" t="s">
        <v>737</v>
      </c>
      <c r="I388" s="1834" t="s">
        <v>738</v>
      </c>
      <c r="J388" s="1837" t="s">
        <v>772</v>
      </c>
      <c r="K388" s="1840"/>
      <c r="L388" s="1868" t="s">
        <v>773</v>
      </c>
      <c r="M388" s="1869"/>
      <c r="N388" s="1800" t="s">
        <v>734</v>
      </c>
      <c r="O388" s="1801"/>
      <c r="P388" s="1802"/>
      <c r="Q388" s="1800" t="s">
        <v>739</v>
      </c>
      <c r="R388" s="1801"/>
      <c r="S388" s="1802"/>
      <c r="T388" s="1809" t="s">
        <v>740</v>
      </c>
      <c r="U388" s="1861" t="s">
        <v>741</v>
      </c>
      <c r="V388" s="1862"/>
      <c r="W388" s="1862"/>
      <c r="X388" s="1862"/>
      <c r="Y388" s="1862"/>
      <c r="Z388" s="1862"/>
      <c r="AA388" s="1862"/>
      <c r="AB388" s="1862"/>
      <c r="AC388" s="1862"/>
      <c r="AD388" s="1862"/>
      <c r="AE388" s="1863"/>
    </row>
    <row r="389" spans="1:31" ht="16.5" thickBot="1">
      <c r="A389" s="1816"/>
      <c r="B389" s="1817"/>
      <c r="C389" s="1818"/>
      <c r="D389" s="1816"/>
      <c r="E389" s="1817"/>
      <c r="F389" s="1818"/>
      <c r="G389" s="1835"/>
      <c r="H389" s="1835"/>
      <c r="I389" s="1835"/>
      <c r="J389" s="1839"/>
      <c r="K389" s="1841"/>
      <c r="L389" s="1870"/>
      <c r="M389" s="1871"/>
      <c r="N389" s="1809" t="s">
        <v>742</v>
      </c>
      <c r="O389" s="1809" t="s">
        <v>743</v>
      </c>
      <c r="P389" s="1809" t="s">
        <v>744</v>
      </c>
      <c r="Q389" s="1809" t="s">
        <v>745</v>
      </c>
      <c r="R389" s="1809" t="s">
        <v>746</v>
      </c>
      <c r="S389" s="1809" t="s">
        <v>747</v>
      </c>
      <c r="T389" s="1819"/>
      <c r="U389" s="1809" t="s">
        <v>748</v>
      </c>
      <c r="V389" s="1861" t="s">
        <v>774</v>
      </c>
      <c r="W389" s="1864"/>
      <c r="X389" s="1865" t="s">
        <v>775</v>
      </c>
      <c r="Y389" s="1866"/>
      <c r="Z389" s="1861" t="s">
        <v>776</v>
      </c>
      <c r="AA389" s="1863"/>
      <c r="AB389" s="1865" t="s">
        <v>777</v>
      </c>
      <c r="AC389" s="1867"/>
      <c r="AD389" s="1865" t="s">
        <v>749</v>
      </c>
      <c r="AE389" s="1867"/>
    </row>
    <row r="390" spans="1:31" ht="63.75" thickBot="1">
      <c r="A390" s="386" t="s">
        <v>742</v>
      </c>
      <c r="B390" s="387" t="s">
        <v>743</v>
      </c>
      <c r="C390" s="388" t="s">
        <v>744</v>
      </c>
      <c r="D390" s="1164" t="s">
        <v>750</v>
      </c>
      <c r="E390" s="1163" t="s">
        <v>746</v>
      </c>
      <c r="F390" s="389" t="s">
        <v>394</v>
      </c>
      <c r="G390" s="1836"/>
      <c r="H390" s="1836"/>
      <c r="I390" s="1836"/>
      <c r="J390" s="760" t="s">
        <v>751</v>
      </c>
      <c r="K390" s="1171" t="s">
        <v>752</v>
      </c>
      <c r="L390" s="955" t="s">
        <v>751</v>
      </c>
      <c r="M390" s="1172" t="s">
        <v>752</v>
      </c>
      <c r="N390" s="1810"/>
      <c r="O390" s="1810"/>
      <c r="P390" s="1810"/>
      <c r="Q390" s="1810"/>
      <c r="R390" s="1810"/>
      <c r="S390" s="1810"/>
      <c r="T390" s="1810"/>
      <c r="U390" s="1810"/>
      <c r="V390" s="1167" t="s">
        <v>751</v>
      </c>
      <c r="W390" s="1162" t="s">
        <v>752</v>
      </c>
      <c r="X390" s="1175" t="s">
        <v>751</v>
      </c>
      <c r="Y390" s="747" t="s">
        <v>752</v>
      </c>
      <c r="Z390" s="1165" t="s">
        <v>753</v>
      </c>
      <c r="AA390" s="1165" t="s">
        <v>754</v>
      </c>
      <c r="AB390" s="1166" t="s">
        <v>753</v>
      </c>
      <c r="AC390" s="1166" t="s">
        <v>754</v>
      </c>
      <c r="AD390" s="1166" t="s">
        <v>753</v>
      </c>
      <c r="AE390" s="1166" t="s">
        <v>754</v>
      </c>
    </row>
    <row r="391" spans="1:31" ht="29.25" thickBot="1">
      <c r="A391" s="390" t="s">
        <v>499</v>
      </c>
      <c r="B391" s="391" t="s">
        <v>500</v>
      </c>
      <c r="C391" s="391" t="s">
        <v>538</v>
      </c>
      <c r="D391" s="391" t="s">
        <v>560</v>
      </c>
      <c r="E391" s="391" t="s">
        <v>562</v>
      </c>
      <c r="F391" s="391" t="s">
        <v>574</v>
      </c>
      <c r="G391" s="761" t="s">
        <v>778</v>
      </c>
      <c r="H391" s="761" t="s">
        <v>578</v>
      </c>
      <c r="I391" s="762" t="s">
        <v>580</v>
      </c>
      <c r="J391" s="761" t="s">
        <v>582</v>
      </c>
      <c r="K391" s="763" t="s">
        <v>584</v>
      </c>
      <c r="L391" s="957" t="s">
        <v>586</v>
      </c>
      <c r="M391" s="958" t="s">
        <v>590</v>
      </c>
      <c r="N391" s="401" t="s">
        <v>499</v>
      </c>
      <c r="O391" s="402" t="s">
        <v>500</v>
      </c>
      <c r="P391" s="402" t="s">
        <v>538</v>
      </c>
      <c r="Q391" s="402" t="s">
        <v>560</v>
      </c>
      <c r="R391" s="402" t="s">
        <v>562</v>
      </c>
      <c r="S391" s="402" t="s">
        <v>574</v>
      </c>
      <c r="T391" s="403" t="s">
        <v>779</v>
      </c>
      <c r="U391" s="402" t="s">
        <v>578</v>
      </c>
      <c r="V391" s="402" t="s">
        <v>580</v>
      </c>
      <c r="W391" s="402" t="s">
        <v>582</v>
      </c>
      <c r="X391" s="748" t="s">
        <v>584</v>
      </c>
      <c r="Y391" s="748" t="s">
        <v>586</v>
      </c>
      <c r="Z391" s="402" t="s">
        <v>590</v>
      </c>
      <c r="AA391" s="402" t="s">
        <v>755</v>
      </c>
      <c r="AB391" s="748" t="s">
        <v>780</v>
      </c>
      <c r="AC391" s="748" t="s">
        <v>781</v>
      </c>
      <c r="AD391" s="748" t="s">
        <v>782</v>
      </c>
      <c r="AE391" s="749" t="s">
        <v>783</v>
      </c>
    </row>
    <row r="392" spans="1:31" ht="16.5" thickBot="1">
      <c r="A392" s="394" t="s">
        <v>1853</v>
      </c>
      <c r="B392" s="395" t="s">
        <v>1854</v>
      </c>
      <c r="C392" s="395" t="s">
        <v>1855</v>
      </c>
      <c r="D392" s="395" t="s">
        <v>1224</v>
      </c>
      <c r="E392" s="395" t="s">
        <v>756</v>
      </c>
      <c r="F392" s="395" t="s">
        <v>974</v>
      </c>
      <c r="G392" s="396">
        <f>+H392+I392+J392+K392+L392+M392</f>
        <v>2570985.6</v>
      </c>
      <c r="H392" s="396"/>
      <c r="I392" s="396"/>
      <c r="J392" s="396">
        <v>2142488</v>
      </c>
      <c r="K392" s="397">
        <f>+J392*0.2</f>
        <v>428497.60000000003</v>
      </c>
      <c r="L392" s="750"/>
      <c r="M392" s="755"/>
      <c r="N392" s="394" t="s">
        <v>1856</v>
      </c>
      <c r="O392" s="395" t="s">
        <v>1857</v>
      </c>
      <c r="P392" s="395" t="s">
        <v>1858</v>
      </c>
      <c r="Q392" s="395" t="s">
        <v>1381</v>
      </c>
      <c r="R392" s="395" t="s">
        <v>756</v>
      </c>
      <c r="S392" s="395" t="s">
        <v>978</v>
      </c>
      <c r="T392" s="396">
        <f>+U392+V392+W392+Z392+AA392</f>
        <v>37500</v>
      </c>
      <c r="U392" s="396"/>
      <c r="V392" s="396"/>
      <c r="W392" s="396">
        <f>+V392*0.2</f>
        <v>0</v>
      </c>
      <c r="X392" s="750"/>
      <c r="Y392" s="750"/>
      <c r="Z392" s="396">
        <v>31250</v>
      </c>
      <c r="AA392" s="396">
        <f>+Z392*0.2</f>
        <v>6250</v>
      </c>
      <c r="AB392" s="750"/>
      <c r="AC392" s="750"/>
      <c r="AD392" s="750"/>
      <c r="AE392" s="755"/>
    </row>
    <row r="393" spans="1:31" ht="16.5" thickBot="1">
      <c r="A393" s="1795" t="s">
        <v>757</v>
      </c>
      <c r="B393" s="1796"/>
      <c r="C393" s="1796"/>
      <c r="D393" s="1796"/>
      <c r="E393" s="1796"/>
      <c r="F393" s="1797"/>
      <c r="G393" s="398">
        <f t="shared" ref="G393:M393" si="66">SUM(G392:G392)</f>
        <v>2570985.6</v>
      </c>
      <c r="H393" s="398">
        <f t="shared" si="66"/>
        <v>0</v>
      </c>
      <c r="I393" s="398">
        <f t="shared" si="66"/>
        <v>0</v>
      </c>
      <c r="J393" s="398">
        <f t="shared" si="66"/>
        <v>2142488</v>
      </c>
      <c r="K393" s="398">
        <f t="shared" si="66"/>
        <v>428497.60000000003</v>
      </c>
      <c r="L393" s="756">
        <f t="shared" si="66"/>
        <v>0</v>
      </c>
      <c r="M393" s="756">
        <f t="shared" si="66"/>
        <v>0</v>
      </c>
      <c r="N393" s="394" t="s">
        <v>1859</v>
      </c>
      <c r="O393" s="395" t="s">
        <v>1860</v>
      </c>
      <c r="P393" s="395" t="s">
        <v>1861</v>
      </c>
      <c r="Q393" s="395" t="s">
        <v>1381</v>
      </c>
      <c r="R393" s="395" t="s">
        <v>756</v>
      </c>
      <c r="S393" s="395" t="s">
        <v>978</v>
      </c>
      <c r="T393" s="396">
        <f t="shared" ref="T393:T399" si="67">+U393+V393+W393+Z393+AA393</f>
        <v>18000</v>
      </c>
      <c r="U393" s="396"/>
      <c r="V393" s="396"/>
      <c r="W393" s="396">
        <f t="shared" ref="W393:W399" si="68">+V393*0.2</f>
        <v>0</v>
      </c>
      <c r="X393" s="750"/>
      <c r="Y393" s="750"/>
      <c r="Z393" s="396">
        <v>15000</v>
      </c>
      <c r="AA393" s="396">
        <f t="shared" ref="AA393:AA399" si="69">+Z393*0.2</f>
        <v>3000</v>
      </c>
      <c r="AB393" s="750"/>
      <c r="AC393" s="750"/>
      <c r="AD393" s="750"/>
      <c r="AE393" s="755"/>
    </row>
    <row r="394" spans="1:31" ht="16.5" thickBot="1">
      <c r="A394" s="1798" t="s">
        <v>758</v>
      </c>
      <c r="B394" s="1799"/>
      <c r="C394" s="1799"/>
      <c r="D394" s="1799"/>
      <c r="E394" s="1799"/>
      <c r="F394" s="1799"/>
      <c r="G394" s="1799"/>
      <c r="H394" s="718" t="s">
        <v>759</v>
      </c>
      <c r="I394" s="719" t="s">
        <v>760</v>
      </c>
      <c r="J394" s="718" t="s">
        <v>761</v>
      </c>
      <c r="K394" s="764" t="s">
        <v>762</v>
      </c>
      <c r="L394" s="960" t="s">
        <v>763</v>
      </c>
      <c r="M394" s="961" t="s">
        <v>764</v>
      </c>
      <c r="N394" s="394" t="s">
        <v>1862</v>
      </c>
      <c r="O394" s="395" t="s">
        <v>1863</v>
      </c>
      <c r="P394" s="395" t="s">
        <v>1864</v>
      </c>
      <c r="Q394" s="395" t="s">
        <v>1354</v>
      </c>
      <c r="R394" s="395" t="s">
        <v>1355</v>
      </c>
      <c r="S394" s="395" t="s">
        <v>991</v>
      </c>
      <c r="T394" s="396">
        <f t="shared" si="67"/>
        <v>52440</v>
      </c>
      <c r="U394" s="396"/>
      <c r="V394" s="396"/>
      <c r="W394" s="396">
        <f t="shared" si="68"/>
        <v>0</v>
      </c>
      <c r="X394" s="750"/>
      <c r="Y394" s="750"/>
      <c r="Z394" s="396">
        <v>43700</v>
      </c>
      <c r="AA394" s="396">
        <f t="shared" si="69"/>
        <v>8740</v>
      </c>
      <c r="AB394" s="750"/>
      <c r="AC394" s="750"/>
      <c r="AD394" s="750"/>
      <c r="AE394" s="755"/>
    </row>
    <row r="395" spans="1:31" ht="15.75">
      <c r="A395" s="381"/>
      <c r="B395" s="381"/>
      <c r="C395" s="381"/>
      <c r="D395" s="381"/>
      <c r="E395" s="381"/>
      <c r="F395" s="381"/>
      <c r="G395" s="713"/>
      <c r="H395" s="713"/>
      <c r="I395" s="713"/>
      <c r="J395" s="713"/>
      <c r="K395" s="713"/>
      <c r="L395" s="713"/>
      <c r="M395" s="713"/>
      <c r="N395" s="394" t="s">
        <v>1865</v>
      </c>
      <c r="O395" s="395" t="s">
        <v>1866</v>
      </c>
      <c r="P395" s="395" t="s">
        <v>1861</v>
      </c>
      <c r="Q395" s="395" t="s">
        <v>1867</v>
      </c>
      <c r="R395" s="395" t="s">
        <v>1349</v>
      </c>
      <c r="S395" s="395" t="s">
        <v>1035</v>
      </c>
      <c r="T395" s="396">
        <f t="shared" si="67"/>
        <v>501000</v>
      </c>
      <c r="U395" s="396"/>
      <c r="V395" s="396"/>
      <c r="W395" s="396">
        <f t="shared" si="68"/>
        <v>0</v>
      </c>
      <c r="X395" s="750"/>
      <c r="Y395" s="750"/>
      <c r="Z395" s="396">
        <v>417500</v>
      </c>
      <c r="AA395" s="396">
        <f t="shared" si="69"/>
        <v>83500</v>
      </c>
      <c r="AB395" s="750"/>
      <c r="AC395" s="750"/>
      <c r="AD395" s="750"/>
      <c r="AE395" s="755"/>
    </row>
    <row r="396" spans="1:31" ht="15.75">
      <c r="A396" s="381"/>
      <c r="B396" s="381"/>
      <c r="C396" s="381"/>
      <c r="D396" s="381"/>
      <c r="E396" s="381"/>
      <c r="F396" s="381"/>
      <c r="G396" s="713"/>
      <c r="H396" s="713"/>
      <c r="I396" s="713"/>
      <c r="J396" s="713"/>
      <c r="K396" s="713"/>
      <c r="L396" s="713"/>
      <c r="M396" s="713"/>
      <c r="N396" s="394" t="s">
        <v>1031</v>
      </c>
      <c r="O396" s="395" t="s">
        <v>1868</v>
      </c>
      <c r="P396" s="395" t="s">
        <v>1869</v>
      </c>
      <c r="Q396" s="395" t="s">
        <v>1870</v>
      </c>
      <c r="R396" s="395" t="s">
        <v>1344</v>
      </c>
      <c r="S396" s="395" t="s">
        <v>1871</v>
      </c>
      <c r="T396" s="396">
        <f t="shared" si="67"/>
        <v>299286</v>
      </c>
      <c r="U396" s="396"/>
      <c r="V396" s="396"/>
      <c r="W396" s="396">
        <f t="shared" si="68"/>
        <v>0</v>
      </c>
      <c r="X396" s="750"/>
      <c r="Y396" s="750"/>
      <c r="Z396" s="396">
        <v>249405</v>
      </c>
      <c r="AA396" s="396">
        <f t="shared" si="69"/>
        <v>49881</v>
      </c>
      <c r="AB396" s="750"/>
      <c r="AC396" s="750"/>
      <c r="AD396" s="750"/>
      <c r="AE396" s="755"/>
    </row>
    <row r="397" spans="1:31" ht="15.75">
      <c r="A397" s="381"/>
      <c r="B397" s="381"/>
      <c r="C397" s="381"/>
      <c r="D397" s="381"/>
      <c r="E397" s="381"/>
      <c r="F397" s="381"/>
      <c r="G397" s="713"/>
      <c r="H397" s="713"/>
      <c r="I397" s="713"/>
      <c r="J397" s="720" t="s">
        <v>951</v>
      </c>
      <c r="K397" s="713"/>
      <c r="L397" s="713"/>
      <c r="M397" s="713"/>
      <c r="N397" s="394" t="s">
        <v>1872</v>
      </c>
      <c r="O397" s="395" t="s">
        <v>1873</v>
      </c>
      <c r="P397" s="395" t="s">
        <v>1864</v>
      </c>
      <c r="Q397" s="395" t="s">
        <v>1870</v>
      </c>
      <c r="R397" s="395" t="s">
        <v>1344</v>
      </c>
      <c r="S397" s="395" t="s">
        <v>1871</v>
      </c>
      <c r="T397" s="396">
        <f t="shared" si="67"/>
        <v>296646</v>
      </c>
      <c r="U397" s="396"/>
      <c r="V397" s="396"/>
      <c r="W397" s="396">
        <f t="shared" si="68"/>
        <v>0</v>
      </c>
      <c r="X397" s="750"/>
      <c r="Y397" s="750"/>
      <c r="Z397" s="396">
        <v>247205</v>
      </c>
      <c r="AA397" s="396">
        <f t="shared" si="69"/>
        <v>49441</v>
      </c>
      <c r="AB397" s="750"/>
      <c r="AC397" s="750"/>
      <c r="AD397" s="750"/>
      <c r="AE397" s="755"/>
    </row>
    <row r="398" spans="1:31" ht="15.75">
      <c r="A398" s="381"/>
      <c r="B398" s="381"/>
      <c r="C398" s="381"/>
      <c r="D398" s="381"/>
      <c r="E398" s="381"/>
      <c r="F398" s="381"/>
      <c r="G398" s="713"/>
      <c r="H398" s="713"/>
      <c r="I398" s="713"/>
      <c r="J398" s="713"/>
      <c r="K398" s="713"/>
      <c r="L398" s="713"/>
      <c r="M398" s="713"/>
      <c r="N398" s="394" t="s">
        <v>1874</v>
      </c>
      <c r="O398" s="395" t="s">
        <v>1875</v>
      </c>
      <c r="P398" s="395" t="s">
        <v>1876</v>
      </c>
      <c r="Q398" s="395" t="s">
        <v>1877</v>
      </c>
      <c r="R398" s="395" t="s">
        <v>756</v>
      </c>
      <c r="S398" s="395" t="s">
        <v>1664</v>
      </c>
      <c r="T398" s="396">
        <f t="shared" si="67"/>
        <v>316800</v>
      </c>
      <c r="U398" s="396"/>
      <c r="V398" s="396"/>
      <c r="W398" s="396">
        <f t="shared" si="68"/>
        <v>0</v>
      </c>
      <c r="X398" s="750"/>
      <c r="Y398" s="750"/>
      <c r="Z398" s="396">
        <v>264000</v>
      </c>
      <c r="AA398" s="396">
        <f t="shared" si="69"/>
        <v>52800</v>
      </c>
      <c r="AB398" s="750"/>
      <c r="AC398" s="750"/>
      <c r="AD398" s="750"/>
      <c r="AE398" s="755"/>
    </row>
    <row r="399" spans="1:31" ht="16.5" thickBot="1">
      <c r="A399" s="381" t="s">
        <v>793</v>
      </c>
      <c r="B399" s="381"/>
      <c r="C399" s="381"/>
      <c r="D399" s="381"/>
      <c r="E399" s="381"/>
      <c r="F399" s="381"/>
      <c r="G399" s="713"/>
      <c r="H399" s="713"/>
      <c r="I399" s="713"/>
      <c r="J399" s="713"/>
      <c r="K399" s="713"/>
      <c r="L399" s="713"/>
      <c r="M399" s="713"/>
      <c r="N399" s="394" t="s">
        <v>1878</v>
      </c>
      <c r="O399" s="395" t="s">
        <v>1879</v>
      </c>
      <c r="P399" s="395" t="s">
        <v>1880</v>
      </c>
      <c r="Q399" s="395" t="s">
        <v>1640</v>
      </c>
      <c r="R399" s="395" t="s">
        <v>1344</v>
      </c>
      <c r="S399" s="395" t="s">
        <v>997</v>
      </c>
      <c r="T399" s="396">
        <f t="shared" si="67"/>
        <v>307243.2</v>
      </c>
      <c r="U399" s="396"/>
      <c r="V399" s="396"/>
      <c r="W399" s="396">
        <f t="shared" si="68"/>
        <v>0</v>
      </c>
      <c r="X399" s="750"/>
      <c r="Y399" s="750"/>
      <c r="Z399" s="396">
        <v>256036</v>
      </c>
      <c r="AA399" s="396">
        <f t="shared" si="69"/>
        <v>51207.200000000004</v>
      </c>
      <c r="AB399" s="750"/>
      <c r="AC399" s="750"/>
      <c r="AD399" s="750"/>
      <c r="AE399" s="755"/>
    </row>
    <row r="400" spans="1:31" ht="16.5" thickBot="1">
      <c r="A400" s="381" t="s">
        <v>785</v>
      </c>
      <c r="B400" s="381"/>
      <c r="C400" s="381"/>
      <c r="D400" s="381"/>
      <c r="E400" s="381"/>
      <c r="F400" s="381"/>
      <c r="G400" s="713"/>
      <c r="H400" s="713"/>
      <c r="I400" s="713"/>
      <c r="J400" s="713"/>
      <c r="K400" s="713"/>
      <c r="L400" s="713"/>
      <c r="M400" s="713"/>
      <c r="N400" s="1795" t="s">
        <v>757</v>
      </c>
      <c r="O400" s="1796"/>
      <c r="P400" s="1796"/>
      <c r="Q400" s="1796"/>
      <c r="R400" s="1796"/>
      <c r="S400" s="1797"/>
      <c r="T400" s="721">
        <f>SUM(T392:T399)</f>
        <v>1828915.2</v>
      </c>
      <c r="U400" s="721">
        <f t="shared" ref="U400:AA400" si="70">SUM(U392:U399)</f>
        <v>0</v>
      </c>
      <c r="V400" s="721">
        <f t="shared" si="70"/>
        <v>0</v>
      </c>
      <c r="W400" s="721">
        <f t="shared" si="70"/>
        <v>0</v>
      </c>
      <c r="X400" s="721">
        <f t="shared" si="70"/>
        <v>0</v>
      </c>
      <c r="Y400" s="721">
        <f t="shared" si="70"/>
        <v>0</v>
      </c>
      <c r="Z400" s="721">
        <f t="shared" si="70"/>
        <v>1524096</v>
      </c>
      <c r="AA400" s="721">
        <f t="shared" si="70"/>
        <v>304819.20000000001</v>
      </c>
      <c r="AB400" s="751">
        <f>SUM(AB392:AB399)</f>
        <v>0</v>
      </c>
      <c r="AC400" s="751">
        <f>SUM(AC392:AC399)</f>
        <v>0</v>
      </c>
      <c r="AD400" s="751">
        <f>SUM(AD392:AD399)</f>
        <v>0</v>
      </c>
      <c r="AE400" s="751">
        <f>SUM(AE392:AE399)</f>
        <v>0</v>
      </c>
    </row>
    <row r="401" spans="1:31" ht="16.5" thickBot="1">
      <c r="A401" s="381" t="s">
        <v>792</v>
      </c>
      <c r="B401"/>
      <c r="C401"/>
      <c r="D401"/>
      <c r="E401"/>
      <c r="F401"/>
      <c r="G401" s="113"/>
      <c r="H401" s="113"/>
      <c r="I401" s="113"/>
      <c r="J401" s="113"/>
      <c r="K401" s="713"/>
      <c r="L401" s="713"/>
      <c r="M401" s="713"/>
      <c r="N401" s="1798" t="s">
        <v>758</v>
      </c>
      <c r="O401" s="1799"/>
      <c r="P401" s="1799"/>
      <c r="Q401" s="1799"/>
      <c r="R401" s="1799"/>
      <c r="S401" s="1799"/>
      <c r="T401" s="1799"/>
      <c r="U401" s="406" t="s">
        <v>765</v>
      </c>
      <c r="V401" s="406" t="s">
        <v>766</v>
      </c>
      <c r="W401" s="406" t="s">
        <v>767</v>
      </c>
      <c r="X401" s="406" t="s">
        <v>768</v>
      </c>
      <c r="Y401" s="406" t="s">
        <v>769</v>
      </c>
      <c r="Z401" s="406" t="s">
        <v>786</v>
      </c>
      <c r="AA401" s="406" t="s">
        <v>787</v>
      </c>
      <c r="AB401" s="757" t="s">
        <v>788</v>
      </c>
      <c r="AC401" s="757" t="s">
        <v>789</v>
      </c>
      <c r="AD401" s="757" t="s">
        <v>790</v>
      </c>
      <c r="AE401" s="758" t="s">
        <v>791</v>
      </c>
    </row>
    <row r="402" spans="1:31" ht="15.75">
      <c r="G402" s="85"/>
      <c r="H402" s="85"/>
      <c r="I402" s="85"/>
      <c r="J402" s="85"/>
      <c r="K402" s="85"/>
      <c r="L402" s="85"/>
      <c r="M402" s="85"/>
      <c r="N402" s="381"/>
      <c r="O402" s="381"/>
      <c r="P402" s="381"/>
      <c r="Q402" s="381"/>
      <c r="R402" s="381"/>
      <c r="S402" s="381"/>
      <c r="T402" s="381"/>
      <c r="U402" s="381"/>
      <c r="V402" s="381"/>
      <c r="W402" s="381"/>
      <c r="X402" s="381"/>
      <c r="Y402" s="381"/>
      <c r="Z402" s="381"/>
      <c r="AA402" s="381"/>
      <c r="AB402" s="381"/>
      <c r="AC402" s="381"/>
      <c r="AD402" s="381"/>
      <c r="AE402" s="381"/>
    </row>
    <row r="403" spans="1:31" ht="15.75">
      <c r="G403" s="85"/>
      <c r="H403" s="85"/>
      <c r="I403" s="85"/>
      <c r="J403" s="85"/>
      <c r="K403" s="85"/>
      <c r="L403" s="85"/>
      <c r="M403" s="85"/>
      <c r="N403" s="381"/>
      <c r="O403" s="381"/>
      <c r="P403" s="381"/>
      <c r="Q403" s="381"/>
      <c r="R403" s="381"/>
      <c r="S403" s="381"/>
      <c r="T403" s="381"/>
      <c r="U403" s="381"/>
      <c r="V403" s="381"/>
      <c r="W403" s="381"/>
      <c r="X403" s="381"/>
      <c r="Y403" s="381"/>
      <c r="Z403" s="381"/>
      <c r="AA403" s="381"/>
      <c r="AB403" s="381"/>
      <c r="AC403" s="381"/>
      <c r="AD403" s="381"/>
      <c r="AE403" s="381"/>
    </row>
    <row r="404" spans="1:31" ht="15.75">
      <c r="G404" s="85"/>
      <c r="H404" s="85"/>
      <c r="I404" s="85"/>
      <c r="J404" s="85"/>
      <c r="K404" s="85"/>
      <c r="L404" s="85"/>
      <c r="M404" s="85"/>
      <c r="N404" s="381"/>
      <c r="O404" s="381"/>
      <c r="P404" s="381"/>
      <c r="Q404" s="381"/>
      <c r="R404" s="381"/>
      <c r="S404" s="381"/>
      <c r="T404" s="381"/>
      <c r="U404" s="381"/>
      <c r="V404" s="381"/>
      <c r="W404" s="381"/>
      <c r="X404" s="381"/>
      <c r="Y404" s="381"/>
      <c r="Z404" s="381"/>
      <c r="AA404" s="381"/>
      <c r="AB404" s="381"/>
      <c r="AC404" s="381"/>
      <c r="AD404" s="725" t="s">
        <v>952</v>
      </c>
      <c r="AE404" s="381"/>
    </row>
    <row r="405" spans="1:31" ht="15.75">
      <c r="G405" s="85"/>
      <c r="H405" s="85"/>
      <c r="I405" s="85"/>
      <c r="J405" s="85"/>
      <c r="K405" s="85"/>
      <c r="L405" s="85"/>
      <c r="M405" s="85"/>
      <c r="N405" s="381"/>
      <c r="O405" s="381"/>
      <c r="P405" s="381"/>
      <c r="Q405" s="381"/>
      <c r="R405" s="381"/>
      <c r="S405" s="381"/>
      <c r="T405" s="381"/>
      <c r="U405" s="381"/>
      <c r="V405" s="381"/>
      <c r="W405" s="381"/>
      <c r="X405" s="381"/>
      <c r="Y405" s="381"/>
      <c r="Z405" s="381"/>
      <c r="AA405" s="381"/>
      <c r="AB405" s="381"/>
      <c r="AC405" s="381"/>
      <c r="AD405" s="725"/>
      <c r="AE405" s="381"/>
    </row>
    <row r="406" spans="1:31" ht="15.75">
      <c r="G406" s="85"/>
      <c r="H406" s="85"/>
      <c r="I406" s="85"/>
      <c r="J406" s="85"/>
      <c r="K406" s="85"/>
      <c r="L406" s="85"/>
      <c r="M406" s="85"/>
      <c r="N406" s="381" t="s">
        <v>793</v>
      </c>
      <c r="O406" s="381"/>
      <c r="P406" s="381"/>
      <c r="Q406" s="381"/>
      <c r="R406" s="381"/>
      <c r="S406" s="381"/>
      <c r="T406" s="381"/>
      <c r="U406" s="381"/>
      <c r="V406" s="381"/>
      <c r="W406" s="381"/>
      <c r="X406" s="381"/>
      <c r="Y406" s="381"/>
      <c r="Z406" s="381"/>
      <c r="AA406" s="381"/>
      <c r="AB406" s="381"/>
      <c r="AC406" s="381"/>
      <c r="AD406" s="381"/>
      <c r="AE406" s="381"/>
    </row>
    <row r="407" spans="1:31" ht="15.75">
      <c r="G407" s="85"/>
      <c r="H407" s="85"/>
      <c r="I407" s="85"/>
      <c r="J407" s="85"/>
      <c r="K407" s="85"/>
      <c r="L407" s="85"/>
      <c r="M407" s="85"/>
      <c r="N407" s="381" t="s">
        <v>785</v>
      </c>
      <c r="O407" s="381"/>
      <c r="P407" s="381"/>
      <c r="Q407" s="381"/>
      <c r="R407" s="381"/>
      <c r="S407" s="381"/>
      <c r="T407" s="381"/>
      <c r="U407" s="381"/>
      <c r="V407" s="381"/>
      <c r="W407" s="381"/>
      <c r="X407" s="381"/>
      <c r="Y407" s="381"/>
      <c r="Z407" s="381"/>
      <c r="AA407" s="381"/>
      <c r="AB407" s="381"/>
      <c r="AC407" s="381"/>
      <c r="AD407" s="381"/>
      <c r="AE407" s="381"/>
    </row>
    <row r="408" spans="1:31" ht="15.75">
      <c r="G408" s="85"/>
      <c r="H408" s="85"/>
      <c r="I408" s="85"/>
      <c r="J408" s="85"/>
      <c r="K408" s="85"/>
      <c r="L408" s="85"/>
      <c r="M408" s="85"/>
      <c r="N408" s="381" t="s">
        <v>792</v>
      </c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</row>
    <row r="409" spans="1:31">
      <c r="G409" s="85"/>
      <c r="H409" s="85"/>
      <c r="I409" s="85"/>
      <c r="J409" s="85"/>
      <c r="K409" s="85"/>
      <c r="L409" s="85"/>
      <c r="M409" s="85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</row>
    <row r="410" spans="1:31">
      <c r="G410" s="85"/>
      <c r="H410" s="85"/>
      <c r="I410" s="85"/>
      <c r="J410" s="85"/>
      <c r="K410" s="85"/>
      <c r="L410" s="85"/>
      <c r="M410" s="85"/>
      <c r="T410" s="85"/>
      <c r="U410" s="85"/>
      <c r="V410" s="85"/>
      <c r="W410" s="85"/>
      <c r="X410" s="85"/>
      <c r="Y410" s="85"/>
      <c r="Z410" s="85"/>
      <c r="AA410" s="85"/>
      <c r="AB410"/>
      <c r="AC410"/>
      <c r="AD410"/>
      <c r="AE410"/>
    </row>
    <row r="411" spans="1:31">
      <c r="G411" s="85"/>
      <c r="H411" s="85"/>
      <c r="I411" s="85"/>
      <c r="J411" s="85"/>
      <c r="K411" s="85"/>
      <c r="L411" s="85"/>
      <c r="M411" s="85"/>
      <c r="T411" s="85"/>
      <c r="U411" s="85"/>
      <c r="V411" s="85"/>
      <c r="W411" s="85"/>
      <c r="X411" s="85"/>
      <c r="Y411" s="85"/>
      <c r="Z411" s="85"/>
      <c r="AA411" s="85"/>
      <c r="AB411"/>
      <c r="AC411"/>
      <c r="AD411"/>
      <c r="AE411"/>
    </row>
    <row r="412" spans="1:31">
      <c r="G412" s="85"/>
      <c r="H412" s="85"/>
      <c r="I412" s="85"/>
      <c r="J412" s="85"/>
      <c r="K412" s="85"/>
      <c r="L412" s="85"/>
      <c r="M412" s="85"/>
      <c r="T412" s="85"/>
      <c r="U412" s="85"/>
      <c r="V412" s="85"/>
      <c r="W412" s="85"/>
      <c r="X412" s="85"/>
      <c r="Y412" s="85"/>
      <c r="Z412" s="85"/>
      <c r="AA412" s="85"/>
      <c r="AB412"/>
      <c r="AC412"/>
      <c r="AD412"/>
      <c r="AE412"/>
    </row>
    <row r="413" spans="1:31">
      <c r="G413" s="85"/>
      <c r="H413" s="85"/>
      <c r="I413" s="85"/>
      <c r="J413" s="85"/>
      <c r="K413" s="85"/>
      <c r="L413" s="85"/>
      <c r="M413" s="85"/>
      <c r="T413" s="85"/>
      <c r="U413" s="85"/>
      <c r="V413" s="85"/>
      <c r="W413" s="85"/>
      <c r="X413" s="85"/>
      <c r="Y413" s="85"/>
      <c r="Z413" s="85"/>
      <c r="AA413" s="85"/>
      <c r="AB413"/>
      <c r="AC413"/>
      <c r="AD413"/>
      <c r="AE413"/>
    </row>
    <row r="414" spans="1:31">
      <c r="G414" s="85"/>
      <c r="H414" s="85"/>
      <c r="I414" s="85"/>
      <c r="J414" s="85"/>
      <c r="K414" s="85"/>
      <c r="L414" s="85"/>
      <c r="M414" s="85"/>
      <c r="T414" s="85"/>
      <c r="U414" s="85"/>
      <c r="V414" s="85"/>
      <c r="W414" s="85"/>
      <c r="X414" s="85"/>
      <c r="Y414" s="85"/>
      <c r="Z414" s="85"/>
      <c r="AA414" s="85"/>
      <c r="AB414"/>
      <c r="AC414"/>
      <c r="AD414"/>
      <c r="AE414"/>
    </row>
    <row r="415" spans="1:31" ht="19.5">
      <c r="A415" s="380" t="s">
        <v>727</v>
      </c>
      <c r="B415" s="381"/>
      <c r="C415" s="381"/>
      <c r="D415" s="381"/>
      <c r="E415" s="381"/>
      <c r="F415" s="381"/>
      <c r="G415" s="1129"/>
      <c r="H415" s="1129"/>
      <c r="I415" s="1129"/>
      <c r="J415" s="1129"/>
      <c r="K415" s="1129"/>
      <c r="L415" s="1129"/>
      <c r="M415" s="1129"/>
      <c r="N415" s="380" t="s">
        <v>728</v>
      </c>
      <c r="O415" s="381"/>
      <c r="P415" s="381"/>
      <c r="Q415" s="381"/>
      <c r="R415" s="381"/>
      <c r="S415" s="381"/>
      <c r="T415" s="381"/>
      <c r="U415" s="1129"/>
      <c r="V415" s="1129"/>
      <c r="W415" s="1129"/>
      <c r="X415" s="1129"/>
      <c r="Y415" s="1129"/>
      <c r="Z415" s="1129"/>
      <c r="AA415" s="1129"/>
      <c r="AB415" s="1129"/>
      <c r="AC415" s="1129"/>
      <c r="AD415" s="1129"/>
      <c r="AE415" s="1129"/>
    </row>
    <row r="416" spans="1:31" ht="15.75">
      <c r="A416" s="383" t="s">
        <v>729</v>
      </c>
      <c r="B416" s="383"/>
      <c r="C416" s="384" t="s">
        <v>1224</v>
      </c>
      <c r="D416" s="381"/>
      <c r="E416" s="381"/>
      <c r="F416" s="381"/>
      <c r="G416" s="1129"/>
      <c r="H416" s="1129"/>
      <c r="I416" s="1129"/>
      <c r="J416" s="1129"/>
      <c r="K416" s="1129"/>
      <c r="L416" s="1129"/>
      <c r="M416" s="1129"/>
      <c r="N416" s="383" t="s">
        <v>729</v>
      </c>
      <c r="O416" s="383"/>
      <c r="P416" s="384" t="s">
        <v>1224</v>
      </c>
      <c r="Q416" s="381"/>
      <c r="R416" s="381"/>
      <c r="S416" s="381"/>
      <c r="T416" s="381"/>
      <c r="U416" s="1129"/>
      <c r="V416" s="1129"/>
      <c r="W416" s="1129"/>
      <c r="X416" s="1129"/>
      <c r="Y416" s="1129"/>
      <c r="Z416" s="1129"/>
      <c r="AA416" s="1129"/>
      <c r="AB416" s="1129"/>
      <c r="AC416" s="1129"/>
      <c r="AD416" s="1129"/>
      <c r="AE416" s="1129"/>
    </row>
    <row r="417" spans="1:31" ht="15.75">
      <c r="A417" s="383" t="s">
        <v>401</v>
      </c>
      <c r="B417" s="383"/>
      <c r="C417" s="384" t="s">
        <v>974</v>
      </c>
      <c r="D417" s="381"/>
      <c r="E417" s="381"/>
      <c r="F417" s="381"/>
      <c r="G417" s="1129"/>
      <c r="H417" s="1129"/>
      <c r="I417" s="1129"/>
      <c r="J417" s="1129"/>
      <c r="K417" s="1129"/>
      <c r="L417" s="1129"/>
      <c r="M417" s="1129"/>
      <c r="N417" s="383" t="s">
        <v>401</v>
      </c>
      <c r="O417" s="383"/>
      <c r="P417" s="384" t="s">
        <v>974</v>
      </c>
      <c r="Q417" s="381"/>
      <c r="R417" s="381"/>
      <c r="S417" s="381"/>
      <c r="T417" s="381"/>
      <c r="U417" s="1129"/>
      <c r="V417" s="1129"/>
      <c r="W417" s="1129"/>
      <c r="X417" s="1129"/>
      <c r="Y417" s="1129"/>
      <c r="Z417" s="1129"/>
      <c r="AA417" s="1129"/>
      <c r="AB417" s="1129"/>
      <c r="AC417" s="1129"/>
      <c r="AD417" s="1129"/>
      <c r="AE417" s="1129"/>
    </row>
    <row r="418" spans="1:31" ht="15.75">
      <c r="A418" s="383" t="s">
        <v>730</v>
      </c>
      <c r="B418" s="383"/>
      <c r="C418" s="384" t="s">
        <v>731</v>
      </c>
      <c r="D418" s="381"/>
      <c r="E418" s="381"/>
      <c r="F418" s="381"/>
      <c r="G418" s="1129"/>
      <c r="H418" s="1129"/>
      <c r="I418" s="1129"/>
      <c r="J418" s="1129"/>
      <c r="K418" s="1129"/>
      <c r="L418" s="1129"/>
      <c r="M418" s="1129"/>
      <c r="N418" s="383" t="s">
        <v>730</v>
      </c>
      <c r="O418" s="383"/>
      <c r="P418" s="384" t="s">
        <v>731</v>
      </c>
      <c r="Q418" s="381"/>
      <c r="R418" s="381"/>
      <c r="S418" s="381"/>
      <c r="T418" s="381"/>
      <c r="U418" s="1129"/>
      <c r="V418" s="1129"/>
      <c r="W418" s="1129"/>
      <c r="X418" s="1129"/>
      <c r="Y418" s="1129"/>
      <c r="Z418" s="1129"/>
      <c r="AA418" s="1129"/>
      <c r="AB418" s="1129"/>
      <c r="AC418" s="1129"/>
      <c r="AD418" s="1129"/>
      <c r="AE418" s="1129"/>
    </row>
    <row r="419" spans="1:31" ht="15.75">
      <c r="A419" s="383" t="s">
        <v>169</v>
      </c>
      <c r="B419" s="383"/>
      <c r="C419" s="384" t="s">
        <v>1728</v>
      </c>
      <c r="D419" s="381"/>
      <c r="E419" s="381"/>
      <c r="F419" s="381"/>
      <c r="G419" s="1129"/>
      <c r="H419" s="1129"/>
      <c r="I419" s="1129"/>
      <c r="J419" s="1129"/>
      <c r="K419" s="1129"/>
      <c r="L419" s="1129"/>
      <c r="M419" s="1129"/>
      <c r="N419" s="383" t="s">
        <v>169</v>
      </c>
      <c r="O419" s="383"/>
      <c r="P419" s="384" t="s">
        <v>1728</v>
      </c>
      <c r="Q419" s="381"/>
      <c r="R419" s="381"/>
      <c r="S419" s="381"/>
      <c r="T419" s="381"/>
      <c r="U419" s="1129"/>
      <c r="V419" s="1129"/>
      <c r="W419" s="1129"/>
      <c r="X419" s="1129"/>
      <c r="Y419" s="1129"/>
      <c r="Z419" s="1129"/>
      <c r="AA419" s="1129"/>
      <c r="AB419" s="1129"/>
      <c r="AC419" s="1129"/>
      <c r="AD419" s="1129"/>
      <c r="AE419" s="1129"/>
    </row>
    <row r="420" spans="1:31" ht="16.5" thickBot="1">
      <c r="A420" s="383"/>
      <c r="B420" s="383"/>
      <c r="C420" s="381"/>
      <c r="D420" s="381"/>
      <c r="E420" s="381"/>
      <c r="F420" s="381"/>
      <c r="G420" s="1129"/>
      <c r="H420" s="1129"/>
      <c r="I420" s="1129"/>
      <c r="J420" s="1129"/>
      <c r="K420" s="1129"/>
      <c r="L420" s="1129"/>
      <c r="M420" s="1129"/>
      <c r="N420" s="383"/>
      <c r="O420" s="383"/>
      <c r="P420" s="381"/>
      <c r="Q420" s="381"/>
      <c r="R420" s="381"/>
      <c r="S420" s="381"/>
      <c r="T420" s="381"/>
      <c r="U420" s="1129"/>
      <c r="V420" s="1129"/>
      <c r="W420" s="1129"/>
      <c r="X420" s="1129"/>
      <c r="Y420" s="1129"/>
      <c r="Z420" s="1129"/>
      <c r="AA420" s="1129"/>
      <c r="AB420" s="1129"/>
      <c r="AC420" s="1129"/>
      <c r="AD420" s="1129"/>
      <c r="AE420" s="1129"/>
    </row>
    <row r="421" spans="1:31" ht="16.5" thickBot="1">
      <c r="A421" s="381" t="s">
        <v>733</v>
      </c>
      <c r="B421" s="385"/>
      <c r="C421" s="381" t="s">
        <v>771</v>
      </c>
      <c r="D421" s="381"/>
      <c r="E421" s="381"/>
      <c r="F421" s="381"/>
      <c r="G421" s="1129"/>
      <c r="H421" s="1129"/>
      <c r="I421" s="1129"/>
      <c r="J421" s="1129"/>
      <c r="K421" s="1129"/>
      <c r="L421" s="1129"/>
      <c r="M421" s="1129"/>
      <c r="N421" s="381" t="s">
        <v>733</v>
      </c>
      <c r="O421" s="385"/>
      <c r="P421" s="381" t="s">
        <v>771</v>
      </c>
      <c r="Q421" s="381"/>
      <c r="R421" s="381"/>
      <c r="S421" s="381"/>
      <c r="T421" s="381"/>
      <c r="U421" s="1129"/>
      <c r="V421" s="1129"/>
      <c r="W421" s="1129"/>
      <c r="X421" s="1129"/>
      <c r="Y421" s="1129"/>
      <c r="Z421" s="1129"/>
      <c r="AA421" s="1129"/>
      <c r="AB421" s="1129"/>
      <c r="AC421" s="1129"/>
      <c r="AD421" s="1129"/>
      <c r="AE421" s="1129"/>
    </row>
    <row r="422" spans="1:31" ht="16.5" thickBot="1">
      <c r="A422" s="381"/>
      <c r="B422" s="381"/>
      <c r="C422" s="381"/>
      <c r="D422" s="381"/>
      <c r="E422" s="381"/>
      <c r="F422" s="381"/>
      <c r="G422" s="1129"/>
      <c r="H422" s="1129"/>
      <c r="I422" s="1129"/>
      <c r="J422" s="1129"/>
      <c r="K422" s="1129"/>
      <c r="L422" s="1129"/>
      <c r="M422" s="1129"/>
      <c r="N422" s="381"/>
      <c r="O422" s="381"/>
      <c r="P422" s="383"/>
      <c r="Q422" s="381"/>
      <c r="R422" s="381"/>
      <c r="S422" s="381"/>
      <c r="T422" s="381"/>
      <c r="U422" s="1129"/>
      <c r="V422" s="1129"/>
      <c r="W422" s="1129"/>
      <c r="X422" s="1129"/>
      <c r="Y422" s="1129"/>
      <c r="Z422" s="1129"/>
      <c r="AA422" s="1129"/>
      <c r="AB422" s="1129"/>
      <c r="AC422" s="1129"/>
      <c r="AD422" s="1129"/>
      <c r="AE422" s="1129"/>
    </row>
    <row r="423" spans="1:31" ht="16.5" thickBot="1">
      <c r="A423" s="1813" t="s">
        <v>734</v>
      </c>
      <c r="B423" s="1814"/>
      <c r="C423" s="1815"/>
      <c r="D423" s="1813" t="s">
        <v>735</v>
      </c>
      <c r="E423" s="1814"/>
      <c r="F423" s="1815"/>
      <c r="G423" s="1803" t="s">
        <v>736</v>
      </c>
      <c r="H423" s="1803" t="s">
        <v>737</v>
      </c>
      <c r="I423" s="1803" t="s">
        <v>738</v>
      </c>
      <c r="J423" s="1876" t="s">
        <v>772</v>
      </c>
      <c r="K423" s="1878"/>
      <c r="L423" s="1876" t="s">
        <v>773</v>
      </c>
      <c r="M423" s="1878"/>
      <c r="N423" s="1800" t="s">
        <v>734</v>
      </c>
      <c r="O423" s="1801"/>
      <c r="P423" s="1802"/>
      <c r="Q423" s="1800" t="s">
        <v>739</v>
      </c>
      <c r="R423" s="1801"/>
      <c r="S423" s="1802"/>
      <c r="T423" s="1809" t="s">
        <v>740</v>
      </c>
      <c r="U423" s="1806" t="s">
        <v>741</v>
      </c>
      <c r="V423" s="1807"/>
      <c r="W423" s="1807"/>
      <c r="X423" s="1807"/>
      <c r="Y423" s="1807"/>
      <c r="Z423" s="1807"/>
      <c r="AA423" s="1807"/>
      <c r="AB423" s="1807"/>
      <c r="AC423" s="1807"/>
      <c r="AD423" s="1807"/>
      <c r="AE423" s="1808"/>
    </row>
    <row r="424" spans="1:31" ht="16.5" thickBot="1">
      <c r="A424" s="1816"/>
      <c r="B424" s="1817"/>
      <c r="C424" s="1818"/>
      <c r="D424" s="1816"/>
      <c r="E424" s="1817"/>
      <c r="F424" s="1818"/>
      <c r="G424" s="1804"/>
      <c r="H424" s="1804"/>
      <c r="I424" s="1804"/>
      <c r="J424" s="1879"/>
      <c r="K424" s="1881"/>
      <c r="L424" s="1879"/>
      <c r="M424" s="1881"/>
      <c r="N424" s="1809" t="s">
        <v>742</v>
      </c>
      <c r="O424" s="1809" t="s">
        <v>743</v>
      </c>
      <c r="P424" s="1809" t="s">
        <v>744</v>
      </c>
      <c r="Q424" s="1809" t="s">
        <v>745</v>
      </c>
      <c r="R424" s="1809" t="s">
        <v>746</v>
      </c>
      <c r="S424" s="1809" t="s">
        <v>747</v>
      </c>
      <c r="T424" s="1819"/>
      <c r="U424" s="1803" t="s">
        <v>748</v>
      </c>
      <c r="V424" s="1806" t="s">
        <v>774</v>
      </c>
      <c r="W424" s="1811"/>
      <c r="X424" s="1806" t="s">
        <v>775</v>
      </c>
      <c r="Y424" s="1811"/>
      <c r="Z424" s="1806" t="s">
        <v>776</v>
      </c>
      <c r="AA424" s="1808"/>
      <c r="AB424" s="1806" t="s">
        <v>777</v>
      </c>
      <c r="AC424" s="1808"/>
      <c r="AD424" s="1806" t="s">
        <v>749</v>
      </c>
      <c r="AE424" s="1808"/>
    </row>
    <row r="425" spans="1:31" ht="63.75" thickBot="1">
      <c r="A425" s="386" t="s">
        <v>742</v>
      </c>
      <c r="B425" s="387" t="s">
        <v>743</v>
      </c>
      <c r="C425" s="388" t="s">
        <v>744</v>
      </c>
      <c r="D425" s="1164" t="s">
        <v>750</v>
      </c>
      <c r="E425" s="1163" t="s">
        <v>746</v>
      </c>
      <c r="F425" s="389" t="s">
        <v>394</v>
      </c>
      <c r="G425" s="1805"/>
      <c r="H425" s="1805"/>
      <c r="I425" s="1805"/>
      <c r="J425" s="1149" t="s">
        <v>751</v>
      </c>
      <c r="K425" s="1177" t="s">
        <v>752</v>
      </c>
      <c r="L425" s="1149" t="s">
        <v>751</v>
      </c>
      <c r="M425" s="1177" t="s">
        <v>752</v>
      </c>
      <c r="N425" s="1810"/>
      <c r="O425" s="1810"/>
      <c r="P425" s="1810"/>
      <c r="Q425" s="1810"/>
      <c r="R425" s="1810"/>
      <c r="S425" s="1810"/>
      <c r="T425" s="1810"/>
      <c r="U425" s="1805"/>
      <c r="V425" s="1168" t="s">
        <v>751</v>
      </c>
      <c r="W425" s="1169" t="s">
        <v>752</v>
      </c>
      <c r="X425" s="1168" t="s">
        <v>751</v>
      </c>
      <c r="Y425" s="1169" t="s">
        <v>752</v>
      </c>
      <c r="Z425" s="1177" t="s">
        <v>753</v>
      </c>
      <c r="AA425" s="1177" t="s">
        <v>754</v>
      </c>
      <c r="AB425" s="1177" t="s">
        <v>753</v>
      </c>
      <c r="AC425" s="1177" t="s">
        <v>754</v>
      </c>
      <c r="AD425" s="1177" t="s">
        <v>753</v>
      </c>
      <c r="AE425" s="1177" t="s">
        <v>754</v>
      </c>
    </row>
    <row r="426" spans="1:31" ht="29.25" thickBot="1">
      <c r="A426" s="390" t="s">
        <v>499</v>
      </c>
      <c r="B426" s="391" t="s">
        <v>500</v>
      </c>
      <c r="C426" s="391" t="s">
        <v>538</v>
      </c>
      <c r="D426" s="391" t="s">
        <v>560</v>
      </c>
      <c r="E426" s="391" t="s">
        <v>562</v>
      </c>
      <c r="F426" s="391" t="s">
        <v>574</v>
      </c>
      <c r="G426" s="1206" t="s">
        <v>778</v>
      </c>
      <c r="H426" s="1206" t="s">
        <v>578</v>
      </c>
      <c r="I426" s="1207" t="s">
        <v>580</v>
      </c>
      <c r="J426" s="1206" t="s">
        <v>582</v>
      </c>
      <c r="K426" s="1208" t="s">
        <v>584</v>
      </c>
      <c r="L426" s="1206" t="s">
        <v>586</v>
      </c>
      <c r="M426" s="1208" t="s">
        <v>590</v>
      </c>
      <c r="N426" s="401" t="s">
        <v>499</v>
      </c>
      <c r="O426" s="402" t="s">
        <v>500</v>
      </c>
      <c r="P426" s="402" t="s">
        <v>538</v>
      </c>
      <c r="Q426" s="402" t="s">
        <v>560</v>
      </c>
      <c r="R426" s="402" t="s">
        <v>562</v>
      </c>
      <c r="S426" s="402" t="s">
        <v>574</v>
      </c>
      <c r="T426" s="403" t="s">
        <v>779</v>
      </c>
      <c r="U426" s="1134" t="s">
        <v>578</v>
      </c>
      <c r="V426" s="1134" t="s">
        <v>580</v>
      </c>
      <c r="W426" s="1134" t="s">
        <v>582</v>
      </c>
      <c r="X426" s="1134" t="s">
        <v>584</v>
      </c>
      <c r="Y426" s="1134" t="s">
        <v>586</v>
      </c>
      <c r="Z426" s="1134" t="s">
        <v>590</v>
      </c>
      <c r="AA426" s="1134" t="s">
        <v>755</v>
      </c>
      <c r="AB426" s="1134" t="s">
        <v>780</v>
      </c>
      <c r="AC426" s="1134" t="s">
        <v>781</v>
      </c>
      <c r="AD426" s="1134" t="s">
        <v>782</v>
      </c>
      <c r="AE426" s="1135" t="s">
        <v>783</v>
      </c>
    </row>
    <row r="427" spans="1:31" ht="16.5" thickBot="1">
      <c r="A427" s="394" t="s">
        <v>1043</v>
      </c>
      <c r="B427" s="395" t="s">
        <v>1881</v>
      </c>
      <c r="C427" s="395" t="s">
        <v>1882</v>
      </c>
      <c r="D427" s="395" t="s">
        <v>1224</v>
      </c>
      <c r="E427" s="395" t="s">
        <v>756</v>
      </c>
      <c r="F427" s="395" t="s">
        <v>974</v>
      </c>
      <c r="G427" s="408">
        <f>+J427+K427</f>
        <v>2069108.4</v>
      </c>
      <c r="H427" s="408"/>
      <c r="I427" s="408"/>
      <c r="J427" s="408">
        <v>1724257</v>
      </c>
      <c r="K427" s="724">
        <f>+J427*0.2</f>
        <v>344851.4</v>
      </c>
      <c r="L427" s="408"/>
      <c r="M427" s="724"/>
      <c r="N427" s="394" t="s">
        <v>1883</v>
      </c>
      <c r="O427" s="395" t="s">
        <v>1884</v>
      </c>
      <c r="P427" s="395" t="s">
        <v>1885</v>
      </c>
      <c r="Q427" s="395" t="s">
        <v>1640</v>
      </c>
      <c r="R427" s="395" t="s">
        <v>1344</v>
      </c>
      <c r="S427" s="395" t="s">
        <v>997</v>
      </c>
      <c r="T427" s="396">
        <f>+Z427+AA427</f>
        <v>350054.40000000002</v>
      </c>
      <c r="U427" s="408"/>
      <c r="V427" s="408"/>
      <c r="W427" s="408">
        <v>0</v>
      </c>
      <c r="X427" s="408"/>
      <c r="Y427" s="408"/>
      <c r="Z427" s="408">
        <v>291712</v>
      </c>
      <c r="AA427" s="750">
        <f>+Z427*0.2</f>
        <v>58342.400000000001</v>
      </c>
      <c r="AB427" s="408"/>
      <c r="AC427" s="408"/>
      <c r="AD427" s="408"/>
      <c r="AE427" s="724"/>
    </row>
    <row r="428" spans="1:31" ht="16.5" thickBot="1">
      <c r="A428" s="1795" t="s">
        <v>757</v>
      </c>
      <c r="B428" s="1796"/>
      <c r="C428" s="1796"/>
      <c r="D428" s="1796"/>
      <c r="E428" s="1796"/>
      <c r="F428" s="1797"/>
      <c r="G428" s="911">
        <f>SUM(G427)</f>
        <v>2069108.4</v>
      </c>
      <c r="H428" s="911">
        <f t="shared" ref="H428:M428" si="71">SUM(H427)</f>
        <v>0</v>
      </c>
      <c r="I428" s="911">
        <f t="shared" si="71"/>
        <v>0</v>
      </c>
      <c r="J428" s="911">
        <f t="shared" si="71"/>
        <v>1724257</v>
      </c>
      <c r="K428" s="911">
        <f t="shared" si="71"/>
        <v>344851.4</v>
      </c>
      <c r="L428" s="911">
        <f t="shared" si="71"/>
        <v>0</v>
      </c>
      <c r="M428" s="911">
        <f t="shared" si="71"/>
        <v>0</v>
      </c>
      <c r="N428" s="394" t="s">
        <v>1886</v>
      </c>
      <c r="O428" s="395" t="s">
        <v>1887</v>
      </c>
      <c r="P428" s="395" t="s">
        <v>1888</v>
      </c>
      <c r="Q428" s="395" t="s">
        <v>1889</v>
      </c>
      <c r="R428" s="395" t="s">
        <v>1349</v>
      </c>
      <c r="S428" s="395" t="s">
        <v>1648</v>
      </c>
      <c r="T428" s="396">
        <f>+Z428+AA428</f>
        <v>500000.4</v>
      </c>
      <c r="U428" s="408"/>
      <c r="V428" s="408"/>
      <c r="W428" s="408">
        <v>0</v>
      </c>
      <c r="X428" s="408"/>
      <c r="Y428" s="408"/>
      <c r="Z428" s="408">
        <v>416667</v>
      </c>
      <c r="AA428" s="750">
        <f>+Z428*0.2</f>
        <v>83333.400000000009</v>
      </c>
      <c r="AB428" s="408"/>
      <c r="AC428" s="408"/>
      <c r="AD428" s="408"/>
      <c r="AE428" s="724"/>
    </row>
    <row r="429" spans="1:31" ht="16.5" thickBot="1">
      <c r="A429" s="1798" t="s">
        <v>758</v>
      </c>
      <c r="B429" s="1799"/>
      <c r="C429" s="1799"/>
      <c r="D429" s="1799"/>
      <c r="E429" s="1799"/>
      <c r="F429" s="1799"/>
      <c r="G429" s="1799"/>
      <c r="H429" s="1136" t="s">
        <v>759</v>
      </c>
      <c r="I429" s="1154" t="s">
        <v>760</v>
      </c>
      <c r="J429" s="1136" t="s">
        <v>761</v>
      </c>
      <c r="K429" s="1137" t="s">
        <v>762</v>
      </c>
      <c r="L429" s="1136" t="s">
        <v>763</v>
      </c>
      <c r="M429" s="1137" t="s">
        <v>764</v>
      </c>
      <c r="N429" s="394" t="s">
        <v>1890</v>
      </c>
      <c r="O429" s="395" t="s">
        <v>1891</v>
      </c>
      <c r="P429" s="395" t="s">
        <v>1892</v>
      </c>
      <c r="Q429" s="395" t="s">
        <v>1893</v>
      </c>
      <c r="R429" s="395" t="s">
        <v>756</v>
      </c>
      <c r="S429" s="395" t="s">
        <v>972</v>
      </c>
      <c r="T429" s="396">
        <f>+Z429+AA429</f>
        <v>60000</v>
      </c>
      <c r="U429" s="408"/>
      <c r="V429" s="408"/>
      <c r="W429" s="408">
        <v>0</v>
      </c>
      <c r="X429" s="408"/>
      <c r="Y429" s="408"/>
      <c r="Z429" s="408">
        <v>50000</v>
      </c>
      <c r="AA429" s="750">
        <f>+Z429*0.2</f>
        <v>10000</v>
      </c>
      <c r="AB429" s="408"/>
      <c r="AC429" s="408"/>
      <c r="AD429" s="408"/>
      <c r="AE429" s="724"/>
    </row>
    <row r="430" spans="1:31" ht="15.75">
      <c r="A430" s="381"/>
      <c r="B430" s="381"/>
      <c r="C430" s="381"/>
      <c r="D430" s="381"/>
      <c r="E430" s="381"/>
      <c r="F430" s="381"/>
      <c r="G430" s="1129"/>
      <c r="H430" s="1129"/>
      <c r="I430" s="1129"/>
      <c r="J430" s="1129"/>
      <c r="K430" s="1129"/>
      <c r="L430" s="1129"/>
      <c r="M430" s="1129"/>
      <c r="N430" s="394" t="s">
        <v>1894</v>
      </c>
      <c r="O430" s="395" t="s">
        <v>1895</v>
      </c>
      <c r="P430" s="395" t="s">
        <v>1896</v>
      </c>
      <c r="Q430" s="395" t="s">
        <v>1897</v>
      </c>
      <c r="R430" s="395" t="s">
        <v>756</v>
      </c>
      <c r="S430" s="395" t="s">
        <v>1664</v>
      </c>
      <c r="T430" s="396">
        <f>+Z430+AA430</f>
        <v>316828.79999999999</v>
      </c>
      <c r="U430" s="408"/>
      <c r="V430" s="408"/>
      <c r="W430" s="408">
        <v>0</v>
      </c>
      <c r="X430" s="408"/>
      <c r="Y430" s="408"/>
      <c r="Z430" s="408">
        <v>264024</v>
      </c>
      <c r="AA430" s="750">
        <f>+Z430*0.2</f>
        <v>52804.800000000003</v>
      </c>
      <c r="AB430" s="408"/>
      <c r="AC430" s="408"/>
      <c r="AD430" s="408"/>
      <c r="AE430" s="724"/>
    </row>
    <row r="431" spans="1:31" ht="16.5" thickBot="1">
      <c r="A431" s="381"/>
      <c r="B431" s="381"/>
      <c r="C431" s="381"/>
      <c r="D431" s="381"/>
      <c r="E431" s="381"/>
      <c r="F431" s="381"/>
      <c r="G431" s="1129"/>
      <c r="H431" s="1129"/>
      <c r="I431" s="1129"/>
      <c r="J431" s="1129"/>
      <c r="K431" s="1129"/>
      <c r="L431" s="1129"/>
      <c r="M431" s="1129"/>
      <c r="N431" s="394" t="s">
        <v>1898</v>
      </c>
      <c r="O431" s="395" t="s">
        <v>1898</v>
      </c>
      <c r="P431" s="395" t="s">
        <v>1899</v>
      </c>
      <c r="Q431" s="395" t="s">
        <v>1900</v>
      </c>
      <c r="R431" s="395" t="s">
        <v>1344</v>
      </c>
      <c r="S431" s="395" t="s">
        <v>1901</v>
      </c>
      <c r="T431" s="396">
        <f>+Z431+AA431</f>
        <v>16786.916400000002</v>
      </c>
      <c r="U431" s="408"/>
      <c r="V431" s="408"/>
      <c r="W431" s="408">
        <v>0</v>
      </c>
      <c r="X431" s="408"/>
      <c r="Y431" s="408"/>
      <c r="Z431" s="408">
        <v>13989.097</v>
      </c>
      <c r="AA431" s="750">
        <f>+Z431*0.2</f>
        <v>2797.8194000000003</v>
      </c>
      <c r="AB431" s="408"/>
      <c r="AC431" s="408"/>
      <c r="AD431" s="408"/>
      <c r="AE431" s="724"/>
    </row>
    <row r="432" spans="1:31" ht="16.5" thickBot="1">
      <c r="A432" s="381"/>
      <c r="B432" s="381"/>
      <c r="C432" s="381"/>
      <c r="D432" s="381"/>
      <c r="E432" s="381"/>
      <c r="F432" s="381"/>
      <c r="G432" s="1129"/>
      <c r="H432" s="1129"/>
      <c r="I432" s="1129"/>
      <c r="J432" s="1138" t="s">
        <v>951</v>
      </c>
      <c r="K432" s="1129"/>
      <c r="L432" s="1129"/>
      <c r="M432" s="1129"/>
      <c r="N432" s="1795" t="s">
        <v>757</v>
      </c>
      <c r="O432" s="1796"/>
      <c r="P432" s="1796"/>
      <c r="Q432" s="1796"/>
      <c r="R432" s="1796"/>
      <c r="S432" s="1797"/>
      <c r="T432" s="721">
        <f>SUM(T427:T431)</f>
        <v>1243670.5164000001</v>
      </c>
      <c r="U432" s="721">
        <f t="shared" ref="U432:Z432" si="72">SUM(U427:U431)</f>
        <v>0</v>
      </c>
      <c r="V432" s="721">
        <f t="shared" si="72"/>
        <v>0</v>
      </c>
      <c r="W432" s="721">
        <f t="shared" si="72"/>
        <v>0</v>
      </c>
      <c r="X432" s="721">
        <f t="shared" si="72"/>
        <v>0</v>
      </c>
      <c r="Y432" s="721">
        <f t="shared" si="72"/>
        <v>0</v>
      </c>
      <c r="Z432" s="721">
        <f t="shared" si="72"/>
        <v>1036392.097</v>
      </c>
      <c r="AA432" s="721">
        <f>SUM(AA427:AA431)</f>
        <v>207278.41940000004</v>
      </c>
      <c r="AB432" s="721">
        <f>SUM(AB427:AB431)</f>
        <v>0</v>
      </c>
      <c r="AC432" s="721">
        <f>SUM(AC427:AC431)</f>
        <v>0</v>
      </c>
      <c r="AD432" s="721">
        <f>SUM(AD427:AD431)</f>
        <v>0</v>
      </c>
      <c r="AE432" s="721">
        <f>SUM(AE427:AE431)</f>
        <v>0</v>
      </c>
    </row>
    <row r="433" spans="1:31" ht="16.5" thickBot="1">
      <c r="A433" s="381"/>
      <c r="B433" s="381"/>
      <c r="C433" s="381"/>
      <c r="D433" s="381"/>
      <c r="E433" s="381"/>
      <c r="F433" s="381"/>
      <c r="G433" s="1129"/>
      <c r="H433" s="1129"/>
      <c r="I433" s="1129"/>
      <c r="J433" s="1129"/>
      <c r="K433" s="1129"/>
      <c r="L433" s="1129"/>
      <c r="M433" s="1129"/>
      <c r="N433" s="1798" t="s">
        <v>758</v>
      </c>
      <c r="O433" s="1799"/>
      <c r="P433" s="1799"/>
      <c r="Q433" s="1799"/>
      <c r="R433" s="1799"/>
      <c r="S433" s="1799"/>
      <c r="T433" s="1799"/>
      <c r="U433" s="1136" t="s">
        <v>765</v>
      </c>
      <c r="V433" s="1136" t="s">
        <v>766</v>
      </c>
      <c r="W433" s="1136" t="s">
        <v>767</v>
      </c>
      <c r="X433" s="1136" t="s">
        <v>768</v>
      </c>
      <c r="Y433" s="1136" t="s">
        <v>769</v>
      </c>
      <c r="Z433" s="1136" t="s">
        <v>786</v>
      </c>
      <c r="AA433" s="1136" t="s">
        <v>787</v>
      </c>
      <c r="AB433" s="1136" t="s">
        <v>788</v>
      </c>
      <c r="AC433" s="1136" t="s">
        <v>789</v>
      </c>
      <c r="AD433" s="1136" t="s">
        <v>790</v>
      </c>
      <c r="AE433" s="1137" t="s">
        <v>791</v>
      </c>
    </row>
    <row r="434" spans="1:31" ht="15.75">
      <c r="A434" s="381" t="s">
        <v>793</v>
      </c>
      <c r="B434" s="381"/>
      <c r="C434" s="381"/>
      <c r="D434" s="381"/>
      <c r="E434" s="381"/>
      <c r="F434" s="381"/>
      <c r="G434" s="1129"/>
      <c r="H434" s="1129"/>
      <c r="I434" s="1129"/>
      <c r="J434" s="1129"/>
      <c r="K434" s="1129"/>
      <c r="L434" s="1129"/>
      <c r="M434" s="1129"/>
      <c r="N434" s="381"/>
      <c r="O434" s="381"/>
      <c r="P434" s="381"/>
      <c r="Q434" s="381"/>
      <c r="R434" s="381"/>
      <c r="S434" s="381"/>
      <c r="T434" s="381"/>
      <c r="U434" s="1129"/>
      <c r="V434" s="1129"/>
      <c r="W434" s="1129"/>
      <c r="X434" s="1129"/>
      <c r="Y434" s="1129"/>
      <c r="Z434" s="1129"/>
      <c r="AA434" s="1129"/>
      <c r="AB434" s="1129"/>
      <c r="AC434" s="1129"/>
      <c r="AD434" s="1129"/>
      <c r="AE434" s="1129"/>
    </row>
    <row r="435" spans="1:31" ht="15.75">
      <c r="A435" s="381" t="s">
        <v>785</v>
      </c>
      <c r="B435" s="381"/>
      <c r="C435" s="381"/>
      <c r="D435" s="381"/>
      <c r="E435" s="381"/>
      <c r="F435" s="381"/>
      <c r="G435" s="1129"/>
      <c r="H435" s="1129"/>
      <c r="I435" s="1129"/>
      <c r="J435" s="1129"/>
      <c r="K435" s="1129"/>
      <c r="L435" s="1129"/>
      <c r="M435" s="1129"/>
      <c r="N435" s="381"/>
      <c r="O435" s="381"/>
      <c r="P435" s="381"/>
      <c r="Q435" s="381"/>
      <c r="R435" s="381"/>
      <c r="S435" s="381"/>
      <c r="T435" s="381"/>
      <c r="U435" s="1129"/>
      <c r="V435" s="1129"/>
      <c r="W435" s="1129"/>
      <c r="X435" s="1129"/>
      <c r="Y435" s="1129"/>
      <c r="Z435" s="1129"/>
      <c r="AA435" s="1129"/>
      <c r="AB435" s="1129"/>
      <c r="AC435" s="1129"/>
      <c r="AD435" s="1129"/>
      <c r="AE435" s="1129"/>
    </row>
    <row r="436" spans="1:31" ht="15.75">
      <c r="A436" s="381" t="s">
        <v>792</v>
      </c>
      <c r="B436"/>
      <c r="C436"/>
      <c r="D436"/>
      <c r="E436"/>
      <c r="F436"/>
      <c r="G436" s="85"/>
      <c r="H436" s="85"/>
      <c r="I436" s="85"/>
      <c r="J436" s="85"/>
      <c r="K436" s="1129"/>
      <c r="L436" s="1129"/>
      <c r="M436" s="1129"/>
      <c r="N436" s="381"/>
      <c r="O436" s="381"/>
      <c r="P436" s="381"/>
      <c r="Q436" s="381"/>
      <c r="R436" s="381"/>
      <c r="S436" s="381"/>
      <c r="T436" s="381"/>
      <c r="U436" s="1129"/>
      <c r="V436" s="1129"/>
      <c r="W436" s="1129"/>
      <c r="X436" s="1129"/>
      <c r="Y436" s="1129"/>
      <c r="Z436" s="1129"/>
      <c r="AA436" s="1129"/>
      <c r="AB436" s="1129"/>
      <c r="AC436" s="1129"/>
      <c r="AD436" s="1138" t="s">
        <v>952</v>
      </c>
      <c r="AE436" s="1129"/>
    </row>
    <row r="437" spans="1:31" ht="15.75">
      <c r="A437" s="381"/>
      <c r="B437" s="381"/>
      <c r="C437" s="381"/>
      <c r="D437" s="381"/>
      <c r="E437" s="381"/>
      <c r="F437" s="381"/>
      <c r="G437" s="1129"/>
      <c r="H437" s="1129"/>
      <c r="I437" s="1129"/>
      <c r="J437" s="1129"/>
      <c r="K437" s="1129"/>
      <c r="L437" s="1129"/>
      <c r="M437" s="1129"/>
      <c r="N437" s="381"/>
      <c r="O437" s="381"/>
      <c r="P437" s="381"/>
      <c r="Q437" s="381"/>
      <c r="R437" s="381"/>
      <c r="S437" s="381"/>
      <c r="T437" s="381"/>
      <c r="U437" s="1129"/>
      <c r="V437" s="1129"/>
      <c r="W437" s="1129"/>
      <c r="X437" s="1129"/>
      <c r="Y437" s="1129"/>
      <c r="Z437" s="1129"/>
      <c r="AA437" s="1129"/>
      <c r="AB437" s="1129"/>
      <c r="AC437" s="1129"/>
      <c r="AD437" s="1138"/>
      <c r="AE437" s="1129"/>
    </row>
    <row r="438" spans="1:31" ht="15.75">
      <c r="A438" s="381"/>
      <c r="B438" s="381"/>
      <c r="C438" s="381"/>
      <c r="D438" s="381"/>
      <c r="E438" s="381"/>
      <c r="F438" s="381"/>
      <c r="G438" s="1129"/>
      <c r="H438" s="1129"/>
      <c r="I438" s="1129"/>
      <c r="J438" s="1129"/>
      <c r="K438" s="1129"/>
      <c r="L438" s="1129"/>
      <c r="M438" s="1129"/>
      <c r="N438" s="381" t="s">
        <v>793</v>
      </c>
      <c r="O438" s="381"/>
      <c r="P438" s="381"/>
      <c r="Q438" s="381"/>
      <c r="R438" s="381"/>
      <c r="S438" s="381"/>
      <c r="T438" s="381"/>
      <c r="U438" s="1129"/>
      <c r="V438" s="1129"/>
      <c r="W438" s="1129"/>
      <c r="X438" s="1129"/>
      <c r="Y438" s="1129"/>
      <c r="Z438" s="1129"/>
      <c r="AA438" s="1129"/>
      <c r="AB438" s="1129"/>
      <c r="AC438" s="1129"/>
      <c r="AD438" s="1129"/>
      <c r="AE438" s="1129"/>
    </row>
    <row r="439" spans="1:31" ht="15.75">
      <c r="A439" s="381"/>
      <c r="B439" s="381"/>
      <c r="C439" s="381"/>
      <c r="D439" s="381"/>
      <c r="E439" s="381"/>
      <c r="F439" s="381"/>
      <c r="G439" s="1129"/>
      <c r="H439" s="1129"/>
      <c r="I439" s="1129"/>
      <c r="J439" s="1129"/>
      <c r="K439" s="1129"/>
      <c r="L439" s="1129"/>
      <c r="M439" s="1129"/>
      <c r="N439" s="381" t="s">
        <v>785</v>
      </c>
      <c r="O439" s="381"/>
      <c r="P439" s="381"/>
      <c r="Q439" s="381"/>
      <c r="R439" s="381"/>
      <c r="S439" s="381"/>
      <c r="T439" s="381"/>
      <c r="U439" s="1129"/>
      <c r="V439" s="1129"/>
      <c r="W439" s="1129"/>
      <c r="X439" s="1129"/>
      <c r="Y439" s="1129"/>
      <c r="Z439" s="1129"/>
      <c r="AA439" s="1129"/>
      <c r="AB439" s="1129"/>
      <c r="AC439" s="1129"/>
      <c r="AD439" s="1129"/>
      <c r="AE439" s="1129"/>
    </row>
    <row r="440" spans="1:31" ht="15.75">
      <c r="A440" s="381"/>
      <c r="B440" s="381"/>
      <c r="C440" s="381"/>
      <c r="D440" s="381"/>
      <c r="E440" s="381"/>
      <c r="F440" s="381"/>
      <c r="G440" s="1129"/>
      <c r="H440" s="1129"/>
      <c r="I440" s="1129"/>
      <c r="J440" s="1129"/>
      <c r="K440" s="1129"/>
      <c r="L440" s="1129"/>
      <c r="M440" s="1129"/>
      <c r="N440" s="381" t="s">
        <v>792</v>
      </c>
      <c r="O440"/>
      <c r="P440"/>
      <c r="Q440"/>
      <c r="R440"/>
      <c r="S440"/>
      <c r="T440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</row>
    <row r="441" spans="1:31">
      <c r="G441" s="85"/>
      <c r="H441" s="85"/>
      <c r="I441" s="85"/>
      <c r="J441" s="85"/>
      <c r="K441" s="85"/>
      <c r="L441" s="85"/>
      <c r="M441" s="85"/>
      <c r="T441" s="85"/>
      <c r="U441" s="85"/>
      <c r="V441" s="85"/>
      <c r="W441" s="85"/>
      <c r="X441" s="85"/>
      <c r="Y441" s="85"/>
      <c r="Z441" s="85"/>
      <c r="AA441" s="85"/>
      <c r="AB441"/>
      <c r="AC441"/>
      <c r="AD441"/>
      <c r="AE441"/>
    </row>
    <row r="442" spans="1:31">
      <c r="G442" s="85"/>
      <c r="H442" s="85"/>
      <c r="I442" s="85"/>
      <c r="J442" s="85"/>
      <c r="K442" s="85"/>
      <c r="L442" s="85"/>
      <c r="M442" s="85"/>
      <c r="T442" s="85"/>
      <c r="U442" s="85"/>
      <c r="V442" s="85"/>
      <c r="W442" s="85"/>
      <c r="X442" s="85"/>
      <c r="Y442" s="85"/>
      <c r="Z442" s="85"/>
      <c r="AA442" s="85"/>
      <c r="AB442"/>
      <c r="AC442"/>
      <c r="AD442"/>
      <c r="AE442"/>
    </row>
    <row r="443" spans="1:31">
      <c r="G443" s="85"/>
      <c r="H443" s="85"/>
      <c r="I443" s="85"/>
      <c r="J443" s="85"/>
      <c r="K443" s="85"/>
      <c r="L443" s="85"/>
      <c r="M443" s="85"/>
      <c r="T443" s="85"/>
      <c r="U443" s="85"/>
      <c r="V443" s="85"/>
      <c r="W443" s="85"/>
      <c r="X443" s="85"/>
      <c r="Y443" s="85"/>
      <c r="Z443" s="85"/>
      <c r="AA443" s="85"/>
      <c r="AB443"/>
      <c r="AC443"/>
      <c r="AD443"/>
      <c r="AE443"/>
    </row>
    <row r="444" spans="1:31">
      <c r="G444" s="85"/>
      <c r="H444" s="85"/>
      <c r="I444" s="85"/>
      <c r="J444" s="85"/>
      <c r="K444" s="85"/>
      <c r="L444" s="85"/>
      <c r="M444" s="85"/>
      <c r="T444" s="85"/>
      <c r="U444" s="85"/>
      <c r="V444" s="85"/>
      <c r="W444" s="85"/>
      <c r="X444" s="85"/>
      <c r="Y444" s="85"/>
      <c r="Z444" s="85"/>
      <c r="AA444" s="85"/>
      <c r="AB444"/>
      <c r="AC444"/>
      <c r="AD444"/>
      <c r="AE444"/>
    </row>
    <row r="445" spans="1:31">
      <c r="G445" s="85"/>
      <c r="H445" s="85"/>
      <c r="I445" s="85"/>
      <c r="J445" s="85"/>
      <c r="K445" s="85"/>
      <c r="L445" s="85"/>
      <c r="M445" s="85"/>
      <c r="T445" s="85"/>
      <c r="U445" s="85"/>
      <c r="V445" s="85"/>
      <c r="W445" s="85"/>
      <c r="X445" s="85"/>
      <c r="Y445" s="85"/>
      <c r="Z445" s="85"/>
      <c r="AA445" s="85"/>
      <c r="AB445"/>
      <c r="AC445"/>
      <c r="AD445"/>
      <c r="AE445"/>
    </row>
    <row r="446" spans="1:31">
      <c r="G446" s="85"/>
      <c r="H446" s="85"/>
      <c r="I446" s="85"/>
      <c r="J446" s="85"/>
      <c r="K446" s="85"/>
      <c r="L446" s="85"/>
      <c r="M446" s="85"/>
      <c r="T446" s="85"/>
      <c r="U446" s="85"/>
      <c r="V446" s="85"/>
      <c r="W446" s="85"/>
      <c r="X446" s="85"/>
      <c r="Y446" s="85"/>
      <c r="Z446" s="85"/>
      <c r="AA446" s="85"/>
      <c r="AB446"/>
      <c r="AC446"/>
      <c r="AD446"/>
      <c r="AE446"/>
    </row>
    <row r="447" spans="1:31">
      <c r="G447" s="85"/>
      <c r="H447" s="85"/>
      <c r="I447" s="85"/>
      <c r="J447" s="85"/>
      <c r="K447" s="85"/>
      <c r="L447" s="85"/>
      <c r="M447" s="85"/>
      <c r="T447" s="85"/>
      <c r="U447" s="85"/>
      <c r="V447" s="85"/>
      <c r="W447" s="85"/>
      <c r="X447" s="85"/>
      <c r="Y447" s="85"/>
      <c r="Z447" s="85"/>
      <c r="AA447" s="85"/>
      <c r="AB447"/>
      <c r="AC447"/>
      <c r="AD447"/>
      <c r="AE447"/>
    </row>
    <row r="448" spans="1:31">
      <c r="G448" s="85"/>
      <c r="H448" s="85"/>
      <c r="I448" s="85"/>
      <c r="J448" s="85"/>
      <c r="K448" s="85"/>
      <c r="L448" s="85"/>
      <c r="M448" s="85"/>
      <c r="T448" s="85"/>
      <c r="U448" s="85"/>
      <c r="V448" s="85"/>
      <c r="W448" s="85"/>
      <c r="X448" s="85"/>
      <c r="Y448" s="85"/>
      <c r="Z448" s="85"/>
      <c r="AA448" s="85"/>
      <c r="AB448"/>
      <c r="AC448"/>
      <c r="AD448"/>
      <c r="AE448"/>
    </row>
    <row r="449" spans="7:31">
      <c r="G449" s="85"/>
      <c r="H449" s="85"/>
      <c r="I449" s="85"/>
      <c r="J449" s="85"/>
      <c r="K449" s="85"/>
      <c r="L449" s="85"/>
      <c r="M449" s="85"/>
      <c r="T449" s="85"/>
      <c r="U449" s="85"/>
      <c r="V449" s="85"/>
      <c r="W449" s="85"/>
      <c r="X449" s="85"/>
      <c r="Y449" s="85"/>
      <c r="Z449" s="85"/>
      <c r="AA449" s="85"/>
      <c r="AB449"/>
      <c r="AC449"/>
      <c r="AD449"/>
      <c r="AE449"/>
    </row>
    <row r="450" spans="7:31">
      <c r="G450" s="85"/>
      <c r="H450" s="85"/>
      <c r="I450" s="85"/>
      <c r="J450" s="85"/>
      <c r="K450" s="85"/>
      <c r="L450" s="85"/>
      <c r="M450" s="85"/>
      <c r="T450" s="85"/>
      <c r="U450" s="85"/>
      <c r="V450" s="85"/>
      <c r="W450" s="85"/>
      <c r="X450" s="85"/>
      <c r="Y450" s="85"/>
      <c r="Z450" s="85"/>
      <c r="AA450" s="85"/>
      <c r="AB450"/>
      <c r="AC450"/>
      <c r="AD450"/>
      <c r="AE450"/>
    </row>
    <row r="451" spans="7:31">
      <c r="G451" s="85"/>
      <c r="H451" s="85"/>
      <c r="I451" s="85"/>
      <c r="J451" s="85"/>
      <c r="K451" s="85"/>
      <c r="L451" s="85"/>
      <c r="M451" s="85"/>
      <c r="T451" s="85"/>
      <c r="U451" s="85"/>
      <c r="V451" s="85"/>
      <c r="W451" s="85"/>
      <c r="X451" s="85"/>
      <c r="Y451" s="85"/>
      <c r="Z451" s="85"/>
      <c r="AA451" s="85"/>
      <c r="AB451"/>
      <c r="AC451"/>
      <c r="AD451"/>
      <c r="AE451"/>
    </row>
    <row r="452" spans="7:31">
      <c r="G452" s="85"/>
      <c r="H452" s="85"/>
      <c r="I452" s="85"/>
      <c r="J452" s="85"/>
      <c r="K452" s="85"/>
      <c r="L452" s="85"/>
      <c r="M452" s="85"/>
      <c r="T452" s="85"/>
      <c r="U452" s="85"/>
      <c r="V452" s="85"/>
      <c r="W452" s="85"/>
      <c r="X452" s="85"/>
      <c r="Y452" s="85"/>
      <c r="Z452" s="85"/>
      <c r="AA452" s="85"/>
      <c r="AB452"/>
      <c r="AC452"/>
      <c r="AD452"/>
      <c r="AE452"/>
    </row>
    <row r="453" spans="7:31">
      <c r="G453" s="85"/>
      <c r="H453" s="85"/>
      <c r="I453" s="85"/>
      <c r="J453" s="85"/>
      <c r="K453" s="85"/>
      <c r="L453" s="85"/>
      <c r="M453" s="85"/>
      <c r="T453" s="85"/>
      <c r="U453" s="85"/>
      <c r="V453" s="85"/>
      <c r="W453" s="85"/>
      <c r="X453" s="85"/>
      <c r="Y453" s="85"/>
      <c r="Z453" s="85"/>
      <c r="AA453" s="85"/>
      <c r="AB453"/>
      <c r="AC453"/>
      <c r="AD453"/>
      <c r="AE453"/>
    </row>
    <row r="454" spans="7:31">
      <c r="G454" s="85"/>
      <c r="H454" s="85"/>
      <c r="I454" s="85"/>
      <c r="J454" s="85"/>
      <c r="K454" s="85"/>
      <c r="L454" s="85"/>
      <c r="M454" s="85"/>
      <c r="T454" s="85"/>
      <c r="U454" s="85"/>
      <c r="V454" s="85"/>
      <c r="W454" s="85"/>
      <c r="X454" s="85"/>
      <c r="Y454" s="85"/>
      <c r="Z454" s="85"/>
      <c r="AA454" s="85"/>
      <c r="AB454"/>
      <c r="AC454"/>
      <c r="AD454"/>
      <c r="AE454"/>
    </row>
    <row r="455" spans="7:31">
      <c r="G455" s="85"/>
      <c r="H455" s="85"/>
      <c r="I455" s="85"/>
      <c r="J455" s="85"/>
      <c r="K455" s="85"/>
      <c r="L455" s="85"/>
      <c r="M455" s="85"/>
      <c r="T455" s="85"/>
      <c r="U455" s="85"/>
      <c r="V455" s="85"/>
      <c r="W455" s="85"/>
      <c r="X455" s="85"/>
      <c r="Y455" s="85"/>
      <c r="Z455" s="85"/>
      <c r="AA455" s="85"/>
      <c r="AB455"/>
      <c r="AC455"/>
      <c r="AD455"/>
      <c r="AE455"/>
    </row>
    <row r="456" spans="7:31">
      <c r="G456" s="85"/>
      <c r="H456" s="85"/>
      <c r="I456" s="85"/>
      <c r="J456" s="85"/>
      <c r="K456" s="85"/>
      <c r="L456" s="85"/>
      <c r="M456" s="85"/>
      <c r="T456" s="85"/>
      <c r="U456" s="85"/>
      <c r="V456" s="85"/>
      <c r="W456" s="85"/>
      <c r="X456" s="85"/>
      <c r="Y456" s="85"/>
      <c r="Z456" s="85"/>
      <c r="AA456" s="85"/>
      <c r="AB456"/>
      <c r="AC456"/>
      <c r="AD456"/>
      <c r="AE456"/>
    </row>
    <row r="457" spans="7:31">
      <c r="G457" s="85"/>
      <c r="H457" s="85"/>
      <c r="I457" s="85"/>
      <c r="J457" s="85"/>
      <c r="K457" s="85"/>
      <c r="L457" s="85"/>
      <c r="M457" s="85"/>
      <c r="T457" s="85"/>
      <c r="U457" s="85"/>
      <c r="V457" s="85"/>
      <c r="W457" s="85"/>
      <c r="X457" s="85"/>
      <c r="Y457" s="85"/>
      <c r="Z457" s="85"/>
      <c r="AA457" s="85"/>
      <c r="AB457"/>
      <c r="AC457"/>
      <c r="AD457"/>
      <c r="AE457"/>
    </row>
    <row r="458" spans="7:31">
      <c r="G458" s="85"/>
      <c r="H458" s="85"/>
      <c r="I458" s="85"/>
      <c r="J458" s="85"/>
      <c r="K458" s="85"/>
      <c r="L458" s="85"/>
      <c r="M458" s="85"/>
      <c r="T458" s="85"/>
      <c r="U458" s="85"/>
      <c r="V458" s="85"/>
      <c r="W458" s="85"/>
      <c r="X458" s="85"/>
      <c r="Y458" s="85"/>
      <c r="Z458" s="85"/>
      <c r="AA458" s="85"/>
      <c r="AB458"/>
      <c r="AC458"/>
      <c r="AD458"/>
      <c r="AE458"/>
    </row>
    <row r="459" spans="7:31">
      <c r="G459" s="85"/>
      <c r="H459" s="85"/>
      <c r="I459" s="85"/>
      <c r="J459" s="85"/>
      <c r="K459" s="85"/>
      <c r="L459" s="85"/>
      <c r="M459" s="85"/>
      <c r="T459" s="85"/>
      <c r="U459" s="85"/>
      <c r="V459" s="85"/>
      <c r="W459" s="85"/>
      <c r="X459" s="85"/>
      <c r="Y459" s="85"/>
      <c r="Z459" s="85"/>
      <c r="AA459" s="85"/>
      <c r="AB459"/>
      <c r="AC459"/>
      <c r="AD459"/>
      <c r="AE459"/>
    </row>
    <row r="460" spans="7:31">
      <c r="G460" s="85"/>
      <c r="H460" s="85"/>
      <c r="I460" s="85"/>
      <c r="J460" s="85"/>
      <c r="K460" s="85"/>
      <c r="L460" s="85"/>
      <c r="M460" s="85"/>
      <c r="T460" s="85"/>
      <c r="U460" s="85"/>
      <c r="V460" s="85"/>
      <c r="W460" s="85"/>
      <c r="X460" s="85"/>
      <c r="Y460" s="85"/>
      <c r="Z460" s="85"/>
      <c r="AA460" s="85"/>
      <c r="AB460"/>
      <c r="AC460"/>
      <c r="AD460"/>
      <c r="AE460"/>
    </row>
    <row r="461" spans="7:31">
      <c r="G461" s="85"/>
      <c r="H461" s="85"/>
      <c r="I461" s="85"/>
      <c r="J461" s="85"/>
      <c r="K461" s="85"/>
      <c r="L461" s="85"/>
      <c r="M461" s="85"/>
      <c r="T461" s="85"/>
      <c r="U461" s="85"/>
      <c r="V461" s="85"/>
      <c r="W461" s="85"/>
      <c r="X461" s="85"/>
      <c r="Y461" s="85"/>
      <c r="Z461" s="85"/>
      <c r="AA461" s="85"/>
      <c r="AB461"/>
      <c r="AC461"/>
      <c r="AD461"/>
      <c r="AE461"/>
    </row>
    <row r="462" spans="7:31">
      <c r="G462" s="85"/>
      <c r="H462" s="85"/>
      <c r="I462" s="85"/>
      <c r="J462" s="85"/>
      <c r="K462" s="85"/>
      <c r="L462" s="85"/>
      <c r="M462" s="85"/>
      <c r="T462" s="85"/>
      <c r="U462" s="85"/>
      <c r="V462" s="85"/>
      <c r="W462" s="85"/>
      <c r="X462" s="85"/>
      <c r="Y462" s="85"/>
      <c r="Z462" s="85"/>
      <c r="AA462" s="85"/>
      <c r="AB462"/>
      <c r="AC462"/>
      <c r="AD462"/>
      <c r="AE462"/>
    </row>
    <row r="463" spans="7:31">
      <c r="G463" s="85"/>
      <c r="H463" s="85"/>
      <c r="I463" s="85"/>
      <c r="J463" s="85"/>
      <c r="K463" s="85"/>
      <c r="L463" s="85"/>
      <c r="M463" s="85"/>
      <c r="T463" s="85"/>
      <c r="U463" s="85"/>
      <c r="V463" s="85"/>
      <c r="W463" s="85"/>
      <c r="X463" s="85"/>
      <c r="Y463" s="85"/>
      <c r="Z463" s="85"/>
      <c r="AA463" s="85"/>
      <c r="AB463"/>
      <c r="AC463"/>
      <c r="AD463"/>
      <c r="AE463"/>
    </row>
    <row r="464" spans="7:31">
      <c r="G464" s="85"/>
      <c r="H464" s="85"/>
      <c r="I464" s="85"/>
      <c r="J464" s="85"/>
      <c r="K464" s="85"/>
      <c r="L464" s="85"/>
      <c r="M464" s="85"/>
      <c r="T464" s="85"/>
      <c r="U464" s="85"/>
      <c r="V464" s="85"/>
      <c r="W464" s="85"/>
      <c r="X464" s="85"/>
      <c r="Y464" s="85"/>
      <c r="Z464" s="85"/>
      <c r="AA464" s="85"/>
      <c r="AB464"/>
      <c r="AC464"/>
      <c r="AD464"/>
      <c r="AE464"/>
    </row>
    <row r="465" spans="7:31">
      <c r="G465" s="85"/>
      <c r="H465" s="85"/>
      <c r="I465" s="85"/>
      <c r="J465" s="85"/>
      <c r="K465" s="85"/>
      <c r="L465" s="85"/>
      <c r="M465" s="85"/>
      <c r="T465" s="85"/>
      <c r="U465" s="85"/>
      <c r="V465" s="85"/>
      <c r="W465" s="85"/>
      <c r="X465" s="85"/>
      <c r="Y465" s="85"/>
      <c r="Z465" s="85"/>
      <c r="AA465" s="85"/>
      <c r="AB465"/>
      <c r="AC465"/>
      <c r="AD465"/>
      <c r="AE465"/>
    </row>
    <row r="466" spans="7:31">
      <c r="G466" s="85"/>
      <c r="H466" s="85"/>
      <c r="I466" s="85"/>
      <c r="J466" s="85"/>
      <c r="K466" s="85"/>
      <c r="L466" s="85"/>
      <c r="M466" s="85"/>
      <c r="T466" s="85"/>
      <c r="U466" s="85"/>
      <c r="V466" s="85"/>
      <c r="W466" s="85"/>
      <c r="X466" s="85"/>
      <c r="Y466" s="85"/>
      <c r="Z466" s="85"/>
      <c r="AA466" s="85"/>
      <c r="AB466"/>
      <c r="AC466"/>
      <c r="AD466"/>
      <c r="AE466"/>
    </row>
    <row r="467" spans="7:31">
      <c r="G467" s="85"/>
      <c r="H467" s="85"/>
      <c r="I467" s="85"/>
      <c r="J467" s="85"/>
      <c r="K467" s="85"/>
      <c r="L467" s="85"/>
      <c r="M467" s="85"/>
      <c r="T467" s="85"/>
      <c r="U467" s="85"/>
      <c r="V467" s="85"/>
      <c r="W467" s="85"/>
      <c r="X467" s="85"/>
      <c r="Y467" s="85"/>
      <c r="Z467" s="85"/>
      <c r="AA467" s="85"/>
      <c r="AB467"/>
      <c r="AC467"/>
      <c r="AD467"/>
      <c r="AE467"/>
    </row>
    <row r="468" spans="7:31">
      <c r="G468" s="85"/>
      <c r="H468" s="85"/>
      <c r="I468" s="85"/>
      <c r="J468" s="85"/>
      <c r="K468" s="85"/>
      <c r="L468" s="85"/>
      <c r="M468" s="85"/>
      <c r="T468" s="85"/>
      <c r="U468" s="85"/>
      <c r="V468" s="85"/>
      <c r="W468" s="85"/>
      <c r="X468" s="85"/>
      <c r="Y468" s="85"/>
      <c r="Z468" s="85"/>
      <c r="AA468" s="85"/>
      <c r="AB468"/>
      <c r="AC468"/>
      <c r="AD468"/>
      <c r="AE468"/>
    </row>
    <row r="469" spans="7:31">
      <c r="G469" s="85"/>
      <c r="H469" s="85"/>
      <c r="I469" s="85"/>
      <c r="J469" s="85"/>
      <c r="K469" s="85"/>
      <c r="L469" s="85"/>
      <c r="M469" s="85"/>
      <c r="T469" s="85"/>
      <c r="U469" s="85"/>
      <c r="V469" s="85"/>
      <c r="W469" s="85"/>
      <c r="X469" s="85"/>
      <c r="Y469" s="85"/>
      <c r="Z469" s="85"/>
      <c r="AA469" s="85"/>
      <c r="AB469"/>
      <c r="AC469"/>
      <c r="AD469"/>
      <c r="AE469"/>
    </row>
    <row r="470" spans="7:31">
      <c r="G470" s="85"/>
      <c r="H470" s="85"/>
      <c r="I470" s="85"/>
      <c r="J470" s="85"/>
      <c r="K470" s="85"/>
      <c r="L470" s="85"/>
      <c r="M470" s="85"/>
      <c r="T470" s="85"/>
      <c r="U470" s="85"/>
      <c r="V470" s="85"/>
      <c r="W470" s="85"/>
      <c r="X470" s="85"/>
      <c r="Y470" s="85"/>
      <c r="Z470" s="85"/>
      <c r="AA470" s="85"/>
      <c r="AB470"/>
      <c r="AC470"/>
      <c r="AD470"/>
      <c r="AE470"/>
    </row>
    <row r="471" spans="7:31">
      <c r="G471" s="85"/>
      <c r="H471" s="85"/>
      <c r="I471" s="85"/>
      <c r="J471" s="85"/>
      <c r="K471" s="85"/>
      <c r="L471" s="85"/>
      <c r="M471" s="85"/>
      <c r="T471" s="85"/>
      <c r="U471" s="85"/>
      <c r="V471" s="85"/>
      <c r="W471" s="85"/>
      <c r="X471" s="85"/>
      <c r="Y471" s="85"/>
      <c r="Z471" s="85"/>
      <c r="AA471" s="85"/>
      <c r="AB471"/>
      <c r="AC471"/>
      <c r="AD471"/>
      <c r="AE471"/>
    </row>
    <row r="472" spans="7:31">
      <c r="G472" s="85"/>
      <c r="H472" s="85"/>
      <c r="I472" s="85"/>
      <c r="J472" s="85"/>
      <c r="K472" s="85"/>
      <c r="L472" s="85"/>
      <c r="M472" s="85"/>
      <c r="T472" s="85"/>
      <c r="U472" s="85"/>
      <c r="V472" s="85"/>
      <c r="W472" s="85"/>
      <c r="X472" s="85"/>
      <c r="Y472" s="85"/>
      <c r="Z472" s="85"/>
      <c r="AA472" s="85"/>
      <c r="AB472"/>
      <c r="AC472"/>
      <c r="AD472"/>
      <c r="AE472"/>
    </row>
    <row r="473" spans="7:31">
      <c r="G473" s="85"/>
      <c r="H473" s="85"/>
      <c r="I473" s="85"/>
      <c r="J473" s="85"/>
      <c r="K473" s="85"/>
      <c r="L473" s="85"/>
      <c r="M473" s="85"/>
      <c r="T473" s="85"/>
      <c r="U473" s="85"/>
      <c r="V473" s="85"/>
      <c r="W473" s="85"/>
      <c r="X473" s="85"/>
      <c r="Y473" s="85"/>
      <c r="Z473" s="85"/>
      <c r="AA473" s="85"/>
      <c r="AB473"/>
      <c r="AC473"/>
      <c r="AD473"/>
      <c r="AE473"/>
    </row>
    <row r="474" spans="7:31">
      <c r="G474" s="85"/>
      <c r="H474" s="85"/>
      <c r="I474" s="85"/>
      <c r="J474" s="85"/>
      <c r="K474" s="85"/>
      <c r="L474" s="85"/>
      <c r="M474" s="85"/>
      <c r="T474" s="85"/>
      <c r="U474" s="85"/>
      <c r="V474" s="85"/>
      <c r="W474" s="85"/>
      <c r="X474" s="85"/>
      <c r="Y474" s="85"/>
      <c r="Z474" s="85"/>
      <c r="AA474" s="85"/>
      <c r="AB474"/>
      <c r="AC474"/>
      <c r="AD474"/>
      <c r="AE474"/>
    </row>
    <row r="475" spans="7:31">
      <c r="G475" s="85"/>
      <c r="H475" s="85"/>
      <c r="I475" s="85"/>
      <c r="J475" s="85"/>
      <c r="K475" s="85"/>
      <c r="L475" s="85"/>
      <c r="M475" s="85"/>
      <c r="T475" s="85"/>
      <c r="U475" s="85"/>
      <c r="V475" s="85"/>
      <c r="W475" s="85"/>
      <c r="X475" s="85"/>
      <c r="Y475" s="85"/>
      <c r="Z475" s="85"/>
      <c r="AA475" s="85"/>
      <c r="AB475"/>
      <c r="AC475"/>
      <c r="AD475"/>
      <c r="AE475"/>
    </row>
    <row r="476" spans="7:31">
      <c r="G476" s="85"/>
      <c r="H476" s="85"/>
      <c r="I476" s="85"/>
      <c r="J476" s="85"/>
      <c r="K476" s="85"/>
      <c r="L476" s="85"/>
      <c r="M476" s="85"/>
      <c r="T476" s="85"/>
      <c r="U476" s="85"/>
      <c r="V476" s="85"/>
      <c r="W476" s="85"/>
      <c r="X476" s="85"/>
      <c r="Y476" s="85"/>
      <c r="Z476" s="85"/>
      <c r="AA476" s="85"/>
      <c r="AB476"/>
      <c r="AC476"/>
      <c r="AD476"/>
      <c r="AE476"/>
    </row>
    <row r="477" spans="7:31">
      <c r="G477" s="85"/>
      <c r="H477" s="85"/>
      <c r="I477" s="85"/>
      <c r="J477" s="85"/>
      <c r="K477" s="85"/>
      <c r="L477" s="85"/>
      <c r="M477" s="85"/>
      <c r="T477" s="85"/>
      <c r="U477" s="85"/>
      <c r="V477" s="85"/>
      <c r="W477" s="85"/>
      <c r="X477" s="85"/>
      <c r="Y477" s="85"/>
      <c r="Z477" s="85"/>
      <c r="AA477" s="85"/>
      <c r="AB477"/>
      <c r="AC477"/>
      <c r="AD477"/>
      <c r="AE477"/>
    </row>
    <row r="478" spans="7:31">
      <c r="G478" s="85"/>
      <c r="H478" s="85"/>
      <c r="I478" s="85"/>
      <c r="J478" s="85"/>
      <c r="K478" s="85"/>
      <c r="L478" s="85"/>
      <c r="M478" s="85"/>
      <c r="T478" s="85"/>
      <c r="U478" s="85"/>
      <c r="V478" s="85"/>
      <c r="W478" s="85"/>
      <c r="X478" s="85"/>
      <c r="Y478" s="85"/>
      <c r="Z478" s="85"/>
      <c r="AA478" s="85"/>
      <c r="AB478"/>
      <c r="AC478"/>
      <c r="AD478"/>
      <c r="AE478"/>
    </row>
    <row r="479" spans="7:31">
      <c r="G479" s="85"/>
      <c r="H479" s="85"/>
      <c r="I479" s="85"/>
      <c r="J479" s="85"/>
      <c r="K479" s="85"/>
      <c r="L479" s="85"/>
      <c r="M479" s="85"/>
      <c r="T479" s="85"/>
      <c r="U479" s="85"/>
      <c r="V479" s="85"/>
      <c r="W479" s="85"/>
      <c r="X479" s="85"/>
      <c r="Y479" s="85"/>
      <c r="Z479" s="85"/>
      <c r="AA479" s="85"/>
      <c r="AB479"/>
      <c r="AC479"/>
      <c r="AD479"/>
      <c r="AE479"/>
    </row>
    <row r="480" spans="7:31">
      <c r="G480" s="85"/>
      <c r="H480" s="85"/>
      <c r="I480" s="85"/>
      <c r="J480" s="85"/>
      <c r="K480" s="85"/>
      <c r="L480" s="85"/>
      <c r="M480" s="85"/>
      <c r="T480" s="85"/>
      <c r="U480" s="85"/>
      <c r="V480" s="85"/>
      <c r="W480" s="85"/>
      <c r="X480" s="85"/>
      <c r="Y480" s="85"/>
      <c r="Z480" s="85"/>
      <c r="AA480" s="85"/>
      <c r="AB480"/>
      <c r="AC480"/>
      <c r="AD480"/>
      <c r="AE480"/>
    </row>
    <row r="481" spans="7:31">
      <c r="G481" s="85"/>
      <c r="H481" s="85"/>
      <c r="I481" s="85"/>
      <c r="J481" s="85"/>
      <c r="K481" s="85"/>
      <c r="L481" s="85"/>
      <c r="M481" s="85"/>
      <c r="T481" s="85"/>
      <c r="U481" s="85"/>
      <c r="V481" s="85"/>
      <c r="W481" s="85"/>
      <c r="X481" s="85"/>
      <c r="Y481" s="85"/>
      <c r="Z481" s="85"/>
      <c r="AA481" s="85"/>
      <c r="AB481"/>
      <c r="AC481"/>
      <c r="AD481"/>
      <c r="AE481"/>
    </row>
    <row r="482" spans="7:31">
      <c r="G482" s="85"/>
      <c r="H482" s="85"/>
      <c r="I482" s="85"/>
      <c r="J482" s="85"/>
      <c r="K482" s="85"/>
      <c r="L482" s="85"/>
      <c r="M482" s="85"/>
      <c r="T482" s="85"/>
      <c r="U482" s="85"/>
      <c r="V482" s="85"/>
      <c r="W482" s="85"/>
      <c r="X482" s="85"/>
      <c r="Y482" s="85"/>
      <c r="Z482" s="85"/>
      <c r="AA482" s="85"/>
      <c r="AB482"/>
      <c r="AC482"/>
      <c r="AD482"/>
      <c r="AE482"/>
    </row>
    <row r="483" spans="7:31">
      <c r="G483" s="85"/>
      <c r="H483" s="85"/>
      <c r="I483" s="85"/>
      <c r="J483" s="85"/>
      <c r="K483" s="85"/>
      <c r="L483" s="85"/>
      <c r="M483" s="85"/>
      <c r="T483" s="85"/>
      <c r="U483" s="85"/>
      <c r="V483" s="85"/>
      <c r="W483" s="85"/>
      <c r="X483" s="85"/>
      <c r="Y483" s="85"/>
      <c r="Z483" s="85"/>
      <c r="AA483" s="85"/>
      <c r="AB483"/>
      <c r="AC483"/>
      <c r="AD483"/>
      <c r="AE483"/>
    </row>
    <row r="484" spans="7:31">
      <c r="G484" s="85"/>
      <c r="H484" s="85"/>
      <c r="I484" s="85"/>
      <c r="J484" s="85"/>
      <c r="K484" s="85"/>
      <c r="L484" s="85"/>
      <c r="M484" s="85"/>
      <c r="T484" s="85"/>
      <c r="U484" s="85"/>
      <c r="V484" s="85"/>
      <c r="W484" s="85"/>
      <c r="X484" s="85"/>
      <c r="Y484" s="85"/>
      <c r="Z484" s="85"/>
      <c r="AA484" s="85"/>
      <c r="AB484"/>
      <c r="AC484"/>
      <c r="AD484"/>
      <c r="AE484"/>
    </row>
    <row r="485" spans="7:31">
      <c r="G485" s="85"/>
      <c r="H485" s="85"/>
      <c r="I485" s="85"/>
      <c r="J485" s="85"/>
      <c r="K485" s="85"/>
      <c r="L485" s="85"/>
      <c r="M485" s="85"/>
      <c r="T485" s="85"/>
      <c r="U485" s="85"/>
      <c r="V485" s="85"/>
      <c r="W485" s="85"/>
      <c r="X485" s="85"/>
      <c r="Y485" s="85"/>
      <c r="Z485" s="85"/>
      <c r="AA485" s="85"/>
      <c r="AB485"/>
      <c r="AC485"/>
      <c r="AD485"/>
      <c r="AE485"/>
    </row>
    <row r="486" spans="7:31">
      <c r="G486" s="85"/>
      <c r="H486" s="85"/>
      <c r="I486" s="85"/>
      <c r="J486" s="85"/>
      <c r="K486" s="85"/>
      <c r="L486" s="85"/>
      <c r="M486" s="85"/>
      <c r="T486" s="85"/>
      <c r="U486" s="85"/>
      <c r="V486" s="85"/>
      <c r="W486" s="85"/>
      <c r="X486" s="85"/>
      <c r="Y486" s="85"/>
      <c r="Z486" s="85"/>
      <c r="AA486" s="85"/>
      <c r="AB486"/>
      <c r="AC486"/>
      <c r="AD486"/>
      <c r="AE486"/>
    </row>
    <row r="487" spans="7:31">
      <c r="G487" s="85"/>
      <c r="H487" s="85"/>
      <c r="I487" s="85"/>
      <c r="J487" s="85"/>
      <c r="K487" s="85"/>
      <c r="L487" s="85"/>
      <c r="M487" s="85"/>
      <c r="T487" s="85"/>
      <c r="U487" s="85"/>
      <c r="V487" s="85"/>
      <c r="W487" s="85"/>
      <c r="X487" s="85"/>
      <c r="Y487" s="85"/>
      <c r="Z487" s="85"/>
      <c r="AA487" s="85"/>
      <c r="AB487"/>
      <c r="AC487"/>
      <c r="AD487"/>
      <c r="AE487"/>
    </row>
    <row r="488" spans="7:31">
      <c r="G488" s="85"/>
      <c r="H488" s="85"/>
      <c r="I488" s="85"/>
      <c r="J488" s="85"/>
      <c r="K488" s="85"/>
      <c r="L488" s="85"/>
      <c r="M488" s="85"/>
      <c r="T488" s="85"/>
      <c r="U488" s="85"/>
      <c r="V488" s="85"/>
      <c r="W488" s="85"/>
      <c r="X488" s="85"/>
      <c r="Y488" s="85"/>
      <c r="Z488" s="85"/>
      <c r="AA488" s="85"/>
      <c r="AB488"/>
      <c r="AC488"/>
      <c r="AD488"/>
      <c r="AE488"/>
    </row>
    <row r="489" spans="7:31">
      <c r="G489" s="85"/>
      <c r="H489" s="85"/>
      <c r="I489" s="85"/>
      <c r="J489" s="85"/>
      <c r="K489" s="85"/>
      <c r="L489" s="85"/>
      <c r="M489" s="85"/>
      <c r="T489" s="85"/>
      <c r="U489" s="85"/>
      <c r="V489" s="85"/>
      <c r="W489" s="85"/>
      <c r="X489" s="85"/>
      <c r="Y489" s="85"/>
      <c r="Z489" s="85"/>
      <c r="AA489" s="85"/>
      <c r="AB489"/>
      <c r="AC489"/>
      <c r="AD489"/>
      <c r="AE489"/>
    </row>
    <row r="490" spans="7:31">
      <c r="G490" s="85"/>
      <c r="H490" s="85"/>
      <c r="I490" s="85"/>
      <c r="J490" s="85"/>
      <c r="K490" s="85"/>
      <c r="L490" s="85"/>
      <c r="M490" s="85"/>
      <c r="T490" s="85"/>
      <c r="U490" s="85"/>
      <c r="V490" s="85"/>
      <c r="W490" s="85"/>
      <c r="X490" s="85"/>
      <c r="Y490" s="85"/>
      <c r="Z490" s="85"/>
      <c r="AA490" s="85"/>
      <c r="AB490"/>
      <c r="AC490"/>
      <c r="AD490"/>
      <c r="AE490"/>
    </row>
    <row r="491" spans="7:31">
      <c r="G491" s="85"/>
      <c r="H491" s="85"/>
      <c r="I491" s="85"/>
      <c r="J491" s="85"/>
      <c r="K491" s="85"/>
      <c r="L491" s="85"/>
      <c r="M491" s="85"/>
      <c r="T491" s="85"/>
      <c r="U491" s="85"/>
      <c r="V491" s="85"/>
      <c r="W491" s="85"/>
      <c r="X491" s="85"/>
      <c r="Y491" s="85"/>
      <c r="Z491" s="85"/>
      <c r="AA491" s="85"/>
      <c r="AB491"/>
      <c r="AC491"/>
      <c r="AD491"/>
      <c r="AE491"/>
    </row>
    <row r="492" spans="7:31">
      <c r="G492" s="85"/>
      <c r="H492" s="85"/>
      <c r="I492" s="85"/>
      <c r="J492" s="85"/>
      <c r="K492" s="85"/>
      <c r="L492" s="85"/>
      <c r="M492" s="85"/>
      <c r="T492" s="85"/>
      <c r="U492" s="85"/>
      <c r="V492" s="85"/>
      <c r="W492" s="85"/>
      <c r="X492" s="85"/>
      <c r="Y492" s="85"/>
      <c r="Z492" s="85"/>
      <c r="AA492" s="85"/>
      <c r="AB492"/>
      <c r="AC492"/>
      <c r="AD492"/>
      <c r="AE492"/>
    </row>
    <row r="493" spans="7:31">
      <c r="G493" s="85"/>
      <c r="H493" s="85"/>
      <c r="I493" s="85"/>
      <c r="J493" s="85"/>
      <c r="K493" s="85"/>
      <c r="L493" s="85"/>
      <c r="M493" s="85"/>
      <c r="T493" s="85"/>
      <c r="U493" s="85"/>
      <c r="V493" s="85"/>
      <c r="W493" s="85"/>
      <c r="X493" s="85"/>
      <c r="Y493" s="85"/>
      <c r="Z493" s="85"/>
      <c r="AA493" s="85"/>
      <c r="AB493"/>
      <c r="AC493"/>
      <c r="AD493"/>
      <c r="AE493"/>
    </row>
    <row r="494" spans="7:31">
      <c r="G494" s="85"/>
      <c r="H494" s="85"/>
      <c r="I494" s="85"/>
      <c r="J494" s="85"/>
      <c r="K494" s="85"/>
      <c r="L494" s="85"/>
      <c r="M494" s="85"/>
      <c r="T494" s="85"/>
      <c r="U494" s="85"/>
      <c r="V494" s="85"/>
      <c r="W494" s="85"/>
      <c r="X494" s="85"/>
      <c r="Y494" s="85"/>
      <c r="Z494" s="85"/>
      <c r="AA494" s="85"/>
      <c r="AB494"/>
      <c r="AC494"/>
      <c r="AD494"/>
      <c r="AE494"/>
    </row>
    <row r="495" spans="7:31">
      <c r="G495" s="85"/>
      <c r="H495" s="85"/>
      <c r="I495" s="85"/>
      <c r="J495" s="85"/>
      <c r="K495" s="85"/>
      <c r="L495" s="85"/>
      <c r="M495" s="85"/>
      <c r="T495" s="85"/>
      <c r="U495" s="85"/>
      <c r="V495" s="85"/>
      <c r="W495" s="85"/>
      <c r="X495" s="85"/>
      <c r="Y495" s="85"/>
      <c r="Z495" s="85"/>
      <c r="AA495" s="85"/>
      <c r="AB495"/>
      <c r="AC495"/>
      <c r="AD495"/>
      <c r="AE495"/>
    </row>
    <row r="496" spans="7:31">
      <c r="G496" s="85"/>
      <c r="H496" s="85"/>
      <c r="I496" s="85"/>
      <c r="J496" s="85"/>
      <c r="K496" s="85"/>
      <c r="L496" s="85"/>
      <c r="M496" s="85"/>
      <c r="T496" s="85"/>
      <c r="U496" s="85"/>
      <c r="V496" s="85"/>
      <c r="W496" s="85"/>
      <c r="X496" s="85"/>
      <c r="Y496" s="85"/>
      <c r="Z496" s="85"/>
      <c r="AA496" s="85"/>
      <c r="AB496"/>
      <c r="AC496"/>
      <c r="AD496"/>
      <c r="AE496"/>
    </row>
    <row r="497" spans="7:31">
      <c r="G497" s="85"/>
      <c r="H497" s="85"/>
      <c r="I497" s="85"/>
      <c r="J497" s="85"/>
      <c r="K497" s="85"/>
      <c r="L497" s="85"/>
      <c r="M497" s="85"/>
      <c r="T497" s="85"/>
      <c r="U497" s="85"/>
      <c r="V497" s="85"/>
      <c r="W497" s="85"/>
      <c r="X497" s="85"/>
      <c r="Y497" s="85"/>
      <c r="Z497" s="85"/>
      <c r="AA497" s="85"/>
      <c r="AB497"/>
      <c r="AC497"/>
      <c r="AD497"/>
      <c r="AE497"/>
    </row>
    <row r="498" spans="7:31">
      <c r="G498" s="85"/>
      <c r="H498" s="85"/>
      <c r="I498" s="85"/>
      <c r="J498" s="85"/>
      <c r="K498" s="85"/>
      <c r="L498" s="85"/>
      <c r="M498" s="85"/>
      <c r="T498" s="85"/>
      <c r="U498" s="85"/>
      <c r="V498" s="85"/>
      <c r="W498" s="85"/>
      <c r="X498" s="85"/>
      <c r="Y498" s="85"/>
      <c r="Z498" s="85"/>
      <c r="AA498" s="85"/>
      <c r="AB498"/>
      <c r="AC498"/>
      <c r="AD498"/>
      <c r="AE498"/>
    </row>
    <row r="499" spans="7:31">
      <c r="G499" s="85"/>
      <c r="H499" s="85"/>
      <c r="I499" s="85"/>
      <c r="J499" s="85"/>
      <c r="K499" s="85"/>
      <c r="L499" s="85"/>
      <c r="M499" s="85"/>
      <c r="T499" s="85"/>
      <c r="U499" s="85"/>
      <c r="V499" s="85"/>
      <c r="W499" s="85"/>
      <c r="X499" s="85"/>
      <c r="Y499" s="85"/>
      <c r="Z499" s="85"/>
      <c r="AA499" s="85"/>
      <c r="AB499"/>
      <c r="AC499"/>
      <c r="AD499"/>
      <c r="AE499"/>
    </row>
    <row r="500" spans="7:31">
      <c r="G500" s="85"/>
      <c r="H500" s="85"/>
      <c r="I500" s="85"/>
      <c r="J500" s="85"/>
      <c r="K500" s="85"/>
      <c r="L500" s="85"/>
      <c r="M500" s="85"/>
      <c r="T500" s="85"/>
      <c r="U500" s="85"/>
      <c r="V500" s="85"/>
      <c r="W500" s="85"/>
      <c r="X500" s="85"/>
      <c r="Y500" s="85"/>
      <c r="Z500" s="85"/>
      <c r="AA500" s="85"/>
      <c r="AB500"/>
      <c r="AC500"/>
      <c r="AD500"/>
      <c r="AE500"/>
    </row>
    <row r="501" spans="7:31">
      <c r="G501" s="85"/>
      <c r="H501" s="85"/>
      <c r="I501" s="85"/>
      <c r="J501" s="85"/>
      <c r="K501" s="85"/>
      <c r="L501" s="85"/>
      <c r="M501" s="85"/>
      <c r="T501" s="85"/>
      <c r="U501" s="85"/>
      <c r="V501" s="85"/>
      <c r="W501" s="85"/>
      <c r="X501" s="85"/>
      <c r="Y501" s="85"/>
      <c r="Z501" s="85"/>
      <c r="AA501" s="85"/>
      <c r="AB501"/>
      <c r="AC501"/>
      <c r="AD501"/>
      <c r="AE501"/>
    </row>
    <row r="502" spans="7:31">
      <c r="G502" s="85"/>
      <c r="H502" s="85"/>
      <c r="I502" s="85"/>
      <c r="J502" s="85"/>
      <c r="K502" s="85"/>
      <c r="L502" s="85"/>
      <c r="M502" s="85"/>
      <c r="T502" s="85"/>
      <c r="U502" s="85"/>
      <c r="V502" s="85"/>
      <c r="W502" s="85"/>
      <c r="X502" s="85"/>
      <c r="Y502" s="85"/>
      <c r="Z502" s="85"/>
      <c r="AA502" s="85"/>
      <c r="AB502"/>
      <c r="AC502"/>
      <c r="AD502"/>
      <c r="AE502"/>
    </row>
    <row r="503" spans="7:31">
      <c r="G503" s="85"/>
      <c r="H503" s="85"/>
      <c r="I503" s="85"/>
      <c r="J503" s="85"/>
      <c r="K503" s="85"/>
      <c r="L503" s="85"/>
      <c r="M503" s="85"/>
      <c r="T503" s="85"/>
      <c r="U503" s="85"/>
      <c r="V503" s="85"/>
      <c r="W503" s="85"/>
      <c r="X503" s="85"/>
      <c r="Y503" s="85"/>
      <c r="Z503" s="85"/>
      <c r="AA503" s="85"/>
      <c r="AB503"/>
      <c r="AC503"/>
      <c r="AD503"/>
      <c r="AE503"/>
    </row>
    <row r="504" spans="7:31">
      <c r="G504" s="85"/>
      <c r="H504" s="85"/>
      <c r="I504" s="85"/>
      <c r="J504" s="85"/>
      <c r="K504" s="85"/>
      <c r="L504" s="85"/>
      <c r="M504" s="85"/>
      <c r="T504" s="85"/>
      <c r="U504" s="85"/>
      <c r="V504" s="85"/>
      <c r="W504" s="85"/>
      <c r="X504" s="85"/>
      <c r="Y504" s="85"/>
      <c r="Z504" s="85"/>
      <c r="AA504" s="85"/>
      <c r="AB504"/>
      <c r="AC504"/>
      <c r="AD504"/>
      <c r="AE504"/>
    </row>
    <row r="505" spans="7:31">
      <c r="G505" s="85"/>
      <c r="H505" s="85"/>
      <c r="I505" s="85"/>
      <c r="J505" s="85"/>
      <c r="K505" s="85"/>
      <c r="L505" s="85"/>
      <c r="M505" s="85"/>
      <c r="T505" s="85"/>
      <c r="U505" s="85"/>
      <c r="V505" s="85"/>
      <c r="W505" s="85"/>
      <c r="X505" s="85"/>
      <c r="Y505" s="85"/>
      <c r="Z505" s="85"/>
      <c r="AA505" s="85"/>
      <c r="AB505"/>
      <c r="AC505"/>
      <c r="AD505"/>
      <c r="AE505"/>
    </row>
    <row r="506" spans="7:31">
      <c r="G506" s="85"/>
      <c r="H506" s="85"/>
      <c r="I506" s="85"/>
      <c r="J506" s="85"/>
      <c r="K506" s="85"/>
      <c r="L506" s="85"/>
      <c r="M506" s="85"/>
      <c r="T506" s="85"/>
      <c r="U506" s="85"/>
      <c r="V506" s="85"/>
      <c r="W506" s="85"/>
      <c r="X506" s="85"/>
      <c r="Y506" s="85"/>
      <c r="Z506" s="85"/>
      <c r="AA506" s="85"/>
      <c r="AB506"/>
      <c r="AC506"/>
      <c r="AD506"/>
      <c r="AE506"/>
    </row>
    <row r="507" spans="7:31">
      <c r="G507" s="85"/>
      <c r="H507" s="85"/>
      <c r="I507" s="85"/>
      <c r="J507" s="85"/>
      <c r="K507" s="85"/>
      <c r="L507" s="85"/>
      <c r="M507" s="85"/>
      <c r="T507" s="85"/>
      <c r="U507" s="85"/>
      <c r="V507" s="85"/>
      <c r="W507" s="85"/>
      <c r="X507" s="85"/>
      <c r="Y507" s="85"/>
      <c r="Z507" s="85"/>
      <c r="AA507" s="85"/>
      <c r="AB507"/>
      <c r="AC507"/>
      <c r="AD507"/>
      <c r="AE507"/>
    </row>
    <row r="508" spans="7:31">
      <c r="G508" s="85"/>
      <c r="H508" s="85"/>
      <c r="I508" s="85"/>
      <c r="J508" s="85"/>
      <c r="K508" s="85"/>
      <c r="L508" s="85"/>
      <c r="M508" s="85"/>
      <c r="T508" s="85"/>
      <c r="U508" s="85"/>
      <c r="V508" s="85"/>
      <c r="W508" s="85"/>
      <c r="X508" s="85"/>
      <c r="Y508" s="85"/>
      <c r="Z508" s="85"/>
      <c r="AA508" s="85"/>
      <c r="AB508"/>
      <c r="AC508"/>
      <c r="AD508"/>
      <c r="AE508"/>
    </row>
    <row r="509" spans="7:31">
      <c r="G509" s="85"/>
      <c r="H509" s="85"/>
      <c r="I509" s="85"/>
      <c r="J509" s="85"/>
      <c r="K509" s="85"/>
      <c r="L509" s="85"/>
      <c r="M509" s="85"/>
      <c r="T509" s="85"/>
      <c r="U509" s="85"/>
      <c r="V509" s="85"/>
      <c r="W509" s="85"/>
      <c r="X509" s="85"/>
      <c r="Y509" s="85"/>
      <c r="Z509" s="85"/>
      <c r="AA509" s="85"/>
      <c r="AB509"/>
      <c r="AC509"/>
      <c r="AD509"/>
      <c r="AE509"/>
    </row>
    <row r="510" spans="7:31">
      <c r="G510" s="85"/>
      <c r="H510" s="85"/>
      <c r="I510" s="85"/>
      <c r="J510" s="85"/>
      <c r="K510" s="85"/>
      <c r="L510" s="85"/>
      <c r="M510" s="85"/>
      <c r="T510" s="85"/>
      <c r="U510" s="85"/>
      <c r="V510" s="85"/>
      <c r="W510" s="85"/>
      <c r="X510" s="85"/>
      <c r="Y510" s="85"/>
      <c r="Z510" s="85"/>
      <c r="AA510" s="85"/>
      <c r="AB510"/>
      <c r="AC510"/>
      <c r="AD510"/>
      <c r="AE510"/>
    </row>
    <row r="511" spans="7:31">
      <c r="G511" s="85"/>
      <c r="H511" s="85"/>
      <c r="I511" s="85"/>
      <c r="J511" s="85"/>
      <c r="K511" s="85"/>
      <c r="L511" s="85"/>
      <c r="M511" s="85"/>
      <c r="T511" s="85"/>
      <c r="U511" s="85"/>
      <c r="V511" s="85"/>
      <c r="W511" s="85"/>
      <c r="X511" s="85"/>
      <c r="Y511" s="85"/>
      <c r="Z511" s="85"/>
      <c r="AA511" s="85"/>
      <c r="AB511"/>
      <c r="AC511"/>
      <c r="AD511"/>
      <c r="AE511"/>
    </row>
    <row r="512" spans="7:31">
      <c r="G512" s="85"/>
      <c r="H512" s="85"/>
      <c r="I512" s="85"/>
      <c r="J512" s="85"/>
      <c r="K512" s="85"/>
      <c r="L512" s="85"/>
      <c r="M512" s="85"/>
      <c r="T512" s="85"/>
      <c r="U512" s="85"/>
      <c r="V512" s="85"/>
      <c r="W512" s="85"/>
      <c r="X512" s="85"/>
      <c r="Y512" s="85"/>
      <c r="Z512" s="85"/>
      <c r="AA512" s="85"/>
      <c r="AB512"/>
      <c r="AC512"/>
      <c r="AD512"/>
      <c r="AE512"/>
    </row>
    <row r="513" spans="7:31">
      <c r="G513" s="85"/>
      <c r="H513" s="85"/>
      <c r="I513" s="85"/>
      <c r="J513" s="85"/>
      <c r="K513" s="85"/>
      <c r="L513" s="85"/>
      <c r="M513" s="85"/>
      <c r="T513" s="85"/>
      <c r="U513" s="85"/>
      <c r="V513" s="85"/>
      <c r="W513" s="85"/>
      <c r="X513" s="85"/>
      <c r="Y513" s="85"/>
      <c r="Z513" s="85"/>
      <c r="AA513" s="85"/>
      <c r="AB513"/>
      <c r="AC513"/>
      <c r="AD513"/>
      <c r="AE513"/>
    </row>
    <row r="514" spans="7:31">
      <c r="G514" s="85"/>
      <c r="H514" s="85"/>
      <c r="I514" s="85"/>
      <c r="J514" s="85"/>
      <c r="K514" s="85"/>
      <c r="L514" s="85"/>
      <c r="M514" s="85"/>
      <c r="T514" s="85"/>
      <c r="U514" s="85"/>
      <c r="V514" s="85"/>
      <c r="W514" s="85"/>
      <c r="X514" s="85"/>
      <c r="Y514" s="85"/>
      <c r="Z514" s="85"/>
      <c r="AA514" s="85"/>
      <c r="AB514"/>
      <c r="AC514"/>
      <c r="AD514"/>
      <c r="AE514"/>
    </row>
    <row r="515" spans="7:31">
      <c r="G515" s="85"/>
      <c r="H515" s="85"/>
      <c r="I515" s="85"/>
      <c r="J515" s="85"/>
      <c r="K515" s="85"/>
      <c r="L515" s="85"/>
      <c r="M515" s="85"/>
      <c r="T515" s="85"/>
      <c r="U515" s="85"/>
      <c r="V515" s="85"/>
      <c r="W515" s="85"/>
      <c r="X515" s="85"/>
      <c r="Y515" s="85"/>
      <c r="Z515" s="85"/>
      <c r="AA515" s="85"/>
      <c r="AB515"/>
      <c r="AC515"/>
      <c r="AD515"/>
      <c r="AE515"/>
    </row>
    <row r="516" spans="7:31">
      <c r="G516" s="85"/>
      <c r="H516" s="85"/>
      <c r="I516" s="85"/>
      <c r="J516" s="85"/>
      <c r="K516" s="85"/>
      <c r="L516" s="85"/>
      <c r="M516" s="85"/>
      <c r="T516" s="85"/>
      <c r="U516" s="85"/>
      <c r="V516" s="85"/>
      <c r="W516" s="85"/>
      <c r="X516" s="85"/>
      <c r="Y516" s="85"/>
      <c r="Z516" s="85"/>
      <c r="AA516" s="85"/>
      <c r="AB516"/>
      <c r="AC516"/>
      <c r="AD516"/>
      <c r="AE516"/>
    </row>
    <row r="517" spans="7:31">
      <c r="G517" s="85"/>
      <c r="H517" s="85"/>
      <c r="I517" s="85"/>
      <c r="J517" s="85"/>
      <c r="K517" s="85"/>
      <c r="L517" s="85"/>
      <c r="M517" s="85"/>
      <c r="T517" s="85"/>
      <c r="U517" s="85"/>
      <c r="V517" s="85"/>
      <c r="W517" s="85"/>
      <c r="X517" s="85"/>
      <c r="Y517" s="85"/>
      <c r="Z517" s="85"/>
      <c r="AA517" s="85"/>
      <c r="AB517"/>
      <c r="AC517"/>
      <c r="AD517"/>
      <c r="AE517"/>
    </row>
    <row r="518" spans="7:31">
      <c r="G518" s="85"/>
      <c r="H518" s="85"/>
      <c r="I518" s="85"/>
      <c r="J518" s="85"/>
      <c r="K518" s="85"/>
      <c r="L518" s="85"/>
      <c r="M518" s="85"/>
      <c r="T518" s="85"/>
      <c r="U518" s="85"/>
      <c r="V518" s="85"/>
      <c r="W518" s="85"/>
      <c r="X518" s="85"/>
      <c r="Y518" s="85"/>
      <c r="Z518" s="85"/>
      <c r="AA518" s="85"/>
      <c r="AB518"/>
      <c r="AC518"/>
      <c r="AD518"/>
      <c r="AE518"/>
    </row>
    <row r="519" spans="7:31">
      <c r="G519" s="85"/>
      <c r="H519" s="85"/>
      <c r="I519" s="85"/>
      <c r="J519" s="85"/>
      <c r="K519" s="85"/>
      <c r="L519" s="85"/>
      <c r="M519" s="85"/>
      <c r="T519" s="85"/>
      <c r="U519" s="85"/>
      <c r="V519" s="85"/>
      <c r="W519" s="85"/>
      <c r="X519" s="85"/>
      <c r="Y519" s="85"/>
      <c r="Z519" s="85"/>
      <c r="AA519" s="85"/>
      <c r="AB519"/>
      <c r="AC519"/>
      <c r="AD519"/>
      <c r="AE519"/>
    </row>
    <row r="520" spans="7:31">
      <c r="G520" s="85"/>
      <c r="H520" s="85"/>
      <c r="I520" s="85"/>
      <c r="J520" s="85"/>
      <c r="K520" s="85"/>
      <c r="L520" s="85"/>
      <c r="M520" s="85"/>
      <c r="T520" s="85"/>
      <c r="U520" s="85"/>
      <c r="V520" s="85"/>
      <c r="W520" s="85"/>
      <c r="X520" s="85"/>
      <c r="Y520" s="85"/>
      <c r="Z520" s="85"/>
      <c r="AA520" s="85"/>
      <c r="AB520"/>
      <c r="AC520"/>
      <c r="AD520"/>
      <c r="AE520"/>
    </row>
    <row r="521" spans="7:31">
      <c r="G521" s="85"/>
      <c r="H521" s="85"/>
      <c r="I521" s="85"/>
      <c r="J521" s="85"/>
      <c r="K521" s="85"/>
      <c r="L521" s="85"/>
      <c r="M521" s="85"/>
      <c r="T521" s="85"/>
      <c r="U521" s="85"/>
      <c r="V521" s="85"/>
      <c r="W521" s="85"/>
      <c r="X521" s="85"/>
      <c r="Y521" s="85"/>
      <c r="Z521" s="85"/>
      <c r="AA521" s="85"/>
      <c r="AB521"/>
      <c r="AC521"/>
      <c r="AD521"/>
      <c r="AE521"/>
    </row>
    <row r="522" spans="7:31">
      <c r="G522" s="85"/>
      <c r="H522" s="85"/>
      <c r="I522" s="85"/>
      <c r="J522" s="85"/>
      <c r="K522" s="85"/>
      <c r="L522" s="85"/>
      <c r="M522" s="85"/>
      <c r="T522" s="85"/>
      <c r="U522" s="85"/>
      <c r="V522" s="85"/>
      <c r="W522" s="85"/>
      <c r="X522" s="85"/>
      <c r="Y522" s="85"/>
      <c r="Z522" s="85"/>
      <c r="AA522" s="85"/>
      <c r="AB522"/>
      <c r="AC522"/>
      <c r="AD522"/>
      <c r="AE522"/>
    </row>
    <row r="523" spans="7:31">
      <c r="G523" s="85"/>
      <c r="H523" s="85"/>
      <c r="I523" s="85"/>
      <c r="J523" s="85"/>
      <c r="K523" s="85"/>
      <c r="L523" s="85"/>
      <c r="M523" s="85"/>
      <c r="T523" s="85"/>
      <c r="U523" s="85"/>
      <c r="V523" s="85"/>
      <c r="W523" s="85"/>
      <c r="X523" s="85"/>
      <c r="Y523" s="85"/>
      <c r="Z523" s="85"/>
      <c r="AA523" s="85"/>
      <c r="AB523"/>
      <c r="AC523"/>
      <c r="AD523"/>
      <c r="AE523"/>
    </row>
    <row r="524" spans="7:31">
      <c r="G524" s="85"/>
      <c r="H524" s="85"/>
      <c r="I524" s="85"/>
      <c r="J524" s="85"/>
      <c r="K524" s="85"/>
      <c r="L524" s="85"/>
      <c r="M524" s="85"/>
      <c r="T524" s="85"/>
      <c r="U524" s="85"/>
      <c r="V524" s="85"/>
      <c r="W524" s="85"/>
      <c r="X524" s="85"/>
      <c r="Y524" s="85"/>
      <c r="Z524" s="85"/>
      <c r="AA524" s="85"/>
      <c r="AB524"/>
      <c r="AC524"/>
      <c r="AD524"/>
      <c r="AE524"/>
    </row>
    <row r="525" spans="7:31">
      <c r="G525" s="85"/>
      <c r="H525" s="85"/>
      <c r="I525" s="85"/>
      <c r="J525" s="85"/>
      <c r="K525" s="85"/>
      <c r="L525" s="85"/>
      <c r="M525" s="85"/>
      <c r="T525" s="85"/>
      <c r="U525" s="85"/>
      <c r="V525" s="85"/>
      <c r="W525" s="85"/>
      <c r="X525" s="85"/>
      <c r="Y525" s="85"/>
      <c r="Z525" s="85"/>
      <c r="AA525" s="85"/>
      <c r="AB525"/>
      <c r="AC525"/>
      <c r="AD525"/>
      <c r="AE525"/>
    </row>
    <row r="526" spans="7:31">
      <c r="G526" s="85"/>
      <c r="H526" s="85"/>
      <c r="I526" s="85"/>
      <c r="J526" s="85"/>
      <c r="K526" s="85"/>
      <c r="L526" s="85"/>
      <c r="M526" s="85"/>
      <c r="T526" s="85"/>
      <c r="U526" s="85"/>
      <c r="V526" s="85"/>
      <c r="W526" s="85"/>
      <c r="X526" s="85"/>
      <c r="Y526" s="85"/>
      <c r="Z526" s="85"/>
      <c r="AA526" s="85"/>
      <c r="AB526"/>
      <c r="AC526"/>
      <c r="AD526"/>
      <c r="AE526"/>
    </row>
    <row r="527" spans="7:31">
      <c r="G527" s="85"/>
      <c r="H527" s="85"/>
      <c r="I527" s="85"/>
      <c r="J527" s="85"/>
      <c r="K527" s="85"/>
      <c r="L527" s="85"/>
      <c r="M527" s="85"/>
      <c r="T527" s="85"/>
      <c r="U527" s="85"/>
      <c r="V527" s="85"/>
      <c r="W527" s="85"/>
      <c r="X527" s="85"/>
      <c r="Y527" s="85"/>
      <c r="Z527" s="85"/>
      <c r="AA527" s="85"/>
      <c r="AB527"/>
      <c r="AC527"/>
      <c r="AD527"/>
      <c r="AE527"/>
    </row>
    <row r="528" spans="7:31">
      <c r="G528" s="85"/>
      <c r="H528" s="85"/>
      <c r="I528" s="85"/>
      <c r="J528" s="85"/>
      <c r="K528" s="85"/>
      <c r="L528" s="85"/>
      <c r="M528" s="85"/>
      <c r="T528" s="85"/>
      <c r="U528" s="85"/>
      <c r="V528" s="85"/>
      <c r="W528" s="85"/>
      <c r="X528" s="85"/>
      <c r="Y528" s="85"/>
      <c r="Z528" s="85"/>
      <c r="AA528" s="85"/>
      <c r="AB528"/>
      <c r="AC528"/>
      <c r="AD528"/>
      <c r="AE528"/>
    </row>
    <row r="529" spans="7:31">
      <c r="G529" s="85"/>
      <c r="H529" s="85"/>
      <c r="I529" s="85"/>
      <c r="J529" s="85"/>
      <c r="K529" s="85"/>
      <c r="L529" s="85"/>
      <c r="M529" s="85"/>
      <c r="T529" s="85"/>
      <c r="U529" s="85"/>
      <c r="V529" s="85"/>
      <c r="W529" s="85"/>
      <c r="X529" s="85"/>
      <c r="Y529" s="85"/>
      <c r="Z529" s="85"/>
      <c r="AA529" s="85"/>
      <c r="AB529"/>
      <c r="AC529"/>
      <c r="AD529"/>
      <c r="AE529"/>
    </row>
    <row r="530" spans="7:31">
      <c r="G530" s="85"/>
      <c r="H530" s="85"/>
      <c r="I530" s="85"/>
      <c r="J530" s="85"/>
      <c r="K530" s="85"/>
      <c r="L530" s="85"/>
      <c r="M530" s="85"/>
      <c r="T530" s="85"/>
      <c r="U530" s="85"/>
      <c r="V530" s="85"/>
      <c r="W530" s="85"/>
      <c r="X530" s="85"/>
      <c r="Y530" s="85"/>
      <c r="Z530" s="85"/>
      <c r="AA530" s="85"/>
      <c r="AB530"/>
      <c r="AC530"/>
      <c r="AD530"/>
      <c r="AE530"/>
    </row>
    <row r="531" spans="7:31">
      <c r="G531" s="85"/>
      <c r="H531" s="85"/>
      <c r="I531" s="85"/>
      <c r="J531" s="85"/>
      <c r="K531" s="85"/>
      <c r="L531" s="85"/>
      <c r="M531" s="85"/>
      <c r="T531" s="85"/>
      <c r="U531" s="85"/>
      <c r="V531" s="85"/>
      <c r="W531" s="85"/>
      <c r="X531" s="85"/>
      <c r="Y531" s="85"/>
      <c r="Z531" s="85"/>
      <c r="AA531" s="85"/>
      <c r="AB531"/>
      <c r="AC531"/>
      <c r="AD531"/>
      <c r="AE531"/>
    </row>
    <row r="532" spans="7:31">
      <c r="G532" s="85"/>
      <c r="H532" s="85"/>
      <c r="I532" s="85"/>
      <c r="J532" s="85"/>
      <c r="K532" s="85"/>
      <c r="L532" s="85"/>
      <c r="M532" s="85"/>
      <c r="T532" s="85"/>
      <c r="U532" s="85"/>
      <c r="V532" s="85"/>
      <c r="W532" s="85"/>
      <c r="X532" s="85"/>
      <c r="Y532" s="85"/>
      <c r="Z532" s="85"/>
      <c r="AA532" s="85"/>
      <c r="AB532"/>
      <c r="AC532"/>
      <c r="AD532"/>
      <c r="AE532"/>
    </row>
    <row r="533" spans="7:31">
      <c r="G533" s="85"/>
      <c r="H533" s="85"/>
      <c r="I533" s="85"/>
      <c r="J533" s="85"/>
      <c r="K533" s="85"/>
      <c r="L533" s="85"/>
      <c r="M533" s="85"/>
      <c r="T533" s="85"/>
      <c r="U533" s="85"/>
      <c r="V533" s="85"/>
      <c r="W533" s="85"/>
      <c r="X533" s="85"/>
      <c r="Y533" s="85"/>
      <c r="Z533" s="85"/>
      <c r="AA533" s="85"/>
      <c r="AB533"/>
      <c r="AC533"/>
      <c r="AD533"/>
      <c r="AE533"/>
    </row>
    <row r="534" spans="7:31">
      <c r="G534" s="85"/>
      <c r="H534" s="85"/>
      <c r="I534" s="85"/>
      <c r="J534" s="85"/>
      <c r="K534" s="85"/>
      <c r="L534" s="85"/>
      <c r="M534" s="85"/>
      <c r="T534" s="85"/>
      <c r="U534" s="85"/>
      <c r="V534" s="85"/>
      <c r="W534" s="85"/>
      <c r="X534" s="85"/>
      <c r="Y534" s="85"/>
      <c r="Z534" s="85"/>
      <c r="AA534" s="85"/>
      <c r="AB534"/>
      <c r="AC534"/>
      <c r="AD534"/>
      <c r="AE534"/>
    </row>
    <row r="535" spans="7:31">
      <c r="G535" s="85"/>
      <c r="H535" s="85"/>
      <c r="I535" s="85"/>
      <c r="J535" s="85"/>
      <c r="K535" s="85"/>
      <c r="L535" s="85"/>
      <c r="M535" s="85"/>
      <c r="T535" s="85"/>
      <c r="U535" s="85"/>
      <c r="V535" s="85"/>
      <c r="W535" s="85"/>
      <c r="X535" s="85"/>
      <c r="Y535" s="85"/>
      <c r="Z535" s="85"/>
      <c r="AA535" s="85"/>
      <c r="AB535"/>
      <c r="AC535"/>
      <c r="AD535"/>
      <c r="AE535"/>
    </row>
    <row r="536" spans="7:31">
      <c r="G536" s="85"/>
      <c r="H536" s="85"/>
      <c r="I536" s="85"/>
      <c r="J536" s="85"/>
      <c r="K536" s="85"/>
      <c r="L536" s="85"/>
      <c r="M536" s="85"/>
      <c r="T536" s="85"/>
      <c r="U536" s="85"/>
      <c r="V536" s="85"/>
      <c r="W536" s="85"/>
      <c r="X536" s="85"/>
      <c r="Y536" s="85"/>
      <c r="Z536" s="85"/>
      <c r="AA536" s="85"/>
      <c r="AB536"/>
      <c r="AC536"/>
      <c r="AD536"/>
      <c r="AE536"/>
    </row>
    <row r="537" spans="7:31">
      <c r="G537" s="85"/>
      <c r="H537" s="85"/>
      <c r="I537" s="85"/>
      <c r="J537" s="85"/>
      <c r="K537" s="85"/>
      <c r="L537" s="85"/>
      <c r="M537" s="85"/>
      <c r="T537" s="85"/>
      <c r="U537" s="85"/>
      <c r="V537" s="85"/>
      <c r="W537" s="85"/>
      <c r="X537" s="85"/>
      <c r="Y537" s="85"/>
      <c r="Z537" s="85"/>
      <c r="AA537" s="85"/>
      <c r="AB537"/>
      <c r="AC537"/>
      <c r="AD537"/>
      <c r="AE537"/>
    </row>
    <row r="538" spans="7:31">
      <c r="G538" s="85"/>
      <c r="H538" s="85"/>
      <c r="I538" s="85"/>
      <c r="J538" s="85"/>
      <c r="K538" s="85"/>
      <c r="L538" s="85"/>
      <c r="M538" s="85"/>
      <c r="T538" s="85"/>
      <c r="U538" s="85"/>
      <c r="V538" s="85"/>
      <c r="W538" s="85"/>
      <c r="X538" s="85"/>
      <c r="Y538" s="85"/>
      <c r="Z538" s="85"/>
      <c r="AA538" s="85"/>
      <c r="AB538"/>
      <c r="AC538"/>
      <c r="AD538"/>
      <c r="AE538"/>
    </row>
    <row r="539" spans="7:31">
      <c r="G539" s="85"/>
      <c r="H539" s="85"/>
      <c r="I539" s="85"/>
      <c r="J539" s="85"/>
      <c r="K539" s="85"/>
      <c r="L539" s="85"/>
      <c r="M539" s="85"/>
      <c r="T539" s="85"/>
      <c r="U539" s="85"/>
      <c r="V539" s="85"/>
      <c r="W539" s="85"/>
      <c r="X539" s="85"/>
      <c r="Y539" s="85"/>
      <c r="Z539" s="85"/>
      <c r="AA539" s="85"/>
      <c r="AB539"/>
      <c r="AC539"/>
      <c r="AD539"/>
      <c r="AE539"/>
    </row>
    <row r="540" spans="7:31">
      <c r="G540" s="85"/>
      <c r="H540" s="85"/>
      <c r="I540" s="85"/>
      <c r="J540" s="85"/>
      <c r="K540" s="85"/>
      <c r="L540" s="85"/>
      <c r="M540" s="85"/>
      <c r="T540" s="85"/>
      <c r="U540" s="85"/>
      <c r="V540" s="85"/>
      <c r="W540" s="85"/>
      <c r="X540" s="85"/>
      <c r="Y540" s="85"/>
      <c r="Z540" s="85"/>
      <c r="AA540" s="85"/>
      <c r="AB540"/>
      <c r="AC540"/>
      <c r="AD540"/>
      <c r="AE540"/>
    </row>
    <row r="541" spans="7:31">
      <c r="G541" s="85"/>
      <c r="H541" s="85"/>
      <c r="I541" s="85"/>
      <c r="J541" s="85"/>
      <c r="K541" s="85"/>
      <c r="L541" s="85"/>
      <c r="M541" s="85"/>
      <c r="T541" s="85"/>
      <c r="U541" s="85"/>
      <c r="V541" s="85"/>
      <c r="W541" s="85"/>
      <c r="X541" s="85"/>
      <c r="Y541" s="85"/>
      <c r="Z541" s="85"/>
      <c r="AA541" s="85"/>
      <c r="AB541"/>
      <c r="AC541"/>
      <c r="AD541"/>
      <c r="AE541"/>
    </row>
  </sheetData>
  <mergeCells count="338">
    <mergeCell ref="A428:F428"/>
    <mergeCell ref="A429:G429"/>
    <mergeCell ref="N432:S432"/>
    <mergeCell ref="N433:T433"/>
    <mergeCell ref="U423:AE423"/>
    <mergeCell ref="N424:N425"/>
    <mergeCell ref="O424:O425"/>
    <mergeCell ref="P424:P425"/>
    <mergeCell ref="Q424:Q425"/>
    <mergeCell ref="R424:R425"/>
    <mergeCell ref="S424:S425"/>
    <mergeCell ref="U424:U425"/>
    <mergeCell ref="V424:W424"/>
    <mergeCell ref="X424:Y424"/>
    <mergeCell ref="Z424:AA424"/>
    <mergeCell ref="AB424:AC424"/>
    <mergeCell ref="AD424:AE424"/>
    <mergeCell ref="A393:F393"/>
    <mergeCell ref="A394:G394"/>
    <mergeCell ref="N400:S400"/>
    <mergeCell ref="N401:T401"/>
    <mergeCell ref="A423:C424"/>
    <mergeCell ref="D423:F424"/>
    <mergeCell ref="G423:G425"/>
    <mergeCell ref="H423:H425"/>
    <mergeCell ref="I423:I425"/>
    <mergeCell ref="J423:K424"/>
    <mergeCell ref="L423:M424"/>
    <mergeCell ref="N423:P423"/>
    <mergeCell ref="Q423:S423"/>
    <mergeCell ref="T423:T425"/>
    <mergeCell ref="U388:AE388"/>
    <mergeCell ref="N389:N390"/>
    <mergeCell ref="O389:O390"/>
    <mergeCell ref="P389:P390"/>
    <mergeCell ref="Q389:Q390"/>
    <mergeCell ref="R389:R390"/>
    <mergeCell ref="S389:S390"/>
    <mergeCell ref="U389:U390"/>
    <mergeCell ref="V389:W389"/>
    <mergeCell ref="X389:Y389"/>
    <mergeCell ref="Z389:AA389"/>
    <mergeCell ref="AB389:AC389"/>
    <mergeCell ref="AD389:AE389"/>
    <mergeCell ref="A359:F359"/>
    <mergeCell ref="A360:G360"/>
    <mergeCell ref="N378:S378"/>
    <mergeCell ref="N379:T379"/>
    <mergeCell ref="A388:C389"/>
    <mergeCell ref="D388:F389"/>
    <mergeCell ref="G388:G390"/>
    <mergeCell ref="H388:H390"/>
    <mergeCell ref="I388:I390"/>
    <mergeCell ref="J388:K389"/>
    <mergeCell ref="L388:M389"/>
    <mergeCell ref="N388:P388"/>
    <mergeCell ref="Q388:S388"/>
    <mergeCell ref="T388:T390"/>
    <mergeCell ref="T354:T356"/>
    <mergeCell ref="U354:AE354"/>
    <mergeCell ref="N355:N356"/>
    <mergeCell ref="O355:O356"/>
    <mergeCell ref="P355:P356"/>
    <mergeCell ref="Q355:Q356"/>
    <mergeCell ref="R355:R356"/>
    <mergeCell ref="S355:S356"/>
    <mergeCell ref="U355:U356"/>
    <mergeCell ref="V355:W355"/>
    <mergeCell ref="X355:Y355"/>
    <mergeCell ref="Z355:AA355"/>
    <mergeCell ref="AB355:AC355"/>
    <mergeCell ref="AD355:AE355"/>
    <mergeCell ref="A354:C355"/>
    <mergeCell ref="D354:F355"/>
    <mergeCell ref="G354:G356"/>
    <mergeCell ref="H354:H356"/>
    <mergeCell ref="I354:I356"/>
    <mergeCell ref="J354:K355"/>
    <mergeCell ref="L354:M355"/>
    <mergeCell ref="N354:P354"/>
    <mergeCell ref="Q354:S354"/>
    <mergeCell ref="N310:S310"/>
    <mergeCell ref="N311:T311"/>
    <mergeCell ref="N286:P286"/>
    <mergeCell ref="Q286:S286"/>
    <mergeCell ref="T286:T288"/>
    <mergeCell ref="U286:AE286"/>
    <mergeCell ref="N287:N288"/>
    <mergeCell ref="O287:O288"/>
    <mergeCell ref="P287:P288"/>
    <mergeCell ref="Q287:Q288"/>
    <mergeCell ref="R287:R288"/>
    <mergeCell ref="S287:S288"/>
    <mergeCell ref="U287:U288"/>
    <mergeCell ref="V287:W287"/>
    <mergeCell ref="X287:Y287"/>
    <mergeCell ref="Z287:AA287"/>
    <mergeCell ref="AB287:AC287"/>
    <mergeCell ref="AD287:AE287"/>
    <mergeCell ref="A286:C287"/>
    <mergeCell ref="D286:F287"/>
    <mergeCell ref="G286:G288"/>
    <mergeCell ref="H286:H288"/>
    <mergeCell ref="I286:I288"/>
    <mergeCell ref="J286:K287"/>
    <mergeCell ref="L286:M287"/>
    <mergeCell ref="A291:F291"/>
    <mergeCell ref="A292:G292"/>
    <mergeCell ref="N274:S274"/>
    <mergeCell ref="N275:T275"/>
    <mergeCell ref="N257:P257"/>
    <mergeCell ref="Q257:S257"/>
    <mergeCell ref="T257:T259"/>
    <mergeCell ref="U257:AE257"/>
    <mergeCell ref="N258:N259"/>
    <mergeCell ref="O258:O259"/>
    <mergeCell ref="P258:P259"/>
    <mergeCell ref="Q258:Q259"/>
    <mergeCell ref="R258:R259"/>
    <mergeCell ref="S258:S259"/>
    <mergeCell ref="U258:U259"/>
    <mergeCell ref="V258:W258"/>
    <mergeCell ref="X258:Y258"/>
    <mergeCell ref="Z258:AA258"/>
    <mergeCell ref="AB258:AC258"/>
    <mergeCell ref="AD258:AE258"/>
    <mergeCell ref="A257:C258"/>
    <mergeCell ref="D257:F258"/>
    <mergeCell ref="G257:G259"/>
    <mergeCell ref="H257:H259"/>
    <mergeCell ref="I257:I259"/>
    <mergeCell ref="J257:K258"/>
    <mergeCell ref="L257:M258"/>
    <mergeCell ref="A262:F262"/>
    <mergeCell ref="A263:G263"/>
    <mergeCell ref="N244:S244"/>
    <mergeCell ref="N245:T245"/>
    <mergeCell ref="N221:P221"/>
    <mergeCell ref="Q221:S221"/>
    <mergeCell ref="T221:T223"/>
    <mergeCell ref="U221:AE221"/>
    <mergeCell ref="N222:N223"/>
    <mergeCell ref="O222:O223"/>
    <mergeCell ref="P222:P223"/>
    <mergeCell ref="Q222:Q223"/>
    <mergeCell ref="R222:R223"/>
    <mergeCell ref="S222:S223"/>
    <mergeCell ref="U222:U223"/>
    <mergeCell ref="V222:W222"/>
    <mergeCell ref="X222:Y222"/>
    <mergeCell ref="Z222:AA222"/>
    <mergeCell ref="AB222:AC222"/>
    <mergeCell ref="AD222:AE222"/>
    <mergeCell ref="A221:C222"/>
    <mergeCell ref="D221:F222"/>
    <mergeCell ref="G221:G223"/>
    <mergeCell ref="H221:H223"/>
    <mergeCell ref="I221:I223"/>
    <mergeCell ref="J221:K222"/>
    <mergeCell ref="L221:M222"/>
    <mergeCell ref="A226:F226"/>
    <mergeCell ref="A227:G227"/>
    <mergeCell ref="A150:F150"/>
    <mergeCell ref="A151:G151"/>
    <mergeCell ref="N184:S184"/>
    <mergeCell ref="N185:T185"/>
    <mergeCell ref="AD113:AE113"/>
    <mergeCell ref="A117:F117"/>
    <mergeCell ref="A118:G118"/>
    <mergeCell ref="N134:S134"/>
    <mergeCell ref="N135:T135"/>
    <mergeCell ref="A145:C146"/>
    <mergeCell ref="D145:F146"/>
    <mergeCell ref="G145:G147"/>
    <mergeCell ref="H145:H147"/>
    <mergeCell ref="I145:I147"/>
    <mergeCell ref="J145:K146"/>
    <mergeCell ref="L145:M146"/>
    <mergeCell ref="N145:P145"/>
    <mergeCell ref="Q145:S145"/>
    <mergeCell ref="T145:T147"/>
    <mergeCell ref="N146:N147"/>
    <mergeCell ref="O146:O147"/>
    <mergeCell ref="P146:P147"/>
    <mergeCell ref="Q146:Q147"/>
    <mergeCell ref="R146:R147"/>
    <mergeCell ref="S146:S147"/>
    <mergeCell ref="U146:U147"/>
    <mergeCell ref="V146:W146"/>
    <mergeCell ref="X146:Y146"/>
    <mergeCell ref="A82:F82"/>
    <mergeCell ref="A83:G83"/>
    <mergeCell ref="N92:S92"/>
    <mergeCell ref="N93:T93"/>
    <mergeCell ref="A112:C113"/>
    <mergeCell ref="D112:F113"/>
    <mergeCell ref="G112:G114"/>
    <mergeCell ref="H112:H114"/>
    <mergeCell ref="I112:I114"/>
    <mergeCell ref="J112:K113"/>
    <mergeCell ref="L112:M113"/>
    <mergeCell ref="N112:P112"/>
    <mergeCell ref="Q112:S112"/>
    <mergeCell ref="T112:T114"/>
    <mergeCell ref="N113:N114"/>
    <mergeCell ref="O113:O114"/>
    <mergeCell ref="P113:P114"/>
    <mergeCell ref="Q113:Q114"/>
    <mergeCell ref="R113:R114"/>
    <mergeCell ref="S113:S114"/>
    <mergeCell ref="N60:T60"/>
    <mergeCell ref="A77:C78"/>
    <mergeCell ref="D77:F78"/>
    <mergeCell ref="G77:G79"/>
    <mergeCell ref="H77:H79"/>
    <mergeCell ref="I77:I79"/>
    <mergeCell ref="J77:K78"/>
    <mergeCell ref="L77:M78"/>
    <mergeCell ref="N77:P77"/>
    <mergeCell ref="Q77:S77"/>
    <mergeCell ref="T77:T79"/>
    <mergeCell ref="N78:N79"/>
    <mergeCell ref="O78:O79"/>
    <mergeCell ref="P78:P79"/>
    <mergeCell ref="Q78:Q79"/>
    <mergeCell ref="R78:R79"/>
    <mergeCell ref="S78:S79"/>
    <mergeCell ref="A48:F48"/>
    <mergeCell ref="A49:G49"/>
    <mergeCell ref="N59:S59"/>
    <mergeCell ref="J43:K44"/>
    <mergeCell ref="L43:M44"/>
    <mergeCell ref="N43:P43"/>
    <mergeCell ref="Q43:S43"/>
    <mergeCell ref="T43:T45"/>
    <mergeCell ref="N44:N45"/>
    <mergeCell ref="O44:O45"/>
    <mergeCell ref="P44:P45"/>
    <mergeCell ref="Q44:Q45"/>
    <mergeCell ref="R44:R45"/>
    <mergeCell ref="S44:S45"/>
    <mergeCell ref="X113:Y113"/>
    <mergeCell ref="Z113:AA113"/>
    <mergeCell ref="AB113:AC113"/>
    <mergeCell ref="U44:U45"/>
    <mergeCell ref="V44:W44"/>
    <mergeCell ref="X44:Y44"/>
    <mergeCell ref="Z44:AA44"/>
    <mergeCell ref="AB44:AC44"/>
    <mergeCell ref="U77:AE77"/>
    <mergeCell ref="U78:U79"/>
    <mergeCell ref="V78:W78"/>
    <mergeCell ref="X78:Y78"/>
    <mergeCell ref="Z78:AA78"/>
    <mergeCell ref="AB78:AC78"/>
    <mergeCell ref="AD78:AE78"/>
    <mergeCell ref="AD44:AE44"/>
    <mergeCell ref="AY9:AY12"/>
    <mergeCell ref="AZ9:AZ12"/>
    <mergeCell ref="L9:M10"/>
    <mergeCell ref="U9:AE9"/>
    <mergeCell ref="AN10:AO10"/>
    <mergeCell ref="AP10:AQ10"/>
    <mergeCell ref="AR10:AS10"/>
    <mergeCell ref="R10:R11"/>
    <mergeCell ref="S10:S11"/>
    <mergeCell ref="AT10:AU10"/>
    <mergeCell ref="AV10:AW10"/>
    <mergeCell ref="AB10:AC10"/>
    <mergeCell ref="AD10:AE10"/>
    <mergeCell ref="N10:N11"/>
    <mergeCell ref="O10:O11"/>
    <mergeCell ref="AF9:AF12"/>
    <mergeCell ref="N9:P9"/>
    <mergeCell ref="Q9:S9"/>
    <mergeCell ref="Q10:Q11"/>
    <mergeCell ref="T9:T11"/>
    <mergeCell ref="P10:P11"/>
    <mergeCell ref="AM10:AM11"/>
    <mergeCell ref="U10:U11"/>
    <mergeCell ref="AX9:AX12"/>
    <mergeCell ref="A14:F14"/>
    <mergeCell ref="A15:G15"/>
    <mergeCell ref="U43:AE43"/>
    <mergeCell ref="AK9:AL10"/>
    <mergeCell ref="AM9:AW9"/>
    <mergeCell ref="A9:C10"/>
    <mergeCell ref="D9:F10"/>
    <mergeCell ref="G9:G11"/>
    <mergeCell ref="H9:H11"/>
    <mergeCell ref="I9:I11"/>
    <mergeCell ref="J9:K10"/>
    <mergeCell ref="V10:W10"/>
    <mergeCell ref="X10:Y10"/>
    <mergeCell ref="AH9:AH11"/>
    <mergeCell ref="Z10:AA10"/>
    <mergeCell ref="AG9:AG11"/>
    <mergeCell ref="AI9:AJ10"/>
    <mergeCell ref="N30:S30"/>
    <mergeCell ref="N31:T31"/>
    <mergeCell ref="A43:C44"/>
    <mergeCell ref="D43:F44"/>
    <mergeCell ref="G43:G45"/>
    <mergeCell ref="H43:H45"/>
    <mergeCell ref="I43:I45"/>
    <mergeCell ref="A322:C323"/>
    <mergeCell ref="D322:F323"/>
    <mergeCell ref="G322:G324"/>
    <mergeCell ref="H322:H324"/>
    <mergeCell ref="I322:I324"/>
    <mergeCell ref="J322:K323"/>
    <mergeCell ref="L322:M323"/>
    <mergeCell ref="A327:F327"/>
    <mergeCell ref="A328:G328"/>
    <mergeCell ref="Z146:AA146"/>
    <mergeCell ref="AB146:AC146"/>
    <mergeCell ref="AD146:AE146"/>
    <mergeCell ref="U112:AE112"/>
    <mergeCell ref="U113:U114"/>
    <mergeCell ref="N342:S342"/>
    <mergeCell ref="N343:T343"/>
    <mergeCell ref="N322:P322"/>
    <mergeCell ref="Q322:S322"/>
    <mergeCell ref="T322:T324"/>
    <mergeCell ref="U322:AE322"/>
    <mergeCell ref="N323:N324"/>
    <mergeCell ref="O323:O324"/>
    <mergeCell ref="P323:P324"/>
    <mergeCell ref="Q323:Q324"/>
    <mergeCell ref="R323:R324"/>
    <mergeCell ref="S323:S324"/>
    <mergeCell ref="U323:U324"/>
    <mergeCell ref="V323:W323"/>
    <mergeCell ref="X323:Y323"/>
    <mergeCell ref="Z323:AA323"/>
    <mergeCell ref="AB323:AC323"/>
    <mergeCell ref="AD323:AE323"/>
    <mergeCell ref="V113:W113"/>
  </mergeCells>
  <pageMargins left="0" right="0" top="0" bottom="0" header="0" footer="0"/>
  <pageSetup orientation="landscape" r:id="rId1"/>
  <colBreaks count="1" manualBreakCount="1">
    <brk id="31" max="48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FFCC"/>
  </sheetPr>
  <dimension ref="A3:AC34"/>
  <sheetViews>
    <sheetView zoomScale="130" zoomScaleNormal="130" workbookViewId="0">
      <selection activeCell="V29" activeCellId="1" sqref="W1:AC29 A1:V29"/>
    </sheetView>
  </sheetViews>
  <sheetFormatPr defaultRowHeight="12"/>
  <cols>
    <col min="1" max="1" width="2" style="1542" customWidth="1"/>
    <col min="2" max="2" width="9" style="1542" customWidth="1"/>
    <col min="3" max="4" width="5.42578125" style="1542" customWidth="1"/>
    <col min="5" max="5" width="9.85546875" style="1542" customWidth="1"/>
    <col min="6" max="6" width="9.5703125" style="1542" customWidth="1"/>
    <col min="7" max="9" width="5.42578125" style="1542" customWidth="1"/>
    <col min="10" max="10" width="8.5703125" style="1542" customWidth="1"/>
    <col min="11" max="11" width="9" style="1542" customWidth="1"/>
    <col min="12" max="13" width="5.42578125" style="1542" customWidth="1"/>
    <col min="14" max="14" width="10" style="1542" customWidth="1"/>
    <col min="15" max="15" width="9" style="1542" customWidth="1"/>
    <col min="16" max="19" width="4.28515625" style="1542" customWidth="1"/>
    <col min="20" max="20" width="9" style="1542" customWidth="1"/>
    <col min="21" max="21" width="6" style="1542" customWidth="1"/>
    <col min="22" max="22" width="8" style="1542" customWidth="1"/>
    <col min="23" max="23" width="3.7109375" style="1542" customWidth="1"/>
    <col min="24" max="24" width="4.5703125" style="1542" customWidth="1"/>
    <col min="25" max="25" width="9.140625" style="1542"/>
    <col min="26" max="26" width="10.7109375" style="1542" customWidth="1"/>
    <col min="27" max="27" width="9.140625" style="1542"/>
    <col min="28" max="28" width="11.7109375" style="1542" customWidth="1"/>
    <col min="29" max="29" width="9.140625" style="1542"/>
    <col min="30" max="16384" width="9.140625" style="86"/>
  </cols>
  <sheetData>
    <row r="3" spans="2:29">
      <c r="B3" s="1543"/>
      <c r="C3" s="1544"/>
      <c r="D3" s="1544"/>
      <c r="E3" s="1544"/>
      <c r="F3" s="1544"/>
      <c r="G3" s="1543"/>
      <c r="H3" s="1543"/>
    </row>
    <row r="4" spans="2:29">
      <c r="B4" s="1543" t="s">
        <v>131</v>
      </c>
      <c r="C4" s="1543" t="str">
        <f>'Kopertina '!F4</f>
        <v>Ameti</v>
      </c>
      <c r="D4" s="1543"/>
      <c r="E4" s="1543"/>
      <c r="F4" s="1543"/>
      <c r="G4" s="1543"/>
      <c r="H4" s="1543"/>
      <c r="Q4" s="1543" t="s">
        <v>131</v>
      </c>
      <c r="R4" s="1543" t="str">
        <f>C4</f>
        <v>Ameti</v>
      </c>
    </row>
    <row r="5" spans="2:29">
      <c r="B5" s="1545"/>
      <c r="C5" s="1545"/>
      <c r="D5" s="1545"/>
      <c r="E5" s="1545"/>
      <c r="F5" s="1545"/>
      <c r="G5" s="1543"/>
      <c r="H5" s="1543"/>
      <c r="I5" s="1543"/>
      <c r="J5" s="1543"/>
      <c r="K5" s="1543" t="s">
        <v>163</v>
      </c>
    </row>
    <row r="6" spans="2:29">
      <c r="B6" s="1545"/>
      <c r="C6" s="1884" t="s">
        <v>164</v>
      </c>
      <c r="D6" s="1884"/>
      <c r="E6" s="1884"/>
      <c r="F6" s="1884"/>
      <c r="G6" s="1884"/>
      <c r="H6" s="1884"/>
      <c r="I6" s="1884"/>
      <c r="R6" s="1887" t="s">
        <v>886</v>
      </c>
      <c r="S6" s="1887"/>
      <c r="T6" s="1887"/>
      <c r="U6" s="1887"/>
      <c r="V6" s="1887"/>
    </row>
    <row r="7" spans="2:29">
      <c r="B7" s="1545"/>
      <c r="C7" s="1545"/>
      <c r="D7" s="1545"/>
      <c r="E7" s="1545"/>
      <c r="F7" s="1545"/>
      <c r="G7" s="1545"/>
      <c r="H7" s="1543" t="s">
        <v>132</v>
      </c>
      <c r="I7" s="1546"/>
      <c r="J7" s="1546">
        <f>'Kopertina '!F29</f>
        <v>2011</v>
      </c>
      <c r="X7" s="1543" t="s">
        <v>131</v>
      </c>
      <c r="Y7" s="1543" t="str">
        <f>+'Kopertina '!F4</f>
        <v>Ameti</v>
      </c>
    </row>
    <row r="9" spans="2:29" ht="12.75" thickBot="1">
      <c r="Y9" s="1547" t="s">
        <v>886</v>
      </c>
      <c r="Z9" s="1547"/>
      <c r="AA9" s="1547"/>
      <c r="AB9" s="1547"/>
      <c r="AC9" s="1547"/>
    </row>
    <row r="10" spans="2:29" ht="13.5" customHeight="1" thickBot="1">
      <c r="B10" s="1913" t="s">
        <v>169</v>
      </c>
      <c r="C10" s="1906" t="s">
        <v>737</v>
      </c>
      <c r="D10" s="1906" t="s">
        <v>738</v>
      </c>
      <c r="E10" s="1916" t="s">
        <v>772</v>
      </c>
      <c r="F10" s="1917"/>
      <c r="G10" s="1916" t="s">
        <v>773</v>
      </c>
      <c r="H10" s="1917"/>
      <c r="I10" s="1908" t="s">
        <v>741</v>
      </c>
      <c r="J10" s="1912"/>
      <c r="K10" s="1912"/>
      <c r="L10" s="1912"/>
      <c r="M10" s="1912"/>
      <c r="N10" s="1912"/>
      <c r="O10" s="1912"/>
      <c r="P10" s="1912"/>
      <c r="Q10" s="1912"/>
      <c r="R10" s="1912"/>
      <c r="S10" s="1910"/>
      <c r="T10" s="1548"/>
      <c r="U10" s="1902" t="s">
        <v>170</v>
      </c>
      <c r="V10" s="1904" t="s">
        <v>171</v>
      </c>
      <c r="X10" s="1891" t="s">
        <v>1</v>
      </c>
      <c r="Y10" s="1894" t="s">
        <v>887</v>
      </c>
      <c r="Z10" s="1897" t="s">
        <v>890</v>
      </c>
      <c r="AA10" s="1888" t="s">
        <v>888</v>
      </c>
      <c r="AB10" s="1889"/>
      <c r="AC10" s="1890"/>
    </row>
    <row r="11" spans="2:29" ht="16.5" customHeight="1" thickBot="1">
      <c r="B11" s="1914"/>
      <c r="C11" s="1915"/>
      <c r="D11" s="1915"/>
      <c r="E11" s="1918"/>
      <c r="F11" s="1919"/>
      <c r="G11" s="1918"/>
      <c r="H11" s="1919"/>
      <c r="I11" s="1906" t="s">
        <v>748</v>
      </c>
      <c r="J11" s="1908" t="s">
        <v>774</v>
      </c>
      <c r="K11" s="1909"/>
      <c r="L11" s="1908" t="s">
        <v>775</v>
      </c>
      <c r="M11" s="1909"/>
      <c r="N11" s="1908" t="s">
        <v>776</v>
      </c>
      <c r="O11" s="1910"/>
      <c r="P11" s="1908" t="s">
        <v>777</v>
      </c>
      <c r="Q11" s="1910"/>
      <c r="R11" s="1908" t="s">
        <v>749</v>
      </c>
      <c r="S11" s="1910"/>
      <c r="T11" s="1549"/>
      <c r="U11" s="1903"/>
      <c r="V11" s="1905"/>
      <c r="X11" s="1892"/>
      <c r="Y11" s="1895"/>
      <c r="Z11" s="1898"/>
      <c r="AA11" s="1885" t="s">
        <v>889</v>
      </c>
      <c r="AB11" s="1885" t="s">
        <v>1331</v>
      </c>
      <c r="AC11" s="1900"/>
    </row>
    <row r="12" spans="2:29" ht="27" customHeight="1" thickBot="1">
      <c r="B12" s="1914"/>
      <c r="C12" s="1907"/>
      <c r="D12" s="1907"/>
      <c r="E12" s="1550" t="s">
        <v>751</v>
      </c>
      <c r="F12" s="1551" t="s">
        <v>752</v>
      </c>
      <c r="G12" s="1550" t="s">
        <v>751</v>
      </c>
      <c r="H12" s="1551" t="s">
        <v>752</v>
      </c>
      <c r="I12" s="1907"/>
      <c r="J12" s="1552" t="s">
        <v>751</v>
      </c>
      <c r="K12" s="1553" t="s">
        <v>752</v>
      </c>
      <c r="L12" s="1552" t="s">
        <v>751</v>
      </c>
      <c r="M12" s="1553" t="s">
        <v>752</v>
      </c>
      <c r="N12" s="1551" t="s">
        <v>753</v>
      </c>
      <c r="O12" s="1551" t="s">
        <v>754</v>
      </c>
      <c r="P12" s="1551" t="s">
        <v>753</v>
      </c>
      <c r="Q12" s="1551" t="s">
        <v>754</v>
      </c>
      <c r="R12" s="1551" t="s">
        <v>753</v>
      </c>
      <c r="S12" s="1551" t="s">
        <v>754</v>
      </c>
      <c r="T12" s="1911" t="s">
        <v>172</v>
      </c>
      <c r="U12" s="1903"/>
      <c r="V12" s="1905"/>
      <c r="X12" s="1892"/>
      <c r="Y12" s="1895"/>
      <c r="Z12" s="1898"/>
      <c r="AA12" s="1885"/>
      <c r="AB12" s="1885"/>
      <c r="AC12" s="1900"/>
    </row>
    <row r="13" spans="2:29" ht="12.75" thickBot="1">
      <c r="B13" s="1914"/>
      <c r="C13" s="1554" t="s">
        <v>578</v>
      </c>
      <c r="D13" s="1555" t="s">
        <v>580</v>
      </c>
      <c r="E13" s="1554" t="s">
        <v>582</v>
      </c>
      <c r="F13" s="1556" t="s">
        <v>584</v>
      </c>
      <c r="G13" s="1554" t="s">
        <v>586</v>
      </c>
      <c r="H13" s="1556" t="s">
        <v>590</v>
      </c>
      <c r="I13" s="1554" t="s">
        <v>578</v>
      </c>
      <c r="J13" s="1554" t="s">
        <v>580</v>
      </c>
      <c r="K13" s="1554" t="s">
        <v>582</v>
      </c>
      <c r="L13" s="1554" t="s">
        <v>584</v>
      </c>
      <c r="M13" s="1554" t="s">
        <v>586</v>
      </c>
      <c r="N13" s="1554" t="s">
        <v>590</v>
      </c>
      <c r="O13" s="1554" t="s">
        <v>755</v>
      </c>
      <c r="P13" s="1554" t="s">
        <v>780</v>
      </c>
      <c r="Q13" s="1554" t="s">
        <v>781</v>
      </c>
      <c r="R13" s="1554" t="s">
        <v>782</v>
      </c>
      <c r="S13" s="1556" t="s">
        <v>783</v>
      </c>
      <c r="T13" s="1903"/>
      <c r="U13" s="1903"/>
      <c r="V13" s="1905"/>
      <c r="X13" s="1893"/>
      <c r="Y13" s="1896"/>
      <c r="Z13" s="1899"/>
      <c r="AA13" s="1886"/>
      <c r="AB13" s="1886"/>
      <c r="AC13" s="1901"/>
    </row>
    <row r="14" spans="2:29" ht="12.75" customHeight="1">
      <c r="B14" s="1557" t="s">
        <v>173</v>
      </c>
      <c r="C14" s="1558">
        <f>+'Liber Shit- Blerje '!AG13</f>
        <v>0</v>
      </c>
      <c r="D14" s="1558">
        <f>+'Liber Shit- Blerje '!AH13</f>
        <v>0</v>
      </c>
      <c r="E14" s="1558">
        <f>+'Liber Shit- Blerje '!AI13</f>
        <v>3937335</v>
      </c>
      <c r="F14" s="1558">
        <f>+'Liber Shit- Blerje '!AJ13</f>
        <v>787467</v>
      </c>
      <c r="G14" s="1558">
        <f>+'Liber Shit- Blerje '!AK13</f>
        <v>0</v>
      </c>
      <c r="H14" s="1558">
        <f>+'Liber Shit- Blerje '!AL13</f>
        <v>0</v>
      </c>
      <c r="I14" s="1558">
        <f>+'Liber Shit- Blerje '!AM13</f>
        <v>0</v>
      </c>
      <c r="J14" s="1558">
        <f>+'Liber Shit- Blerje '!AN13</f>
        <v>0</v>
      </c>
      <c r="K14" s="1558">
        <f>+'Liber Shit- Blerje '!AO13</f>
        <v>0</v>
      </c>
      <c r="L14" s="1558">
        <f>+'Liber Shit- Blerje '!AP13</f>
        <v>0</v>
      </c>
      <c r="M14" s="1558">
        <f>+'Liber Shit- Blerje '!AQ13</f>
        <v>0</v>
      </c>
      <c r="N14" s="1558">
        <f>+'Liber Shit- Blerje '!AR13</f>
        <v>3156733</v>
      </c>
      <c r="O14" s="1558">
        <f>+'Liber Shit- Blerje '!AS13</f>
        <v>631346.6</v>
      </c>
      <c r="P14" s="1558">
        <f>+'Liber Shit- Blerje '!AT13</f>
        <v>0</v>
      </c>
      <c r="Q14" s="1558">
        <f>+'Liber Shit- Blerje '!AU13</f>
        <v>0</v>
      </c>
      <c r="R14" s="1558">
        <f>+'Liber Shit- Blerje '!AV13</f>
        <v>0</v>
      </c>
      <c r="S14" s="1558">
        <f>+'Liber Shit- Blerje '!AW13</f>
        <v>0</v>
      </c>
      <c r="T14" s="1558">
        <f>+'Liber Shit- Blerje '!AX13</f>
        <v>631346.6</v>
      </c>
      <c r="U14" s="1558">
        <f>+'Liber Shit- Blerje '!AY13</f>
        <v>0</v>
      </c>
      <c r="V14" s="1559">
        <f>+'Liber Shit- Blerje '!AZ13</f>
        <v>156120.40000000002</v>
      </c>
      <c r="X14" s="1560">
        <v>1</v>
      </c>
      <c r="Y14" s="1433" t="s">
        <v>173</v>
      </c>
      <c r="Z14" s="1561">
        <f>+C14+D14+E14+G14</f>
        <v>3937335</v>
      </c>
      <c r="AA14" s="1562"/>
      <c r="AB14" s="1561">
        <f>+Z14</f>
        <v>3937335</v>
      </c>
      <c r="AC14" s="1563"/>
    </row>
    <row r="15" spans="2:29" ht="12.75" customHeight="1">
      <c r="B15" s="1564" t="s">
        <v>174</v>
      </c>
      <c r="C15" s="1455">
        <f>+'Liber Shit- Blerje '!AG14</f>
        <v>0</v>
      </c>
      <c r="D15" s="1455">
        <f>+'Liber Shit- Blerje '!AH14</f>
        <v>0</v>
      </c>
      <c r="E15" s="1455">
        <f>+'Liber Shit- Blerje '!AI14</f>
        <v>6541203</v>
      </c>
      <c r="F15" s="1455">
        <f>+'Liber Shit- Blerje '!AJ14</f>
        <v>1308240.6000000001</v>
      </c>
      <c r="G15" s="1455">
        <f>+'Liber Shit- Blerje '!AK14</f>
        <v>0</v>
      </c>
      <c r="H15" s="1455">
        <f>+'Liber Shit- Blerje '!AL14</f>
        <v>0</v>
      </c>
      <c r="I15" s="1455">
        <f>+'Liber Shit- Blerje '!AM14</f>
        <v>0</v>
      </c>
      <c r="J15" s="1455">
        <f>+'Liber Shit- Blerje '!AN14</f>
        <v>0</v>
      </c>
      <c r="K15" s="1455">
        <f>+'Liber Shit- Blerje '!AO14</f>
        <v>0</v>
      </c>
      <c r="L15" s="1455">
        <f>+'Liber Shit- Blerje '!AP14</f>
        <v>0</v>
      </c>
      <c r="M15" s="1455">
        <f>+'Liber Shit- Blerje '!AQ14</f>
        <v>0</v>
      </c>
      <c r="N15" s="1455">
        <f>+'Liber Shit- Blerje '!AR14</f>
        <v>5445066.0200000005</v>
      </c>
      <c r="O15" s="1455">
        <f>+'Liber Shit- Blerje '!AS14</f>
        <v>1089013.2039999999</v>
      </c>
      <c r="P15" s="1455">
        <f>+'Liber Shit- Blerje '!AT14</f>
        <v>0</v>
      </c>
      <c r="Q15" s="1455">
        <f>+'Liber Shit- Blerje '!AU14</f>
        <v>0</v>
      </c>
      <c r="R15" s="1455">
        <f>+'Liber Shit- Blerje '!AV14</f>
        <v>0</v>
      </c>
      <c r="S15" s="1455">
        <f>+'Liber Shit- Blerje '!AW14</f>
        <v>0</v>
      </c>
      <c r="T15" s="1455">
        <f>+'Liber Shit- Blerje '!AX14</f>
        <v>1089013.2039999999</v>
      </c>
      <c r="U15" s="1455">
        <f>+'Liber Shit- Blerje '!AY14</f>
        <v>0</v>
      </c>
      <c r="V15" s="1473">
        <f>+'Liber Shit- Blerje '!AZ14</f>
        <v>219227.39600000018</v>
      </c>
      <c r="X15" s="1565">
        <v>2</v>
      </c>
      <c r="Y15" s="1466" t="s">
        <v>174</v>
      </c>
      <c r="Z15" s="1566">
        <f t="shared" ref="Z15:Z25" si="0">+C15+D15+E15+G15</f>
        <v>6541203</v>
      </c>
      <c r="AA15" s="1448"/>
      <c r="AB15" s="1566">
        <f t="shared" ref="AB15:AB26" si="1">+Z15</f>
        <v>6541203</v>
      </c>
      <c r="AC15" s="1567"/>
    </row>
    <row r="16" spans="2:29" ht="12.75" customHeight="1">
      <c r="B16" s="1564" t="s">
        <v>175</v>
      </c>
      <c r="C16" s="1455">
        <f>+'Liber Shit- Blerje '!AG15</f>
        <v>0</v>
      </c>
      <c r="D16" s="1455">
        <f>+'Liber Shit- Blerje '!AH15</f>
        <v>0</v>
      </c>
      <c r="E16" s="1455">
        <f>+'Liber Shit- Blerje '!AI15</f>
        <v>6011916</v>
      </c>
      <c r="F16" s="1455">
        <f>+'Liber Shit- Blerje '!AJ15</f>
        <v>1202383.2</v>
      </c>
      <c r="G16" s="1455">
        <f>+'Liber Shit- Blerje '!AK15</f>
        <v>0</v>
      </c>
      <c r="H16" s="1455">
        <f>+'Liber Shit- Blerje '!AL15</f>
        <v>0</v>
      </c>
      <c r="I16" s="1455">
        <f>+'Liber Shit- Blerje '!AM15</f>
        <v>0</v>
      </c>
      <c r="J16" s="1455">
        <f>+'Liber Shit- Blerje '!AN15</f>
        <v>0</v>
      </c>
      <c r="K16" s="1455">
        <f>+'Liber Shit- Blerje '!AO15</f>
        <v>0</v>
      </c>
      <c r="L16" s="1455">
        <f>+'Liber Shit- Blerje '!AP15</f>
        <v>0</v>
      </c>
      <c r="M16" s="1455">
        <f>+'Liber Shit- Blerje '!AQ15</f>
        <v>0</v>
      </c>
      <c r="N16" s="1455">
        <f>+'Liber Shit- Blerje '!AR15</f>
        <v>5302034.7</v>
      </c>
      <c r="O16" s="1455">
        <f>+'Liber Shit- Blerje '!AS15</f>
        <v>1060406.94</v>
      </c>
      <c r="P16" s="1455">
        <f>+'Liber Shit- Blerje '!AT15</f>
        <v>0</v>
      </c>
      <c r="Q16" s="1455">
        <f>+'Liber Shit- Blerje '!AU15</f>
        <v>0</v>
      </c>
      <c r="R16" s="1455">
        <f>+'Liber Shit- Blerje '!AV15</f>
        <v>0</v>
      </c>
      <c r="S16" s="1455">
        <f>+'Liber Shit- Blerje '!AW15</f>
        <v>0</v>
      </c>
      <c r="T16" s="1455">
        <f>+'Liber Shit- Blerje '!AX15</f>
        <v>1060406.94</v>
      </c>
      <c r="U16" s="1455">
        <f>+'Liber Shit- Blerje '!AY15</f>
        <v>0</v>
      </c>
      <c r="V16" s="1473">
        <f>+'Liber Shit- Blerje '!AZ15</f>
        <v>141976.26</v>
      </c>
      <c r="X16" s="1565">
        <v>3</v>
      </c>
      <c r="Y16" s="1466" t="s">
        <v>175</v>
      </c>
      <c r="Z16" s="1566">
        <f t="shared" si="0"/>
        <v>6011916</v>
      </c>
      <c r="AA16" s="1448"/>
      <c r="AB16" s="1566">
        <f t="shared" si="1"/>
        <v>6011916</v>
      </c>
      <c r="AC16" s="1567"/>
    </row>
    <row r="17" spans="1:29" ht="12.75" customHeight="1">
      <c r="B17" s="1564" t="s">
        <v>176</v>
      </c>
      <c r="C17" s="1455">
        <f>+'Liber Shit- Blerje '!AG16</f>
        <v>0</v>
      </c>
      <c r="D17" s="1455">
        <f>+'Liber Shit- Blerje '!AH16</f>
        <v>0</v>
      </c>
      <c r="E17" s="1455">
        <f>+'Liber Shit- Blerje '!AI16</f>
        <v>4233773</v>
      </c>
      <c r="F17" s="1455">
        <f>+'Liber Shit- Blerje '!AJ16</f>
        <v>846755</v>
      </c>
      <c r="G17" s="1455">
        <f>+'Liber Shit- Blerje '!AK16</f>
        <v>0</v>
      </c>
      <c r="H17" s="1455">
        <f>+'Liber Shit- Blerje '!AL16</f>
        <v>0</v>
      </c>
      <c r="I17" s="1455">
        <f>+'Liber Shit- Blerje '!AM16</f>
        <v>0</v>
      </c>
      <c r="J17" s="1455">
        <f>+'Liber Shit- Blerje '!AN16</f>
        <v>0</v>
      </c>
      <c r="K17" s="1455">
        <f>+'Liber Shit- Blerje '!AO16</f>
        <v>0</v>
      </c>
      <c r="L17" s="1455">
        <f>+'Liber Shit- Blerje '!AP16</f>
        <v>0</v>
      </c>
      <c r="M17" s="1455">
        <f>+'Liber Shit- Blerje '!AQ16</f>
        <v>0</v>
      </c>
      <c r="N17" s="1455">
        <f>+'Liber Shit- Blerje '!AR16</f>
        <v>3620882</v>
      </c>
      <c r="O17" s="1455">
        <f>+'Liber Shit- Blerje '!AS16</f>
        <v>724176.4</v>
      </c>
      <c r="P17" s="1455">
        <f>+'Liber Shit- Blerje '!AT16</f>
        <v>0</v>
      </c>
      <c r="Q17" s="1455">
        <f>+'Liber Shit- Blerje '!AU16</f>
        <v>0</v>
      </c>
      <c r="R17" s="1455">
        <f>+'Liber Shit- Blerje '!AV16</f>
        <v>0</v>
      </c>
      <c r="S17" s="1455">
        <f>+'Liber Shit- Blerje '!AW16</f>
        <v>0</v>
      </c>
      <c r="T17" s="1455">
        <f>+'Liber Shit- Blerje '!AX16</f>
        <v>724176.4</v>
      </c>
      <c r="U17" s="1455">
        <f>+'Liber Shit- Blerje '!AY16</f>
        <v>0</v>
      </c>
      <c r="V17" s="1473">
        <f>+'Liber Shit- Blerje '!AZ16</f>
        <v>122578.59999999998</v>
      </c>
      <c r="X17" s="1565">
        <v>4</v>
      </c>
      <c r="Y17" s="1466" t="s">
        <v>176</v>
      </c>
      <c r="Z17" s="1566">
        <f t="shared" si="0"/>
        <v>4233773</v>
      </c>
      <c r="AA17" s="1448"/>
      <c r="AB17" s="1566">
        <f t="shared" si="1"/>
        <v>4233773</v>
      </c>
      <c r="AC17" s="1567"/>
    </row>
    <row r="18" spans="1:29" ht="12.75" customHeight="1">
      <c r="B18" s="1564" t="s">
        <v>177</v>
      </c>
      <c r="C18" s="1455">
        <f>+'Liber Shit- Blerje '!AG17</f>
        <v>0</v>
      </c>
      <c r="D18" s="1455">
        <f>+'Liber Shit- Blerje '!AH17</f>
        <v>0</v>
      </c>
      <c r="E18" s="1455">
        <f>+'Liber Shit- Blerje '!AI17</f>
        <v>6311418</v>
      </c>
      <c r="F18" s="1455">
        <f>+'Liber Shit- Blerje '!AJ17</f>
        <v>1262283.6000000001</v>
      </c>
      <c r="G18" s="1455">
        <f>+'Liber Shit- Blerje '!AK17</f>
        <v>0</v>
      </c>
      <c r="H18" s="1455">
        <f>+'Liber Shit- Blerje '!AL17</f>
        <v>0</v>
      </c>
      <c r="I18" s="1455">
        <f>+'Liber Shit- Blerje '!AM17</f>
        <v>0</v>
      </c>
      <c r="J18" s="1455">
        <f>+'Liber Shit- Blerje '!AN17</f>
        <v>0</v>
      </c>
      <c r="K18" s="1455">
        <f>+'Liber Shit- Blerje '!AO17</f>
        <v>0</v>
      </c>
      <c r="L18" s="1455">
        <f>+'Liber Shit- Blerje '!AP17</f>
        <v>0</v>
      </c>
      <c r="M18" s="1455">
        <f>+'Liber Shit- Blerje '!AQ17</f>
        <v>0</v>
      </c>
      <c r="N18" s="1455">
        <f>+'Liber Shit- Blerje '!AR17</f>
        <v>5651640</v>
      </c>
      <c r="O18" s="1455">
        <f>+'Liber Shit- Blerje '!AS17</f>
        <v>1130328.0000000005</v>
      </c>
      <c r="P18" s="1455">
        <f>+'Liber Shit- Blerje '!AT17</f>
        <v>0</v>
      </c>
      <c r="Q18" s="1455">
        <f>+'Liber Shit- Blerje '!AU17</f>
        <v>0</v>
      </c>
      <c r="R18" s="1455">
        <f>+'Liber Shit- Blerje '!AV17</f>
        <v>0</v>
      </c>
      <c r="S18" s="1455">
        <f>+'Liber Shit- Blerje '!AW17</f>
        <v>0</v>
      </c>
      <c r="T18" s="1455">
        <f>+'Liber Shit- Blerje '!AX17</f>
        <v>1130328.0000000005</v>
      </c>
      <c r="U18" s="1455">
        <f>+'Liber Shit- Blerje '!AY17</f>
        <v>0</v>
      </c>
      <c r="V18" s="1473">
        <f>+'Liber Shit- Blerje '!AZ17</f>
        <v>131955.59999999963</v>
      </c>
      <c r="X18" s="1565">
        <v>5</v>
      </c>
      <c r="Y18" s="1466" t="s">
        <v>177</v>
      </c>
      <c r="Z18" s="1566">
        <f t="shared" si="0"/>
        <v>6311418</v>
      </c>
      <c r="AA18" s="1448"/>
      <c r="AB18" s="1566">
        <f t="shared" si="1"/>
        <v>6311418</v>
      </c>
      <c r="AC18" s="1567"/>
    </row>
    <row r="19" spans="1:29" ht="12.75" customHeight="1">
      <c r="B19" s="1564" t="s">
        <v>178</v>
      </c>
      <c r="C19" s="1455">
        <f>+'Liber Shit- Blerje '!AG18</f>
        <v>0</v>
      </c>
      <c r="D19" s="1455">
        <f>+'Liber Shit- Blerje '!AH18</f>
        <v>0</v>
      </c>
      <c r="E19" s="1455">
        <f>+'Liber Shit- Blerje '!AI18</f>
        <v>4290727</v>
      </c>
      <c r="F19" s="1412">
        <f>+'Liber Shit- Blerje '!AJ18</f>
        <v>858145.4</v>
      </c>
      <c r="G19" s="1455">
        <f>+'Liber Shit- Blerje '!AK18</f>
        <v>0</v>
      </c>
      <c r="H19" s="1455">
        <f>+'Liber Shit- Blerje '!AL18</f>
        <v>0</v>
      </c>
      <c r="I19" s="1455">
        <f>+'Liber Shit- Blerje '!AM18</f>
        <v>0</v>
      </c>
      <c r="J19" s="1455">
        <f>+'Liber Shit- Blerje '!AN18</f>
        <v>0</v>
      </c>
      <c r="K19" s="1455">
        <f>+'Liber Shit- Blerje '!AO18</f>
        <v>0</v>
      </c>
      <c r="L19" s="1455">
        <f>+'Liber Shit- Blerje '!AP18</f>
        <v>0</v>
      </c>
      <c r="M19" s="1455">
        <f>+'Liber Shit- Blerje '!AQ18</f>
        <v>0</v>
      </c>
      <c r="N19" s="1455">
        <f>+'Liber Shit- Blerje '!AR18</f>
        <v>3510016.67</v>
      </c>
      <c r="O19" s="1455">
        <f>+'Liber Shit- Blerje '!AS18</f>
        <v>702003.33399999992</v>
      </c>
      <c r="P19" s="1455">
        <f>+'Liber Shit- Blerje '!AT18</f>
        <v>0</v>
      </c>
      <c r="Q19" s="1455">
        <f>+'Liber Shit- Blerje '!AU18</f>
        <v>0</v>
      </c>
      <c r="R19" s="1455">
        <f>+'Liber Shit- Blerje '!AV18</f>
        <v>0</v>
      </c>
      <c r="S19" s="1455">
        <f>+'Liber Shit- Blerje '!AW18</f>
        <v>0</v>
      </c>
      <c r="T19" s="1455">
        <f>+'Liber Shit- Blerje '!AX18</f>
        <v>702003.33399999992</v>
      </c>
      <c r="U19" s="1455">
        <f>+'Liber Shit- Blerje '!AY18</f>
        <v>0</v>
      </c>
      <c r="V19" s="1473">
        <f>+'Liber Shit- Blerje '!AZ18</f>
        <v>156142.06600000011</v>
      </c>
      <c r="X19" s="1565">
        <v>6</v>
      </c>
      <c r="Y19" s="1466" t="s">
        <v>178</v>
      </c>
      <c r="Z19" s="1566">
        <f t="shared" si="0"/>
        <v>4290727</v>
      </c>
      <c r="AA19" s="1448"/>
      <c r="AB19" s="1566">
        <f t="shared" si="1"/>
        <v>4290727</v>
      </c>
      <c r="AC19" s="1567"/>
    </row>
    <row r="20" spans="1:29" ht="12.75" customHeight="1">
      <c r="B20" s="1564" t="s">
        <v>179</v>
      </c>
      <c r="C20" s="1455">
        <f>+'Liber Shit- Blerje '!AG19</f>
        <v>0</v>
      </c>
      <c r="D20" s="1455">
        <f>+'Liber Shit- Blerje '!AH19</f>
        <v>0</v>
      </c>
      <c r="E20" s="1455">
        <f>+'Liber Shit- Blerje '!AI19</f>
        <v>2708302</v>
      </c>
      <c r="F20" s="1455">
        <f>+'Liber Shit- Blerje '!AJ19</f>
        <v>541660.4</v>
      </c>
      <c r="G20" s="1455">
        <f>+'Liber Shit- Blerje '!AK19</f>
        <v>0</v>
      </c>
      <c r="H20" s="1455">
        <f>+'Liber Shit- Blerje '!AL19</f>
        <v>0</v>
      </c>
      <c r="I20" s="1455">
        <f>+'Liber Shit- Blerje '!AM19</f>
        <v>0</v>
      </c>
      <c r="J20" s="1455">
        <f>+'Liber Shit- Blerje '!AN19</f>
        <v>0</v>
      </c>
      <c r="K20" s="1455">
        <f>+'Liber Shit- Blerje '!AO19</f>
        <v>0</v>
      </c>
      <c r="L20" s="1455">
        <f>+'Liber Shit- Blerje '!AP19</f>
        <v>0</v>
      </c>
      <c r="M20" s="1455">
        <f>+'Liber Shit- Blerje '!AQ19</f>
        <v>0</v>
      </c>
      <c r="N20" s="1455">
        <f>+'Liber Shit- Blerje '!AR19</f>
        <v>2174860.34</v>
      </c>
      <c r="O20" s="1455">
        <f>+'Liber Shit- Blerje '!AS19</f>
        <v>434972.06800000003</v>
      </c>
      <c r="P20" s="1455">
        <f>+'Liber Shit- Blerje '!AT19</f>
        <v>0</v>
      </c>
      <c r="Q20" s="1455">
        <f>+'Liber Shit- Blerje '!AU19</f>
        <v>0</v>
      </c>
      <c r="R20" s="1455">
        <f>+'Liber Shit- Blerje '!AV19</f>
        <v>0</v>
      </c>
      <c r="S20" s="1455">
        <f>+'Liber Shit- Blerje '!AW19</f>
        <v>0</v>
      </c>
      <c r="T20" s="1455">
        <f>+'Liber Shit- Blerje '!AX19</f>
        <v>434972.06800000003</v>
      </c>
      <c r="U20" s="1455">
        <f>+'Liber Shit- Blerje '!AY19</f>
        <v>0</v>
      </c>
      <c r="V20" s="1473">
        <f>+'Liber Shit- Blerje '!AZ19</f>
        <v>106688.33199999999</v>
      </c>
      <c r="X20" s="1565">
        <v>7</v>
      </c>
      <c r="Y20" s="1466" t="s">
        <v>179</v>
      </c>
      <c r="Z20" s="1566">
        <f t="shared" si="0"/>
        <v>2708302</v>
      </c>
      <c r="AA20" s="1448"/>
      <c r="AB20" s="1566">
        <f t="shared" si="1"/>
        <v>2708302</v>
      </c>
      <c r="AC20" s="1567"/>
    </row>
    <row r="21" spans="1:29" ht="12.75" customHeight="1">
      <c r="B21" s="1564" t="s">
        <v>180</v>
      </c>
      <c r="C21" s="1455">
        <f>+'Liber Shit- Blerje '!AG20</f>
        <v>0</v>
      </c>
      <c r="D21" s="1455">
        <f>+'Liber Shit- Blerje '!AH20</f>
        <v>0</v>
      </c>
      <c r="E21" s="1455">
        <f>+'Liber Shit- Blerje '!AI20</f>
        <v>6865444</v>
      </c>
      <c r="F21" s="1412">
        <f>+'Liber Shit- Blerje '!AJ20</f>
        <v>1373088.8</v>
      </c>
      <c r="G21" s="1455">
        <f>+'Liber Shit- Blerje '!AK20</f>
        <v>0</v>
      </c>
      <c r="H21" s="1455">
        <f>+'Liber Shit- Blerje '!AL20</f>
        <v>0</v>
      </c>
      <c r="I21" s="1455">
        <f>+'Liber Shit- Blerje '!AM20</f>
        <v>0</v>
      </c>
      <c r="J21" s="1455">
        <f>+'Liber Shit- Blerje '!AN20</f>
        <v>0</v>
      </c>
      <c r="K21" s="1455">
        <f>+'Liber Shit- Blerje '!AO20</f>
        <v>0</v>
      </c>
      <c r="L21" s="1455">
        <f>+'Liber Shit- Blerje '!AP20</f>
        <v>0</v>
      </c>
      <c r="M21" s="1455">
        <f>+'Liber Shit- Blerje '!AQ20</f>
        <v>0</v>
      </c>
      <c r="N21" s="1455">
        <f>+'Liber Shit- Blerje '!AR20</f>
        <v>6229179.8799999999</v>
      </c>
      <c r="O21" s="1455">
        <f>+'Liber Shit- Blerje '!AS20</f>
        <v>1245835.976</v>
      </c>
      <c r="P21" s="1455">
        <f>+'Liber Shit- Blerje '!AT20</f>
        <v>0</v>
      </c>
      <c r="Q21" s="1455">
        <f>+'Liber Shit- Blerje '!AU20</f>
        <v>0</v>
      </c>
      <c r="R21" s="1455">
        <f>+'Liber Shit- Blerje '!AV20</f>
        <v>0</v>
      </c>
      <c r="S21" s="1455">
        <f>+'Liber Shit- Blerje '!AW20</f>
        <v>0</v>
      </c>
      <c r="T21" s="1455">
        <f>+'Liber Shit- Blerje '!AX20</f>
        <v>1245835.976</v>
      </c>
      <c r="U21" s="1455">
        <f>+'Liber Shit- Blerje '!AY20</f>
        <v>0</v>
      </c>
      <c r="V21" s="1473">
        <f>+'Liber Shit- Blerje '!AZ20</f>
        <v>127252.82400000002</v>
      </c>
      <c r="X21" s="1565">
        <v>8</v>
      </c>
      <c r="Y21" s="1466" t="s">
        <v>180</v>
      </c>
      <c r="Z21" s="1566">
        <f t="shared" si="0"/>
        <v>6865444</v>
      </c>
      <c r="AA21" s="1448"/>
      <c r="AB21" s="1566">
        <f t="shared" si="1"/>
        <v>6865444</v>
      </c>
      <c r="AC21" s="1567"/>
    </row>
    <row r="22" spans="1:29" ht="12.75" customHeight="1">
      <c r="B22" s="1564" t="s">
        <v>181</v>
      </c>
      <c r="C22" s="1455">
        <f>+'Liber Shit- Blerje '!AG21</f>
        <v>0</v>
      </c>
      <c r="D22" s="1455">
        <f>+'Liber Shit- Blerje '!AH21</f>
        <v>0</v>
      </c>
      <c r="E22" s="1455">
        <f>+'Liber Shit- Blerje '!AI21</f>
        <v>2392450</v>
      </c>
      <c r="F22" s="1412">
        <f>+'Liber Shit- Blerje '!AJ21</f>
        <v>478490</v>
      </c>
      <c r="G22" s="1455">
        <f>+'Liber Shit- Blerje '!AK21</f>
        <v>0</v>
      </c>
      <c r="H22" s="1455">
        <f>+'Liber Shit- Blerje '!AL21</f>
        <v>0</v>
      </c>
      <c r="I22" s="1455">
        <f>+'Liber Shit- Blerje '!AM21</f>
        <v>0</v>
      </c>
      <c r="J22" s="1455">
        <f>+'Liber Shit- Blerje '!AN21</f>
        <v>0</v>
      </c>
      <c r="K22" s="1455">
        <f>+'Liber Shit- Blerje '!AO21</f>
        <v>0</v>
      </c>
      <c r="L22" s="1455">
        <f>+'Liber Shit- Blerje '!AP21</f>
        <v>0</v>
      </c>
      <c r="M22" s="1455">
        <f>+'Liber Shit- Blerje '!AQ21</f>
        <v>0</v>
      </c>
      <c r="N22" s="1455">
        <f>+'Liber Shit- Blerje '!AR21</f>
        <v>2006639</v>
      </c>
      <c r="O22" s="1455">
        <f>+'Liber Shit- Blerje '!AS21</f>
        <v>401327.8</v>
      </c>
      <c r="P22" s="1455">
        <f>+'Liber Shit- Blerje '!AT21</f>
        <v>0</v>
      </c>
      <c r="Q22" s="1455">
        <f>+'Liber Shit- Blerje '!AU21</f>
        <v>0</v>
      </c>
      <c r="R22" s="1455">
        <f>+'Liber Shit- Blerje '!AV21</f>
        <v>0</v>
      </c>
      <c r="S22" s="1455">
        <f>+'Liber Shit- Blerje '!AW21</f>
        <v>0</v>
      </c>
      <c r="T22" s="1455">
        <f>+'Liber Shit- Blerje '!AX21</f>
        <v>401327.8</v>
      </c>
      <c r="U22" s="1455">
        <f>+'Liber Shit- Blerje '!AY21</f>
        <v>0</v>
      </c>
      <c r="V22" s="1473">
        <f>+'Liber Shit- Blerje '!AZ21</f>
        <v>77162.200000000012</v>
      </c>
      <c r="X22" s="1565">
        <v>9</v>
      </c>
      <c r="Y22" s="1466" t="s">
        <v>181</v>
      </c>
      <c r="Z22" s="1566">
        <f t="shared" si="0"/>
        <v>2392450</v>
      </c>
      <c r="AA22" s="1448"/>
      <c r="AB22" s="1566">
        <f t="shared" si="1"/>
        <v>2392450</v>
      </c>
      <c r="AC22" s="1567"/>
    </row>
    <row r="23" spans="1:29" ht="12.75" customHeight="1">
      <c r="B23" s="1564" t="s">
        <v>182</v>
      </c>
      <c r="C23" s="1455">
        <f>+'Liber Shit- Blerje '!AG22</f>
        <v>0</v>
      </c>
      <c r="D23" s="1455">
        <f>+'Liber Shit- Blerje '!AH22</f>
        <v>0</v>
      </c>
      <c r="E23" s="1455">
        <f>+'Liber Shit- Blerje '!AI22</f>
        <v>11551877</v>
      </c>
      <c r="F23" s="1455">
        <f>+'Liber Shit- Blerje '!AJ22</f>
        <v>2310375.4</v>
      </c>
      <c r="G23" s="1455">
        <f>+'Liber Shit- Blerje '!AK22</f>
        <v>0</v>
      </c>
      <c r="H23" s="1455">
        <f>+'Liber Shit- Blerje '!AL22</f>
        <v>0</v>
      </c>
      <c r="I23" s="1455">
        <f>+'Liber Shit- Blerje '!AM22</f>
        <v>0</v>
      </c>
      <c r="J23" s="1455">
        <f>+'Liber Shit- Blerje '!AN22</f>
        <v>7820993</v>
      </c>
      <c r="K23" s="1455">
        <f>+'Liber Shit- Blerje '!AO22</f>
        <v>1564198.6</v>
      </c>
      <c r="L23" s="1455">
        <f>+'Liber Shit- Blerje '!AP22</f>
        <v>0</v>
      </c>
      <c r="M23" s="1455">
        <f>+'Liber Shit- Blerje '!AQ22</f>
        <v>0</v>
      </c>
      <c r="N23" s="1455">
        <f>+'Liber Shit- Blerje '!AR22</f>
        <v>2526263</v>
      </c>
      <c r="O23" s="1455">
        <f>+'Liber Shit- Blerje '!AS22</f>
        <v>505252.6</v>
      </c>
      <c r="P23" s="1455">
        <f>+'Liber Shit- Blerje '!AT22</f>
        <v>0</v>
      </c>
      <c r="Q23" s="1455">
        <f>+'Liber Shit- Blerje '!AU22</f>
        <v>0</v>
      </c>
      <c r="R23" s="1455">
        <f>+'Liber Shit- Blerje '!AV22</f>
        <v>0</v>
      </c>
      <c r="S23" s="1455">
        <f>+'Liber Shit- Blerje '!AW22</f>
        <v>0</v>
      </c>
      <c r="T23" s="1455">
        <f>+'Liber Shit- Blerje '!AX22</f>
        <v>2069451.2000000002</v>
      </c>
      <c r="U23" s="1455">
        <f>+'Liber Shit- Blerje '!AY22</f>
        <v>0</v>
      </c>
      <c r="V23" s="1473">
        <f>+'Liber Shit- Blerje '!AZ22</f>
        <v>240924.19999999972</v>
      </c>
      <c r="X23" s="1565">
        <v>10</v>
      </c>
      <c r="Y23" s="1466" t="s">
        <v>182</v>
      </c>
      <c r="Z23" s="1566">
        <f t="shared" si="0"/>
        <v>11551877</v>
      </c>
      <c r="AA23" s="1448"/>
      <c r="AB23" s="1566">
        <f t="shared" si="1"/>
        <v>11551877</v>
      </c>
      <c r="AC23" s="1567"/>
    </row>
    <row r="24" spans="1:29" ht="12.75" customHeight="1">
      <c r="B24" s="1564" t="s">
        <v>183</v>
      </c>
      <c r="C24" s="1455">
        <f>+'Liber Shit- Blerje '!AG23</f>
        <v>0</v>
      </c>
      <c r="D24" s="1455">
        <f>+'Liber Shit- Blerje '!AH23</f>
        <v>0</v>
      </c>
      <c r="E24" s="1455">
        <f>+'Liber Shit- Blerje '!AI23</f>
        <v>2142488</v>
      </c>
      <c r="F24" s="1455">
        <f>+'Liber Shit- Blerje '!AJ23</f>
        <v>428497.60000000003</v>
      </c>
      <c r="G24" s="1455">
        <f>+'Liber Shit- Blerje '!AK23</f>
        <v>0</v>
      </c>
      <c r="H24" s="1455">
        <f>+'Liber Shit- Blerje '!AL23</f>
        <v>0</v>
      </c>
      <c r="I24" s="1455">
        <f>+'Liber Shit- Blerje '!AM23</f>
        <v>0</v>
      </c>
      <c r="J24" s="1455">
        <f>+'Liber Shit- Blerje '!AN23</f>
        <v>0</v>
      </c>
      <c r="K24" s="1455">
        <f>+'Liber Shit- Blerje '!AO23</f>
        <v>0</v>
      </c>
      <c r="L24" s="1455">
        <f>+'Liber Shit- Blerje '!AP23</f>
        <v>0</v>
      </c>
      <c r="M24" s="1455">
        <f>+'Liber Shit- Blerje '!AQ23</f>
        <v>0</v>
      </c>
      <c r="N24" s="1455">
        <f>+'Liber Shit- Blerje '!AR23</f>
        <v>1524096</v>
      </c>
      <c r="O24" s="1455">
        <f>+'Liber Shit- Blerje '!AS23</f>
        <v>304819.20000000001</v>
      </c>
      <c r="P24" s="1455">
        <f>+'Liber Shit- Blerje '!AT23</f>
        <v>0</v>
      </c>
      <c r="Q24" s="1455">
        <f>+'Liber Shit- Blerje '!AU23</f>
        <v>0</v>
      </c>
      <c r="R24" s="1455">
        <f>+'Liber Shit- Blerje '!AV23</f>
        <v>0</v>
      </c>
      <c r="S24" s="1455">
        <f>+'Liber Shit- Blerje '!AW23</f>
        <v>0</v>
      </c>
      <c r="T24" s="1455">
        <f>+'Liber Shit- Blerje '!AX23</f>
        <v>304819.20000000001</v>
      </c>
      <c r="U24" s="1455">
        <f>+'Liber Shit- Blerje '!AY23</f>
        <v>0</v>
      </c>
      <c r="V24" s="1473">
        <f>+'Liber Shit- Blerje '!AZ23</f>
        <v>123678.40000000002</v>
      </c>
      <c r="X24" s="1565">
        <v>11</v>
      </c>
      <c r="Y24" s="1466" t="s">
        <v>183</v>
      </c>
      <c r="Z24" s="1566">
        <f t="shared" si="0"/>
        <v>2142488</v>
      </c>
      <c r="AA24" s="1448"/>
      <c r="AB24" s="1566">
        <f t="shared" si="1"/>
        <v>2142488</v>
      </c>
      <c r="AC24" s="1567"/>
    </row>
    <row r="25" spans="1:29" ht="12.75" customHeight="1">
      <c r="B25" s="1564" t="s">
        <v>184</v>
      </c>
      <c r="C25" s="1455">
        <f>+'Liber Shit- Blerje '!AG24</f>
        <v>0</v>
      </c>
      <c r="D25" s="1455">
        <f>+'Liber Shit- Blerje '!AH24</f>
        <v>0</v>
      </c>
      <c r="E25" s="1455">
        <f>+'Liber Shit- Blerje '!AI24</f>
        <v>1724257</v>
      </c>
      <c r="F25" s="1455">
        <f>+'Liber Shit- Blerje '!AJ24</f>
        <v>344851.4</v>
      </c>
      <c r="G25" s="1455">
        <f>+'Liber Shit- Blerje '!AK24</f>
        <v>0</v>
      </c>
      <c r="H25" s="1455">
        <f>+'Liber Shit- Blerje '!AL24</f>
        <v>0</v>
      </c>
      <c r="I25" s="1455">
        <f>+'Liber Shit- Blerje '!AM24</f>
        <v>0</v>
      </c>
      <c r="J25" s="1455">
        <f>+'Liber Shit- Blerje '!AN24</f>
        <v>0</v>
      </c>
      <c r="K25" s="1455">
        <f>+'Liber Shit- Blerje '!AO24</f>
        <v>0</v>
      </c>
      <c r="L25" s="1455">
        <f>+'Liber Shit- Blerje '!AP24</f>
        <v>0</v>
      </c>
      <c r="M25" s="1455">
        <f>+'Liber Shit- Blerje '!AQ24</f>
        <v>0</v>
      </c>
      <c r="N25" s="1455">
        <f>+'Liber Shit- Blerje '!AR24</f>
        <v>1036392.097</v>
      </c>
      <c r="O25" s="1455">
        <f>+'Liber Shit- Blerje '!AS24</f>
        <v>207278.41940000004</v>
      </c>
      <c r="P25" s="1455">
        <f>+'Liber Shit- Blerje '!AT24</f>
        <v>0</v>
      </c>
      <c r="Q25" s="1455">
        <f>+'Liber Shit- Blerje '!AU24</f>
        <v>0</v>
      </c>
      <c r="R25" s="1455">
        <f>+'Liber Shit- Blerje '!AV24</f>
        <v>0</v>
      </c>
      <c r="S25" s="1455">
        <f>+'Liber Shit- Blerje '!AW24</f>
        <v>0</v>
      </c>
      <c r="T25" s="1455">
        <f>+'Liber Shit- Blerje '!AX24</f>
        <v>207278.41940000004</v>
      </c>
      <c r="U25" s="1455">
        <f>+'Liber Shit- Blerje '!AY24</f>
        <v>0</v>
      </c>
      <c r="V25" s="1473">
        <f>+'Liber Shit- Blerje '!AZ24</f>
        <v>137572.98059999998</v>
      </c>
      <c r="X25" s="1565">
        <v>12</v>
      </c>
      <c r="Y25" s="1466" t="s">
        <v>184</v>
      </c>
      <c r="Z25" s="1568">
        <f t="shared" si="0"/>
        <v>1724257</v>
      </c>
      <c r="AA25" s="1448"/>
      <c r="AB25" s="1566">
        <f t="shared" si="1"/>
        <v>1724257</v>
      </c>
      <c r="AC25" s="1567"/>
    </row>
    <row r="26" spans="1:29" ht="12.75" customHeight="1">
      <c r="B26" s="1569"/>
      <c r="C26" s="1570"/>
      <c r="D26" s="1570"/>
      <c r="E26" s="1570">
        <v>14159</v>
      </c>
      <c r="F26" s="1570">
        <f>E26*0.2</f>
        <v>2831.8</v>
      </c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  <c r="R26" s="1570"/>
      <c r="S26" s="1570"/>
      <c r="T26" s="1570"/>
      <c r="U26" s="1570"/>
      <c r="V26" s="1571"/>
      <c r="X26" s="1572">
        <v>13</v>
      </c>
      <c r="Y26" s="1573" t="s">
        <v>185</v>
      </c>
      <c r="Z26" s="1574">
        <f>E26</f>
        <v>14159</v>
      </c>
      <c r="AA26" s="1575"/>
      <c r="AB26" s="1575">
        <f t="shared" si="1"/>
        <v>14159</v>
      </c>
      <c r="AC26" s="1576"/>
    </row>
    <row r="27" spans="1:29" ht="12.75" customHeight="1">
      <c r="B27" s="1569"/>
      <c r="C27" s="1570"/>
      <c r="D27" s="1570"/>
      <c r="E27" s="1570"/>
      <c r="F27" s="1570"/>
      <c r="G27" s="1570"/>
      <c r="H27" s="1570"/>
      <c r="I27" s="1570"/>
      <c r="J27" s="1570"/>
      <c r="K27" s="1570"/>
      <c r="L27" s="1570"/>
      <c r="M27" s="1570"/>
      <c r="N27" s="1570"/>
      <c r="O27" s="1570"/>
      <c r="P27" s="1570"/>
      <c r="Q27" s="1570"/>
      <c r="R27" s="1570"/>
      <c r="S27" s="1570"/>
      <c r="T27" s="1570"/>
      <c r="U27" s="1570"/>
      <c r="V27" s="1571"/>
      <c r="X27" s="1572">
        <v>14</v>
      </c>
      <c r="Y27" s="1573" t="s">
        <v>185</v>
      </c>
      <c r="Z27" s="1574"/>
      <c r="AA27" s="1575"/>
      <c r="AB27" s="1575"/>
      <c r="AC27" s="1576"/>
    </row>
    <row r="28" spans="1:29" ht="12.75" customHeight="1" thickBot="1">
      <c r="B28" s="1577"/>
      <c r="C28" s="1578"/>
      <c r="D28" s="1578"/>
      <c r="E28" s="1578"/>
      <c r="F28" s="1578"/>
      <c r="G28" s="1578"/>
      <c r="H28" s="1578"/>
      <c r="I28" s="1578"/>
      <c r="J28" s="1578"/>
      <c r="K28" s="1578"/>
      <c r="L28" s="1578"/>
      <c r="M28" s="1578"/>
      <c r="N28" s="1578"/>
      <c r="O28" s="1578"/>
      <c r="P28" s="1578"/>
      <c r="Q28" s="1578"/>
      <c r="R28" s="1578"/>
      <c r="S28" s="1578"/>
      <c r="T28" s="1578"/>
      <c r="U28" s="1578"/>
      <c r="V28" s="1579"/>
      <c r="X28" s="1580">
        <v>15</v>
      </c>
      <c r="Y28" s="1581"/>
      <c r="Z28" s="1582"/>
      <c r="AA28" s="1583"/>
      <c r="AB28" s="1583"/>
      <c r="AC28" s="1584"/>
    </row>
    <row r="29" spans="1:29" s="87" customFormat="1" ht="22.5" customHeight="1" thickBot="1">
      <c r="A29" s="1546"/>
      <c r="B29" s="1585" t="s">
        <v>186</v>
      </c>
      <c r="C29" s="1586">
        <f t="shared" ref="C29:U29" si="2">SUM(C14:C28)</f>
        <v>0</v>
      </c>
      <c r="D29" s="1586">
        <f t="shared" si="2"/>
        <v>0</v>
      </c>
      <c r="E29" s="1586">
        <f t="shared" si="2"/>
        <v>58725349</v>
      </c>
      <c r="F29" s="1586">
        <f t="shared" si="2"/>
        <v>11745070.200000001</v>
      </c>
      <c r="G29" s="1586">
        <f t="shared" si="2"/>
        <v>0</v>
      </c>
      <c r="H29" s="1586">
        <f t="shared" si="2"/>
        <v>0</v>
      </c>
      <c r="I29" s="1586">
        <f t="shared" si="2"/>
        <v>0</v>
      </c>
      <c r="J29" s="1586">
        <f t="shared" si="2"/>
        <v>7820993</v>
      </c>
      <c r="K29" s="1586">
        <f t="shared" si="2"/>
        <v>1564198.6</v>
      </c>
      <c r="L29" s="1586">
        <f t="shared" si="2"/>
        <v>0</v>
      </c>
      <c r="M29" s="1586">
        <f t="shared" si="2"/>
        <v>0</v>
      </c>
      <c r="N29" s="1586">
        <f t="shared" si="2"/>
        <v>42183802.707000002</v>
      </c>
      <c r="O29" s="1586">
        <f t="shared" si="2"/>
        <v>8436760.5414000005</v>
      </c>
      <c r="P29" s="1586">
        <f t="shared" si="2"/>
        <v>0</v>
      </c>
      <c r="Q29" s="1586">
        <f t="shared" si="2"/>
        <v>0</v>
      </c>
      <c r="R29" s="1586">
        <f t="shared" si="2"/>
        <v>0</v>
      </c>
      <c r="S29" s="1586">
        <f t="shared" si="2"/>
        <v>0</v>
      </c>
      <c r="T29" s="1586">
        <f t="shared" si="2"/>
        <v>10000959.1414</v>
      </c>
      <c r="U29" s="1586">
        <f t="shared" si="2"/>
        <v>0</v>
      </c>
      <c r="V29" s="1586">
        <f>SUM(V14:V28)</f>
        <v>1741279.2585999994</v>
      </c>
      <c r="W29" s="1546"/>
      <c r="X29" s="1587"/>
      <c r="Y29" s="1588"/>
      <c r="Z29" s="1589">
        <f>SUM(Z14:Z28)</f>
        <v>58725349</v>
      </c>
      <c r="AA29" s="1589">
        <f t="shared" ref="AA29:AC29" si="3">SUM(AA14:AA28)</f>
        <v>0</v>
      </c>
      <c r="AB29" s="1589">
        <f t="shared" si="3"/>
        <v>58725349</v>
      </c>
      <c r="AC29" s="1589">
        <f t="shared" si="3"/>
        <v>0</v>
      </c>
    </row>
    <row r="30" spans="1:29" s="91" customFormat="1">
      <c r="A30" s="1590"/>
      <c r="B30" s="1591" t="s">
        <v>383</v>
      </c>
      <c r="C30" s="1591">
        <v>0</v>
      </c>
      <c r="D30" s="1591">
        <v>0</v>
      </c>
      <c r="E30" s="1590">
        <v>58725349</v>
      </c>
      <c r="F30" s="1590">
        <v>11745071</v>
      </c>
      <c r="G30" s="1590">
        <v>0</v>
      </c>
      <c r="H30" s="1590">
        <v>0</v>
      </c>
      <c r="I30" s="1590">
        <v>0</v>
      </c>
      <c r="J30" s="1590">
        <v>7820990</v>
      </c>
      <c r="K30" s="1590">
        <v>1564198</v>
      </c>
      <c r="L30" s="1590">
        <v>0</v>
      </c>
      <c r="M30" s="1590">
        <v>0</v>
      </c>
      <c r="N30" s="1590">
        <v>42183793</v>
      </c>
      <c r="O30" s="1590">
        <v>8436758</v>
      </c>
      <c r="P30" s="1590"/>
      <c r="Q30" s="1590"/>
      <c r="R30" s="1590"/>
      <c r="S30" s="1590"/>
      <c r="T30" s="1590"/>
      <c r="U30" s="1590"/>
      <c r="V30" s="1590">
        <v>1544773</v>
      </c>
      <c r="W30" s="1590"/>
      <c r="X30" s="1590"/>
      <c r="Y30" s="1590"/>
      <c r="Z30" s="1590"/>
      <c r="AA30" s="1590"/>
      <c r="AB30" s="1590"/>
      <c r="AC30" s="1590"/>
    </row>
    <row r="31" spans="1:29">
      <c r="C31" s="1592">
        <f>+C29-C30</f>
        <v>0</v>
      </c>
      <c r="D31" s="1592">
        <f t="shared" ref="D31:S31" si="4">+D29-D30</f>
        <v>0</v>
      </c>
      <c r="E31" s="1592">
        <f t="shared" si="4"/>
        <v>0</v>
      </c>
      <c r="F31" s="1592">
        <f t="shared" si="4"/>
        <v>-0.79999999888241291</v>
      </c>
      <c r="G31" s="1592">
        <f t="shared" si="4"/>
        <v>0</v>
      </c>
      <c r="H31" s="1592">
        <f t="shared" si="4"/>
        <v>0</v>
      </c>
      <c r="I31" s="1592">
        <f t="shared" si="4"/>
        <v>0</v>
      </c>
      <c r="J31" s="1592">
        <f t="shared" si="4"/>
        <v>3</v>
      </c>
      <c r="K31" s="1592">
        <f t="shared" si="4"/>
        <v>0.60000000009313226</v>
      </c>
      <c r="L31" s="1592">
        <f t="shared" si="4"/>
        <v>0</v>
      </c>
      <c r="M31" s="1592">
        <f t="shared" si="4"/>
        <v>0</v>
      </c>
      <c r="N31" s="1592">
        <f t="shared" si="4"/>
        <v>9.7070000022649765</v>
      </c>
      <c r="O31" s="1592">
        <f t="shared" si="4"/>
        <v>2.5414000004529953</v>
      </c>
      <c r="P31" s="1592">
        <f t="shared" si="4"/>
        <v>0</v>
      </c>
      <c r="Q31" s="1592">
        <f t="shared" si="4"/>
        <v>0</v>
      </c>
      <c r="R31" s="1592">
        <f t="shared" si="4"/>
        <v>0</v>
      </c>
      <c r="S31" s="1592">
        <f t="shared" si="4"/>
        <v>0</v>
      </c>
    </row>
    <row r="32" spans="1:29">
      <c r="C32" s="1546"/>
      <c r="D32" s="1546"/>
      <c r="E32" s="1546"/>
      <c r="F32" s="1546"/>
      <c r="V32" s="1593">
        <f>V29-V30</f>
        <v>196506.25859999936</v>
      </c>
    </row>
    <row r="33" spans="3:29">
      <c r="C33" s="1546"/>
      <c r="D33" s="1546"/>
      <c r="E33" s="1546"/>
      <c r="F33" s="1546"/>
      <c r="X33" s="1590"/>
      <c r="Y33" s="1590"/>
      <c r="Z33" s="1590"/>
      <c r="AA33" s="1590"/>
      <c r="AB33" s="1590"/>
      <c r="AC33" s="1590"/>
    </row>
    <row r="34" spans="3:29">
      <c r="C34" s="1546"/>
      <c r="D34" s="1546"/>
      <c r="E34" s="1546"/>
      <c r="F34" s="1546"/>
    </row>
  </sheetData>
  <mergeCells count="24">
    <mergeCell ref="R11:S11"/>
    <mergeCell ref="T12:T13"/>
    <mergeCell ref="I10:S10"/>
    <mergeCell ref="B10:B13"/>
    <mergeCell ref="C10:C12"/>
    <mergeCell ref="D10:D12"/>
    <mergeCell ref="E10:F11"/>
    <mergeCell ref="G10:H11"/>
    <mergeCell ref="C6:I6"/>
    <mergeCell ref="AB11:AB13"/>
    <mergeCell ref="R6:V6"/>
    <mergeCell ref="AA10:AC10"/>
    <mergeCell ref="X10:X13"/>
    <mergeCell ref="Y10:Y13"/>
    <mergeCell ref="Z10:Z13"/>
    <mergeCell ref="AA11:AA13"/>
    <mergeCell ref="AC11:AC13"/>
    <mergeCell ref="U10:U13"/>
    <mergeCell ref="V10:V13"/>
    <mergeCell ref="I11:I12"/>
    <mergeCell ref="J11:K11"/>
    <mergeCell ref="L11:M11"/>
    <mergeCell ref="N11:O11"/>
    <mergeCell ref="P11:Q11"/>
  </mergeCells>
  <phoneticPr fontId="7" type="noConversion"/>
  <pageMargins left="0" right="0" top="0" bottom="0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FFCC"/>
  </sheetPr>
  <dimension ref="A2:AG215"/>
  <sheetViews>
    <sheetView topLeftCell="B175" workbookViewId="0">
      <selection activeCell="L1" activeCellId="1" sqref="M1:U55 A1:L215"/>
    </sheetView>
  </sheetViews>
  <sheetFormatPr defaultRowHeight="12.75"/>
  <cols>
    <col min="1" max="1" width="1.140625" style="1317" hidden="1" customWidth="1"/>
    <col min="2" max="2" width="4.7109375" style="1317" customWidth="1"/>
    <col min="3" max="3" width="7.7109375" style="1318" customWidth="1"/>
    <col min="4" max="4" width="8.5703125" style="1319" customWidth="1"/>
    <col min="5" max="5" width="11.140625" style="1318" customWidth="1"/>
    <col min="6" max="6" width="12.5703125" style="1318" customWidth="1"/>
    <col min="7" max="7" width="5.5703125" style="1318" customWidth="1"/>
    <col min="8" max="8" width="7.85546875" style="1318" customWidth="1"/>
    <col min="9" max="9" width="8.140625" style="1318" customWidth="1"/>
    <col min="10" max="10" width="10.85546875" style="1318" customWidth="1"/>
    <col min="11" max="11" width="13.140625" style="1318" customWidth="1"/>
    <col min="12" max="12" width="10" style="1318" customWidth="1"/>
    <col min="13" max="13" width="6.140625" style="1317" customWidth="1"/>
    <col min="14" max="14" width="7.7109375" style="1317" customWidth="1"/>
    <col min="15" max="15" width="9.85546875" style="1317" bestFit="1" customWidth="1"/>
    <col min="16" max="16" width="11" style="1317" bestFit="1" customWidth="1"/>
    <col min="17" max="17" width="10" style="1317" customWidth="1"/>
    <col min="18" max="18" width="6.85546875" style="1317" customWidth="1"/>
    <col min="19" max="19" width="6.7109375" style="1317" customWidth="1"/>
    <col min="20" max="20" width="10.28515625" style="1317" customWidth="1"/>
    <col min="21" max="21" width="9.28515625" style="1317" bestFit="1" customWidth="1"/>
    <col min="22" max="23" width="9.85546875" style="1317" bestFit="1" customWidth="1"/>
    <col min="24" max="24" width="9.140625" style="1317"/>
    <col min="25" max="25" width="12.140625" style="1317" customWidth="1"/>
    <col min="26" max="31" width="9.140625" style="1317"/>
    <col min="32" max="33" width="9.140625" style="85"/>
  </cols>
  <sheetData>
    <row r="2" spans="1:33">
      <c r="M2" s="1320"/>
      <c r="N2" s="1321" t="s">
        <v>134</v>
      </c>
      <c r="O2" s="1321" t="str">
        <f>+'Kopertina '!F4</f>
        <v>Ameti</v>
      </c>
      <c r="P2" s="1321"/>
      <c r="Q2" s="1321"/>
      <c r="R2" s="1321"/>
      <c r="S2" s="1321"/>
      <c r="T2" s="1321"/>
      <c r="U2" s="1321"/>
      <c r="V2" s="1320"/>
      <c r="W2" s="1320"/>
    </row>
    <row r="3" spans="1:33">
      <c r="B3" s="1322"/>
      <c r="C3" s="1323"/>
      <c r="D3" s="1324"/>
      <c r="E3" s="1323"/>
      <c r="F3" s="1323"/>
      <c r="G3" s="1325"/>
      <c r="H3" s="1325"/>
      <c r="M3" s="1320"/>
      <c r="N3" s="1321" t="s">
        <v>134</v>
      </c>
      <c r="O3" s="1321"/>
      <c r="P3" s="1321"/>
      <c r="Q3" s="1321"/>
      <c r="R3" s="1321"/>
      <c r="S3" s="1321"/>
      <c r="T3" s="1321"/>
      <c r="U3" s="1321"/>
      <c r="V3" s="1320">
        <f>'Kopertina '!F29</f>
        <v>2011</v>
      </c>
      <c r="W3" s="1320"/>
    </row>
    <row r="4" spans="1:33">
      <c r="A4" s="1924"/>
      <c r="B4" s="1924"/>
      <c r="C4" s="1325" t="str">
        <f>+'Kopertina '!F4</f>
        <v>Ameti</v>
      </c>
      <c r="D4" s="1326"/>
      <c r="E4" s="1325"/>
      <c r="F4" s="1325"/>
      <c r="G4" s="1325"/>
      <c r="H4" s="1325"/>
      <c r="M4" s="1320"/>
      <c r="N4" s="1321" t="s">
        <v>229</v>
      </c>
      <c r="O4" s="1321"/>
      <c r="P4" s="1321"/>
      <c r="Q4" s="1321"/>
      <c r="R4" s="1321"/>
      <c r="S4" s="1321"/>
      <c r="T4" s="1321"/>
      <c r="U4" s="1321"/>
      <c r="V4" s="1320"/>
      <c r="W4" s="1320"/>
    </row>
    <row r="5" spans="1:33" ht="13.5" thickBot="1">
      <c r="B5" s="1327"/>
      <c r="C5" s="1328"/>
      <c r="D5" s="1329"/>
      <c r="E5" s="1328"/>
      <c r="F5" s="1328"/>
      <c r="G5" s="1325"/>
      <c r="H5" s="1325"/>
      <c r="I5" s="1325"/>
      <c r="J5" s="1325"/>
      <c r="K5" s="1325" t="s">
        <v>165</v>
      </c>
      <c r="M5" s="1320"/>
      <c r="N5" s="1321"/>
      <c r="O5" s="1321" t="s">
        <v>2135</v>
      </c>
      <c r="P5" s="1321"/>
      <c r="Q5" s="1321"/>
      <c r="R5" s="1321"/>
      <c r="S5" s="1321"/>
      <c r="T5" s="1321"/>
      <c r="U5" s="1321"/>
      <c r="V5" s="1320"/>
      <c r="W5" s="1320"/>
    </row>
    <row r="6" spans="1:33">
      <c r="B6" s="1924"/>
      <c r="C6" s="1924"/>
      <c r="D6" s="1924"/>
      <c r="E6" s="1924"/>
      <c r="F6" s="1924"/>
      <c r="G6" s="1924"/>
      <c r="H6" s="1924"/>
      <c r="I6" s="1924"/>
      <c r="J6" s="1924"/>
      <c r="M6" s="1925" t="s">
        <v>1</v>
      </c>
      <c r="N6" s="1925" t="s">
        <v>169</v>
      </c>
      <c r="O6" s="1367" t="s">
        <v>213</v>
      </c>
      <c r="P6" s="1367" t="s">
        <v>166</v>
      </c>
      <c r="Q6" s="1367" t="s">
        <v>214</v>
      </c>
      <c r="R6" s="1367" t="s">
        <v>215</v>
      </c>
      <c r="S6" s="1367" t="s">
        <v>216</v>
      </c>
      <c r="T6" s="1368" t="s">
        <v>217</v>
      </c>
      <c r="U6" s="1941" t="s">
        <v>219</v>
      </c>
      <c r="V6" s="1941" t="s">
        <v>1329</v>
      </c>
      <c r="W6" s="1941" t="s">
        <v>1330</v>
      </c>
    </row>
    <row r="7" spans="1:33" ht="13.5" thickBot="1">
      <c r="B7" s="1327"/>
      <c r="C7" s="1328"/>
      <c r="D7" s="1329"/>
      <c r="E7" s="1328"/>
      <c r="F7" s="1328"/>
      <c r="G7" s="1328"/>
      <c r="H7" s="1325" t="s">
        <v>132</v>
      </c>
      <c r="I7" s="1330"/>
      <c r="J7" s="1330">
        <f>'Kopertina '!F29</f>
        <v>2011</v>
      </c>
      <c r="M7" s="1926"/>
      <c r="N7" s="1926"/>
      <c r="O7" s="1369" t="s">
        <v>221</v>
      </c>
      <c r="P7" s="1369" t="s">
        <v>222</v>
      </c>
      <c r="Q7" s="1369" t="s">
        <v>223</v>
      </c>
      <c r="R7" s="1369" t="s">
        <v>209</v>
      </c>
      <c r="S7" s="1369"/>
      <c r="T7" s="1370" t="s">
        <v>224</v>
      </c>
      <c r="U7" s="1942"/>
      <c r="V7" s="1942"/>
      <c r="W7" s="1942"/>
    </row>
    <row r="8" spans="1:33">
      <c r="M8" s="1331">
        <v>1</v>
      </c>
      <c r="N8" s="1332" t="s">
        <v>197</v>
      </c>
      <c r="O8" s="1371">
        <f>+E31</f>
        <v>3156733</v>
      </c>
      <c r="P8" s="1371">
        <f t="shared" ref="P8:T8" si="0">+F31</f>
        <v>3156733</v>
      </c>
      <c r="Q8" s="1371">
        <f t="shared" si="0"/>
        <v>0</v>
      </c>
      <c r="R8" s="1371">
        <f t="shared" si="0"/>
        <v>0</v>
      </c>
      <c r="S8" s="1371">
        <f t="shared" si="0"/>
        <v>0</v>
      </c>
      <c r="T8" s="1371">
        <f t="shared" si="0"/>
        <v>631346.6</v>
      </c>
      <c r="U8" s="1371">
        <f>+L31</f>
        <v>0</v>
      </c>
      <c r="V8" s="1372">
        <f>+'Liber Shit- Blerje '!AM13+'Liber Shit- Blerje '!AN13+'Liber Shit- Blerje '!AP13+'Liber Shit- Blerje '!AR13+'Liber Shit- Blerje '!AT13+'Liber Shit- Blerje '!AV13</f>
        <v>3156733</v>
      </c>
      <c r="W8" s="1373">
        <f>O8-V8</f>
        <v>0</v>
      </c>
      <c r="Y8" s="1521"/>
      <c r="AF8"/>
      <c r="AG8"/>
    </row>
    <row r="9" spans="1:33" ht="14.25">
      <c r="B9" s="1333"/>
      <c r="C9" s="1334" t="s">
        <v>211</v>
      </c>
      <c r="D9" s="1335"/>
      <c r="E9" s="1334"/>
      <c r="F9" s="1334"/>
      <c r="G9" s="1334"/>
      <c r="H9" s="1334"/>
      <c r="I9" s="1334"/>
      <c r="J9" s="1334"/>
      <c r="M9" s="1336">
        <v>2</v>
      </c>
      <c r="N9" s="1337" t="s">
        <v>232</v>
      </c>
      <c r="O9" s="1374">
        <f>+E44</f>
        <v>5445066.023</v>
      </c>
      <c r="P9" s="1374">
        <f t="shared" ref="P9:T9" si="1">+F44</f>
        <v>5445066.023</v>
      </c>
      <c r="Q9" s="1374">
        <f t="shared" si="1"/>
        <v>0</v>
      </c>
      <c r="R9" s="1374">
        <f t="shared" si="1"/>
        <v>0</v>
      </c>
      <c r="S9" s="1374">
        <f t="shared" si="1"/>
        <v>0</v>
      </c>
      <c r="T9" s="1374">
        <f t="shared" si="1"/>
        <v>1089013.2046000001</v>
      </c>
      <c r="U9" s="1374">
        <f>+L44</f>
        <v>0</v>
      </c>
      <c r="V9" s="1374">
        <f>+'Liber Shit- Blerje '!AM14+'Liber Shit- Blerje '!AN14+'Liber Shit- Blerje '!AP14+'Liber Shit- Blerje '!AR14+'Liber Shit- Blerje '!AT14+'Liber Shit- Blerje '!AV14</f>
        <v>5445066.0200000005</v>
      </c>
      <c r="W9" s="1375">
        <f>O9-V9</f>
        <v>2.9999995604157448E-3</v>
      </c>
      <c r="Y9" s="1521"/>
      <c r="AF9"/>
      <c r="AG9"/>
    </row>
    <row r="10" spans="1:33" ht="14.25">
      <c r="B10" s="1333"/>
      <c r="C10" s="1334"/>
      <c r="D10" s="1335" t="s">
        <v>2135</v>
      </c>
      <c r="E10" s="1334"/>
      <c r="F10" s="1334"/>
      <c r="G10" s="1334"/>
      <c r="H10" s="1334"/>
      <c r="I10" s="1334"/>
      <c r="J10" s="1334"/>
      <c r="M10" s="1336">
        <v>3</v>
      </c>
      <c r="N10" s="1337" t="s">
        <v>198</v>
      </c>
      <c r="O10" s="1374">
        <f>+E56</f>
        <v>5302034.5</v>
      </c>
      <c r="P10" s="1374">
        <f t="shared" ref="P10:T10" si="2">+F56</f>
        <v>5302034.5</v>
      </c>
      <c r="Q10" s="1374">
        <f t="shared" si="2"/>
        <v>0</v>
      </c>
      <c r="R10" s="1374">
        <f t="shared" si="2"/>
        <v>0</v>
      </c>
      <c r="S10" s="1374">
        <f t="shared" si="2"/>
        <v>0</v>
      </c>
      <c r="T10" s="1374">
        <f t="shared" si="2"/>
        <v>1060406.8999999999</v>
      </c>
      <c r="U10" s="1374">
        <f>+L56</f>
        <v>0</v>
      </c>
      <c r="V10" s="1374">
        <f>+'Liber Shit- Blerje '!AM15+'Liber Shit- Blerje '!AN15+'Liber Shit- Blerje '!AP15+'Liber Shit- Blerje '!AR15+'Liber Shit- Blerje '!AT15+'Liber Shit- Blerje '!AV15</f>
        <v>5302034.7</v>
      </c>
      <c r="W10" s="1375">
        <f t="shared" ref="W10:W19" si="3">O10-V10</f>
        <v>-0.20000000018626451</v>
      </c>
      <c r="Y10" s="1521"/>
      <c r="AF10"/>
      <c r="AG10"/>
    </row>
    <row r="11" spans="1:33" ht="13.5" thickBot="1">
      <c r="M11" s="1336">
        <v>4</v>
      </c>
      <c r="N11" s="1337" t="s">
        <v>199</v>
      </c>
      <c r="O11" s="1374">
        <f>+E75</f>
        <v>3620882</v>
      </c>
      <c r="P11" s="1374">
        <f t="shared" ref="P11:T11" si="4">+F75</f>
        <v>3620882</v>
      </c>
      <c r="Q11" s="1374">
        <f t="shared" si="4"/>
        <v>0</v>
      </c>
      <c r="R11" s="1374">
        <f t="shared" si="4"/>
        <v>0</v>
      </c>
      <c r="S11" s="1374">
        <f t="shared" si="4"/>
        <v>0</v>
      </c>
      <c r="T11" s="1374">
        <f t="shared" si="4"/>
        <v>724176.4</v>
      </c>
      <c r="U11" s="1374">
        <f>+L75</f>
        <v>0</v>
      </c>
      <c r="V11" s="1374">
        <f>+'Liber Shit- Blerje '!AM16+'Liber Shit- Blerje '!AN16+'Liber Shit- Blerje '!AP16+'Liber Shit- Blerje '!AR16+'Liber Shit- Blerje '!AT16+'Liber Shit- Blerje '!AV16</f>
        <v>3620882</v>
      </c>
      <c r="W11" s="1375">
        <f t="shared" si="3"/>
        <v>0</v>
      </c>
      <c r="Y11" s="1521"/>
      <c r="AF11"/>
      <c r="AG11"/>
    </row>
    <row r="12" spans="1:33" ht="13.5" thickBot="1">
      <c r="B12" s="1925" t="s">
        <v>1</v>
      </c>
      <c r="C12" s="1338" t="s">
        <v>212</v>
      </c>
      <c r="D12" s="1339"/>
      <c r="E12" s="1340" t="s">
        <v>213</v>
      </c>
      <c r="F12" s="1340" t="s">
        <v>166</v>
      </c>
      <c r="G12" s="1340" t="s">
        <v>214</v>
      </c>
      <c r="H12" s="1340" t="s">
        <v>215</v>
      </c>
      <c r="I12" s="1340" t="s">
        <v>216</v>
      </c>
      <c r="J12" s="1341" t="s">
        <v>217</v>
      </c>
      <c r="K12" s="1340" t="s">
        <v>218</v>
      </c>
      <c r="L12" s="1342" t="s">
        <v>219</v>
      </c>
      <c r="M12" s="1336">
        <v>5</v>
      </c>
      <c r="N12" s="1337" t="s">
        <v>200</v>
      </c>
      <c r="O12" s="1374">
        <f>+E111</f>
        <v>5651640</v>
      </c>
      <c r="P12" s="1374">
        <f t="shared" ref="P12:T12" si="5">+F111</f>
        <v>5651640</v>
      </c>
      <c r="Q12" s="1374">
        <f t="shared" si="5"/>
        <v>0</v>
      </c>
      <c r="R12" s="1374">
        <f t="shared" si="5"/>
        <v>0</v>
      </c>
      <c r="S12" s="1374">
        <f t="shared" si="5"/>
        <v>0</v>
      </c>
      <c r="T12" s="1374">
        <f t="shared" si="5"/>
        <v>1130328.0000000005</v>
      </c>
      <c r="U12" s="1374">
        <f>+L111</f>
        <v>0</v>
      </c>
      <c r="V12" s="1374">
        <f>+'Liber Shit- Blerje '!AM17+'Liber Shit- Blerje '!AN17+'Liber Shit- Blerje '!AP17+'Liber Shit- Blerje '!AR17+'Liber Shit- Blerje '!AT17+'Liber Shit- Blerje '!AV17</f>
        <v>5651640</v>
      </c>
      <c r="W12" s="1375">
        <f t="shared" si="3"/>
        <v>0</v>
      </c>
      <c r="Y12" s="1521"/>
      <c r="AF12"/>
      <c r="AG12"/>
    </row>
    <row r="13" spans="1:33" ht="13.5" thickBot="1">
      <c r="B13" s="1926"/>
      <c r="C13" s="1343" t="s">
        <v>1</v>
      </c>
      <c r="D13" s="1344" t="s">
        <v>220</v>
      </c>
      <c r="E13" s="1345" t="s">
        <v>221</v>
      </c>
      <c r="F13" s="1345" t="s">
        <v>222</v>
      </c>
      <c r="G13" s="1345" t="s">
        <v>223</v>
      </c>
      <c r="H13" s="1345" t="s">
        <v>209</v>
      </c>
      <c r="I13" s="1345"/>
      <c r="J13" s="1346" t="s">
        <v>224</v>
      </c>
      <c r="K13" s="1345" t="s">
        <v>225</v>
      </c>
      <c r="L13" s="1347"/>
      <c r="M13" s="1336">
        <v>6</v>
      </c>
      <c r="N13" s="1337" t="s">
        <v>201</v>
      </c>
      <c r="O13" s="1374">
        <f>+E131</f>
        <v>3510016.67</v>
      </c>
      <c r="P13" s="1374">
        <f t="shared" ref="P13:T13" si="6">+F131</f>
        <v>3510016.67</v>
      </c>
      <c r="Q13" s="1374">
        <f t="shared" si="6"/>
        <v>0</v>
      </c>
      <c r="R13" s="1374">
        <f t="shared" si="6"/>
        <v>0</v>
      </c>
      <c r="S13" s="1374">
        <f t="shared" si="6"/>
        <v>0</v>
      </c>
      <c r="T13" s="1374">
        <f t="shared" si="6"/>
        <v>702003.33399999992</v>
      </c>
      <c r="U13" s="1374">
        <f>+L131</f>
        <v>0</v>
      </c>
      <c r="V13" s="1374">
        <f>+'Liber Shit- Blerje '!AM18+'Liber Shit- Blerje '!AN18+'Liber Shit- Blerje '!AP18+'Liber Shit- Blerje '!AR18+'Liber Shit- Blerje '!AT18+'Liber Shit- Blerje '!AV18</f>
        <v>3510016.67</v>
      </c>
      <c r="W13" s="1375">
        <f t="shared" si="3"/>
        <v>0</v>
      </c>
      <c r="Y13" s="1521"/>
      <c r="AF13"/>
      <c r="AG13"/>
    </row>
    <row r="14" spans="1:33">
      <c r="B14" s="1348">
        <v>1</v>
      </c>
      <c r="C14" s="1349">
        <v>568</v>
      </c>
      <c r="D14" s="1350">
        <v>10.01</v>
      </c>
      <c r="E14" s="1300">
        <v>170223</v>
      </c>
      <c r="F14" s="1300">
        <f>+E14</f>
        <v>170223</v>
      </c>
      <c r="G14" s="1300"/>
      <c r="H14" s="1300"/>
      <c r="I14" s="1300"/>
      <c r="J14" s="1300">
        <f>+E14*0.2</f>
        <v>34044.6</v>
      </c>
      <c r="K14" s="1300" t="s">
        <v>1228</v>
      </c>
      <c r="L14" s="1302">
        <f>E14-(F14+G14+H14+I14)</f>
        <v>0</v>
      </c>
      <c r="M14" s="1534">
        <v>7</v>
      </c>
      <c r="N14" s="1337" t="s">
        <v>202</v>
      </c>
      <c r="O14" s="1374">
        <f>+E145</f>
        <v>2174860.34</v>
      </c>
      <c r="P14" s="1374">
        <f t="shared" ref="P14:T14" si="7">+F145</f>
        <v>2174860.34</v>
      </c>
      <c r="Q14" s="1374">
        <f t="shared" si="7"/>
        <v>0</v>
      </c>
      <c r="R14" s="1374">
        <f t="shared" si="7"/>
        <v>0</v>
      </c>
      <c r="S14" s="1374">
        <f t="shared" si="7"/>
        <v>0</v>
      </c>
      <c r="T14" s="1374">
        <f t="shared" si="7"/>
        <v>434972.06800000003</v>
      </c>
      <c r="U14" s="1374">
        <f>+L145</f>
        <v>0</v>
      </c>
      <c r="V14" s="1374">
        <f>+'Liber Shit- Blerje '!AM19+'Liber Shit- Blerje '!AN19+'Liber Shit- Blerje '!AP19+'Liber Shit- Blerje '!AR19+'Liber Shit- Blerje '!AT19+'Liber Shit- Blerje '!AV19</f>
        <v>2174860.34</v>
      </c>
      <c r="W14" s="1375">
        <f t="shared" si="3"/>
        <v>0</v>
      </c>
      <c r="Y14" s="1521"/>
      <c r="AF14"/>
      <c r="AG14"/>
    </row>
    <row r="15" spans="1:33">
      <c r="B15" s="1351">
        <v>2</v>
      </c>
      <c r="C15" s="1304">
        <v>569</v>
      </c>
      <c r="D15" s="1352">
        <v>10.01</v>
      </c>
      <c r="E15" s="1304">
        <v>15210</v>
      </c>
      <c r="F15" s="1307">
        <f t="shared" ref="F15:F74" si="8">+E15</f>
        <v>15210</v>
      </c>
      <c r="G15" s="1304"/>
      <c r="H15" s="1304"/>
      <c r="I15" s="1304"/>
      <c r="J15" s="1304">
        <f>E15*0.2</f>
        <v>3042</v>
      </c>
      <c r="K15" s="1304" t="s">
        <v>1229</v>
      </c>
      <c r="L15" s="1353">
        <f>E15-(F15+G15+H15+I15)</f>
        <v>0</v>
      </c>
      <c r="M15" s="1534">
        <v>8</v>
      </c>
      <c r="N15" s="1337" t="s">
        <v>203</v>
      </c>
      <c r="O15" s="1374">
        <f>+E166</f>
        <v>6229179.8799999999</v>
      </c>
      <c r="P15" s="1374">
        <f t="shared" ref="P15:T15" si="9">+F166</f>
        <v>6229179.8799999999</v>
      </c>
      <c r="Q15" s="1374">
        <f t="shared" si="9"/>
        <v>0</v>
      </c>
      <c r="R15" s="1374">
        <f t="shared" si="9"/>
        <v>0</v>
      </c>
      <c r="S15" s="1374">
        <f t="shared" si="9"/>
        <v>0</v>
      </c>
      <c r="T15" s="1374">
        <f t="shared" si="9"/>
        <v>1245835.976</v>
      </c>
      <c r="U15" s="1374">
        <f>+L166</f>
        <v>0</v>
      </c>
      <c r="V15" s="1374">
        <f>+'Liber Shit- Blerje '!AM20+'Liber Shit- Blerje '!AN20+'Liber Shit- Blerje '!AP20+'Liber Shit- Blerje '!AR20+'Liber Shit- Blerje '!AT20+'Liber Shit- Blerje '!AV20</f>
        <v>6229179.8799999999</v>
      </c>
      <c r="W15" s="1375">
        <f t="shared" si="3"/>
        <v>0</v>
      </c>
      <c r="Y15" s="1521"/>
      <c r="AF15"/>
      <c r="AG15"/>
    </row>
    <row r="16" spans="1:33">
      <c r="B16" s="1351">
        <v>3</v>
      </c>
      <c r="C16" s="1304">
        <v>75</v>
      </c>
      <c r="D16" s="1352">
        <v>17.010000000000002</v>
      </c>
      <c r="E16" s="1304">
        <v>193343</v>
      </c>
      <c r="F16" s="1307">
        <f t="shared" si="8"/>
        <v>193343</v>
      </c>
      <c r="G16" s="1304"/>
      <c r="H16" s="1304"/>
      <c r="I16" s="1304"/>
      <c r="J16" s="1304">
        <f t="shared" ref="J16:J74" si="10">E16*0.2</f>
        <v>38668.6</v>
      </c>
      <c r="K16" s="1304" t="s">
        <v>912</v>
      </c>
      <c r="L16" s="1353">
        <f t="shared" ref="L16:L74" si="11">E16-(F16+G16+H16+I16)</f>
        <v>0</v>
      </c>
      <c r="M16" s="1534">
        <v>9</v>
      </c>
      <c r="N16" s="1337" t="s">
        <v>204</v>
      </c>
      <c r="O16" s="1374">
        <f>+E183</f>
        <v>2006639</v>
      </c>
      <c r="P16" s="1374">
        <f t="shared" ref="P16:T16" si="12">+F183</f>
        <v>2006639</v>
      </c>
      <c r="Q16" s="1374">
        <f t="shared" si="12"/>
        <v>0</v>
      </c>
      <c r="R16" s="1374">
        <f t="shared" si="12"/>
        <v>0</v>
      </c>
      <c r="S16" s="1374">
        <f t="shared" si="12"/>
        <v>0</v>
      </c>
      <c r="T16" s="1374">
        <f t="shared" si="12"/>
        <v>401327.8</v>
      </c>
      <c r="U16" s="1374"/>
      <c r="V16" s="1374">
        <f>+'Liber Shit- Blerje '!AM21+'Liber Shit- Blerje '!AN21+'Liber Shit- Blerje '!AP21+'Liber Shit- Blerje '!AR21+'Liber Shit- Blerje '!AT21+'Liber Shit- Blerje '!AV21</f>
        <v>2006639</v>
      </c>
      <c r="W16" s="1375">
        <f t="shared" si="3"/>
        <v>0</v>
      </c>
      <c r="Y16" s="1521"/>
      <c r="AF16"/>
      <c r="AG16"/>
    </row>
    <row r="17" spans="2:33">
      <c r="B17" s="1351">
        <v>4</v>
      </c>
      <c r="C17" s="1304">
        <v>90</v>
      </c>
      <c r="D17" s="1352">
        <v>19.010000000000002</v>
      </c>
      <c r="E17" s="1304">
        <v>165341</v>
      </c>
      <c r="F17" s="1307">
        <f t="shared" si="8"/>
        <v>165341</v>
      </c>
      <c r="G17" s="1304"/>
      <c r="H17" s="1304"/>
      <c r="I17" s="1304"/>
      <c r="J17" s="1304">
        <f t="shared" si="10"/>
        <v>33068.200000000004</v>
      </c>
      <c r="K17" s="1304" t="s">
        <v>912</v>
      </c>
      <c r="L17" s="1353">
        <f t="shared" si="11"/>
        <v>0</v>
      </c>
      <c r="M17" s="1534">
        <v>10</v>
      </c>
      <c r="N17" s="1337" t="s">
        <v>205</v>
      </c>
      <c r="O17" s="1374">
        <f>+E199</f>
        <v>10347256</v>
      </c>
      <c r="P17" s="1374">
        <f t="shared" ref="P17:T17" si="13">+F199</f>
        <v>10232818.419499999</v>
      </c>
      <c r="Q17" s="1374">
        <f t="shared" si="13"/>
        <v>0</v>
      </c>
      <c r="R17" s="1374">
        <f t="shared" si="13"/>
        <v>0</v>
      </c>
      <c r="S17" s="1374">
        <f t="shared" si="13"/>
        <v>0</v>
      </c>
      <c r="T17" s="1374">
        <f t="shared" si="13"/>
        <v>2069451.2000000002</v>
      </c>
      <c r="U17" s="1374">
        <f>+L199</f>
        <v>114437.58050000074</v>
      </c>
      <c r="V17" s="1374">
        <f>+'Liber Shit- Blerje '!AM22+'Liber Shit- Blerje '!AN22+'Liber Shit- Blerje '!AP22+'Liber Shit- Blerje '!AR22+'Liber Shit- Blerje '!AT22+'Liber Shit- Blerje '!AV22</f>
        <v>10347256</v>
      </c>
      <c r="W17" s="1375">
        <f t="shared" si="3"/>
        <v>0</v>
      </c>
      <c r="Y17" s="1521"/>
      <c r="AF17"/>
      <c r="AG17"/>
    </row>
    <row r="18" spans="2:33">
      <c r="B18" s="1351">
        <v>5</v>
      </c>
      <c r="C18" s="1304">
        <v>369</v>
      </c>
      <c r="D18" s="1352">
        <v>7.01</v>
      </c>
      <c r="E18" s="1304">
        <v>240535</v>
      </c>
      <c r="F18" s="1307">
        <f t="shared" si="8"/>
        <v>240535</v>
      </c>
      <c r="G18" s="1304"/>
      <c r="H18" s="1304"/>
      <c r="I18" s="1304"/>
      <c r="J18" s="1304">
        <f t="shared" si="10"/>
        <v>48107</v>
      </c>
      <c r="K18" s="1304" t="s">
        <v>1230</v>
      </c>
      <c r="L18" s="1353">
        <f t="shared" si="11"/>
        <v>0</v>
      </c>
      <c r="M18" s="1534">
        <v>11</v>
      </c>
      <c r="N18" s="1337" t="s">
        <v>206</v>
      </c>
      <c r="O18" s="1374">
        <f>+E208</f>
        <v>1524095</v>
      </c>
      <c r="P18" s="1374">
        <f t="shared" ref="P18:U18" si="14">+F208</f>
        <v>1524095</v>
      </c>
      <c r="Q18" s="1374">
        <f t="shared" si="14"/>
        <v>0</v>
      </c>
      <c r="R18" s="1374">
        <f t="shared" si="14"/>
        <v>0</v>
      </c>
      <c r="S18" s="1374">
        <f t="shared" si="14"/>
        <v>0</v>
      </c>
      <c r="T18" s="1374">
        <f t="shared" si="14"/>
        <v>304819</v>
      </c>
      <c r="U18" s="1374">
        <f t="shared" si="14"/>
        <v>0</v>
      </c>
      <c r="V18" s="1374">
        <f>+'Liber Shit- Blerje '!AM23+'Liber Shit- Blerje '!AN23+'Liber Shit- Blerje '!AP23+'Liber Shit- Blerje '!AR23+'Liber Shit- Blerje '!AT23+'Liber Shit- Blerje '!AV23</f>
        <v>1524096</v>
      </c>
      <c r="W18" s="1375">
        <f t="shared" si="3"/>
        <v>-1</v>
      </c>
      <c r="Y18" s="1521"/>
      <c r="AF18"/>
      <c r="AG18"/>
    </row>
    <row r="19" spans="2:33">
      <c r="B19" s="1351">
        <v>6</v>
      </c>
      <c r="C19" s="1304">
        <v>34</v>
      </c>
      <c r="D19" s="1352">
        <v>24.01</v>
      </c>
      <c r="E19" s="1304">
        <v>249600</v>
      </c>
      <c r="F19" s="1307">
        <f t="shared" si="8"/>
        <v>249600</v>
      </c>
      <c r="G19" s="1304"/>
      <c r="H19" s="1304"/>
      <c r="I19" s="1304"/>
      <c r="J19" s="1304">
        <f t="shared" si="10"/>
        <v>49920</v>
      </c>
      <c r="K19" s="1304" t="s">
        <v>1231</v>
      </c>
      <c r="L19" s="1353">
        <f t="shared" si="11"/>
        <v>0</v>
      </c>
      <c r="M19" s="1534">
        <v>12</v>
      </c>
      <c r="N19" s="1337" t="s">
        <v>207</v>
      </c>
      <c r="O19" s="1374">
        <f>+E214</f>
        <v>1036392.097</v>
      </c>
      <c r="P19" s="1374">
        <f t="shared" ref="P19:T19" si="15">+F214</f>
        <v>1036392.097</v>
      </c>
      <c r="Q19" s="1374">
        <f t="shared" si="15"/>
        <v>0</v>
      </c>
      <c r="R19" s="1374">
        <f t="shared" si="15"/>
        <v>0</v>
      </c>
      <c r="S19" s="1374">
        <f t="shared" si="15"/>
        <v>0</v>
      </c>
      <c r="T19" s="1374">
        <f t="shared" si="15"/>
        <v>207278.41940000004</v>
      </c>
      <c r="U19" s="1374">
        <f>L214</f>
        <v>0</v>
      </c>
      <c r="V19" s="1374">
        <f>+'Liber Shit- Blerje '!AM24+'Liber Shit- Blerje '!AN24+'Liber Shit- Blerje '!AP24+'Liber Shit- Blerje '!AR24+'Liber Shit- Blerje '!AT24+'Liber Shit- Blerje '!AV24</f>
        <v>1036392.097</v>
      </c>
      <c r="W19" s="1375">
        <f t="shared" si="3"/>
        <v>0</v>
      </c>
      <c r="Y19" s="1521"/>
      <c r="AF19"/>
      <c r="AG19"/>
    </row>
    <row r="20" spans="2:33">
      <c r="B20" s="1351">
        <v>7</v>
      </c>
      <c r="C20" s="1304">
        <v>10</v>
      </c>
      <c r="D20" s="1352">
        <v>26.01</v>
      </c>
      <c r="E20" s="1304">
        <v>256000</v>
      </c>
      <c r="F20" s="1307">
        <f t="shared" si="8"/>
        <v>256000</v>
      </c>
      <c r="G20" s="1304"/>
      <c r="H20" s="1304"/>
      <c r="I20" s="1304"/>
      <c r="J20" s="1304">
        <f t="shared" si="10"/>
        <v>51200</v>
      </c>
      <c r="K20" s="1304" t="s">
        <v>914</v>
      </c>
      <c r="L20" s="1353">
        <f t="shared" si="11"/>
        <v>0</v>
      </c>
      <c r="M20" s="1933" t="s">
        <v>338</v>
      </c>
      <c r="N20" s="1934"/>
      <c r="O20" s="1376">
        <f>SUM(O8:O19)</f>
        <v>50004794.510000005</v>
      </c>
      <c r="P20" s="1376">
        <f t="shared" ref="P20:W20" si="16">SUM(P8:P19)</f>
        <v>49890356.929500006</v>
      </c>
      <c r="Q20" s="1376">
        <f t="shared" ref="Q20" si="17">SUM(Q8:Q19)</f>
        <v>0</v>
      </c>
      <c r="R20" s="1376">
        <f t="shared" si="16"/>
        <v>0</v>
      </c>
      <c r="S20" s="1376">
        <f t="shared" si="16"/>
        <v>0</v>
      </c>
      <c r="T20" s="1376">
        <f>SUM(T8:T19)</f>
        <v>10000958.902000001</v>
      </c>
      <c r="U20" s="1376">
        <f t="shared" si="16"/>
        <v>114437.58050000074</v>
      </c>
      <c r="V20" s="1376">
        <f t="shared" si="16"/>
        <v>50004795.707000002</v>
      </c>
      <c r="W20" s="1376">
        <f t="shared" si="16"/>
        <v>-1.1970000006258488</v>
      </c>
      <c r="Y20" s="1521"/>
      <c r="AF20"/>
      <c r="AG20"/>
    </row>
    <row r="21" spans="2:33">
      <c r="B21" s="1351">
        <v>8</v>
      </c>
      <c r="C21" s="1304">
        <v>13</v>
      </c>
      <c r="D21" s="1352">
        <v>15.01</v>
      </c>
      <c r="E21" s="1304">
        <v>106000</v>
      </c>
      <c r="F21" s="1307">
        <f t="shared" si="8"/>
        <v>106000</v>
      </c>
      <c r="G21" s="1304"/>
      <c r="H21" s="1304"/>
      <c r="I21" s="1304"/>
      <c r="J21" s="1304">
        <f t="shared" si="10"/>
        <v>21200</v>
      </c>
      <c r="K21" s="1304" t="s">
        <v>1232</v>
      </c>
      <c r="L21" s="1353">
        <f t="shared" si="11"/>
        <v>0</v>
      </c>
      <c r="M21" s="1933"/>
      <c r="N21" s="1934"/>
      <c r="O21" s="1376"/>
      <c r="P21" s="1376"/>
      <c r="Q21" s="1376"/>
      <c r="R21" s="1376"/>
      <c r="S21" s="1376"/>
      <c r="T21" s="1376"/>
      <c r="U21" s="1376"/>
      <c r="V21" s="1376"/>
      <c r="W21" s="1377"/>
      <c r="Y21" s="1521"/>
      <c r="AF21"/>
      <c r="AG21"/>
    </row>
    <row r="22" spans="2:33">
      <c r="B22" s="1351">
        <v>9</v>
      </c>
      <c r="C22" s="1304">
        <v>232</v>
      </c>
      <c r="D22" s="1352">
        <v>26.01</v>
      </c>
      <c r="E22" s="1304">
        <v>329960</v>
      </c>
      <c r="F22" s="1307">
        <f t="shared" si="8"/>
        <v>329960</v>
      </c>
      <c r="G22" s="1304"/>
      <c r="H22" s="1304"/>
      <c r="I22" s="1304"/>
      <c r="J22" s="1304">
        <f t="shared" si="10"/>
        <v>65992</v>
      </c>
      <c r="K22" s="1304" t="s">
        <v>1272</v>
      </c>
      <c r="L22" s="1353">
        <f t="shared" si="11"/>
        <v>0</v>
      </c>
      <c r="M22" s="1931" t="s">
        <v>339</v>
      </c>
      <c r="N22" s="1932"/>
      <c r="O22" s="1378">
        <f>SUM(O20:O21)</f>
        <v>50004794.510000005</v>
      </c>
      <c r="P22" s="1378">
        <f>SUM(P20:P21)</f>
        <v>49890356.929500006</v>
      </c>
      <c r="Q22" s="1378">
        <f t="shared" ref="Q22:T22" si="18">SUM(Q20:Q21)</f>
        <v>0</v>
      </c>
      <c r="R22" s="1378">
        <f t="shared" si="18"/>
        <v>0</v>
      </c>
      <c r="S22" s="1378">
        <f t="shared" si="18"/>
        <v>0</v>
      </c>
      <c r="T22" s="1378">
        <f t="shared" si="18"/>
        <v>10000958.902000001</v>
      </c>
      <c r="U22" s="1378">
        <f>SUM(U21:U21)</f>
        <v>0</v>
      </c>
      <c r="V22" s="1378">
        <f>SUM(V20:V21)</f>
        <v>50004795.707000002</v>
      </c>
      <c r="W22" s="1379">
        <f>SUM(W20:W21)</f>
        <v>-1.1970000006258488</v>
      </c>
      <c r="Y22" s="1521"/>
    </row>
    <row r="23" spans="2:33">
      <c r="B23" s="1351">
        <v>10</v>
      </c>
      <c r="C23" s="1304">
        <v>374</v>
      </c>
      <c r="D23" s="1352">
        <v>11.01</v>
      </c>
      <c r="E23" s="1304">
        <v>192000</v>
      </c>
      <c r="F23" s="1307">
        <f t="shared" si="8"/>
        <v>192000</v>
      </c>
      <c r="G23" s="1304"/>
      <c r="H23" s="1304"/>
      <c r="I23" s="1304"/>
      <c r="J23" s="1304">
        <f t="shared" si="10"/>
        <v>38400</v>
      </c>
      <c r="K23" s="1304" t="s">
        <v>1230</v>
      </c>
      <c r="L23" s="1353">
        <f t="shared" si="11"/>
        <v>0</v>
      </c>
      <c r="M23" s="1534"/>
      <c r="N23" s="1412" t="s">
        <v>2109</v>
      </c>
      <c r="O23" s="1412"/>
      <c r="P23" s="1354">
        <v>514833.34</v>
      </c>
      <c r="Q23" s="1374"/>
      <c r="R23" s="1374"/>
      <c r="S23" s="1374"/>
      <c r="T23" s="1374"/>
      <c r="U23" s="1374"/>
      <c r="V23" s="1374"/>
      <c r="W23" s="1380"/>
      <c r="Y23" s="1521"/>
    </row>
    <row r="24" spans="2:33">
      <c r="B24" s="1351">
        <v>11</v>
      </c>
      <c r="C24" s="1304">
        <v>377</v>
      </c>
      <c r="D24" s="1352">
        <v>14.01</v>
      </c>
      <c r="E24" s="1304">
        <v>99200</v>
      </c>
      <c r="F24" s="1307">
        <f t="shared" si="8"/>
        <v>99200</v>
      </c>
      <c r="G24" s="1304"/>
      <c r="H24" s="1304"/>
      <c r="I24" s="1304"/>
      <c r="J24" s="1304">
        <f t="shared" si="10"/>
        <v>19840</v>
      </c>
      <c r="K24" s="1304" t="s">
        <v>1233</v>
      </c>
      <c r="L24" s="1353">
        <f t="shared" si="11"/>
        <v>0</v>
      </c>
      <c r="M24" s="1534"/>
      <c r="N24" s="1412" t="s">
        <v>1290</v>
      </c>
      <c r="O24" s="1412"/>
      <c r="P24" s="1412">
        <v>208333</v>
      </c>
      <c r="Q24" s="1374"/>
      <c r="R24" s="1374"/>
      <c r="S24" s="1374"/>
      <c r="T24" s="1304"/>
      <c r="U24" s="1304"/>
      <c r="V24" s="1374"/>
      <c r="W24" s="1380"/>
      <c r="Y24" s="1521"/>
    </row>
    <row r="25" spans="2:33">
      <c r="B25" s="1351">
        <v>12</v>
      </c>
      <c r="C25" s="1304">
        <v>216</v>
      </c>
      <c r="D25" s="1352">
        <v>28.01</v>
      </c>
      <c r="E25" s="1304">
        <v>234998</v>
      </c>
      <c r="F25" s="1307">
        <f t="shared" si="8"/>
        <v>234998</v>
      </c>
      <c r="G25" s="1304"/>
      <c r="H25" s="1304"/>
      <c r="I25" s="1304"/>
      <c r="J25" s="1304">
        <f t="shared" si="10"/>
        <v>46999.600000000006</v>
      </c>
      <c r="K25" s="1304" t="s">
        <v>1234</v>
      </c>
      <c r="L25" s="1353">
        <f t="shared" si="11"/>
        <v>0</v>
      </c>
      <c r="M25" s="1534"/>
      <c r="N25" s="1412" t="s">
        <v>2110</v>
      </c>
      <c r="O25" s="1412"/>
      <c r="P25" s="1354">
        <v>51030</v>
      </c>
      <c r="Q25" s="1376"/>
      <c r="R25" s="1376"/>
      <c r="S25" s="1376"/>
      <c r="T25" s="1376"/>
      <c r="U25" s="1376"/>
      <c r="V25" s="1376"/>
      <c r="W25" s="1377"/>
      <c r="Y25" s="1521"/>
    </row>
    <row r="26" spans="2:33">
      <c r="B26" s="1351">
        <v>13</v>
      </c>
      <c r="C26" s="1304">
        <v>999</v>
      </c>
      <c r="D26" s="1352">
        <v>29.01</v>
      </c>
      <c r="E26" s="1304">
        <v>173422</v>
      </c>
      <c r="F26" s="1307">
        <f t="shared" si="8"/>
        <v>173422</v>
      </c>
      <c r="G26" s="1304"/>
      <c r="H26" s="1304"/>
      <c r="I26" s="1304"/>
      <c r="J26" s="1304">
        <f t="shared" si="10"/>
        <v>34684.400000000001</v>
      </c>
      <c r="K26" s="1304" t="s">
        <v>1229</v>
      </c>
      <c r="L26" s="1353">
        <f t="shared" si="11"/>
        <v>0</v>
      </c>
      <c r="M26" s="1534"/>
      <c r="N26" s="1412" t="s">
        <v>2111</v>
      </c>
      <c r="O26" s="1412"/>
      <c r="P26" s="1354">
        <v>72000</v>
      </c>
      <c r="Q26" s="1374"/>
      <c r="R26" s="1374"/>
      <c r="S26" s="1374"/>
      <c r="T26" s="1374"/>
      <c r="U26" s="1374"/>
      <c r="V26" s="1374"/>
      <c r="W26" s="1380"/>
      <c r="Y26" s="1521"/>
    </row>
    <row r="27" spans="2:33">
      <c r="B27" s="1351">
        <v>14</v>
      </c>
      <c r="C27" s="1304">
        <v>6</v>
      </c>
      <c r="D27" s="1352">
        <v>19.010000000000002</v>
      </c>
      <c r="E27" s="1304">
        <v>201638</v>
      </c>
      <c r="F27" s="1307">
        <f t="shared" si="8"/>
        <v>201638</v>
      </c>
      <c r="G27" s="1304"/>
      <c r="H27" s="1304"/>
      <c r="I27" s="1304"/>
      <c r="J27" s="1304">
        <f t="shared" si="10"/>
        <v>40327.600000000006</v>
      </c>
      <c r="K27" s="1304" t="s">
        <v>1229</v>
      </c>
      <c r="L27" s="1353">
        <f t="shared" si="11"/>
        <v>0</v>
      </c>
      <c r="M27" s="1534"/>
      <c r="N27" s="1355" t="s">
        <v>1921</v>
      </c>
      <c r="O27" s="1381"/>
      <c r="P27" s="1374">
        <v>51030</v>
      </c>
      <c r="Q27" s="1374"/>
      <c r="R27" s="1374"/>
      <c r="S27" s="1374"/>
      <c r="T27" s="1374"/>
      <c r="U27" s="1374"/>
      <c r="V27" s="1374"/>
      <c r="W27" s="1380"/>
      <c r="Y27" s="1521"/>
    </row>
    <row r="28" spans="2:33">
      <c r="B28" s="1351">
        <v>15</v>
      </c>
      <c r="C28" s="1304">
        <v>4</v>
      </c>
      <c r="D28" s="1352">
        <v>6.01</v>
      </c>
      <c r="E28" s="1304">
        <v>377730</v>
      </c>
      <c r="F28" s="1307">
        <f t="shared" si="8"/>
        <v>377730</v>
      </c>
      <c r="G28" s="1304"/>
      <c r="H28" s="1304"/>
      <c r="I28" s="1304"/>
      <c r="J28" s="1304">
        <f t="shared" si="10"/>
        <v>75546</v>
      </c>
      <c r="K28" s="1304" t="s">
        <v>1235</v>
      </c>
      <c r="L28" s="1353">
        <f t="shared" si="11"/>
        <v>0</v>
      </c>
      <c r="M28" s="1534"/>
      <c r="N28" s="1355" t="s">
        <v>1786</v>
      </c>
      <c r="O28" s="1381"/>
      <c r="P28" s="1374">
        <v>13989.0977</v>
      </c>
      <c r="Q28" s="1374"/>
      <c r="R28" s="1374"/>
      <c r="S28" s="1374"/>
      <c r="T28" s="1374"/>
      <c r="U28" s="1374"/>
      <c r="V28" s="1374"/>
      <c r="W28" s="1380"/>
      <c r="Y28" s="1521"/>
    </row>
    <row r="29" spans="2:33" ht="13.5" thickBot="1">
      <c r="B29" s="1351">
        <v>16</v>
      </c>
      <c r="C29" s="1304">
        <v>55</v>
      </c>
      <c r="D29" s="1352">
        <v>6.01</v>
      </c>
      <c r="E29" s="1304">
        <v>133533</v>
      </c>
      <c r="F29" s="1307">
        <f t="shared" si="8"/>
        <v>133533</v>
      </c>
      <c r="G29" s="1304"/>
      <c r="H29" s="1304"/>
      <c r="I29" s="1304"/>
      <c r="J29" s="1304">
        <f t="shared" si="10"/>
        <v>26706.600000000002</v>
      </c>
      <c r="K29" s="1304" t="s">
        <v>965</v>
      </c>
      <c r="L29" s="1353">
        <f t="shared" si="11"/>
        <v>0</v>
      </c>
      <c r="M29" s="1535"/>
      <c r="N29" s="1940" t="s">
        <v>341</v>
      </c>
      <c r="O29" s="1940"/>
      <c r="P29" s="1382">
        <f>+P53</f>
        <v>179166</v>
      </c>
      <c r="Q29" s="1382">
        <f t="shared" ref="Q29:W29" si="19">Q25</f>
        <v>0</v>
      </c>
      <c r="R29" s="1382">
        <f t="shared" si="19"/>
        <v>0</v>
      </c>
      <c r="S29" s="1382">
        <f t="shared" si="19"/>
        <v>0</v>
      </c>
      <c r="T29" s="1382">
        <f>+T53</f>
        <v>35833.200000000004</v>
      </c>
      <c r="U29" s="1382">
        <f t="shared" si="19"/>
        <v>0</v>
      </c>
      <c r="V29" s="1382">
        <f t="shared" si="19"/>
        <v>0</v>
      </c>
      <c r="W29" s="1383">
        <f t="shared" si="19"/>
        <v>0</v>
      </c>
      <c r="Y29" s="1521"/>
    </row>
    <row r="30" spans="2:33">
      <c r="B30" s="1351">
        <v>17</v>
      </c>
      <c r="C30" s="1304">
        <v>147</v>
      </c>
      <c r="D30" s="1352">
        <v>13.12</v>
      </c>
      <c r="E30" s="1304">
        <v>18000</v>
      </c>
      <c r="F30" s="1307">
        <f t="shared" si="8"/>
        <v>18000</v>
      </c>
      <c r="G30" s="1304"/>
      <c r="H30" s="1304"/>
      <c r="I30" s="1304"/>
      <c r="J30" s="1304">
        <f t="shared" si="10"/>
        <v>3600</v>
      </c>
      <c r="K30" s="1304" t="s">
        <v>1236</v>
      </c>
      <c r="L30" s="1353">
        <f t="shared" si="11"/>
        <v>0</v>
      </c>
      <c r="M30" s="1927" t="s">
        <v>239</v>
      </c>
      <c r="N30" s="1927"/>
      <c r="O30" s="1928"/>
      <c r="P30" s="1943">
        <f>+P22+Q22+R22+S22-P23-P25-P26-P53</f>
        <v>49073327.589500003</v>
      </c>
      <c r="Q30" s="1943"/>
      <c r="R30" s="1943"/>
      <c r="S30" s="1943"/>
      <c r="T30" s="1943">
        <f>T22-T29</f>
        <v>9965125.7020000014</v>
      </c>
      <c r="U30" s="1943"/>
      <c r="V30" s="1943"/>
      <c r="W30" s="1943"/>
      <c r="Y30" s="1521"/>
    </row>
    <row r="31" spans="2:33" ht="13.5" thickBot="1">
      <c r="B31" s="1351">
        <v>18</v>
      </c>
      <c r="C31" s="1920" t="s">
        <v>959</v>
      </c>
      <c r="D31" s="1921"/>
      <c r="E31" s="1306">
        <f>SUM(E14:E30)</f>
        <v>3156733</v>
      </c>
      <c r="F31" s="1306">
        <f t="shared" ref="F31:L31" si="20">SUM(F14:F30)</f>
        <v>3156733</v>
      </c>
      <c r="G31" s="1306">
        <f t="shared" si="20"/>
        <v>0</v>
      </c>
      <c r="H31" s="1306">
        <f t="shared" si="20"/>
        <v>0</v>
      </c>
      <c r="I31" s="1306">
        <f t="shared" si="20"/>
        <v>0</v>
      </c>
      <c r="J31" s="1306">
        <f t="shared" si="20"/>
        <v>631346.6</v>
      </c>
      <c r="K31" s="1306">
        <f t="shared" si="20"/>
        <v>0</v>
      </c>
      <c r="L31" s="1539">
        <f t="shared" si="20"/>
        <v>0</v>
      </c>
      <c r="M31" s="1929"/>
      <c r="N31" s="1929"/>
      <c r="O31" s="1930"/>
      <c r="P31" s="1944"/>
      <c r="Q31" s="1944"/>
      <c r="R31" s="1944"/>
      <c r="S31" s="1944"/>
      <c r="T31" s="1944"/>
      <c r="U31" s="1944"/>
      <c r="V31" s="1944"/>
      <c r="W31" s="1944"/>
      <c r="Y31" s="1521"/>
    </row>
    <row r="32" spans="2:33">
      <c r="B32" s="1351">
        <v>19</v>
      </c>
      <c r="C32" s="1304">
        <v>65</v>
      </c>
      <c r="D32" s="1352">
        <v>28.02</v>
      </c>
      <c r="E32" s="1304">
        <v>84000</v>
      </c>
      <c r="F32" s="1307">
        <f t="shared" si="8"/>
        <v>84000</v>
      </c>
      <c r="G32" s="1304"/>
      <c r="H32" s="1304"/>
      <c r="I32" s="1304"/>
      <c r="J32" s="1304">
        <f t="shared" si="10"/>
        <v>16800</v>
      </c>
      <c r="K32" s="1304" t="s">
        <v>1249</v>
      </c>
      <c r="L32" s="1353">
        <f t="shared" si="11"/>
        <v>0</v>
      </c>
      <c r="M32" s="1320"/>
      <c r="N32" s="1320"/>
      <c r="O32" s="1320"/>
      <c r="P32" s="1320"/>
      <c r="Q32" s="1320"/>
      <c r="R32" s="1320"/>
      <c r="S32" s="1320"/>
      <c r="T32" s="1320"/>
      <c r="U32" s="1320"/>
      <c r="V32" s="1320"/>
      <c r="W32" s="1320"/>
      <c r="Y32" s="1521"/>
    </row>
    <row r="33" spans="2:25">
      <c r="B33" s="1351">
        <v>20</v>
      </c>
      <c r="C33" s="1304">
        <v>396</v>
      </c>
      <c r="D33" s="1352">
        <v>13.02</v>
      </c>
      <c r="E33" s="1304">
        <v>208000</v>
      </c>
      <c r="F33" s="1307">
        <f t="shared" si="8"/>
        <v>208000</v>
      </c>
      <c r="G33" s="1304"/>
      <c r="H33" s="1304"/>
      <c r="I33" s="1304"/>
      <c r="J33" s="1304">
        <f t="shared" si="10"/>
        <v>41600</v>
      </c>
      <c r="K33" s="1304" t="s">
        <v>1230</v>
      </c>
      <c r="L33" s="1353">
        <f t="shared" si="11"/>
        <v>0</v>
      </c>
      <c r="M33" s="1320"/>
      <c r="N33" s="1320"/>
      <c r="O33" s="1320"/>
      <c r="P33" s="1384"/>
      <c r="Q33" s="1320"/>
      <c r="R33" s="1320"/>
      <c r="S33" s="1320"/>
      <c r="T33" s="1320"/>
      <c r="U33" s="1320"/>
      <c r="V33" s="1320"/>
      <c r="W33" s="1320"/>
      <c r="Y33" s="1521"/>
    </row>
    <row r="34" spans="2:25">
      <c r="B34" s="1351">
        <v>21</v>
      </c>
      <c r="C34" s="1304">
        <v>8</v>
      </c>
      <c r="D34" s="1352">
        <v>2.02</v>
      </c>
      <c r="E34" s="1304">
        <v>949133.83299999998</v>
      </c>
      <c r="F34" s="1307">
        <f t="shared" si="8"/>
        <v>949133.83299999998</v>
      </c>
      <c r="G34" s="1304"/>
      <c r="H34" s="1304"/>
      <c r="I34" s="1304"/>
      <c r="J34" s="1304">
        <f t="shared" si="10"/>
        <v>189826.7666</v>
      </c>
      <c r="K34" s="1304" t="s">
        <v>1228</v>
      </c>
      <c r="L34" s="1353">
        <f t="shared" si="11"/>
        <v>0</v>
      </c>
      <c r="M34" s="1320"/>
      <c r="N34" s="1320"/>
      <c r="O34" s="1320"/>
      <c r="P34" s="1384"/>
      <c r="Q34" s="1384"/>
      <c r="R34" s="1320"/>
      <c r="S34" s="1320"/>
      <c r="T34" s="1320"/>
      <c r="U34" s="1320"/>
      <c r="V34" s="1320"/>
      <c r="W34" s="1320"/>
      <c r="Y34" s="1521">
        <f>+T34-'P -Ardh Analiz '!O40-'P -Ardh Analiz '!K40</f>
        <v>0</v>
      </c>
    </row>
    <row r="35" spans="2:25">
      <c r="B35" s="1351">
        <v>22</v>
      </c>
      <c r="C35" s="1304">
        <v>10</v>
      </c>
      <c r="D35" s="1352">
        <v>9.02</v>
      </c>
      <c r="E35" s="1304">
        <v>1138960.6000000001</v>
      </c>
      <c r="F35" s="1307">
        <f t="shared" si="8"/>
        <v>1138960.6000000001</v>
      </c>
      <c r="G35" s="1304"/>
      <c r="H35" s="1304"/>
      <c r="I35" s="1304"/>
      <c r="J35" s="1304">
        <f t="shared" si="10"/>
        <v>227792.12000000002</v>
      </c>
      <c r="K35" s="1304" t="s">
        <v>1228</v>
      </c>
      <c r="L35" s="1353">
        <f t="shared" si="11"/>
        <v>0</v>
      </c>
      <c r="M35" s="1320"/>
      <c r="N35" s="1320"/>
      <c r="O35" s="1321" t="s">
        <v>2102</v>
      </c>
      <c r="P35" s="1321"/>
      <c r="Q35" s="1321"/>
      <c r="R35" s="1320"/>
      <c r="S35" s="1320"/>
      <c r="T35" s="1320"/>
      <c r="U35" s="1320"/>
      <c r="V35" s="1320"/>
      <c r="W35" s="1385"/>
      <c r="X35" s="1385"/>
    </row>
    <row r="36" spans="2:25" ht="13.5" thickBot="1">
      <c r="B36" s="1351">
        <v>23</v>
      </c>
      <c r="C36" s="1304">
        <v>9</v>
      </c>
      <c r="D36" s="1352">
        <v>6.02</v>
      </c>
      <c r="E36" s="1304">
        <v>949133.83</v>
      </c>
      <c r="F36" s="1307">
        <f t="shared" si="8"/>
        <v>949133.83</v>
      </c>
      <c r="G36" s="1304"/>
      <c r="H36" s="1304"/>
      <c r="I36" s="1304"/>
      <c r="J36" s="1304">
        <f t="shared" si="10"/>
        <v>189826.766</v>
      </c>
      <c r="K36" s="1304" t="s">
        <v>1228</v>
      </c>
      <c r="L36" s="1353">
        <f t="shared" si="11"/>
        <v>0</v>
      </c>
      <c r="M36" s="1320"/>
      <c r="N36" s="1320"/>
      <c r="O36" s="1320"/>
      <c r="P36" s="1320"/>
      <c r="Q36" s="1320"/>
      <c r="R36" s="1320"/>
      <c r="S36" s="1320"/>
      <c r="T36" s="1320"/>
      <c r="U36" s="1320"/>
      <c r="V36" s="1320"/>
      <c r="W36" s="1385"/>
      <c r="X36" s="1385"/>
    </row>
    <row r="37" spans="2:25" ht="13.5" thickBot="1">
      <c r="B37" s="1351">
        <v>24</v>
      </c>
      <c r="C37" s="1304">
        <v>11</v>
      </c>
      <c r="D37" s="1352">
        <v>14.02</v>
      </c>
      <c r="E37" s="1304">
        <v>759307</v>
      </c>
      <c r="F37" s="1307">
        <f t="shared" si="8"/>
        <v>759307</v>
      </c>
      <c r="G37" s="1304"/>
      <c r="H37" s="1304"/>
      <c r="I37" s="1304"/>
      <c r="J37" s="1304">
        <f t="shared" si="10"/>
        <v>151861.4</v>
      </c>
      <c r="K37" s="1304" t="s">
        <v>1228</v>
      </c>
      <c r="L37" s="1353">
        <f t="shared" si="11"/>
        <v>0</v>
      </c>
      <c r="M37" s="1938" t="s">
        <v>1</v>
      </c>
      <c r="N37" s="1356" t="s">
        <v>233</v>
      </c>
      <c r="O37" s="1357"/>
      <c r="P37" s="1386" t="s">
        <v>234</v>
      </c>
      <c r="Q37" s="1386" t="s">
        <v>214</v>
      </c>
      <c r="R37" s="1386" t="s">
        <v>235</v>
      </c>
      <c r="S37" s="1386" t="s">
        <v>216</v>
      </c>
      <c r="T37" s="1386" t="s">
        <v>217</v>
      </c>
      <c r="U37" s="1386" t="s">
        <v>236</v>
      </c>
      <c r="V37" s="1387"/>
      <c r="W37" s="1385"/>
      <c r="X37" s="1385"/>
    </row>
    <row r="38" spans="2:25" ht="13.5" thickBot="1">
      <c r="B38" s="1351">
        <v>25</v>
      </c>
      <c r="C38" s="1304" t="s">
        <v>1250</v>
      </c>
      <c r="D38" s="1352">
        <v>10.02</v>
      </c>
      <c r="E38" s="1304">
        <v>253008.76</v>
      </c>
      <c r="F38" s="1307">
        <f t="shared" si="8"/>
        <v>253008.76</v>
      </c>
      <c r="G38" s="1304"/>
      <c r="H38" s="1304"/>
      <c r="I38" s="1304"/>
      <c r="J38" s="1304">
        <f t="shared" si="10"/>
        <v>50601.752000000008</v>
      </c>
      <c r="K38" s="1304" t="s">
        <v>914</v>
      </c>
      <c r="L38" s="1353">
        <f t="shared" si="11"/>
        <v>0</v>
      </c>
      <c r="M38" s="1939"/>
      <c r="N38" s="1357" t="s">
        <v>1</v>
      </c>
      <c r="O38" s="1388" t="s">
        <v>220</v>
      </c>
      <c r="P38" s="1389" t="s">
        <v>237</v>
      </c>
      <c r="Q38" s="1389" t="s">
        <v>238</v>
      </c>
      <c r="R38" s="1389"/>
      <c r="S38" s="1389"/>
      <c r="T38" s="1389" t="s">
        <v>224</v>
      </c>
      <c r="U38" s="1389"/>
      <c r="V38" s="1363"/>
      <c r="W38" s="1385"/>
      <c r="X38" s="1385"/>
    </row>
    <row r="39" spans="2:25">
      <c r="B39" s="1351">
        <v>26</v>
      </c>
      <c r="C39" s="1304">
        <v>62</v>
      </c>
      <c r="D39" s="1352">
        <v>9.02</v>
      </c>
      <c r="E39" s="1304">
        <v>249959</v>
      </c>
      <c r="F39" s="1307">
        <f t="shared" si="8"/>
        <v>249959</v>
      </c>
      <c r="G39" s="1304"/>
      <c r="H39" s="1304"/>
      <c r="I39" s="1304"/>
      <c r="J39" s="1304">
        <f t="shared" si="10"/>
        <v>49991.8</v>
      </c>
      <c r="K39" s="1304" t="s">
        <v>1251</v>
      </c>
      <c r="L39" s="1353">
        <f t="shared" si="11"/>
        <v>0</v>
      </c>
      <c r="M39" s="1536">
        <v>1</v>
      </c>
      <c r="N39" s="1304">
        <v>12</v>
      </c>
      <c r="O39" s="1352">
        <v>16.09</v>
      </c>
      <c r="P39" s="1307">
        <v>179166</v>
      </c>
      <c r="Q39" s="1304"/>
      <c r="R39" s="1304"/>
      <c r="S39" s="1304"/>
      <c r="T39" s="1304">
        <v>35833.200000000004</v>
      </c>
      <c r="U39" s="1304" t="s">
        <v>1925</v>
      </c>
      <c r="V39" s="1363"/>
      <c r="W39" s="1363"/>
      <c r="X39" s="1327"/>
    </row>
    <row r="40" spans="2:25">
      <c r="B40" s="1351">
        <v>27</v>
      </c>
      <c r="C40" s="1304">
        <v>8</v>
      </c>
      <c r="D40" s="1352">
        <v>16.02</v>
      </c>
      <c r="E40" s="1304">
        <v>327730</v>
      </c>
      <c r="F40" s="1307">
        <f t="shared" si="8"/>
        <v>327730</v>
      </c>
      <c r="G40" s="1304"/>
      <c r="H40" s="1304"/>
      <c r="I40" s="1304"/>
      <c r="J40" s="1304">
        <f t="shared" si="10"/>
        <v>65546</v>
      </c>
      <c r="K40" s="1304" t="s">
        <v>1252</v>
      </c>
      <c r="L40" s="1353">
        <f t="shared" si="11"/>
        <v>0</v>
      </c>
      <c r="M40" s="1537">
        <v>2</v>
      </c>
      <c r="N40" s="1358"/>
      <c r="O40" s="1390"/>
      <c r="P40" s="1391"/>
      <c r="Q40" s="1358"/>
      <c r="R40" s="1358"/>
      <c r="S40" s="1358"/>
      <c r="T40" s="1391"/>
      <c r="U40" s="1392"/>
      <c r="V40" s="1363"/>
      <c r="W40" s="1363"/>
    </row>
    <row r="41" spans="2:25">
      <c r="B41" s="1351">
        <v>28</v>
      </c>
      <c r="C41" s="1304">
        <v>316</v>
      </c>
      <c r="D41" s="1352">
        <v>10.02</v>
      </c>
      <c r="E41" s="1304">
        <v>232541</v>
      </c>
      <c r="F41" s="1307">
        <f t="shared" si="8"/>
        <v>232541</v>
      </c>
      <c r="G41" s="1304"/>
      <c r="H41" s="1304"/>
      <c r="I41" s="1304"/>
      <c r="J41" s="1304">
        <f t="shared" si="10"/>
        <v>46508.200000000004</v>
      </c>
      <c r="K41" s="1304" t="s">
        <v>1253</v>
      </c>
      <c r="L41" s="1353">
        <f t="shared" si="11"/>
        <v>0</v>
      </c>
      <c r="M41" s="1537">
        <v>3</v>
      </c>
      <c r="N41" s="1358"/>
      <c r="O41" s="1393"/>
      <c r="P41" s="1391"/>
      <c r="Q41" s="1391"/>
      <c r="R41" s="1391"/>
      <c r="S41" s="1391"/>
      <c r="T41" s="1391"/>
      <c r="U41" s="1392"/>
      <c r="V41" s="1363"/>
      <c r="W41" s="1363"/>
    </row>
    <row r="42" spans="2:25">
      <c r="B42" s="1351">
        <v>29</v>
      </c>
      <c r="C42" s="1304">
        <v>413</v>
      </c>
      <c r="D42" s="1352">
        <v>21.02</v>
      </c>
      <c r="E42" s="1304">
        <v>245692</v>
      </c>
      <c r="F42" s="1307">
        <f t="shared" si="8"/>
        <v>245692</v>
      </c>
      <c r="G42" s="1304"/>
      <c r="H42" s="1304"/>
      <c r="I42" s="1304"/>
      <c r="J42" s="1304">
        <f t="shared" si="10"/>
        <v>49138.400000000001</v>
      </c>
      <c r="K42" s="1304" t="s">
        <v>1234</v>
      </c>
      <c r="L42" s="1353">
        <f t="shared" si="11"/>
        <v>0</v>
      </c>
      <c r="M42" s="1537">
        <v>4</v>
      </c>
      <c r="N42" s="1358"/>
      <c r="O42" s="1393"/>
      <c r="P42" s="1391"/>
      <c r="Q42" s="1391"/>
      <c r="R42" s="1391"/>
      <c r="S42" s="1391"/>
      <c r="T42" s="1391"/>
      <c r="U42" s="1392"/>
      <c r="V42" s="1363"/>
      <c r="W42" s="1363"/>
    </row>
    <row r="43" spans="2:25">
      <c r="B43" s="1351">
        <v>30</v>
      </c>
      <c r="C43" s="1304">
        <v>172</v>
      </c>
      <c r="D43" s="1352">
        <v>11.02</v>
      </c>
      <c r="E43" s="1304">
        <v>47600</v>
      </c>
      <c r="F43" s="1307">
        <f t="shared" si="8"/>
        <v>47600</v>
      </c>
      <c r="G43" s="1304"/>
      <c r="H43" s="1304"/>
      <c r="I43" s="1304"/>
      <c r="J43" s="1304">
        <f t="shared" si="10"/>
        <v>9520</v>
      </c>
      <c r="K43" s="1304" t="s">
        <v>1254</v>
      </c>
      <c r="L43" s="1353">
        <f t="shared" si="11"/>
        <v>0</v>
      </c>
      <c r="M43" s="1537">
        <v>5</v>
      </c>
      <c r="N43" s="1358"/>
      <c r="O43" s="1393"/>
      <c r="P43" s="1391"/>
      <c r="Q43" s="1391"/>
      <c r="R43" s="1391"/>
      <c r="S43" s="1391"/>
      <c r="T43" s="1391"/>
      <c r="U43" s="1392"/>
      <c r="V43" s="1327"/>
      <c r="W43" s="1394"/>
    </row>
    <row r="44" spans="2:25">
      <c r="B44" s="1351">
        <v>31</v>
      </c>
      <c r="C44" s="1920" t="s">
        <v>174</v>
      </c>
      <c r="D44" s="1921"/>
      <c r="E44" s="1306">
        <f>SUM(E32:E43)</f>
        <v>5445066.023</v>
      </c>
      <c r="F44" s="1306">
        <f t="shared" ref="F44:L44" si="21">SUM(F32:F43)</f>
        <v>5445066.023</v>
      </c>
      <c r="G44" s="1306">
        <f t="shared" si="21"/>
        <v>0</v>
      </c>
      <c r="H44" s="1306">
        <f t="shared" si="21"/>
        <v>0</v>
      </c>
      <c r="I44" s="1306">
        <f t="shared" si="21"/>
        <v>0</v>
      </c>
      <c r="J44" s="1306">
        <f t="shared" si="21"/>
        <v>1089013.2046000001</v>
      </c>
      <c r="K44" s="1306">
        <f t="shared" si="21"/>
        <v>0</v>
      </c>
      <c r="L44" s="1539">
        <f t="shared" si="21"/>
        <v>0</v>
      </c>
      <c r="M44" s="1537">
        <v>6</v>
      </c>
      <c r="N44" s="1359"/>
      <c r="O44" s="1395"/>
      <c r="P44" s="1396"/>
      <c r="Q44" s="1396"/>
      <c r="R44" s="1396"/>
      <c r="S44" s="1396"/>
      <c r="T44" s="1396"/>
      <c r="U44" s="1397"/>
      <c r="V44" s="1363"/>
      <c r="W44" s="1363"/>
    </row>
    <row r="45" spans="2:25">
      <c r="B45" s="1351">
        <v>32</v>
      </c>
      <c r="C45" s="1304">
        <v>257</v>
      </c>
      <c r="D45" s="1352">
        <v>9.0299999999999994</v>
      </c>
      <c r="E45" s="1304">
        <v>160000</v>
      </c>
      <c r="F45" s="1307">
        <f t="shared" si="8"/>
        <v>160000</v>
      </c>
      <c r="G45" s="1304"/>
      <c r="H45" s="1304"/>
      <c r="I45" s="1304"/>
      <c r="J45" s="1304">
        <f t="shared" si="10"/>
        <v>32000</v>
      </c>
      <c r="K45" s="1304" t="s">
        <v>1230</v>
      </c>
      <c r="L45" s="1353">
        <f t="shared" si="11"/>
        <v>0</v>
      </c>
      <c r="M45" s="1537">
        <v>7</v>
      </c>
      <c r="N45" s="1359"/>
      <c r="O45" s="1398"/>
      <c r="P45" s="1396"/>
      <c r="Q45" s="1396"/>
      <c r="R45" s="1399"/>
      <c r="S45" s="1399"/>
      <c r="T45" s="1396"/>
      <c r="U45" s="1397"/>
      <c r="V45" s="1363"/>
      <c r="W45" s="1363"/>
    </row>
    <row r="46" spans="2:25">
      <c r="B46" s="1351">
        <v>33</v>
      </c>
      <c r="C46" s="1304">
        <v>284</v>
      </c>
      <c r="D46" s="1352">
        <v>28.02</v>
      </c>
      <c r="E46" s="1304">
        <v>300000</v>
      </c>
      <c r="F46" s="1307">
        <f t="shared" si="8"/>
        <v>300000</v>
      </c>
      <c r="G46" s="1304"/>
      <c r="H46" s="1304"/>
      <c r="I46" s="1304"/>
      <c r="J46" s="1304">
        <f t="shared" si="10"/>
        <v>60000</v>
      </c>
      <c r="K46" s="1304" t="s">
        <v>1260</v>
      </c>
      <c r="L46" s="1353">
        <f t="shared" si="11"/>
        <v>0</v>
      </c>
      <c r="M46" s="1537">
        <v>8</v>
      </c>
      <c r="N46" s="1359"/>
      <c r="O46" s="1395"/>
      <c r="P46" s="1396"/>
      <c r="Q46" s="1396"/>
      <c r="R46" s="1399"/>
      <c r="S46" s="1399"/>
      <c r="T46" s="1396"/>
      <c r="U46" s="1397"/>
      <c r="V46" s="1363"/>
      <c r="W46" s="1363"/>
    </row>
    <row r="47" spans="2:25">
      <c r="B47" s="1351">
        <v>34</v>
      </c>
      <c r="C47" s="1304">
        <v>34</v>
      </c>
      <c r="D47" s="1352">
        <v>29.03</v>
      </c>
      <c r="E47" s="1304">
        <v>1422452</v>
      </c>
      <c r="F47" s="1307">
        <f t="shared" si="8"/>
        <v>1422452</v>
      </c>
      <c r="G47" s="1304"/>
      <c r="H47" s="1304"/>
      <c r="I47" s="1304"/>
      <c r="J47" s="1304">
        <f t="shared" si="10"/>
        <v>284490.40000000002</v>
      </c>
      <c r="K47" s="1304" t="s">
        <v>1261</v>
      </c>
      <c r="L47" s="1353">
        <f t="shared" si="11"/>
        <v>0</v>
      </c>
      <c r="M47" s="1537">
        <v>9</v>
      </c>
      <c r="N47" s="1360"/>
      <c r="O47" s="1400"/>
      <c r="P47" s="1401"/>
      <c r="Q47" s="1396"/>
      <c r="R47" s="1399"/>
      <c r="S47" s="1399"/>
      <c r="T47" s="1396"/>
      <c r="U47" s="1402"/>
      <c r="V47" s="1363"/>
      <c r="W47" s="1363"/>
    </row>
    <row r="48" spans="2:25">
      <c r="B48" s="1351">
        <v>35</v>
      </c>
      <c r="C48" s="1304">
        <v>30</v>
      </c>
      <c r="D48" s="1352">
        <v>28.03</v>
      </c>
      <c r="E48" s="1304">
        <v>1668280</v>
      </c>
      <c r="F48" s="1307">
        <f t="shared" si="8"/>
        <v>1668280</v>
      </c>
      <c r="G48" s="1304"/>
      <c r="H48" s="1304"/>
      <c r="I48" s="1304"/>
      <c r="J48" s="1304">
        <f t="shared" si="10"/>
        <v>333656</v>
      </c>
      <c r="K48" s="1304" t="s">
        <v>1262</v>
      </c>
      <c r="L48" s="1353">
        <f t="shared" si="11"/>
        <v>0</v>
      </c>
      <c r="M48" s="1537"/>
      <c r="N48" s="1361"/>
      <c r="O48" s="1361"/>
      <c r="P48" s="1361"/>
      <c r="Q48" s="1361"/>
      <c r="R48" s="1361"/>
      <c r="S48" s="1361"/>
      <c r="T48" s="1361"/>
      <c r="U48" s="1403"/>
      <c r="V48" s="1363"/>
      <c r="W48" s="1363"/>
    </row>
    <row r="49" spans="1:23">
      <c r="B49" s="1351">
        <v>36</v>
      </c>
      <c r="C49" s="1304">
        <v>544</v>
      </c>
      <c r="D49" s="1352">
        <v>10.029999999999999</v>
      </c>
      <c r="E49" s="1304">
        <v>246247.5</v>
      </c>
      <c r="F49" s="1307">
        <f t="shared" si="8"/>
        <v>246247.5</v>
      </c>
      <c r="G49" s="1304"/>
      <c r="H49" s="1304"/>
      <c r="I49" s="1304"/>
      <c r="J49" s="1304">
        <f t="shared" si="10"/>
        <v>49249.5</v>
      </c>
      <c r="K49" s="1304" t="s">
        <v>1253</v>
      </c>
      <c r="L49" s="1353">
        <f t="shared" si="11"/>
        <v>0</v>
      </c>
      <c r="M49" s="1537"/>
      <c r="N49" s="1361"/>
      <c r="O49" s="1361"/>
      <c r="P49" s="1361"/>
      <c r="Q49" s="1361"/>
      <c r="R49" s="1361"/>
      <c r="S49" s="1361"/>
      <c r="T49" s="1361"/>
      <c r="U49" s="1403"/>
      <c r="V49" s="1363"/>
      <c r="W49" s="1363"/>
    </row>
    <row r="50" spans="1:23">
      <c r="B50" s="1351">
        <v>37</v>
      </c>
      <c r="C50" s="1304">
        <v>146</v>
      </c>
      <c r="D50" s="1352">
        <v>26.03</v>
      </c>
      <c r="E50" s="1304">
        <v>249173</v>
      </c>
      <c r="F50" s="1307">
        <f t="shared" si="8"/>
        <v>249173</v>
      </c>
      <c r="G50" s="1304"/>
      <c r="H50" s="1304"/>
      <c r="I50" s="1304"/>
      <c r="J50" s="1304">
        <f t="shared" si="10"/>
        <v>49834.600000000006</v>
      </c>
      <c r="K50" s="1304" t="s">
        <v>1263</v>
      </c>
      <c r="L50" s="1353">
        <f t="shared" si="11"/>
        <v>0</v>
      </c>
      <c r="M50" s="1537"/>
      <c r="N50" s="1361"/>
      <c r="O50" s="1361"/>
      <c r="P50" s="1361"/>
      <c r="Q50" s="1361"/>
      <c r="R50" s="1361"/>
      <c r="S50" s="1361"/>
      <c r="T50" s="1361"/>
      <c r="U50" s="1403"/>
      <c r="V50" s="1363"/>
      <c r="W50" s="1363"/>
    </row>
    <row r="51" spans="1:23">
      <c r="B51" s="1351">
        <v>38</v>
      </c>
      <c r="C51" s="1304">
        <v>1576</v>
      </c>
      <c r="D51" s="1352">
        <v>17.03</v>
      </c>
      <c r="E51" s="1304">
        <v>167133</v>
      </c>
      <c r="F51" s="1307">
        <f t="shared" si="8"/>
        <v>167133</v>
      </c>
      <c r="G51" s="1304"/>
      <c r="H51" s="1304"/>
      <c r="I51" s="1304"/>
      <c r="J51" s="1304">
        <f t="shared" si="10"/>
        <v>33426.6</v>
      </c>
      <c r="K51" s="1304" t="s">
        <v>965</v>
      </c>
      <c r="L51" s="1353">
        <f t="shared" si="11"/>
        <v>0</v>
      </c>
      <c r="M51" s="1537"/>
      <c r="N51" s="1361"/>
      <c r="O51" s="1361"/>
      <c r="P51" s="1361"/>
      <c r="Q51" s="1361"/>
      <c r="R51" s="1361"/>
      <c r="S51" s="1361"/>
      <c r="T51" s="1361"/>
      <c r="U51" s="1403"/>
      <c r="V51" s="1363"/>
      <c r="W51" s="1363"/>
    </row>
    <row r="52" spans="1:23" ht="13.5" thickBot="1">
      <c r="B52" s="1351">
        <v>39</v>
      </c>
      <c r="C52" s="1304">
        <v>102</v>
      </c>
      <c r="D52" s="1352">
        <v>21.03</v>
      </c>
      <c r="E52" s="1304">
        <v>591250</v>
      </c>
      <c r="F52" s="1307">
        <f t="shared" si="8"/>
        <v>591250</v>
      </c>
      <c r="G52" s="1304"/>
      <c r="H52" s="1304"/>
      <c r="I52" s="1304"/>
      <c r="J52" s="1304">
        <f t="shared" si="10"/>
        <v>118250</v>
      </c>
      <c r="K52" s="1304" t="s">
        <v>1264</v>
      </c>
      <c r="L52" s="1353">
        <f t="shared" si="11"/>
        <v>0</v>
      </c>
      <c r="M52" s="1538"/>
      <c r="N52" s="1362"/>
      <c r="O52" s="1362"/>
      <c r="P52" s="1404"/>
      <c r="Q52" s="1404"/>
      <c r="R52" s="1404"/>
      <c r="S52" s="1404"/>
      <c r="T52" s="1404"/>
      <c r="U52" s="1405"/>
      <c r="V52" s="1363"/>
      <c r="W52" s="1363"/>
    </row>
    <row r="53" spans="1:23" ht="13.5" thickBot="1">
      <c r="B53" s="1351">
        <v>40</v>
      </c>
      <c r="C53" s="1304">
        <v>104</v>
      </c>
      <c r="D53" s="1352"/>
      <c r="E53" s="1304">
        <v>212850</v>
      </c>
      <c r="F53" s="1307">
        <f t="shared" si="8"/>
        <v>212850</v>
      </c>
      <c r="G53" s="1304"/>
      <c r="H53" s="1304"/>
      <c r="I53" s="1304"/>
      <c r="J53" s="1304">
        <f t="shared" si="10"/>
        <v>42570</v>
      </c>
      <c r="K53" s="1304" t="s">
        <v>1264</v>
      </c>
      <c r="L53" s="1353">
        <f t="shared" si="11"/>
        <v>0</v>
      </c>
      <c r="M53" s="1935" t="s">
        <v>340</v>
      </c>
      <c r="N53" s="1936"/>
      <c r="O53" s="1937"/>
      <c r="P53" s="1406">
        <f>P39+P40+P41+P42+P43</f>
        <v>179166</v>
      </c>
      <c r="Q53" s="1406">
        <f>Q39+Q40+Q41+Q42+Q43</f>
        <v>0</v>
      </c>
      <c r="R53" s="1406">
        <f>R39+R40+R41+R42+R43</f>
        <v>0</v>
      </c>
      <c r="S53" s="1406">
        <f>S39+S40+S41+S42+S43</f>
        <v>0</v>
      </c>
      <c r="T53" s="1406">
        <f>T39+T40+T41+T42+T43</f>
        <v>35833.200000000004</v>
      </c>
      <c r="U53" s="1407"/>
      <c r="V53" s="1363"/>
      <c r="W53" s="1363"/>
    </row>
    <row r="54" spans="1:23">
      <c r="B54" s="1351">
        <v>41</v>
      </c>
      <c r="C54" s="1304">
        <v>18</v>
      </c>
      <c r="D54" s="1352">
        <v>9.02</v>
      </c>
      <c r="E54" s="1304">
        <v>42500</v>
      </c>
      <c r="F54" s="1307">
        <f t="shared" si="8"/>
        <v>42500</v>
      </c>
      <c r="G54" s="1304"/>
      <c r="H54" s="1304"/>
      <c r="I54" s="1304"/>
      <c r="J54" s="1304">
        <f t="shared" si="10"/>
        <v>8500</v>
      </c>
      <c r="K54" s="1304" t="s">
        <v>1265</v>
      </c>
      <c r="L54" s="1353">
        <f t="shared" si="11"/>
        <v>0</v>
      </c>
      <c r="M54" s="1363"/>
      <c r="N54" s="1363"/>
      <c r="O54" s="1363"/>
      <c r="P54" s="1387"/>
      <c r="Q54" s="1387"/>
      <c r="R54" s="1387"/>
      <c r="S54" s="1387"/>
      <c r="T54" s="1387"/>
      <c r="U54" s="1387"/>
      <c r="V54" s="1363"/>
      <c r="W54" s="1363"/>
    </row>
    <row r="55" spans="1:23">
      <c r="B55" s="1351">
        <v>42</v>
      </c>
      <c r="C55" s="1304">
        <v>124</v>
      </c>
      <c r="D55" s="1352">
        <v>8.0299999999999994</v>
      </c>
      <c r="E55" s="1304">
        <v>242149</v>
      </c>
      <c r="F55" s="1307">
        <f t="shared" si="8"/>
        <v>242149</v>
      </c>
      <c r="G55" s="1304"/>
      <c r="H55" s="1304"/>
      <c r="I55" s="1304"/>
      <c r="J55" s="1304">
        <f t="shared" si="10"/>
        <v>48429.8</v>
      </c>
      <c r="K55" s="1304" t="s">
        <v>1263</v>
      </c>
      <c r="L55" s="1353">
        <f t="shared" si="11"/>
        <v>0</v>
      </c>
      <c r="M55" s="1363"/>
      <c r="N55" s="1363"/>
      <c r="O55" s="1363"/>
      <c r="P55" s="1387"/>
      <c r="Q55" s="1387"/>
      <c r="R55" s="1387"/>
      <c r="S55" s="1387"/>
      <c r="T55" s="1387"/>
      <c r="U55" s="1387"/>
      <c r="V55" s="1320"/>
      <c r="W55" s="1320"/>
    </row>
    <row r="56" spans="1:23">
      <c r="B56" s="1351">
        <v>43</v>
      </c>
      <c r="C56" s="1920" t="s">
        <v>175</v>
      </c>
      <c r="D56" s="1921"/>
      <c r="E56" s="1306">
        <f>SUM(E45:E55)</f>
        <v>5302034.5</v>
      </c>
      <c r="F56" s="1306">
        <f t="shared" ref="F56:L56" si="22">SUM(F45:F55)</f>
        <v>5302034.5</v>
      </c>
      <c r="G56" s="1306">
        <f t="shared" si="22"/>
        <v>0</v>
      </c>
      <c r="H56" s="1306">
        <f t="shared" si="22"/>
        <v>0</v>
      </c>
      <c r="I56" s="1306">
        <f t="shared" si="22"/>
        <v>0</v>
      </c>
      <c r="J56" s="1306">
        <f t="shared" si="22"/>
        <v>1060406.8999999999</v>
      </c>
      <c r="K56" s="1306">
        <f t="shared" si="22"/>
        <v>0</v>
      </c>
      <c r="L56" s="1539">
        <f t="shared" si="22"/>
        <v>0</v>
      </c>
      <c r="M56" s="1363"/>
      <c r="N56" s="1363"/>
      <c r="O56" s="1363"/>
      <c r="P56" s="1387"/>
      <c r="Q56" s="1387"/>
      <c r="R56" s="1387"/>
      <c r="S56" s="1387"/>
      <c r="T56" s="1387"/>
      <c r="U56" s="1387"/>
      <c r="V56" s="1320"/>
      <c r="W56" s="1320"/>
    </row>
    <row r="57" spans="1:23">
      <c r="B57" s="1351">
        <v>44</v>
      </c>
      <c r="C57" s="1304">
        <v>115</v>
      </c>
      <c r="D57" s="1352">
        <v>1.04</v>
      </c>
      <c r="E57" s="1304">
        <v>91000</v>
      </c>
      <c r="F57" s="1307">
        <f t="shared" si="8"/>
        <v>91000</v>
      </c>
      <c r="G57" s="1304"/>
      <c r="H57" s="1304"/>
      <c r="I57" s="1304"/>
      <c r="J57" s="1304">
        <f t="shared" si="10"/>
        <v>18200</v>
      </c>
      <c r="K57" s="1304" t="s">
        <v>1272</v>
      </c>
      <c r="L57" s="1353">
        <f t="shared" si="11"/>
        <v>0</v>
      </c>
      <c r="M57" s="1363"/>
      <c r="N57" s="1364"/>
      <c r="O57" s="1363"/>
      <c r="P57" s="1387"/>
      <c r="Q57" s="1387"/>
      <c r="R57" s="1387"/>
      <c r="S57" s="1387"/>
      <c r="T57" s="1387"/>
      <c r="U57" s="1387"/>
      <c r="V57" s="1320"/>
      <c r="W57" s="1320"/>
    </row>
    <row r="58" spans="1:23">
      <c r="B58" s="1351">
        <v>45</v>
      </c>
      <c r="C58" s="1304">
        <v>769</v>
      </c>
      <c r="D58" s="1352">
        <v>6.04</v>
      </c>
      <c r="E58" s="1304">
        <v>121688</v>
      </c>
      <c r="F58" s="1307">
        <f t="shared" si="8"/>
        <v>121688</v>
      </c>
      <c r="G58" s="1304"/>
      <c r="H58" s="1304"/>
      <c r="I58" s="1304"/>
      <c r="J58" s="1304">
        <f t="shared" si="10"/>
        <v>24337.600000000002</v>
      </c>
      <c r="K58" s="1304" t="s">
        <v>1261</v>
      </c>
      <c r="L58" s="1353">
        <f t="shared" si="11"/>
        <v>0</v>
      </c>
      <c r="M58" s="1363"/>
      <c r="N58" s="1363"/>
      <c r="O58" s="1363"/>
      <c r="P58" s="1387"/>
      <c r="Q58" s="1387"/>
      <c r="R58" s="1387"/>
      <c r="S58" s="1387"/>
      <c r="T58" s="1387"/>
      <c r="U58" s="1387"/>
      <c r="V58" s="1320"/>
      <c r="W58" s="1320"/>
    </row>
    <row r="59" spans="1:23">
      <c r="B59" s="1351">
        <v>46</v>
      </c>
      <c r="C59" s="1304">
        <v>169</v>
      </c>
      <c r="D59" s="1352">
        <v>7.04</v>
      </c>
      <c r="E59" s="1304">
        <v>249491</v>
      </c>
      <c r="F59" s="1307">
        <f t="shared" si="8"/>
        <v>249491</v>
      </c>
      <c r="G59" s="1304"/>
      <c r="H59" s="1304"/>
      <c r="I59" s="1304"/>
      <c r="J59" s="1304">
        <f t="shared" si="10"/>
        <v>49898.200000000004</v>
      </c>
      <c r="K59" s="1304" t="s">
        <v>1273</v>
      </c>
      <c r="L59" s="1353">
        <f t="shared" si="11"/>
        <v>0</v>
      </c>
      <c r="M59" s="1363"/>
      <c r="N59" s="1363"/>
      <c r="O59" s="1363"/>
      <c r="P59" s="1387"/>
      <c r="Q59" s="1387"/>
      <c r="R59" s="1387"/>
      <c r="S59" s="1387"/>
      <c r="T59" s="1387"/>
      <c r="U59" s="1387"/>
      <c r="V59" s="1320"/>
      <c r="W59" s="1320"/>
    </row>
    <row r="60" spans="1:23">
      <c r="B60" s="1351">
        <v>47</v>
      </c>
      <c r="C60" s="1304">
        <v>21</v>
      </c>
      <c r="D60" s="1352">
        <v>7.04</v>
      </c>
      <c r="E60" s="1304">
        <v>375082</v>
      </c>
      <c r="F60" s="1307">
        <f t="shared" si="8"/>
        <v>375082</v>
      </c>
      <c r="G60" s="1304"/>
      <c r="H60" s="1304"/>
      <c r="I60" s="1304"/>
      <c r="J60" s="1304">
        <f t="shared" si="10"/>
        <v>75016.400000000009</v>
      </c>
      <c r="K60" s="1304" t="s">
        <v>1274</v>
      </c>
      <c r="L60" s="1353">
        <f t="shared" si="11"/>
        <v>0</v>
      </c>
      <c r="M60" s="1363"/>
      <c r="N60" s="1363"/>
      <c r="O60" s="1363"/>
      <c r="P60" s="1387"/>
      <c r="Q60" s="1387"/>
      <c r="R60" s="1387"/>
      <c r="S60" s="1387"/>
      <c r="T60" s="1387"/>
      <c r="U60" s="1387"/>
      <c r="V60" s="1320"/>
      <c r="W60" s="1320"/>
    </row>
    <row r="61" spans="1:23">
      <c r="B61" s="1351">
        <v>48</v>
      </c>
      <c r="C61" s="1304">
        <v>134</v>
      </c>
      <c r="D61" s="1352">
        <v>8.0399999999999991</v>
      </c>
      <c r="E61" s="1304">
        <v>321200</v>
      </c>
      <c r="F61" s="1307">
        <f t="shared" si="8"/>
        <v>321200</v>
      </c>
      <c r="G61" s="1304"/>
      <c r="H61" s="1304"/>
      <c r="I61" s="1304"/>
      <c r="J61" s="1304">
        <f t="shared" si="10"/>
        <v>64240</v>
      </c>
      <c r="K61" s="1304" t="s">
        <v>1264</v>
      </c>
      <c r="L61" s="1353">
        <f t="shared" si="11"/>
        <v>0</v>
      </c>
      <c r="M61" s="1363"/>
      <c r="N61" s="1363"/>
      <c r="O61" s="1363"/>
      <c r="P61" s="1387"/>
      <c r="Q61" s="1387"/>
      <c r="R61" s="1387"/>
      <c r="S61" s="1387"/>
      <c r="T61" s="1387"/>
      <c r="U61" s="1387"/>
      <c r="V61" s="1320"/>
      <c r="W61" s="1320"/>
    </row>
    <row r="62" spans="1:23">
      <c r="B62" s="1351">
        <v>49</v>
      </c>
      <c r="C62" s="1304">
        <v>28</v>
      </c>
      <c r="D62" s="1352">
        <v>9.0399999999999991</v>
      </c>
      <c r="E62" s="1304">
        <v>251000</v>
      </c>
      <c r="F62" s="1307">
        <f t="shared" si="8"/>
        <v>251000</v>
      </c>
      <c r="G62" s="1304"/>
      <c r="H62" s="1304"/>
      <c r="I62" s="1304"/>
      <c r="J62" s="1304">
        <f t="shared" si="10"/>
        <v>50200</v>
      </c>
      <c r="K62" s="1304" t="s">
        <v>1275</v>
      </c>
      <c r="L62" s="1353">
        <f t="shared" si="11"/>
        <v>0</v>
      </c>
      <c r="M62" s="1363"/>
      <c r="N62" s="1363"/>
      <c r="O62" s="1363"/>
      <c r="P62" s="1387"/>
      <c r="Q62" s="1387"/>
      <c r="R62" s="1387"/>
      <c r="S62" s="1387"/>
      <c r="T62" s="1387"/>
      <c r="U62" s="1387"/>
      <c r="V62" s="1320"/>
      <c r="W62" s="1320"/>
    </row>
    <row r="63" spans="1:23">
      <c r="B63" s="1351">
        <v>50</v>
      </c>
      <c r="C63" s="1304">
        <v>178</v>
      </c>
      <c r="D63" s="1352">
        <v>12.04</v>
      </c>
      <c r="E63" s="1304">
        <v>249997</v>
      </c>
      <c r="F63" s="1307">
        <f t="shared" si="8"/>
        <v>249997</v>
      </c>
      <c r="G63" s="1304"/>
      <c r="H63" s="1304"/>
      <c r="I63" s="1304"/>
      <c r="J63" s="1304">
        <f t="shared" si="10"/>
        <v>49999.4</v>
      </c>
      <c r="K63" s="1304" t="s">
        <v>1263</v>
      </c>
      <c r="L63" s="1353">
        <f t="shared" si="11"/>
        <v>0</v>
      </c>
      <c r="M63" s="1363"/>
      <c r="N63" s="1363"/>
      <c r="O63" s="1363"/>
      <c r="P63" s="1387"/>
      <c r="Q63" s="1387"/>
      <c r="R63" s="1387"/>
      <c r="S63" s="1387"/>
      <c r="T63" s="1387"/>
      <c r="U63" s="1387"/>
      <c r="V63" s="1320"/>
      <c r="W63" s="1320"/>
    </row>
    <row r="64" spans="1:23">
      <c r="A64" s="1327"/>
      <c r="B64" s="1351">
        <v>51</v>
      </c>
      <c r="C64" s="1304">
        <v>344</v>
      </c>
      <c r="D64" s="1352">
        <v>15.04</v>
      </c>
      <c r="E64" s="1304">
        <v>132350</v>
      </c>
      <c r="F64" s="1307">
        <f t="shared" si="8"/>
        <v>132350</v>
      </c>
      <c r="G64" s="1304"/>
      <c r="H64" s="1304"/>
      <c r="I64" s="1304"/>
      <c r="J64" s="1304">
        <f t="shared" si="10"/>
        <v>26470</v>
      </c>
      <c r="K64" s="1304" t="s">
        <v>965</v>
      </c>
      <c r="L64" s="1353">
        <f t="shared" si="11"/>
        <v>0</v>
      </c>
      <c r="M64" s="1363"/>
      <c r="N64" s="1363"/>
      <c r="O64" s="1363"/>
      <c r="P64" s="1387"/>
      <c r="Q64" s="1387"/>
      <c r="R64" s="1387"/>
      <c r="S64" s="1387"/>
      <c r="T64" s="1387"/>
      <c r="U64" s="1387"/>
      <c r="V64" s="1320"/>
      <c r="W64" s="1320"/>
    </row>
    <row r="65" spans="1:23">
      <c r="A65" s="1327"/>
      <c r="B65" s="1351">
        <v>52</v>
      </c>
      <c r="C65" s="1304">
        <v>1491</v>
      </c>
      <c r="D65" s="1352">
        <v>16.04</v>
      </c>
      <c r="E65" s="1304">
        <v>131213</v>
      </c>
      <c r="F65" s="1307">
        <f t="shared" si="8"/>
        <v>131213</v>
      </c>
      <c r="G65" s="1304"/>
      <c r="H65" s="1304"/>
      <c r="I65" s="1304"/>
      <c r="J65" s="1304">
        <f t="shared" si="10"/>
        <v>26242.600000000002</v>
      </c>
      <c r="K65" s="1304" t="s">
        <v>965</v>
      </c>
      <c r="L65" s="1353">
        <f t="shared" si="11"/>
        <v>0</v>
      </c>
      <c r="M65" s="1363"/>
      <c r="N65" s="1363"/>
      <c r="O65" s="1363"/>
      <c r="P65" s="1387"/>
      <c r="Q65" s="1387"/>
      <c r="R65" s="1387"/>
      <c r="S65" s="1387"/>
      <c r="T65" s="1387"/>
      <c r="U65" s="1387"/>
      <c r="V65" s="1320"/>
      <c r="W65" s="1320"/>
    </row>
    <row r="66" spans="1:23">
      <c r="A66" s="1327"/>
      <c r="B66" s="1351">
        <v>53</v>
      </c>
      <c r="C66" s="1304"/>
      <c r="D66" s="1352">
        <v>18.04</v>
      </c>
      <c r="E66" s="1304">
        <v>258000</v>
      </c>
      <c r="F66" s="1307">
        <f t="shared" si="8"/>
        <v>258000</v>
      </c>
      <c r="G66" s="1304"/>
      <c r="H66" s="1304"/>
      <c r="I66" s="1304"/>
      <c r="J66" s="1304">
        <f t="shared" si="10"/>
        <v>51600</v>
      </c>
      <c r="K66" s="1304" t="s">
        <v>914</v>
      </c>
      <c r="L66" s="1353">
        <f t="shared" si="11"/>
        <v>0</v>
      </c>
      <c r="M66" s="1363"/>
      <c r="N66" s="1363"/>
      <c r="O66" s="1363"/>
      <c r="P66" s="1387"/>
      <c r="Q66" s="1387"/>
      <c r="R66" s="1387"/>
      <c r="S66" s="1387"/>
      <c r="T66" s="1387"/>
      <c r="U66" s="1387"/>
      <c r="V66" s="1320"/>
      <c r="W66" s="1320"/>
    </row>
    <row r="67" spans="1:23">
      <c r="A67" s="1327"/>
      <c r="B67" s="1351">
        <v>54</v>
      </c>
      <c r="C67" s="1304">
        <v>15</v>
      </c>
      <c r="D67" s="1352">
        <v>18.04</v>
      </c>
      <c r="E67" s="1304">
        <v>225000</v>
      </c>
      <c r="F67" s="1307">
        <f t="shared" si="8"/>
        <v>225000</v>
      </c>
      <c r="G67" s="1304"/>
      <c r="H67" s="1304"/>
      <c r="I67" s="1304"/>
      <c r="J67" s="1304">
        <f t="shared" si="10"/>
        <v>45000</v>
      </c>
      <c r="K67" s="1304" t="s">
        <v>1235</v>
      </c>
      <c r="L67" s="1353">
        <f t="shared" si="11"/>
        <v>0</v>
      </c>
      <c r="M67" s="1365"/>
      <c r="N67" s="1363"/>
      <c r="O67" s="1363"/>
      <c r="P67" s="1387"/>
      <c r="Q67" s="1387"/>
      <c r="R67" s="1387"/>
      <c r="S67" s="1387"/>
      <c r="T67" s="1387"/>
      <c r="U67" s="1387"/>
      <c r="V67" s="1320"/>
      <c r="W67" s="1320"/>
    </row>
    <row r="68" spans="1:23">
      <c r="A68" s="1327"/>
      <c r="B68" s="1351">
        <v>55</v>
      </c>
      <c r="C68" s="1304">
        <v>193</v>
      </c>
      <c r="D68" s="1352">
        <v>23.04</v>
      </c>
      <c r="E68" s="1304">
        <v>210304</v>
      </c>
      <c r="F68" s="1307">
        <f t="shared" si="8"/>
        <v>210304</v>
      </c>
      <c r="G68" s="1304"/>
      <c r="H68" s="1304"/>
      <c r="I68" s="1304"/>
      <c r="J68" s="1304">
        <f t="shared" si="10"/>
        <v>42060.800000000003</v>
      </c>
      <c r="K68" s="1304" t="s">
        <v>1276</v>
      </c>
      <c r="L68" s="1353">
        <f t="shared" si="11"/>
        <v>0</v>
      </c>
      <c r="M68" s="1363"/>
      <c r="N68" s="1363"/>
      <c r="O68" s="1363"/>
      <c r="P68" s="1387"/>
      <c r="Q68" s="1387"/>
      <c r="R68" s="1387"/>
      <c r="S68" s="1387"/>
      <c r="T68" s="1387"/>
      <c r="U68" s="1387"/>
      <c r="V68" s="1320"/>
      <c r="W68" s="1320"/>
    </row>
    <row r="69" spans="1:23">
      <c r="A69" s="1327"/>
      <c r="B69" s="1351">
        <v>56</v>
      </c>
      <c r="C69" s="1304">
        <v>155</v>
      </c>
      <c r="D69" s="1352">
        <v>23.04</v>
      </c>
      <c r="E69" s="1304">
        <v>270050</v>
      </c>
      <c r="F69" s="1307">
        <f t="shared" si="8"/>
        <v>270050</v>
      </c>
      <c r="G69" s="1304"/>
      <c r="H69" s="1304"/>
      <c r="I69" s="1304"/>
      <c r="J69" s="1304">
        <f t="shared" si="10"/>
        <v>54010</v>
      </c>
      <c r="K69" s="1304" t="s">
        <v>1264</v>
      </c>
      <c r="L69" s="1353">
        <f t="shared" si="11"/>
        <v>0</v>
      </c>
      <c r="M69" s="1363"/>
      <c r="N69" s="1363"/>
      <c r="O69" s="1363"/>
      <c r="P69" s="1387"/>
      <c r="Q69" s="1387"/>
      <c r="R69" s="1387"/>
      <c r="S69" s="1387"/>
      <c r="T69" s="1387"/>
      <c r="U69" s="1387"/>
      <c r="V69" s="1320"/>
      <c r="W69" s="1320"/>
    </row>
    <row r="70" spans="1:23">
      <c r="A70" s="1327"/>
      <c r="B70" s="1351">
        <v>57</v>
      </c>
      <c r="C70" s="1304">
        <v>671</v>
      </c>
      <c r="D70" s="1352">
        <v>25.03</v>
      </c>
      <c r="E70" s="1304">
        <v>242422</v>
      </c>
      <c r="F70" s="1307">
        <f t="shared" si="8"/>
        <v>242422</v>
      </c>
      <c r="G70" s="1304"/>
      <c r="H70" s="1304"/>
      <c r="I70" s="1304"/>
      <c r="J70" s="1304">
        <f t="shared" si="10"/>
        <v>48484.4</v>
      </c>
      <c r="K70" s="1304" t="s">
        <v>1253</v>
      </c>
      <c r="L70" s="1353">
        <f t="shared" si="11"/>
        <v>0</v>
      </c>
      <c r="M70" s="1363"/>
      <c r="N70" s="1363"/>
      <c r="O70" s="1363"/>
      <c r="P70" s="1387"/>
      <c r="Q70" s="1387"/>
      <c r="R70" s="1387"/>
      <c r="S70" s="1387"/>
      <c r="T70" s="1387"/>
      <c r="U70" s="1387"/>
      <c r="V70" s="1320"/>
      <c r="W70" s="1320"/>
    </row>
    <row r="71" spans="1:23">
      <c r="A71" s="1327"/>
      <c r="B71" s="1351">
        <v>58</v>
      </c>
      <c r="C71" s="1304">
        <v>31</v>
      </c>
      <c r="D71" s="1352">
        <v>25.04</v>
      </c>
      <c r="E71" s="1304">
        <v>246935</v>
      </c>
      <c r="F71" s="1307">
        <f t="shared" si="8"/>
        <v>246935</v>
      </c>
      <c r="G71" s="1304"/>
      <c r="H71" s="1304"/>
      <c r="I71" s="1304"/>
      <c r="J71" s="1304">
        <f t="shared" si="10"/>
        <v>49387</v>
      </c>
      <c r="K71" s="1304" t="s">
        <v>1272</v>
      </c>
      <c r="L71" s="1353">
        <f t="shared" si="11"/>
        <v>0</v>
      </c>
      <c r="M71" s="1363"/>
      <c r="N71" s="1363"/>
      <c r="O71" s="1363"/>
      <c r="P71" s="1387"/>
      <c r="Q71" s="1387"/>
      <c r="R71" s="1387"/>
      <c r="S71" s="1387"/>
      <c r="T71" s="1387"/>
      <c r="U71" s="1387"/>
      <c r="V71" s="1320"/>
      <c r="W71" s="1320"/>
    </row>
    <row r="72" spans="1:23">
      <c r="A72" s="1327"/>
      <c r="B72" s="1351">
        <v>59</v>
      </c>
      <c r="C72" s="1304">
        <v>33</v>
      </c>
      <c r="D72" s="1352">
        <v>26.03</v>
      </c>
      <c r="E72" s="1304">
        <v>46416.66</v>
      </c>
      <c r="F72" s="1307">
        <f t="shared" si="8"/>
        <v>46416.66</v>
      </c>
      <c r="G72" s="1304"/>
      <c r="H72" s="1304"/>
      <c r="I72" s="1304"/>
      <c r="J72" s="1304">
        <f t="shared" si="10"/>
        <v>9283.3320000000003</v>
      </c>
      <c r="K72" s="1304" t="s">
        <v>1265</v>
      </c>
      <c r="L72" s="1353">
        <f t="shared" si="11"/>
        <v>0</v>
      </c>
      <c r="M72" s="1363"/>
      <c r="N72" s="1363"/>
      <c r="O72" s="1363"/>
      <c r="P72" s="1387"/>
      <c r="Q72" s="1387"/>
      <c r="R72" s="1387"/>
      <c r="S72" s="1387"/>
      <c r="T72" s="1387"/>
      <c r="U72" s="1387"/>
      <c r="V72" s="1320"/>
      <c r="W72" s="1320"/>
    </row>
    <row r="73" spans="1:23">
      <c r="A73" s="1327"/>
      <c r="B73" s="1351">
        <v>60</v>
      </c>
      <c r="C73" s="1304">
        <v>23</v>
      </c>
      <c r="D73" s="1352">
        <v>28.04</v>
      </c>
      <c r="E73" s="1304">
        <v>125400</v>
      </c>
      <c r="F73" s="1307">
        <f t="shared" si="8"/>
        <v>125400</v>
      </c>
      <c r="G73" s="1304"/>
      <c r="H73" s="1304"/>
      <c r="I73" s="1304"/>
      <c r="J73" s="1304">
        <f t="shared" si="10"/>
        <v>25080</v>
      </c>
      <c r="K73" s="1304" t="s">
        <v>1277</v>
      </c>
      <c r="L73" s="1353">
        <f t="shared" si="11"/>
        <v>0</v>
      </c>
      <c r="M73" s="1363"/>
      <c r="N73" s="1363"/>
      <c r="O73" s="1363"/>
      <c r="P73" s="1387"/>
      <c r="Q73" s="1387"/>
      <c r="R73" s="1387"/>
      <c r="S73" s="1387"/>
      <c r="T73" s="1387"/>
      <c r="U73" s="1387"/>
      <c r="V73" s="1320"/>
      <c r="W73" s="1320"/>
    </row>
    <row r="74" spans="1:23">
      <c r="A74" s="1327"/>
      <c r="B74" s="1351">
        <v>61</v>
      </c>
      <c r="C74" s="1304">
        <v>38</v>
      </c>
      <c r="D74" s="1352">
        <v>16.04</v>
      </c>
      <c r="E74" s="1304">
        <v>73333.34</v>
      </c>
      <c r="F74" s="1307">
        <f t="shared" si="8"/>
        <v>73333.34</v>
      </c>
      <c r="G74" s="1304"/>
      <c r="H74" s="1304"/>
      <c r="I74" s="1304"/>
      <c r="J74" s="1304">
        <f t="shared" si="10"/>
        <v>14666.668</v>
      </c>
      <c r="K74" s="1304" t="s">
        <v>1265</v>
      </c>
      <c r="L74" s="1353">
        <f t="shared" si="11"/>
        <v>0</v>
      </c>
      <c r="M74" s="1363"/>
      <c r="N74" s="1363"/>
      <c r="O74" s="1363"/>
      <c r="P74" s="1387"/>
      <c r="Q74" s="1387"/>
      <c r="R74" s="1387"/>
      <c r="S74" s="1387"/>
      <c r="T74" s="1387"/>
      <c r="U74" s="1387"/>
      <c r="V74" s="1320"/>
      <c r="W74" s="1320"/>
    </row>
    <row r="75" spans="1:23">
      <c r="A75" s="1327"/>
      <c r="B75" s="1351">
        <v>62</v>
      </c>
      <c r="C75" s="1920" t="s">
        <v>176</v>
      </c>
      <c r="D75" s="1921"/>
      <c r="E75" s="1306">
        <f>SUM(E57:E74)</f>
        <v>3620882</v>
      </c>
      <c r="F75" s="1306">
        <f t="shared" ref="F75:L75" si="23">SUM(F57:F74)</f>
        <v>3620882</v>
      </c>
      <c r="G75" s="1306">
        <f t="shared" si="23"/>
        <v>0</v>
      </c>
      <c r="H75" s="1306">
        <f t="shared" si="23"/>
        <v>0</v>
      </c>
      <c r="I75" s="1306">
        <f t="shared" si="23"/>
        <v>0</v>
      </c>
      <c r="J75" s="1306">
        <f t="shared" si="23"/>
        <v>724176.4</v>
      </c>
      <c r="K75" s="1306">
        <f t="shared" si="23"/>
        <v>0</v>
      </c>
      <c r="L75" s="1539">
        <f t="shared" si="23"/>
        <v>0</v>
      </c>
      <c r="M75" s="1363"/>
      <c r="N75" s="1363"/>
      <c r="O75" s="1363"/>
      <c r="P75" s="1387"/>
      <c r="Q75" s="1387"/>
      <c r="R75" s="1387"/>
      <c r="S75" s="1387"/>
      <c r="T75" s="1387"/>
      <c r="U75" s="1387"/>
      <c r="V75" s="1320"/>
      <c r="W75" s="1320"/>
    </row>
    <row r="76" spans="1:23">
      <c r="A76" s="1327"/>
      <c r="B76" s="1351">
        <v>63</v>
      </c>
      <c r="C76" s="1304">
        <v>182</v>
      </c>
      <c r="D76" s="1352">
        <v>10.050000000000001</v>
      </c>
      <c r="E76" s="1304">
        <v>102000</v>
      </c>
      <c r="F76" s="1307">
        <f t="shared" ref="F76:F139" si="24">+E76</f>
        <v>102000</v>
      </c>
      <c r="G76" s="1304"/>
      <c r="H76" s="1304"/>
      <c r="I76" s="1304"/>
      <c r="J76" s="1304">
        <f t="shared" ref="J76:J139" si="25">E76*0.2</f>
        <v>20400</v>
      </c>
      <c r="K76" s="1304" t="s">
        <v>1272</v>
      </c>
      <c r="L76" s="1353">
        <f t="shared" ref="L76:L139" si="26">E76-(F76+G76+H76+I76)</f>
        <v>0</v>
      </c>
      <c r="M76" s="1363"/>
      <c r="N76" s="1363"/>
      <c r="O76" s="1363"/>
      <c r="P76" s="1387"/>
      <c r="Q76" s="1387"/>
      <c r="R76" s="1387"/>
      <c r="S76" s="1387"/>
      <c r="T76" s="1387"/>
      <c r="U76" s="1387"/>
      <c r="V76" s="1320"/>
      <c r="W76" s="1320"/>
    </row>
    <row r="77" spans="1:23">
      <c r="A77" s="1327"/>
      <c r="B77" s="1351">
        <v>64</v>
      </c>
      <c r="C77" s="1304">
        <v>21</v>
      </c>
      <c r="D77" s="1352">
        <v>10.050000000000001</v>
      </c>
      <c r="E77" s="1304">
        <v>172109</v>
      </c>
      <c r="F77" s="1307">
        <f t="shared" si="24"/>
        <v>172109</v>
      </c>
      <c r="G77" s="1304"/>
      <c r="H77" s="1304"/>
      <c r="I77" s="1304"/>
      <c r="J77" s="1304">
        <f t="shared" si="25"/>
        <v>34421.800000000003</v>
      </c>
      <c r="K77" s="1304" t="s">
        <v>1263</v>
      </c>
      <c r="L77" s="1353">
        <f t="shared" si="26"/>
        <v>0</v>
      </c>
      <c r="M77" s="1363"/>
      <c r="N77" s="1363"/>
      <c r="O77" s="1363"/>
      <c r="P77" s="1387"/>
      <c r="Q77" s="1387"/>
      <c r="R77" s="1387"/>
      <c r="S77" s="1387"/>
      <c r="T77" s="1387"/>
      <c r="U77" s="1387"/>
      <c r="V77" s="1320"/>
      <c r="W77" s="1320"/>
    </row>
    <row r="78" spans="1:23">
      <c r="A78" s="1327"/>
      <c r="B78" s="1351">
        <v>65</v>
      </c>
      <c r="C78" s="1304">
        <v>1136</v>
      </c>
      <c r="D78" s="1352">
        <v>18.05</v>
      </c>
      <c r="E78" s="1304">
        <v>186557</v>
      </c>
      <c r="F78" s="1307">
        <f t="shared" si="24"/>
        <v>186557</v>
      </c>
      <c r="G78" s="1304"/>
      <c r="H78" s="1304"/>
      <c r="I78" s="1304"/>
      <c r="J78" s="1304">
        <f t="shared" si="25"/>
        <v>37311.4</v>
      </c>
      <c r="K78" s="1304" t="s">
        <v>1253</v>
      </c>
      <c r="L78" s="1353">
        <f t="shared" si="26"/>
        <v>0</v>
      </c>
      <c r="M78" s="1363"/>
      <c r="N78" s="1363"/>
      <c r="O78" s="1363"/>
      <c r="P78" s="1387"/>
      <c r="Q78" s="1387"/>
      <c r="R78" s="1387"/>
      <c r="S78" s="1387"/>
      <c r="T78" s="1387"/>
      <c r="U78" s="1387"/>
      <c r="V78" s="1320"/>
      <c r="W78" s="1320"/>
    </row>
    <row r="79" spans="1:23">
      <c r="A79" s="1327"/>
      <c r="B79" s="1351">
        <v>66</v>
      </c>
      <c r="C79" s="1304">
        <v>19</v>
      </c>
      <c r="D79" s="1352">
        <v>20.05</v>
      </c>
      <c r="E79" s="1304">
        <v>226415</v>
      </c>
      <c r="F79" s="1307">
        <f t="shared" si="24"/>
        <v>226415</v>
      </c>
      <c r="G79" s="1304"/>
      <c r="H79" s="1304"/>
      <c r="I79" s="1304"/>
      <c r="J79" s="1304">
        <f t="shared" si="25"/>
        <v>45283</v>
      </c>
      <c r="K79" s="1304" t="s">
        <v>1235</v>
      </c>
      <c r="L79" s="1353">
        <f t="shared" si="26"/>
        <v>0</v>
      </c>
      <c r="M79" s="1363"/>
      <c r="N79" s="1363"/>
      <c r="O79" s="1363"/>
      <c r="P79" s="1387"/>
      <c r="Q79" s="1387"/>
      <c r="R79" s="1387"/>
      <c r="S79" s="1387"/>
      <c r="T79" s="1387"/>
      <c r="U79" s="1387"/>
      <c r="V79" s="1320"/>
      <c r="W79" s="1320"/>
    </row>
    <row r="80" spans="1:23">
      <c r="A80" s="1327"/>
      <c r="B80" s="1351">
        <v>67</v>
      </c>
      <c r="C80" s="1304">
        <v>34</v>
      </c>
      <c r="D80" s="1352">
        <v>30.05</v>
      </c>
      <c r="E80" s="1304">
        <v>1004000</v>
      </c>
      <c r="F80" s="1307">
        <f t="shared" si="24"/>
        <v>1004000</v>
      </c>
      <c r="G80" s="1304"/>
      <c r="H80" s="1304"/>
      <c r="I80" s="1304"/>
      <c r="J80" s="1304">
        <f t="shared" si="25"/>
        <v>200800</v>
      </c>
      <c r="K80" s="1304" t="s">
        <v>1285</v>
      </c>
      <c r="L80" s="1353">
        <f t="shared" si="26"/>
        <v>0</v>
      </c>
      <c r="M80" s="1363"/>
      <c r="N80" s="1363"/>
      <c r="O80" s="1363"/>
      <c r="P80" s="1387"/>
      <c r="Q80" s="1387"/>
      <c r="R80" s="1387"/>
      <c r="S80" s="1387"/>
      <c r="T80" s="1387"/>
      <c r="U80" s="1387"/>
      <c r="V80" s="1320"/>
      <c r="W80" s="1320"/>
    </row>
    <row r="81" spans="1:23">
      <c r="A81" s="1327"/>
      <c r="B81" s="1351">
        <v>68</v>
      </c>
      <c r="C81" s="1304">
        <v>32</v>
      </c>
      <c r="D81" s="1352">
        <v>30.05</v>
      </c>
      <c r="E81" s="1304">
        <v>105300</v>
      </c>
      <c r="F81" s="1307">
        <f t="shared" si="24"/>
        <v>105300</v>
      </c>
      <c r="G81" s="1304"/>
      <c r="H81" s="1304"/>
      <c r="I81" s="1304"/>
      <c r="J81" s="1304">
        <f t="shared" si="25"/>
        <v>21060</v>
      </c>
      <c r="K81" s="1304" t="s">
        <v>1228</v>
      </c>
      <c r="L81" s="1353">
        <f t="shared" si="26"/>
        <v>0</v>
      </c>
      <c r="M81" s="1363"/>
      <c r="N81" s="1363"/>
      <c r="O81" s="1363"/>
      <c r="P81" s="1387"/>
      <c r="Q81" s="1387"/>
      <c r="R81" s="1387"/>
      <c r="S81" s="1387"/>
      <c r="T81" s="1387"/>
      <c r="U81" s="1387"/>
      <c r="V81" s="1320"/>
      <c r="W81" s="1320"/>
    </row>
    <row r="82" spans="1:23">
      <c r="A82" s="1327"/>
      <c r="B82" s="1351">
        <v>69</v>
      </c>
      <c r="C82" s="1304">
        <v>110</v>
      </c>
      <c r="D82" s="1352">
        <v>31.05</v>
      </c>
      <c r="E82" s="1304">
        <v>166656</v>
      </c>
      <c r="F82" s="1307">
        <f t="shared" si="24"/>
        <v>166656</v>
      </c>
      <c r="G82" s="1304"/>
      <c r="H82" s="1304"/>
      <c r="I82" s="1304"/>
      <c r="J82" s="1304">
        <f t="shared" si="25"/>
        <v>33331.200000000004</v>
      </c>
      <c r="K82" s="1304" t="s">
        <v>965</v>
      </c>
      <c r="L82" s="1353">
        <f t="shared" si="26"/>
        <v>0</v>
      </c>
      <c r="M82" s="1365"/>
      <c r="N82" s="1363"/>
      <c r="O82" s="1363"/>
      <c r="P82" s="1363"/>
      <c r="Q82" s="1363"/>
      <c r="R82" s="1363"/>
      <c r="S82" s="1363"/>
      <c r="T82" s="1363"/>
      <c r="U82" s="1363"/>
      <c r="V82" s="1320"/>
      <c r="W82" s="1320"/>
    </row>
    <row r="83" spans="1:23">
      <c r="A83" s="1327"/>
      <c r="B83" s="1351">
        <v>70</v>
      </c>
      <c r="C83" s="1304">
        <v>111</v>
      </c>
      <c r="D83" s="1352">
        <v>31.05</v>
      </c>
      <c r="E83" s="1304">
        <v>166658</v>
      </c>
      <c r="F83" s="1307">
        <f t="shared" si="24"/>
        <v>166658</v>
      </c>
      <c r="G83" s="1304"/>
      <c r="H83" s="1304"/>
      <c r="I83" s="1304"/>
      <c r="J83" s="1304">
        <f t="shared" si="25"/>
        <v>33331.599999999999</v>
      </c>
      <c r="K83" s="1304" t="s">
        <v>965</v>
      </c>
      <c r="L83" s="1353">
        <f t="shared" si="26"/>
        <v>0</v>
      </c>
      <c r="M83" s="1363"/>
      <c r="N83" s="1363"/>
      <c r="O83" s="1363"/>
      <c r="P83" s="1363"/>
      <c r="Q83" s="1363"/>
      <c r="R83" s="1363"/>
      <c r="S83" s="1363"/>
      <c r="T83" s="1363"/>
      <c r="U83" s="1363"/>
      <c r="V83" s="1320"/>
      <c r="W83" s="1320"/>
    </row>
    <row r="84" spans="1:23">
      <c r="A84" s="1327"/>
      <c r="B84" s="1351">
        <v>71</v>
      </c>
      <c r="C84" s="1304">
        <v>112</v>
      </c>
      <c r="D84" s="1352">
        <v>31.05</v>
      </c>
      <c r="E84" s="1304">
        <v>115248</v>
      </c>
      <c r="F84" s="1307">
        <f t="shared" si="24"/>
        <v>115248</v>
      </c>
      <c r="G84" s="1304"/>
      <c r="H84" s="1304"/>
      <c r="I84" s="1304"/>
      <c r="J84" s="1304">
        <f t="shared" si="25"/>
        <v>23049.600000000002</v>
      </c>
      <c r="K84" s="1304" t="s">
        <v>965</v>
      </c>
      <c r="L84" s="1353">
        <f t="shared" si="26"/>
        <v>0</v>
      </c>
      <c r="M84" s="1363"/>
      <c r="N84" s="1363"/>
      <c r="O84" s="1363"/>
      <c r="P84" s="1363"/>
      <c r="Q84" s="1363"/>
      <c r="R84" s="1363"/>
      <c r="S84" s="1363"/>
      <c r="T84" s="1363"/>
      <c r="U84" s="1363"/>
      <c r="V84" s="1320"/>
      <c r="W84" s="1320"/>
    </row>
    <row r="85" spans="1:23">
      <c r="A85" s="1327"/>
      <c r="B85" s="1351">
        <v>72</v>
      </c>
      <c r="C85" s="1304">
        <v>48</v>
      </c>
      <c r="D85" s="1352">
        <v>1.05</v>
      </c>
      <c r="E85" s="1304">
        <v>62500</v>
      </c>
      <c r="F85" s="1307">
        <f t="shared" si="24"/>
        <v>62500</v>
      </c>
      <c r="G85" s="1304"/>
      <c r="H85" s="1304"/>
      <c r="I85" s="1304"/>
      <c r="J85" s="1304">
        <f t="shared" si="25"/>
        <v>12500</v>
      </c>
      <c r="K85" s="1304" t="s">
        <v>1286</v>
      </c>
      <c r="L85" s="1353">
        <f t="shared" si="26"/>
        <v>0</v>
      </c>
      <c r="M85" s="1363"/>
      <c r="N85" s="1363"/>
      <c r="O85" s="1363"/>
      <c r="P85" s="1363"/>
      <c r="Q85" s="1363"/>
      <c r="R85" s="1363"/>
      <c r="S85" s="1363"/>
      <c r="T85" s="1363"/>
      <c r="U85" s="1363"/>
      <c r="V85" s="1320"/>
      <c r="W85" s="1320"/>
    </row>
    <row r="86" spans="1:23">
      <c r="A86" s="1327"/>
      <c r="B86" s="1351">
        <v>73</v>
      </c>
      <c r="C86" s="1304">
        <v>102</v>
      </c>
      <c r="D86" s="1352">
        <v>2.0499999999999998</v>
      </c>
      <c r="E86" s="1304">
        <v>58333</v>
      </c>
      <c r="F86" s="1307">
        <f t="shared" si="24"/>
        <v>58333</v>
      </c>
      <c r="G86" s="1304"/>
      <c r="H86" s="1304"/>
      <c r="I86" s="1304"/>
      <c r="J86" s="1304">
        <f t="shared" si="25"/>
        <v>11666.6</v>
      </c>
      <c r="K86" s="1304" t="s">
        <v>1287</v>
      </c>
      <c r="L86" s="1353">
        <f t="shared" si="26"/>
        <v>0</v>
      </c>
      <c r="M86" s="1363"/>
      <c r="N86" s="1363"/>
      <c r="O86" s="1363"/>
      <c r="P86" s="1363"/>
      <c r="Q86" s="1363"/>
      <c r="R86" s="1363"/>
      <c r="S86" s="1363"/>
      <c r="T86" s="1363"/>
      <c r="U86" s="1363"/>
      <c r="V86" s="1320"/>
      <c r="W86" s="1320"/>
    </row>
    <row r="87" spans="1:23">
      <c r="A87" s="1327"/>
      <c r="B87" s="1351">
        <v>74</v>
      </c>
      <c r="C87" s="1304">
        <v>199</v>
      </c>
      <c r="D87" s="1352">
        <v>30.04</v>
      </c>
      <c r="E87" s="1304">
        <v>138573</v>
      </c>
      <c r="F87" s="1307">
        <f t="shared" si="24"/>
        <v>138573</v>
      </c>
      <c r="G87" s="1304"/>
      <c r="H87" s="1304"/>
      <c r="I87" s="1304"/>
      <c r="J87" s="1304">
        <f t="shared" si="25"/>
        <v>27714.600000000002</v>
      </c>
      <c r="K87" s="1304" t="s">
        <v>1251</v>
      </c>
      <c r="L87" s="1353">
        <f t="shared" si="26"/>
        <v>0</v>
      </c>
      <c r="M87" s="1363"/>
      <c r="N87" s="1363"/>
      <c r="O87" s="1363"/>
      <c r="P87" s="1363"/>
      <c r="Q87" s="1363"/>
      <c r="R87" s="1363"/>
      <c r="S87" s="1363"/>
      <c r="T87" s="1363"/>
      <c r="U87" s="1363"/>
      <c r="V87" s="1320"/>
      <c r="W87" s="1320"/>
    </row>
    <row r="88" spans="1:23">
      <c r="A88" s="1327"/>
      <c r="B88" s="1351">
        <v>75</v>
      </c>
      <c r="C88" s="1304">
        <v>33110</v>
      </c>
      <c r="D88" s="1352">
        <v>2.0499999999999998</v>
      </c>
      <c r="E88" s="1304">
        <v>138694</v>
      </c>
      <c r="F88" s="1307">
        <f t="shared" si="24"/>
        <v>138694</v>
      </c>
      <c r="G88" s="1304"/>
      <c r="H88" s="1304"/>
      <c r="I88" s="1304"/>
      <c r="J88" s="1304">
        <f t="shared" si="25"/>
        <v>27738.800000000003</v>
      </c>
      <c r="K88" s="1304" t="s">
        <v>965</v>
      </c>
      <c r="L88" s="1353">
        <f t="shared" si="26"/>
        <v>0</v>
      </c>
      <c r="M88" s="1363"/>
      <c r="N88" s="1363"/>
      <c r="O88" s="1363"/>
      <c r="P88" s="1363"/>
      <c r="Q88" s="1363"/>
      <c r="R88" s="1363"/>
      <c r="S88" s="1363"/>
      <c r="T88" s="1363"/>
      <c r="U88" s="1363"/>
      <c r="V88" s="1320"/>
      <c r="W88" s="1320"/>
    </row>
    <row r="89" spans="1:23">
      <c r="A89" s="1327"/>
      <c r="B89" s="1351">
        <v>76</v>
      </c>
      <c r="C89" s="1304">
        <v>33111</v>
      </c>
      <c r="D89" s="1352">
        <v>2.0499999999999998</v>
      </c>
      <c r="E89" s="1304">
        <v>149363</v>
      </c>
      <c r="F89" s="1307">
        <f t="shared" si="24"/>
        <v>149363</v>
      </c>
      <c r="G89" s="1304"/>
      <c r="H89" s="1304"/>
      <c r="I89" s="1304"/>
      <c r="J89" s="1304">
        <f t="shared" si="25"/>
        <v>29872.600000000002</v>
      </c>
      <c r="K89" s="1304" t="s">
        <v>965</v>
      </c>
      <c r="L89" s="1353">
        <f t="shared" si="26"/>
        <v>0</v>
      </c>
      <c r="M89" s="1363"/>
      <c r="N89" s="1363"/>
      <c r="O89" s="1363"/>
      <c r="P89" s="1363"/>
      <c r="Q89" s="1363"/>
      <c r="R89" s="1363"/>
      <c r="S89" s="1363"/>
      <c r="T89" s="1363"/>
      <c r="U89" s="1363"/>
      <c r="V89" s="1320"/>
      <c r="W89" s="1320"/>
    </row>
    <row r="90" spans="1:23">
      <c r="A90" s="1327"/>
      <c r="B90" s="1351">
        <v>77</v>
      </c>
      <c r="C90" s="1304">
        <v>33112</v>
      </c>
      <c r="D90" s="1352">
        <v>2.0499999999999998</v>
      </c>
      <c r="E90" s="1304">
        <v>133360</v>
      </c>
      <c r="F90" s="1307">
        <f t="shared" si="24"/>
        <v>133360</v>
      </c>
      <c r="G90" s="1304"/>
      <c r="H90" s="1304"/>
      <c r="I90" s="1304"/>
      <c r="J90" s="1304">
        <f t="shared" si="25"/>
        <v>26672</v>
      </c>
      <c r="K90" s="1304" t="s">
        <v>965</v>
      </c>
      <c r="L90" s="1353">
        <f t="shared" si="26"/>
        <v>0</v>
      </c>
      <c r="M90" s="1363"/>
      <c r="N90" s="1363"/>
      <c r="O90" s="1363"/>
      <c r="P90" s="1363"/>
      <c r="Q90" s="1363"/>
      <c r="R90" s="1363"/>
      <c r="S90" s="1363"/>
      <c r="T90" s="1363"/>
      <c r="U90" s="1363"/>
      <c r="V90" s="1320"/>
      <c r="W90" s="1320"/>
    </row>
    <row r="91" spans="1:23">
      <c r="A91" s="1327"/>
      <c r="B91" s="1351">
        <v>78</v>
      </c>
      <c r="C91" s="1304">
        <v>33114</v>
      </c>
      <c r="D91" s="1352">
        <v>2.0499999999999998</v>
      </c>
      <c r="E91" s="1304">
        <v>128026</v>
      </c>
      <c r="F91" s="1307">
        <f t="shared" si="24"/>
        <v>128026</v>
      </c>
      <c r="G91" s="1304"/>
      <c r="H91" s="1304"/>
      <c r="I91" s="1304"/>
      <c r="J91" s="1304">
        <f t="shared" si="25"/>
        <v>25605.200000000001</v>
      </c>
      <c r="K91" s="1304" t="s">
        <v>965</v>
      </c>
      <c r="L91" s="1353">
        <f t="shared" si="26"/>
        <v>0</v>
      </c>
      <c r="M91" s="1363"/>
      <c r="N91" s="1363"/>
      <c r="O91" s="1363"/>
      <c r="P91" s="1363"/>
      <c r="Q91" s="1363"/>
      <c r="R91" s="1363"/>
      <c r="S91" s="1363"/>
      <c r="T91" s="1363"/>
      <c r="U91" s="1363"/>
      <c r="V91" s="1320"/>
      <c r="W91" s="1320"/>
    </row>
    <row r="92" spans="1:23">
      <c r="A92" s="1327"/>
      <c r="B92" s="1351">
        <v>79</v>
      </c>
      <c r="C92" s="1304">
        <v>33124</v>
      </c>
      <c r="D92" s="1352">
        <v>3.05</v>
      </c>
      <c r="E92" s="1304">
        <v>128026</v>
      </c>
      <c r="F92" s="1307">
        <f t="shared" si="24"/>
        <v>128026</v>
      </c>
      <c r="G92" s="1304"/>
      <c r="H92" s="1304"/>
      <c r="I92" s="1304"/>
      <c r="J92" s="1304">
        <f t="shared" si="25"/>
        <v>25605.200000000001</v>
      </c>
      <c r="K92" s="1304" t="s">
        <v>965</v>
      </c>
      <c r="L92" s="1353">
        <f t="shared" si="26"/>
        <v>0</v>
      </c>
      <c r="M92" s="1364"/>
      <c r="N92" s="1363"/>
      <c r="O92" s="1363"/>
      <c r="P92" s="1363"/>
      <c r="Q92" s="1363"/>
      <c r="R92" s="1363"/>
      <c r="S92" s="1363"/>
      <c r="T92" s="1363"/>
      <c r="U92" s="1363"/>
      <c r="V92" s="1320"/>
      <c r="W92" s="1320"/>
    </row>
    <row r="93" spans="1:23">
      <c r="A93" s="1327"/>
      <c r="B93" s="1351">
        <v>80</v>
      </c>
      <c r="C93" s="1304">
        <v>33125</v>
      </c>
      <c r="D93" s="1352">
        <v>3.05</v>
      </c>
      <c r="E93" s="1304">
        <v>138694</v>
      </c>
      <c r="F93" s="1307">
        <f t="shared" si="24"/>
        <v>138694</v>
      </c>
      <c r="G93" s="1304"/>
      <c r="H93" s="1304"/>
      <c r="I93" s="1304"/>
      <c r="J93" s="1304">
        <f t="shared" si="25"/>
        <v>27738.800000000003</v>
      </c>
      <c r="K93" s="1304" t="s">
        <v>965</v>
      </c>
      <c r="L93" s="1353">
        <f t="shared" si="26"/>
        <v>0</v>
      </c>
      <c r="M93" s="1363"/>
      <c r="N93" s="1363"/>
      <c r="O93" s="1363"/>
      <c r="P93" s="1363"/>
      <c r="Q93" s="1363"/>
      <c r="R93" s="1363"/>
      <c r="S93" s="1363"/>
      <c r="T93" s="1363"/>
      <c r="U93" s="1363"/>
      <c r="V93" s="1320"/>
      <c r="W93" s="1320"/>
    </row>
    <row r="94" spans="1:23">
      <c r="A94" s="1327"/>
      <c r="B94" s="1351">
        <v>81</v>
      </c>
      <c r="C94" s="1304">
        <v>33126</v>
      </c>
      <c r="D94" s="1352">
        <v>3.05</v>
      </c>
      <c r="E94" s="1304">
        <v>138694</v>
      </c>
      <c r="F94" s="1307">
        <f t="shared" si="24"/>
        <v>138694</v>
      </c>
      <c r="G94" s="1304"/>
      <c r="H94" s="1304"/>
      <c r="I94" s="1304"/>
      <c r="J94" s="1304">
        <f t="shared" si="25"/>
        <v>27738.800000000003</v>
      </c>
      <c r="K94" s="1304" t="s">
        <v>965</v>
      </c>
      <c r="L94" s="1353">
        <f t="shared" si="26"/>
        <v>0</v>
      </c>
      <c r="M94" s="1363"/>
      <c r="N94" s="1363"/>
      <c r="O94" s="1363"/>
      <c r="P94" s="1363"/>
      <c r="Q94" s="1363"/>
      <c r="R94" s="1363"/>
      <c r="S94" s="1363"/>
      <c r="T94" s="1363"/>
      <c r="U94" s="1363"/>
      <c r="V94" s="1320"/>
      <c r="W94" s="1320"/>
    </row>
    <row r="95" spans="1:23">
      <c r="A95" s="1327"/>
      <c r="B95" s="1351">
        <v>82</v>
      </c>
      <c r="C95" s="1304">
        <v>33129</v>
      </c>
      <c r="D95" s="1352">
        <v>3.05</v>
      </c>
      <c r="E95" s="1304">
        <v>138694</v>
      </c>
      <c r="F95" s="1307">
        <f t="shared" si="24"/>
        <v>138694</v>
      </c>
      <c r="G95" s="1304"/>
      <c r="H95" s="1304"/>
      <c r="I95" s="1304"/>
      <c r="J95" s="1304">
        <f t="shared" si="25"/>
        <v>27738.800000000003</v>
      </c>
      <c r="K95" s="1304" t="s">
        <v>965</v>
      </c>
      <c r="L95" s="1353">
        <f t="shared" si="26"/>
        <v>0</v>
      </c>
      <c r="M95" s="1366"/>
      <c r="N95" s="1363"/>
      <c r="O95" s="1363"/>
      <c r="P95" s="1363"/>
      <c r="Q95" s="1363"/>
      <c r="R95" s="1363"/>
      <c r="S95" s="1363"/>
      <c r="T95" s="1363"/>
      <c r="U95" s="1363"/>
      <c r="V95" s="1320"/>
      <c r="W95" s="1320"/>
    </row>
    <row r="96" spans="1:23">
      <c r="A96" s="1327"/>
      <c r="B96" s="1351">
        <v>83</v>
      </c>
      <c r="C96" s="1304">
        <v>33136</v>
      </c>
      <c r="D96" s="1352">
        <v>4.05</v>
      </c>
      <c r="E96" s="1304">
        <v>138694</v>
      </c>
      <c r="F96" s="1307">
        <f t="shared" si="24"/>
        <v>138694</v>
      </c>
      <c r="G96" s="1304"/>
      <c r="H96" s="1304"/>
      <c r="I96" s="1304"/>
      <c r="J96" s="1304">
        <f t="shared" si="25"/>
        <v>27738.800000000003</v>
      </c>
      <c r="K96" s="1304" t="s">
        <v>965</v>
      </c>
      <c r="L96" s="1353">
        <f t="shared" si="26"/>
        <v>0</v>
      </c>
      <c r="M96" s="1366"/>
      <c r="N96" s="1363"/>
      <c r="O96" s="1363"/>
      <c r="P96" s="1363"/>
      <c r="Q96" s="1363"/>
      <c r="R96" s="1363"/>
      <c r="S96" s="1363"/>
      <c r="T96" s="1363"/>
      <c r="U96" s="1363"/>
      <c r="V96" s="1320"/>
      <c r="W96" s="1320"/>
    </row>
    <row r="97" spans="1:23">
      <c r="A97" s="1327"/>
      <c r="B97" s="1351">
        <v>84</v>
      </c>
      <c r="C97" s="1304">
        <v>33137</v>
      </c>
      <c r="D97" s="1352">
        <v>4.05</v>
      </c>
      <c r="E97" s="1304">
        <v>128026</v>
      </c>
      <c r="F97" s="1307">
        <f t="shared" si="24"/>
        <v>128026</v>
      </c>
      <c r="G97" s="1304"/>
      <c r="H97" s="1304"/>
      <c r="I97" s="1304"/>
      <c r="J97" s="1304">
        <f t="shared" si="25"/>
        <v>25605.200000000001</v>
      </c>
      <c r="K97" s="1304" t="s">
        <v>965</v>
      </c>
      <c r="L97" s="1353">
        <f t="shared" si="26"/>
        <v>0</v>
      </c>
      <c r="M97" s="1363"/>
      <c r="N97" s="1363"/>
      <c r="O97" s="1363"/>
      <c r="P97" s="1363"/>
      <c r="Q97" s="1363"/>
      <c r="R97" s="1363"/>
      <c r="S97" s="1363"/>
      <c r="T97" s="1363"/>
      <c r="U97" s="1363"/>
      <c r="V97" s="1320"/>
      <c r="W97" s="1320"/>
    </row>
    <row r="98" spans="1:23">
      <c r="A98" s="1327"/>
      <c r="B98" s="1351">
        <v>85</v>
      </c>
      <c r="C98" s="1304">
        <v>33138</v>
      </c>
      <c r="D98" s="1352">
        <v>4.05</v>
      </c>
      <c r="E98" s="1304">
        <v>138694</v>
      </c>
      <c r="F98" s="1307">
        <f t="shared" si="24"/>
        <v>138694</v>
      </c>
      <c r="G98" s="1304"/>
      <c r="H98" s="1304"/>
      <c r="I98" s="1304"/>
      <c r="J98" s="1304">
        <f t="shared" si="25"/>
        <v>27738.800000000003</v>
      </c>
      <c r="K98" s="1304" t="s">
        <v>965</v>
      </c>
      <c r="L98" s="1353">
        <f t="shared" si="26"/>
        <v>0</v>
      </c>
      <c r="M98" s="1363"/>
      <c r="N98" s="1363"/>
      <c r="O98" s="1363"/>
      <c r="P98" s="1363"/>
      <c r="Q98" s="1363"/>
      <c r="R98" s="1363"/>
      <c r="S98" s="1363"/>
      <c r="T98" s="1363"/>
      <c r="U98" s="1363"/>
      <c r="V98" s="1320"/>
      <c r="W98" s="1320"/>
    </row>
    <row r="99" spans="1:23">
      <c r="A99" s="1327"/>
      <c r="B99" s="1351">
        <v>86</v>
      </c>
      <c r="C99" s="1304">
        <v>33142</v>
      </c>
      <c r="D99" s="1352">
        <v>4.05</v>
      </c>
      <c r="E99" s="1304">
        <v>138694</v>
      </c>
      <c r="F99" s="1307">
        <f t="shared" si="24"/>
        <v>138694</v>
      </c>
      <c r="G99" s="1304"/>
      <c r="H99" s="1304"/>
      <c r="I99" s="1304"/>
      <c r="J99" s="1304">
        <f t="shared" si="25"/>
        <v>27738.800000000003</v>
      </c>
      <c r="K99" s="1304" t="s">
        <v>965</v>
      </c>
      <c r="L99" s="1353">
        <f t="shared" si="26"/>
        <v>0</v>
      </c>
      <c r="M99" s="1363"/>
      <c r="N99" s="1363"/>
      <c r="O99" s="1363"/>
      <c r="P99" s="1363"/>
      <c r="Q99" s="1363"/>
      <c r="R99" s="1363"/>
      <c r="S99" s="1363"/>
      <c r="T99" s="1363"/>
      <c r="U99" s="1363"/>
      <c r="V99" s="1320"/>
      <c r="W99" s="1320"/>
    </row>
    <row r="100" spans="1:23">
      <c r="A100" s="1327"/>
      <c r="B100" s="1351">
        <v>87</v>
      </c>
      <c r="C100" s="1304">
        <v>33165</v>
      </c>
      <c r="D100" s="1352">
        <v>5.05</v>
      </c>
      <c r="E100" s="1304">
        <v>138694</v>
      </c>
      <c r="F100" s="1307">
        <f t="shared" si="24"/>
        <v>138694</v>
      </c>
      <c r="G100" s="1304"/>
      <c r="H100" s="1304"/>
      <c r="I100" s="1304"/>
      <c r="J100" s="1304">
        <f t="shared" si="25"/>
        <v>27738.800000000003</v>
      </c>
      <c r="K100" s="1304" t="s">
        <v>965</v>
      </c>
      <c r="L100" s="1353">
        <f t="shared" si="26"/>
        <v>0</v>
      </c>
      <c r="M100" s="1363"/>
      <c r="N100" s="1363"/>
      <c r="O100" s="1363"/>
      <c r="P100" s="1363"/>
      <c r="Q100" s="1363"/>
      <c r="R100" s="1363"/>
      <c r="S100" s="1363"/>
      <c r="T100" s="1363"/>
      <c r="U100" s="1363"/>
      <c r="V100" s="1320"/>
      <c r="W100" s="1320"/>
    </row>
    <row r="101" spans="1:23">
      <c r="A101" s="1327"/>
      <c r="B101" s="1351">
        <v>88</v>
      </c>
      <c r="C101" s="1304">
        <v>33166</v>
      </c>
      <c r="D101" s="1352">
        <v>5.05</v>
      </c>
      <c r="E101" s="1304">
        <v>138694</v>
      </c>
      <c r="F101" s="1307">
        <f t="shared" si="24"/>
        <v>138694</v>
      </c>
      <c r="G101" s="1304"/>
      <c r="H101" s="1304"/>
      <c r="I101" s="1304"/>
      <c r="J101" s="1304">
        <f t="shared" si="25"/>
        <v>27738.800000000003</v>
      </c>
      <c r="K101" s="1304" t="s">
        <v>965</v>
      </c>
      <c r="L101" s="1353">
        <f t="shared" si="26"/>
        <v>0</v>
      </c>
      <c r="M101" s="1363"/>
      <c r="N101" s="1363"/>
      <c r="O101" s="1363"/>
      <c r="P101" s="1363"/>
      <c r="Q101" s="1363"/>
      <c r="R101" s="1363"/>
      <c r="S101" s="1363"/>
      <c r="T101" s="1363"/>
      <c r="U101" s="1363"/>
      <c r="V101" s="1320"/>
      <c r="W101" s="1320"/>
    </row>
    <row r="102" spans="1:23">
      <c r="A102" s="1327"/>
      <c r="B102" s="1351">
        <v>89</v>
      </c>
      <c r="C102" s="1304">
        <v>33194</v>
      </c>
      <c r="D102" s="1352">
        <v>9.0500000000000007</v>
      </c>
      <c r="E102" s="1304">
        <v>133360</v>
      </c>
      <c r="F102" s="1307">
        <f t="shared" si="24"/>
        <v>133360</v>
      </c>
      <c r="G102" s="1304"/>
      <c r="H102" s="1304"/>
      <c r="I102" s="1304"/>
      <c r="J102" s="1304">
        <f t="shared" si="25"/>
        <v>26672</v>
      </c>
      <c r="K102" s="1304" t="s">
        <v>965</v>
      </c>
      <c r="L102" s="1353">
        <f t="shared" si="26"/>
        <v>0</v>
      </c>
      <c r="M102" s="1363"/>
      <c r="N102" s="1363"/>
      <c r="O102" s="1363"/>
      <c r="P102" s="1363"/>
      <c r="Q102" s="1363"/>
      <c r="R102" s="1363"/>
      <c r="S102" s="1363"/>
      <c r="T102" s="1363"/>
      <c r="U102" s="1363"/>
      <c r="V102" s="1320"/>
      <c r="W102" s="1320"/>
    </row>
    <row r="103" spans="1:23">
      <c r="A103" s="1327"/>
      <c r="B103" s="1351">
        <v>90</v>
      </c>
      <c r="C103" s="1304">
        <v>33205</v>
      </c>
      <c r="D103" s="1352">
        <v>9.0500000000000007</v>
      </c>
      <c r="E103" s="1304">
        <v>138694</v>
      </c>
      <c r="F103" s="1307">
        <f t="shared" si="24"/>
        <v>138694</v>
      </c>
      <c r="G103" s="1304"/>
      <c r="H103" s="1304"/>
      <c r="I103" s="1304"/>
      <c r="J103" s="1304">
        <f t="shared" si="25"/>
        <v>27738.800000000003</v>
      </c>
      <c r="K103" s="1304" t="s">
        <v>965</v>
      </c>
      <c r="L103" s="1353">
        <f t="shared" si="26"/>
        <v>0</v>
      </c>
      <c r="M103" s="1363"/>
      <c r="N103" s="1363"/>
      <c r="O103" s="1363"/>
      <c r="P103" s="1363"/>
      <c r="Q103" s="1363"/>
      <c r="R103" s="1363"/>
      <c r="S103" s="1363"/>
      <c r="T103" s="1363"/>
      <c r="U103" s="1363"/>
      <c r="V103" s="1320"/>
      <c r="W103" s="1320"/>
    </row>
    <row r="104" spans="1:23">
      <c r="A104" s="1327"/>
      <c r="B104" s="1351">
        <v>91</v>
      </c>
      <c r="C104" s="1304">
        <v>33209</v>
      </c>
      <c r="D104" s="1352">
        <v>10.050000000000001</v>
      </c>
      <c r="E104" s="1304">
        <v>128026</v>
      </c>
      <c r="F104" s="1307">
        <f t="shared" si="24"/>
        <v>128026</v>
      </c>
      <c r="G104" s="1304"/>
      <c r="H104" s="1304"/>
      <c r="I104" s="1304"/>
      <c r="J104" s="1304">
        <f t="shared" si="25"/>
        <v>25605.200000000001</v>
      </c>
      <c r="K104" s="1304" t="s">
        <v>965</v>
      </c>
      <c r="L104" s="1353">
        <f t="shared" si="26"/>
        <v>0</v>
      </c>
      <c r="M104" s="1363"/>
      <c r="N104" s="1363"/>
      <c r="O104" s="1363"/>
      <c r="P104" s="1363"/>
      <c r="Q104" s="1363"/>
      <c r="R104" s="1363"/>
      <c r="S104" s="1363"/>
      <c r="T104" s="1363"/>
      <c r="U104" s="1363"/>
      <c r="V104" s="1320"/>
      <c r="W104" s="1320"/>
    </row>
    <row r="105" spans="1:23">
      <c r="A105" s="1327"/>
      <c r="B105" s="1351">
        <v>92</v>
      </c>
      <c r="C105" s="1304">
        <v>33207</v>
      </c>
      <c r="D105" s="1352">
        <v>10.050000000000001</v>
      </c>
      <c r="E105" s="1304">
        <v>138694</v>
      </c>
      <c r="F105" s="1307">
        <f t="shared" si="24"/>
        <v>138694</v>
      </c>
      <c r="G105" s="1304"/>
      <c r="H105" s="1304"/>
      <c r="I105" s="1304"/>
      <c r="J105" s="1304">
        <f t="shared" si="25"/>
        <v>27738.800000000003</v>
      </c>
      <c r="K105" s="1304" t="s">
        <v>965</v>
      </c>
      <c r="L105" s="1353">
        <f t="shared" si="26"/>
        <v>0</v>
      </c>
      <c r="M105" s="1363"/>
      <c r="N105" s="1363"/>
      <c r="O105" s="1363"/>
      <c r="P105" s="1363"/>
      <c r="Q105" s="1363"/>
      <c r="R105" s="1363"/>
      <c r="S105" s="1363"/>
      <c r="T105" s="1363"/>
      <c r="U105" s="1363"/>
      <c r="V105" s="1320"/>
      <c r="W105" s="1320"/>
    </row>
    <row r="106" spans="1:23">
      <c r="A106" s="1327"/>
      <c r="B106" s="1351">
        <v>93</v>
      </c>
      <c r="C106" s="1304">
        <v>33224</v>
      </c>
      <c r="D106" s="1352">
        <v>11.05</v>
      </c>
      <c r="E106" s="1304">
        <v>138694</v>
      </c>
      <c r="F106" s="1307">
        <f t="shared" si="24"/>
        <v>138694</v>
      </c>
      <c r="G106" s="1304"/>
      <c r="H106" s="1304"/>
      <c r="I106" s="1304"/>
      <c r="J106" s="1304">
        <f t="shared" si="25"/>
        <v>27738.800000000003</v>
      </c>
      <c r="K106" s="1304" t="s">
        <v>965</v>
      </c>
      <c r="L106" s="1353">
        <f t="shared" si="26"/>
        <v>0</v>
      </c>
      <c r="M106" s="1363"/>
      <c r="N106" s="1363"/>
      <c r="O106" s="1363"/>
      <c r="P106" s="1363"/>
      <c r="Q106" s="1363"/>
      <c r="R106" s="1363"/>
      <c r="S106" s="1363"/>
      <c r="T106" s="1363"/>
      <c r="U106" s="1363"/>
      <c r="V106" s="1320"/>
      <c r="W106" s="1320"/>
    </row>
    <row r="107" spans="1:23">
      <c r="A107" s="1327"/>
      <c r="B107" s="1351">
        <v>94</v>
      </c>
      <c r="C107" s="1304">
        <v>33225</v>
      </c>
      <c r="D107" s="1352">
        <v>11.05</v>
      </c>
      <c r="E107" s="1304">
        <v>138694</v>
      </c>
      <c r="F107" s="1307">
        <f t="shared" si="24"/>
        <v>138694</v>
      </c>
      <c r="G107" s="1304"/>
      <c r="H107" s="1304"/>
      <c r="I107" s="1304"/>
      <c r="J107" s="1304">
        <f t="shared" si="25"/>
        <v>27738.800000000003</v>
      </c>
      <c r="K107" s="1304" t="s">
        <v>965</v>
      </c>
      <c r="L107" s="1353">
        <f t="shared" si="26"/>
        <v>0</v>
      </c>
      <c r="M107" s="1363"/>
      <c r="N107" s="1363"/>
      <c r="O107" s="1363"/>
      <c r="P107" s="1363"/>
      <c r="Q107" s="1363"/>
      <c r="R107" s="1363"/>
      <c r="S107" s="1363"/>
      <c r="T107" s="1363"/>
      <c r="U107" s="1363"/>
      <c r="V107" s="1320"/>
      <c r="W107" s="1320"/>
    </row>
    <row r="108" spans="1:23">
      <c r="A108" s="1327"/>
      <c r="B108" s="1351">
        <v>95</v>
      </c>
      <c r="C108" s="1304">
        <v>33234</v>
      </c>
      <c r="D108" s="1352">
        <v>12.05</v>
      </c>
      <c r="E108" s="1304">
        <v>138694</v>
      </c>
      <c r="F108" s="1307">
        <f t="shared" si="24"/>
        <v>138694</v>
      </c>
      <c r="G108" s="1304"/>
      <c r="H108" s="1304"/>
      <c r="I108" s="1304"/>
      <c r="J108" s="1304">
        <f t="shared" si="25"/>
        <v>27738.800000000003</v>
      </c>
      <c r="K108" s="1304" t="s">
        <v>965</v>
      </c>
      <c r="L108" s="1353">
        <f t="shared" si="26"/>
        <v>0</v>
      </c>
      <c r="M108" s="1363"/>
      <c r="N108" s="1363"/>
      <c r="O108" s="1363"/>
      <c r="P108" s="1363"/>
      <c r="Q108" s="1363"/>
      <c r="R108" s="1363"/>
      <c r="S108" s="1363"/>
      <c r="T108" s="1363"/>
      <c r="U108" s="1363"/>
      <c r="V108" s="1320"/>
      <c r="W108" s="1320"/>
    </row>
    <row r="109" spans="1:23">
      <c r="A109" s="1327"/>
      <c r="B109" s="1351">
        <v>96</v>
      </c>
      <c r="C109" s="1304">
        <v>33235</v>
      </c>
      <c r="D109" s="1352">
        <v>12.05</v>
      </c>
      <c r="E109" s="1304">
        <v>138694</v>
      </c>
      <c r="F109" s="1307">
        <f t="shared" si="24"/>
        <v>138694</v>
      </c>
      <c r="G109" s="1304"/>
      <c r="H109" s="1304"/>
      <c r="I109" s="1304"/>
      <c r="J109" s="1304">
        <f t="shared" si="25"/>
        <v>27738.800000000003</v>
      </c>
      <c r="K109" s="1304" t="s">
        <v>965</v>
      </c>
      <c r="L109" s="1353">
        <f t="shared" si="26"/>
        <v>0</v>
      </c>
      <c r="M109" s="1363"/>
      <c r="N109" s="1363"/>
      <c r="O109" s="1363"/>
      <c r="P109" s="1363"/>
      <c r="Q109" s="1363"/>
      <c r="R109" s="1363"/>
      <c r="S109" s="1363"/>
      <c r="T109" s="1363"/>
      <c r="U109" s="1363"/>
      <c r="V109" s="1320"/>
      <c r="W109" s="1320"/>
    </row>
    <row r="110" spans="1:23">
      <c r="A110" s="1327"/>
      <c r="B110" s="1351">
        <v>97</v>
      </c>
      <c r="C110" s="1304">
        <v>33300</v>
      </c>
      <c r="D110" s="1352">
        <v>17.05</v>
      </c>
      <c r="E110" s="1304">
        <v>138694</v>
      </c>
      <c r="F110" s="1307">
        <f t="shared" si="24"/>
        <v>138694</v>
      </c>
      <c r="G110" s="1304"/>
      <c r="H110" s="1304"/>
      <c r="I110" s="1304"/>
      <c r="J110" s="1304">
        <f t="shared" si="25"/>
        <v>27738.800000000003</v>
      </c>
      <c r="K110" s="1304" t="s">
        <v>965</v>
      </c>
      <c r="L110" s="1353">
        <f t="shared" si="26"/>
        <v>0</v>
      </c>
      <c r="M110" s="1363"/>
      <c r="N110" s="1363"/>
      <c r="O110" s="1363"/>
      <c r="P110" s="1363"/>
      <c r="Q110" s="1363"/>
      <c r="R110" s="1363"/>
      <c r="S110" s="1363"/>
      <c r="T110" s="1363"/>
      <c r="U110" s="1363"/>
      <c r="V110" s="1320"/>
      <c r="W110" s="1320"/>
    </row>
    <row r="111" spans="1:23">
      <c r="A111" s="1327"/>
      <c r="B111" s="1351">
        <v>98</v>
      </c>
      <c r="C111" s="1920" t="s">
        <v>177</v>
      </c>
      <c r="D111" s="1921"/>
      <c r="E111" s="1306">
        <f>SUM(E76:E110)</f>
        <v>5651640</v>
      </c>
      <c r="F111" s="1306">
        <f t="shared" ref="F111:L111" si="27">SUM(F76:F110)</f>
        <v>5651640</v>
      </c>
      <c r="G111" s="1306">
        <f t="shared" si="27"/>
        <v>0</v>
      </c>
      <c r="H111" s="1306">
        <f t="shared" si="27"/>
        <v>0</v>
      </c>
      <c r="I111" s="1306">
        <f t="shared" si="27"/>
        <v>0</v>
      </c>
      <c r="J111" s="1306">
        <f t="shared" si="27"/>
        <v>1130328.0000000005</v>
      </c>
      <c r="K111" s="1306">
        <f t="shared" si="27"/>
        <v>0</v>
      </c>
      <c r="L111" s="1539">
        <f t="shared" si="27"/>
        <v>0</v>
      </c>
      <c r="M111" s="1363"/>
      <c r="N111" s="1363"/>
      <c r="O111" s="1363"/>
      <c r="P111" s="1363"/>
      <c r="Q111" s="1363"/>
      <c r="R111" s="1363"/>
      <c r="S111" s="1363"/>
      <c r="T111" s="1363"/>
      <c r="U111" s="1363"/>
      <c r="V111" s="1320"/>
      <c r="W111" s="1320"/>
    </row>
    <row r="112" spans="1:23">
      <c r="A112" s="1327"/>
      <c r="B112" s="1351">
        <v>99</v>
      </c>
      <c r="C112" s="1304">
        <v>372</v>
      </c>
      <c r="D112" s="1352">
        <v>1.06</v>
      </c>
      <c r="E112" s="1304">
        <v>97100</v>
      </c>
      <c r="F112" s="1307">
        <f t="shared" si="24"/>
        <v>97100</v>
      </c>
      <c r="G112" s="1304"/>
      <c r="H112" s="1304"/>
      <c r="I112" s="1304"/>
      <c r="J112" s="1304">
        <f t="shared" si="25"/>
        <v>19420</v>
      </c>
      <c r="K112" s="1304" t="s">
        <v>1261</v>
      </c>
      <c r="L112" s="1353">
        <f t="shared" si="26"/>
        <v>0</v>
      </c>
      <c r="M112" s="1363"/>
      <c r="N112" s="1363"/>
      <c r="O112" s="1363"/>
      <c r="P112" s="1363"/>
      <c r="Q112" s="1363"/>
      <c r="R112" s="1363"/>
      <c r="S112" s="1363"/>
      <c r="T112" s="1363"/>
      <c r="U112" s="1363"/>
      <c r="V112" s="1320"/>
      <c r="W112" s="1320"/>
    </row>
    <row r="113" spans="1:23">
      <c r="A113" s="1327"/>
      <c r="B113" s="1351">
        <v>100</v>
      </c>
      <c r="C113" s="1304">
        <v>169</v>
      </c>
      <c r="D113" s="1352">
        <v>2.06</v>
      </c>
      <c r="E113" s="1304">
        <v>833364</v>
      </c>
      <c r="F113" s="1307">
        <f t="shared" si="24"/>
        <v>833364</v>
      </c>
      <c r="G113" s="1304"/>
      <c r="H113" s="1304"/>
      <c r="I113" s="1304"/>
      <c r="J113" s="1304">
        <f t="shared" si="25"/>
        <v>166672.80000000002</v>
      </c>
      <c r="K113" s="1304" t="s">
        <v>1408</v>
      </c>
      <c r="L113" s="1353">
        <f t="shared" si="26"/>
        <v>0</v>
      </c>
      <c r="M113" s="1363"/>
      <c r="N113" s="1363"/>
      <c r="O113" s="1363"/>
      <c r="P113" s="1363"/>
      <c r="Q113" s="1363"/>
      <c r="R113" s="1363"/>
      <c r="S113" s="1363"/>
      <c r="T113" s="1363"/>
      <c r="U113" s="1363"/>
      <c r="V113" s="1320"/>
      <c r="W113" s="1320"/>
    </row>
    <row r="114" spans="1:23">
      <c r="A114" s="1327"/>
      <c r="B114" s="1351">
        <v>101</v>
      </c>
      <c r="C114" s="1304">
        <v>228</v>
      </c>
      <c r="D114" s="1352">
        <v>7.06</v>
      </c>
      <c r="E114" s="1304">
        <v>165000</v>
      </c>
      <c r="F114" s="1307">
        <f t="shared" si="24"/>
        <v>165000</v>
      </c>
      <c r="G114" s="1304"/>
      <c r="H114" s="1304"/>
      <c r="I114" s="1304"/>
      <c r="J114" s="1304">
        <f t="shared" si="25"/>
        <v>33000</v>
      </c>
      <c r="K114" s="1304" t="s">
        <v>1272</v>
      </c>
      <c r="L114" s="1353">
        <f t="shared" si="26"/>
        <v>0</v>
      </c>
      <c r="M114" s="1363"/>
      <c r="N114" s="1363"/>
      <c r="O114" s="1363"/>
      <c r="P114" s="1363"/>
      <c r="Q114" s="1363"/>
      <c r="R114" s="1363"/>
      <c r="S114" s="1363"/>
      <c r="T114" s="1363"/>
      <c r="U114" s="1363"/>
      <c r="V114" s="1320"/>
      <c r="W114" s="1320"/>
    </row>
    <row r="115" spans="1:23">
      <c r="A115" s="1327"/>
      <c r="B115" s="1351">
        <v>102</v>
      </c>
      <c r="C115" s="1304">
        <v>233</v>
      </c>
      <c r="D115" s="1352">
        <v>23.06</v>
      </c>
      <c r="E115" s="1304">
        <v>424600</v>
      </c>
      <c r="F115" s="1307">
        <f t="shared" si="24"/>
        <v>424600</v>
      </c>
      <c r="G115" s="1304"/>
      <c r="H115" s="1304"/>
      <c r="I115" s="1304"/>
      <c r="J115" s="1304">
        <f t="shared" si="25"/>
        <v>84920</v>
      </c>
      <c r="K115" s="1304" t="s">
        <v>1409</v>
      </c>
      <c r="L115" s="1353">
        <f t="shared" si="26"/>
        <v>0</v>
      </c>
      <c r="M115" s="1363"/>
      <c r="N115" s="1363"/>
      <c r="O115" s="1363"/>
      <c r="P115" s="1363"/>
      <c r="Q115" s="1363"/>
      <c r="R115" s="1363"/>
      <c r="S115" s="1363"/>
      <c r="T115" s="1363"/>
      <c r="U115" s="1363"/>
      <c r="V115" s="1320"/>
      <c r="W115" s="1320"/>
    </row>
    <row r="116" spans="1:23">
      <c r="A116" s="1327"/>
      <c r="B116" s="1351">
        <v>103</v>
      </c>
      <c r="C116" s="1304">
        <v>73</v>
      </c>
      <c r="D116" s="1352">
        <v>30.06</v>
      </c>
      <c r="E116" s="1304">
        <v>38332</v>
      </c>
      <c r="F116" s="1307">
        <f t="shared" si="24"/>
        <v>38332</v>
      </c>
      <c r="G116" s="1304"/>
      <c r="H116" s="1304"/>
      <c r="I116" s="1304"/>
      <c r="J116" s="1304">
        <f t="shared" si="25"/>
        <v>7666.4000000000005</v>
      </c>
      <c r="K116" s="1304" t="s">
        <v>1410</v>
      </c>
      <c r="L116" s="1353">
        <f t="shared" si="26"/>
        <v>0</v>
      </c>
      <c r="M116" s="1363"/>
      <c r="N116" s="1363"/>
      <c r="O116" s="1363"/>
      <c r="P116" s="1363"/>
      <c r="Q116" s="1363"/>
      <c r="R116" s="1363"/>
      <c r="S116" s="1363"/>
      <c r="T116" s="1363"/>
      <c r="U116" s="1363"/>
      <c r="V116" s="1320"/>
      <c r="W116" s="1320"/>
    </row>
    <row r="117" spans="1:23">
      <c r="A117" s="1327"/>
      <c r="B117" s="1351">
        <v>104</v>
      </c>
      <c r="C117" s="1304">
        <v>132</v>
      </c>
      <c r="D117" s="1352">
        <v>20.059999999999999</v>
      </c>
      <c r="E117" s="1304">
        <v>67088</v>
      </c>
      <c r="F117" s="1307">
        <f t="shared" si="24"/>
        <v>67088</v>
      </c>
      <c r="G117" s="1304"/>
      <c r="H117" s="1304"/>
      <c r="I117" s="1304"/>
      <c r="J117" s="1304">
        <f t="shared" si="25"/>
        <v>13417.6</v>
      </c>
      <c r="K117" s="1304" t="s">
        <v>1410</v>
      </c>
      <c r="L117" s="1353">
        <f t="shared" si="26"/>
        <v>0</v>
      </c>
      <c r="M117" s="1365"/>
      <c r="N117" s="1363"/>
      <c r="O117" s="1363"/>
      <c r="P117" s="1363"/>
      <c r="Q117" s="1363"/>
      <c r="R117" s="1363"/>
      <c r="S117" s="1363"/>
      <c r="T117" s="1363"/>
      <c r="U117" s="1363"/>
      <c r="V117" s="1320"/>
      <c r="W117" s="1320"/>
    </row>
    <row r="118" spans="1:23">
      <c r="A118" s="1327"/>
      <c r="B118" s="1351">
        <v>105</v>
      </c>
      <c r="C118" s="1304">
        <v>131</v>
      </c>
      <c r="D118" s="1352">
        <v>21.06</v>
      </c>
      <c r="E118" s="1304">
        <v>127400</v>
      </c>
      <c r="F118" s="1307">
        <f t="shared" si="24"/>
        <v>127400</v>
      </c>
      <c r="G118" s="1304"/>
      <c r="H118" s="1304"/>
      <c r="I118" s="1304"/>
      <c r="J118" s="1304">
        <f t="shared" si="25"/>
        <v>25480</v>
      </c>
      <c r="K118" s="1304" t="s">
        <v>965</v>
      </c>
      <c r="L118" s="1353">
        <f t="shared" si="26"/>
        <v>0</v>
      </c>
      <c r="M118" s="1363"/>
      <c r="N118" s="1363"/>
      <c r="O118" s="1363"/>
      <c r="P118" s="1363"/>
      <c r="Q118" s="1363"/>
      <c r="R118" s="1363"/>
      <c r="S118" s="1363"/>
      <c r="T118" s="1363"/>
      <c r="U118" s="1363"/>
      <c r="V118" s="1320"/>
      <c r="W118" s="1320"/>
    </row>
    <row r="119" spans="1:23">
      <c r="A119" s="1327"/>
      <c r="B119" s="1351">
        <v>106</v>
      </c>
      <c r="C119" s="1304">
        <v>132</v>
      </c>
      <c r="D119" s="1352">
        <v>21.06</v>
      </c>
      <c r="E119" s="1304">
        <v>126028</v>
      </c>
      <c r="F119" s="1307">
        <f t="shared" si="24"/>
        <v>126028</v>
      </c>
      <c r="G119" s="1304"/>
      <c r="H119" s="1304"/>
      <c r="I119" s="1304"/>
      <c r="J119" s="1304">
        <f t="shared" si="25"/>
        <v>25205.600000000002</v>
      </c>
      <c r="K119" s="1304" t="s">
        <v>965</v>
      </c>
      <c r="L119" s="1353">
        <f t="shared" si="26"/>
        <v>0</v>
      </c>
      <c r="M119" s="1363"/>
      <c r="N119" s="1363"/>
      <c r="O119" s="1363"/>
      <c r="P119" s="1363"/>
      <c r="Q119" s="1363"/>
      <c r="R119" s="1363"/>
      <c r="S119" s="1363"/>
      <c r="T119" s="1363"/>
      <c r="U119" s="1363"/>
      <c r="V119" s="1320"/>
      <c r="W119" s="1320"/>
    </row>
    <row r="120" spans="1:23">
      <c r="A120" s="1327"/>
      <c r="B120" s="1351">
        <v>107</v>
      </c>
      <c r="C120" s="1304">
        <v>230</v>
      </c>
      <c r="D120" s="1352">
        <v>30.04</v>
      </c>
      <c r="E120" s="1304">
        <v>44100</v>
      </c>
      <c r="F120" s="1307">
        <f t="shared" si="24"/>
        <v>44100</v>
      </c>
      <c r="G120" s="1304"/>
      <c r="H120" s="1304"/>
      <c r="I120" s="1304"/>
      <c r="J120" s="1304">
        <f t="shared" si="25"/>
        <v>8820</v>
      </c>
      <c r="K120" s="1304" t="s">
        <v>1254</v>
      </c>
      <c r="L120" s="1353">
        <f t="shared" si="26"/>
        <v>0</v>
      </c>
      <c r="M120" s="1363"/>
      <c r="N120" s="1363"/>
      <c r="O120" s="1363"/>
      <c r="P120" s="1363"/>
      <c r="Q120" s="1363"/>
      <c r="R120" s="1363"/>
      <c r="S120" s="1363"/>
      <c r="T120" s="1363"/>
      <c r="U120" s="1363"/>
      <c r="V120" s="1320"/>
      <c r="W120" s="1320"/>
    </row>
    <row r="121" spans="1:23">
      <c r="A121" s="1327"/>
      <c r="B121" s="1351">
        <v>108</v>
      </c>
      <c r="C121" s="1304">
        <v>41</v>
      </c>
      <c r="D121" s="1352">
        <v>23.06</v>
      </c>
      <c r="E121" s="1304">
        <v>44100</v>
      </c>
      <c r="F121" s="1307">
        <f t="shared" si="24"/>
        <v>44100</v>
      </c>
      <c r="G121" s="1304"/>
      <c r="H121" s="1304"/>
      <c r="I121" s="1304"/>
      <c r="J121" s="1304">
        <f t="shared" si="25"/>
        <v>8820</v>
      </c>
      <c r="K121" s="1304" t="s">
        <v>1254</v>
      </c>
      <c r="L121" s="1353">
        <f t="shared" si="26"/>
        <v>0</v>
      </c>
      <c r="M121" s="1363"/>
      <c r="N121" s="1363"/>
      <c r="O121" s="1363"/>
      <c r="P121" s="1363"/>
      <c r="Q121" s="1363"/>
      <c r="R121" s="1363"/>
      <c r="S121" s="1363"/>
      <c r="T121" s="1363"/>
      <c r="U121" s="1363"/>
      <c r="V121" s="1320"/>
      <c r="W121" s="1320"/>
    </row>
    <row r="122" spans="1:23">
      <c r="A122" s="1327"/>
      <c r="B122" s="1351">
        <v>109</v>
      </c>
      <c r="C122" s="1304">
        <v>67</v>
      </c>
      <c r="D122" s="1352">
        <v>17.059999999999999</v>
      </c>
      <c r="E122" s="1304">
        <v>78750</v>
      </c>
      <c r="F122" s="1307">
        <f t="shared" si="24"/>
        <v>78750</v>
      </c>
      <c r="G122" s="1304"/>
      <c r="H122" s="1304"/>
      <c r="I122" s="1304"/>
      <c r="J122" s="1304">
        <f t="shared" si="25"/>
        <v>15750</v>
      </c>
      <c r="K122" s="1304" t="s">
        <v>1236</v>
      </c>
      <c r="L122" s="1353">
        <f t="shared" si="26"/>
        <v>0</v>
      </c>
      <c r="M122" s="1363"/>
      <c r="N122" s="1363"/>
      <c r="O122" s="1363"/>
      <c r="P122" s="1363"/>
      <c r="Q122" s="1363"/>
      <c r="R122" s="1363"/>
      <c r="S122" s="1363"/>
      <c r="T122" s="1363"/>
      <c r="U122" s="1363"/>
      <c r="V122" s="1320"/>
      <c r="W122" s="1320"/>
    </row>
    <row r="123" spans="1:23">
      <c r="A123" s="1327"/>
      <c r="B123" s="1351">
        <v>110</v>
      </c>
      <c r="C123" s="1304">
        <v>51</v>
      </c>
      <c r="D123" s="1352">
        <v>21.05</v>
      </c>
      <c r="E123" s="1304">
        <v>20416.669999999998</v>
      </c>
      <c r="F123" s="1307">
        <f t="shared" si="24"/>
        <v>20416.669999999998</v>
      </c>
      <c r="G123" s="1304"/>
      <c r="H123" s="1304"/>
      <c r="I123" s="1304"/>
      <c r="J123" s="1304">
        <f t="shared" si="25"/>
        <v>4083.3339999999998</v>
      </c>
      <c r="K123" s="1304" t="s">
        <v>1236</v>
      </c>
      <c r="L123" s="1353">
        <f t="shared" si="26"/>
        <v>0</v>
      </c>
      <c r="M123" s="1363"/>
      <c r="N123" s="1363"/>
      <c r="O123" s="1363"/>
      <c r="P123" s="1363"/>
      <c r="Q123" s="1363"/>
      <c r="R123" s="1363"/>
      <c r="S123" s="1363"/>
      <c r="T123" s="1363"/>
      <c r="U123" s="1363"/>
      <c r="V123" s="1320"/>
      <c r="W123" s="1320"/>
    </row>
    <row r="124" spans="1:23">
      <c r="A124" s="1327"/>
      <c r="B124" s="1351">
        <v>111</v>
      </c>
      <c r="C124" s="1304">
        <v>330</v>
      </c>
      <c r="D124" s="1352">
        <v>28.06</v>
      </c>
      <c r="E124" s="1304">
        <v>249820</v>
      </c>
      <c r="F124" s="1307">
        <f t="shared" si="24"/>
        <v>249820</v>
      </c>
      <c r="G124" s="1304"/>
      <c r="H124" s="1304"/>
      <c r="I124" s="1304"/>
      <c r="J124" s="1304">
        <f t="shared" si="25"/>
        <v>49964</v>
      </c>
      <c r="K124" s="1304" t="s">
        <v>1276</v>
      </c>
      <c r="L124" s="1353">
        <f t="shared" si="26"/>
        <v>0</v>
      </c>
      <c r="M124" s="1363"/>
      <c r="N124" s="1363"/>
      <c r="O124" s="1363"/>
      <c r="P124" s="1363"/>
      <c r="Q124" s="1363"/>
      <c r="R124" s="1363"/>
      <c r="S124" s="1363"/>
      <c r="T124" s="1363"/>
      <c r="U124" s="1363"/>
      <c r="V124" s="1320"/>
      <c r="W124" s="1320"/>
    </row>
    <row r="125" spans="1:23">
      <c r="A125" s="1327"/>
      <c r="B125" s="1351">
        <v>112</v>
      </c>
      <c r="C125" s="1304">
        <v>314</v>
      </c>
      <c r="D125" s="1352">
        <v>22.06</v>
      </c>
      <c r="E125" s="1304">
        <v>138590</v>
      </c>
      <c r="F125" s="1307">
        <f t="shared" si="24"/>
        <v>138590</v>
      </c>
      <c r="G125" s="1304"/>
      <c r="H125" s="1304"/>
      <c r="I125" s="1304"/>
      <c r="J125" s="1304">
        <f t="shared" si="25"/>
        <v>27718</v>
      </c>
      <c r="K125" s="1304" t="s">
        <v>1263</v>
      </c>
      <c r="L125" s="1353">
        <f t="shared" si="26"/>
        <v>0</v>
      </c>
      <c r="M125" s="1363"/>
      <c r="N125" s="1363"/>
      <c r="O125" s="1363"/>
      <c r="P125" s="1363"/>
      <c r="Q125" s="1363"/>
      <c r="R125" s="1363"/>
      <c r="S125" s="1363"/>
      <c r="T125" s="1363"/>
      <c r="U125" s="1363"/>
      <c r="V125" s="1320"/>
      <c r="W125" s="1320"/>
    </row>
    <row r="126" spans="1:23">
      <c r="A126" s="1327"/>
      <c r="B126" s="1351">
        <v>113</v>
      </c>
      <c r="C126" s="1304">
        <v>261</v>
      </c>
      <c r="D126" s="1352">
        <v>1.06</v>
      </c>
      <c r="E126" s="1304">
        <v>224555</v>
      </c>
      <c r="F126" s="1307">
        <f t="shared" si="24"/>
        <v>224555</v>
      </c>
      <c r="G126" s="1304"/>
      <c r="H126" s="1304"/>
      <c r="I126" s="1304"/>
      <c r="J126" s="1304">
        <f t="shared" si="25"/>
        <v>44911</v>
      </c>
      <c r="K126" s="1304" t="s">
        <v>1263</v>
      </c>
      <c r="L126" s="1353">
        <f t="shared" si="26"/>
        <v>0</v>
      </c>
      <c r="M126" s="1363"/>
      <c r="N126" s="1363"/>
      <c r="O126" s="1363"/>
      <c r="P126" s="1363"/>
      <c r="Q126" s="1363"/>
      <c r="R126" s="1363"/>
      <c r="S126" s="1363"/>
      <c r="T126" s="1363"/>
      <c r="U126" s="1363"/>
      <c r="V126" s="1320"/>
      <c r="W126" s="1320"/>
    </row>
    <row r="127" spans="1:23">
      <c r="A127" s="1327"/>
      <c r="B127" s="1351">
        <v>114</v>
      </c>
      <c r="C127" s="1304">
        <v>297</v>
      </c>
      <c r="D127" s="1352">
        <v>11.06</v>
      </c>
      <c r="E127" s="1304">
        <v>248025</v>
      </c>
      <c r="F127" s="1307">
        <f t="shared" si="24"/>
        <v>248025</v>
      </c>
      <c r="G127" s="1304"/>
      <c r="H127" s="1304"/>
      <c r="I127" s="1304"/>
      <c r="J127" s="1304">
        <f t="shared" si="25"/>
        <v>49605</v>
      </c>
      <c r="K127" s="1304" t="s">
        <v>1263</v>
      </c>
      <c r="L127" s="1353">
        <f t="shared" si="26"/>
        <v>0</v>
      </c>
      <c r="M127" s="1363"/>
      <c r="N127" s="1363"/>
      <c r="O127" s="1363"/>
      <c r="P127" s="1363"/>
      <c r="Q127" s="1363"/>
      <c r="R127" s="1363"/>
      <c r="S127" s="1363"/>
      <c r="T127" s="1363"/>
      <c r="U127" s="1363"/>
      <c r="V127" s="1320"/>
      <c r="W127" s="1320"/>
    </row>
    <row r="128" spans="1:23">
      <c r="A128" s="1327"/>
      <c r="B128" s="1351">
        <v>115</v>
      </c>
      <c r="C128" s="1304">
        <v>288</v>
      </c>
      <c r="D128" s="1352">
        <v>8.06</v>
      </c>
      <c r="E128" s="1304">
        <v>206685</v>
      </c>
      <c r="F128" s="1307">
        <f t="shared" si="24"/>
        <v>206685</v>
      </c>
      <c r="G128" s="1304"/>
      <c r="H128" s="1304"/>
      <c r="I128" s="1304"/>
      <c r="J128" s="1304">
        <f t="shared" si="25"/>
        <v>41337</v>
      </c>
      <c r="K128" s="1304" t="s">
        <v>1263</v>
      </c>
      <c r="L128" s="1353">
        <f t="shared" si="26"/>
        <v>0</v>
      </c>
      <c r="M128" s="1363"/>
      <c r="N128" s="1363"/>
      <c r="O128" s="1363"/>
      <c r="P128" s="1363"/>
      <c r="Q128" s="1363"/>
      <c r="R128" s="1363"/>
      <c r="S128" s="1363"/>
      <c r="T128" s="1363"/>
      <c r="U128" s="1363"/>
      <c r="V128" s="1320"/>
      <c r="W128" s="1320"/>
    </row>
    <row r="129" spans="1:23">
      <c r="A129" s="1327"/>
      <c r="B129" s="1351">
        <v>116</v>
      </c>
      <c r="C129" s="1304">
        <v>1363</v>
      </c>
      <c r="D129" s="1352">
        <v>10.06</v>
      </c>
      <c r="E129" s="1304">
        <v>209343</v>
      </c>
      <c r="F129" s="1307">
        <f t="shared" si="24"/>
        <v>209343</v>
      </c>
      <c r="G129" s="1304"/>
      <c r="H129" s="1304"/>
      <c r="I129" s="1304"/>
      <c r="J129" s="1304">
        <f t="shared" si="25"/>
        <v>41868.600000000006</v>
      </c>
      <c r="K129" s="1304" t="s">
        <v>1312</v>
      </c>
      <c r="L129" s="1353">
        <f t="shared" si="26"/>
        <v>0</v>
      </c>
      <c r="M129" s="1363"/>
      <c r="N129" s="1363"/>
      <c r="O129" s="1363"/>
      <c r="P129" s="1363"/>
      <c r="Q129" s="1363"/>
      <c r="R129" s="1363"/>
      <c r="S129" s="1363"/>
      <c r="T129" s="1363"/>
      <c r="U129" s="1363"/>
      <c r="V129" s="1320"/>
      <c r="W129" s="1320"/>
    </row>
    <row r="130" spans="1:23">
      <c r="A130" s="1327"/>
      <c r="B130" s="1351">
        <v>117</v>
      </c>
      <c r="C130" s="1304">
        <v>2116</v>
      </c>
      <c r="D130" s="1352">
        <v>1.06</v>
      </c>
      <c r="E130" s="1304">
        <v>166720</v>
      </c>
      <c r="F130" s="1307">
        <f t="shared" si="24"/>
        <v>166720</v>
      </c>
      <c r="G130" s="1304"/>
      <c r="H130" s="1304"/>
      <c r="I130" s="1304"/>
      <c r="J130" s="1304">
        <f t="shared" si="25"/>
        <v>33344</v>
      </c>
      <c r="K130" s="1304" t="s">
        <v>965</v>
      </c>
      <c r="L130" s="1353">
        <f t="shared" si="26"/>
        <v>0</v>
      </c>
      <c r="M130" s="1363"/>
      <c r="N130" s="1363"/>
      <c r="O130" s="1363"/>
      <c r="P130" s="1363"/>
      <c r="Q130" s="1363"/>
      <c r="R130" s="1363"/>
      <c r="S130" s="1363"/>
      <c r="T130" s="1363"/>
      <c r="U130" s="1363"/>
      <c r="V130" s="1320"/>
      <c r="W130" s="1320"/>
    </row>
    <row r="131" spans="1:23">
      <c r="A131" s="1327"/>
      <c r="B131" s="1351">
        <v>118</v>
      </c>
      <c r="C131" s="1920" t="s">
        <v>178</v>
      </c>
      <c r="D131" s="1921"/>
      <c r="E131" s="1306">
        <f>SUM(E112:E130)</f>
        <v>3510016.67</v>
      </c>
      <c r="F131" s="1306">
        <f t="shared" ref="F131:L131" si="28">SUM(F112:F130)</f>
        <v>3510016.67</v>
      </c>
      <c r="G131" s="1306">
        <f t="shared" si="28"/>
        <v>0</v>
      </c>
      <c r="H131" s="1306">
        <f t="shared" si="28"/>
        <v>0</v>
      </c>
      <c r="I131" s="1306">
        <f t="shared" si="28"/>
        <v>0</v>
      </c>
      <c r="J131" s="1306">
        <f t="shared" si="28"/>
        <v>702003.33399999992</v>
      </c>
      <c r="K131" s="1306">
        <f t="shared" si="28"/>
        <v>0</v>
      </c>
      <c r="L131" s="1539">
        <f t="shared" si="28"/>
        <v>0</v>
      </c>
      <c r="M131" s="1363"/>
      <c r="N131" s="1363"/>
      <c r="O131" s="1363"/>
      <c r="P131" s="1363"/>
      <c r="Q131" s="1363"/>
      <c r="R131" s="1363"/>
      <c r="S131" s="1363"/>
      <c r="T131" s="1363"/>
      <c r="U131" s="1363"/>
      <c r="V131" s="1320"/>
      <c r="W131" s="1320"/>
    </row>
    <row r="132" spans="1:23">
      <c r="A132" s="1327"/>
      <c r="B132" s="1351">
        <v>119</v>
      </c>
      <c r="C132" s="1304">
        <v>38</v>
      </c>
      <c r="D132" s="1352">
        <v>25.06</v>
      </c>
      <c r="E132" s="1304">
        <v>504000</v>
      </c>
      <c r="F132" s="1307">
        <f t="shared" si="24"/>
        <v>504000</v>
      </c>
      <c r="G132" s="1304"/>
      <c r="H132" s="1304"/>
      <c r="I132" s="1304"/>
      <c r="J132" s="1304">
        <f t="shared" si="25"/>
        <v>100800</v>
      </c>
      <c r="K132" s="1304" t="s">
        <v>1278</v>
      </c>
      <c r="L132" s="1353">
        <f t="shared" si="26"/>
        <v>0</v>
      </c>
      <c r="M132" s="1363"/>
      <c r="N132" s="1363"/>
      <c r="O132" s="1363"/>
      <c r="P132" s="1363"/>
      <c r="Q132" s="1363"/>
      <c r="R132" s="1363"/>
      <c r="S132" s="1363"/>
      <c r="T132" s="1363"/>
      <c r="U132" s="1363"/>
      <c r="V132" s="1320"/>
      <c r="W132" s="1320"/>
    </row>
    <row r="133" spans="1:23">
      <c r="A133" s="1327"/>
      <c r="B133" s="1351">
        <v>120</v>
      </c>
      <c r="C133" s="1304">
        <v>74</v>
      </c>
      <c r="D133" s="1352">
        <v>3.07</v>
      </c>
      <c r="E133" s="1304">
        <v>23333.34</v>
      </c>
      <c r="F133" s="1307">
        <f t="shared" si="24"/>
        <v>23333.34</v>
      </c>
      <c r="G133" s="1304"/>
      <c r="H133" s="1304"/>
      <c r="I133" s="1304"/>
      <c r="J133" s="1304">
        <f t="shared" si="25"/>
        <v>4666.6680000000006</v>
      </c>
      <c r="K133" s="1304" t="s">
        <v>1310</v>
      </c>
      <c r="L133" s="1353">
        <f t="shared" si="26"/>
        <v>0</v>
      </c>
      <c r="M133" s="1363"/>
      <c r="N133" s="1363"/>
      <c r="O133" s="1363"/>
      <c r="P133" s="1363"/>
      <c r="Q133" s="1363"/>
      <c r="R133" s="1363"/>
      <c r="S133" s="1363"/>
      <c r="T133" s="1363"/>
      <c r="U133" s="1363"/>
      <c r="V133" s="1320"/>
      <c r="W133" s="1320"/>
    </row>
    <row r="134" spans="1:23">
      <c r="A134" s="1327"/>
      <c r="B134" s="1351">
        <v>121</v>
      </c>
      <c r="C134" s="1304">
        <v>7</v>
      </c>
      <c r="D134" s="1352">
        <v>8.07</v>
      </c>
      <c r="E134" s="1304">
        <v>219664</v>
      </c>
      <c r="F134" s="1307">
        <f t="shared" si="24"/>
        <v>219664</v>
      </c>
      <c r="G134" s="1304"/>
      <c r="H134" s="1304"/>
      <c r="I134" s="1304"/>
      <c r="J134" s="1304">
        <f t="shared" si="25"/>
        <v>43932.800000000003</v>
      </c>
      <c r="K134" s="1304" t="s">
        <v>1495</v>
      </c>
      <c r="L134" s="1353">
        <f t="shared" si="26"/>
        <v>0</v>
      </c>
      <c r="M134" s="1363"/>
      <c r="N134" s="1363"/>
      <c r="O134" s="1363"/>
      <c r="P134" s="1363"/>
      <c r="Q134" s="1363"/>
      <c r="R134" s="1363"/>
      <c r="S134" s="1363"/>
      <c r="T134" s="1363"/>
      <c r="U134" s="1363"/>
      <c r="V134" s="1320"/>
      <c r="W134" s="1320"/>
    </row>
    <row r="135" spans="1:23">
      <c r="A135" s="1327"/>
      <c r="B135" s="1351">
        <v>122</v>
      </c>
      <c r="C135" s="1304">
        <v>241</v>
      </c>
      <c r="D135" s="1352">
        <v>1.07</v>
      </c>
      <c r="E135" s="1304">
        <v>236500</v>
      </c>
      <c r="F135" s="1307">
        <f t="shared" si="24"/>
        <v>236500</v>
      </c>
      <c r="G135" s="1304"/>
      <c r="H135" s="1304"/>
      <c r="I135" s="1304"/>
      <c r="J135" s="1304">
        <f t="shared" si="25"/>
        <v>47300</v>
      </c>
      <c r="K135" s="1304" t="s">
        <v>1309</v>
      </c>
      <c r="L135" s="1353">
        <f t="shared" si="26"/>
        <v>0</v>
      </c>
      <c r="M135" s="1363"/>
      <c r="N135" s="1363"/>
      <c r="O135" s="1363"/>
      <c r="P135" s="1363"/>
      <c r="Q135" s="1363"/>
      <c r="R135" s="1363"/>
      <c r="S135" s="1363"/>
      <c r="T135" s="1363"/>
      <c r="U135" s="1363"/>
      <c r="V135" s="1320"/>
      <c r="W135" s="1320"/>
    </row>
    <row r="136" spans="1:23">
      <c r="A136" s="1327"/>
      <c r="B136" s="1351">
        <v>123</v>
      </c>
      <c r="C136" s="1304">
        <v>305</v>
      </c>
      <c r="D136" s="1352">
        <v>22.07</v>
      </c>
      <c r="E136" s="1304">
        <v>44000</v>
      </c>
      <c r="F136" s="1307">
        <f t="shared" si="24"/>
        <v>44000</v>
      </c>
      <c r="G136" s="1304"/>
      <c r="H136" s="1304"/>
      <c r="I136" s="1304"/>
      <c r="J136" s="1304">
        <f t="shared" si="25"/>
        <v>8800</v>
      </c>
      <c r="K136" s="1304" t="s">
        <v>1459</v>
      </c>
      <c r="L136" s="1353">
        <f t="shared" si="26"/>
        <v>0</v>
      </c>
      <c r="M136" s="1363"/>
      <c r="N136" s="1363"/>
      <c r="O136" s="1363"/>
      <c r="P136" s="1363"/>
      <c r="Q136" s="1363"/>
      <c r="R136" s="1363"/>
      <c r="S136" s="1363"/>
      <c r="T136" s="1363"/>
      <c r="U136" s="1363"/>
      <c r="V136" s="1320"/>
      <c r="W136" s="1320"/>
    </row>
    <row r="137" spans="1:23">
      <c r="A137" s="1327"/>
      <c r="B137" s="1351">
        <v>124</v>
      </c>
      <c r="C137" s="1304">
        <v>372</v>
      </c>
      <c r="D137" s="1352">
        <v>15.07</v>
      </c>
      <c r="E137" s="1304">
        <v>244685</v>
      </c>
      <c r="F137" s="1307">
        <f t="shared" si="24"/>
        <v>244685</v>
      </c>
      <c r="G137" s="1304"/>
      <c r="H137" s="1304"/>
      <c r="I137" s="1304"/>
      <c r="J137" s="1304">
        <f t="shared" si="25"/>
        <v>48937</v>
      </c>
      <c r="K137" s="1304" t="s">
        <v>1496</v>
      </c>
      <c r="L137" s="1353">
        <f t="shared" si="26"/>
        <v>0</v>
      </c>
      <c r="M137" s="1363"/>
      <c r="N137" s="1363"/>
      <c r="O137" s="1363"/>
      <c r="P137" s="1363"/>
      <c r="Q137" s="1363"/>
      <c r="R137" s="1363"/>
      <c r="S137" s="1363"/>
      <c r="T137" s="1363"/>
      <c r="U137" s="1363"/>
      <c r="V137" s="1320"/>
      <c r="W137" s="1320"/>
    </row>
    <row r="138" spans="1:23">
      <c r="A138" s="1327"/>
      <c r="B138" s="1351">
        <v>125</v>
      </c>
      <c r="C138" s="1304">
        <v>398</v>
      </c>
      <c r="D138" s="1352">
        <v>27.07</v>
      </c>
      <c r="E138" s="1304">
        <v>247100</v>
      </c>
      <c r="F138" s="1307">
        <f t="shared" si="24"/>
        <v>247100</v>
      </c>
      <c r="G138" s="1304"/>
      <c r="H138" s="1304"/>
      <c r="I138" s="1304"/>
      <c r="J138" s="1304">
        <f t="shared" si="25"/>
        <v>49420</v>
      </c>
      <c r="K138" s="1304" t="s">
        <v>1496</v>
      </c>
      <c r="L138" s="1353">
        <f t="shared" si="26"/>
        <v>0</v>
      </c>
      <c r="M138" s="1363"/>
      <c r="N138" s="1363"/>
      <c r="O138" s="1363"/>
      <c r="P138" s="1363"/>
      <c r="Q138" s="1363"/>
      <c r="R138" s="1363"/>
      <c r="S138" s="1363"/>
      <c r="T138" s="1363"/>
      <c r="U138" s="1363"/>
      <c r="V138" s="1320"/>
      <c r="W138" s="1320"/>
    </row>
    <row r="139" spans="1:23">
      <c r="A139" s="1327"/>
      <c r="B139" s="1351">
        <v>126</v>
      </c>
      <c r="C139" s="1304">
        <v>2434</v>
      </c>
      <c r="D139" s="1352">
        <v>10.07</v>
      </c>
      <c r="E139" s="1304">
        <v>74682</v>
      </c>
      <c r="F139" s="1307">
        <f t="shared" si="24"/>
        <v>74682</v>
      </c>
      <c r="G139" s="1304"/>
      <c r="H139" s="1304"/>
      <c r="I139" s="1304"/>
      <c r="J139" s="1304">
        <f t="shared" si="25"/>
        <v>14936.400000000001</v>
      </c>
      <c r="K139" s="1304" t="s">
        <v>965</v>
      </c>
      <c r="L139" s="1353">
        <f t="shared" si="26"/>
        <v>0</v>
      </c>
      <c r="M139" s="1363"/>
      <c r="N139" s="1363"/>
      <c r="O139" s="1363"/>
      <c r="P139" s="1363"/>
      <c r="Q139" s="1363"/>
      <c r="R139" s="1363"/>
      <c r="S139" s="1363"/>
      <c r="T139" s="1363"/>
      <c r="U139" s="1363"/>
      <c r="V139" s="1320"/>
      <c r="W139" s="1320"/>
    </row>
    <row r="140" spans="1:23">
      <c r="A140" s="1327"/>
      <c r="B140" s="1351">
        <v>127</v>
      </c>
      <c r="C140" s="1304">
        <v>2412</v>
      </c>
      <c r="D140" s="1352">
        <v>7.07</v>
      </c>
      <c r="E140" s="1304">
        <v>138694</v>
      </c>
      <c r="F140" s="1307">
        <f t="shared" ref="F140:F197" si="29">+E140</f>
        <v>138694</v>
      </c>
      <c r="G140" s="1304"/>
      <c r="H140" s="1304"/>
      <c r="I140" s="1304"/>
      <c r="J140" s="1304">
        <f t="shared" ref="J140:J197" si="30">E140*0.2</f>
        <v>27738.800000000003</v>
      </c>
      <c r="K140" s="1304" t="s">
        <v>965</v>
      </c>
      <c r="L140" s="1353">
        <f t="shared" ref="L140:L197" si="31">E140-(F140+G140+H140+I140)</f>
        <v>0</v>
      </c>
      <c r="M140" s="1363"/>
      <c r="N140" s="1363"/>
      <c r="O140" s="1363"/>
      <c r="P140" s="1363"/>
      <c r="Q140" s="1363"/>
      <c r="R140" s="1363"/>
      <c r="S140" s="1363"/>
      <c r="T140" s="1363"/>
      <c r="U140" s="1363"/>
      <c r="V140" s="1320"/>
      <c r="W140" s="1320"/>
    </row>
    <row r="141" spans="1:23">
      <c r="A141" s="1327"/>
      <c r="B141" s="1351">
        <v>128</v>
      </c>
      <c r="C141" s="1304">
        <v>2466</v>
      </c>
      <c r="D141" s="1352">
        <v>12.07</v>
      </c>
      <c r="E141" s="1304">
        <v>74682</v>
      </c>
      <c r="F141" s="1307">
        <f t="shared" si="29"/>
        <v>74682</v>
      </c>
      <c r="G141" s="1304"/>
      <c r="H141" s="1304"/>
      <c r="I141" s="1304"/>
      <c r="J141" s="1304">
        <f t="shared" si="30"/>
        <v>14936.400000000001</v>
      </c>
      <c r="K141" s="1304" t="s">
        <v>965</v>
      </c>
      <c r="L141" s="1353">
        <f t="shared" si="31"/>
        <v>0</v>
      </c>
      <c r="M141" s="1363"/>
      <c r="N141" s="1363"/>
      <c r="O141" s="1363"/>
      <c r="P141" s="1363"/>
      <c r="Q141" s="1363"/>
      <c r="R141" s="1363"/>
      <c r="S141" s="1363"/>
      <c r="T141" s="1363"/>
      <c r="U141" s="1363"/>
      <c r="V141" s="1320"/>
      <c r="W141" s="1320"/>
    </row>
    <row r="142" spans="1:23">
      <c r="A142" s="1327"/>
      <c r="B142" s="1351">
        <v>129</v>
      </c>
      <c r="C142" s="1304">
        <v>2461</v>
      </c>
      <c r="D142" s="1352">
        <v>12.07</v>
      </c>
      <c r="E142" s="1304">
        <v>74682</v>
      </c>
      <c r="F142" s="1307">
        <f t="shared" si="29"/>
        <v>74682</v>
      </c>
      <c r="G142" s="1304"/>
      <c r="H142" s="1304"/>
      <c r="I142" s="1304"/>
      <c r="J142" s="1304">
        <f t="shared" si="30"/>
        <v>14936.400000000001</v>
      </c>
      <c r="K142" s="1304" t="s">
        <v>965</v>
      </c>
      <c r="L142" s="1353">
        <f t="shared" si="31"/>
        <v>0</v>
      </c>
      <c r="M142" s="1365"/>
      <c r="N142" s="1363"/>
      <c r="O142" s="1363"/>
      <c r="P142" s="1363"/>
      <c r="Q142" s="1363"/>
      <c r="R142" s="1363"/>
      <c r="S142" s="1363"/>
      <c r="T142" s="1363"/>
      <c r="U142" s="1363"/>
      <c r="V142" s="1320"/>
      <c r="W142" s="1320"/>
    </row>
    <row r="143" spans="1:23">
      <c r="A143" s="1327"/>
      <c r="B143" s="1351">
        <v>130</v>
      </c>
      <c r="C143" s="1304">
        <v>2326</v>
      </c>
      <c r="D143" s="1352">
        <v>28.06</v>
      </c>
      <c r="E143" s="1304">
        <v>138694</v>
      </c>
      <c r="F143" s="1307">
        <f t="shared" si="29"/>
        <v>138694</v>
      </c>
      <c r="G143" s="1304"/>
      <c r="H143" s="1304"/>
      <c r="I143" s="1304"/>
      <c r="J143" s="1304">
        <f t="shared" si="30"/>
        <v>27738.800000000003</v>
      </c>
      <c r="K143" s="1304" t="s">
        <v>965</v>
      </c>
      <c r="L143" s="1353">
        <f t="shared" si="31"/>
        <v>0</v>
      </c>
      <c r="M143" s="1363"/>
      <c r="N143" s="1363"/>
      <c r="O143" s="1363"/>
      <c r="P143" s="1363"/>
      <c r="Q143" s="1363"/>
      <c r="R143" s="1363"/>
      <c r="S143" s="1363"/>
      <c r="T143" s="1363"/>
      <c r="U143" s="1363"/>
      <c r="V143" s="1320"/>
      <c r="W143" s="1320"/>
    </row>
    <row r="144" spans="1:23">
      <c r="A144" s="1327"/>
      <c r="B144" s="1351">
        <v>131</v>
      </c>
      <c r="C144" s="1304">
        <v>2387</v>
      </c>
      <c r="D144" s="1352">
        <v>4.07</v>
      </c>
      <c r="E144" s="1304">
        <v>154144</v>
      </c>
      <c r="F144" s="1307">
        <f t="shared" si="29"/>
        <v>154144</v>
      </c>
      <c r="G144" s="1304"/>
      <c r="H144" s="1304"/>
      <c r="I144" s="1304"/>
      <c r="J144" s="1304">
        <f t="shared" si="30"/>
        <v>30828.800000000003</v>
      </c>
      <c r="K144" s="1304" t="s">
        <v>965</v>
      </c>
      <c r="L144" s="1353">
        <f t="shared" si="31"/>
        <v>0</v>
      </c>
      <c r="M144" s="1363"/>
      <c r="N144" s="1363"/>
      <c r="O144" s="1363"/>
      <c r="P144" s="1363"/>
      <c r="Q144" s="1363"/>
      <c r="R144" s="1363"/>
      <c r="S144" s="1363"/>
      <c r="T144" s="1363"/>
      <c r="U144" s="1363"/>
      <c r="V144" s="1320"/>
      <c r="W144" s="1320"/>
    </row>
    <row r="145" spans="1:23">
      <c r="A145" s="1327"/>
      <c r="B145" s="1351">
        <v>132</v>
      </c>
      <c r="C145" s="1920" t="s">
        <v>179</v>
      </c>
      <c r="D145" s="1921"/>
      <c r="E145" s="1306">
        <f>SUM(E132:E144)</f>
        <v>2174860.34</v>
      </c>
      <c r="F145" s="1306">
        <f t="shared" ref="F145:L145" si="32">SUM(F132:F144)</f>
        <v>2174860.34</v>
      </c>
      <c r="G145" s="1306">
        <f t="shared" si="32"/>
        <v>0</v>
      </c>
      <c r="H145" s="1306">
        <f t="shared" si="32"/>
        <v>0</v>
      </c>
      <c r="I145" s="1306">
        <f t="shared" si="32"/>
        <v>0</v>
      </c>
      <c r="J145" s="1306">
        <f t="shared" si="32"/>
        <v>434972.06800000003</v>
      </c>
      <c r="K145" s="1306">
        <f t="shared" si="32"/>
        <v>0</v>
      </c>
      <c r="L145" s="1539">
        <f t="shared" si="32"/>
        <v>0</v>
      </c>
      <c r="M145" s="1363"/>
      <c r="N145" s="1363"/>
      <c r="O145" s="1363"/>
      <c r="P145" s="1363"/>
      <c r="Q145" s="1363"/>
      <c r="R145" s="1363"/>
      <c r="S145" s="1363"/>
      <c r="T145" s="1363"/>
      <c r="U145" s="1363"/>
      <c r="V145" s="1320"/>
      <c r="W145" s="1320"/>
    </row>
    <row r="146" spans="1:23">
      <c r="A146" s="1327"/>
      <c r="B146" s="1351">
        <v>133</v>
      </c>
      <c r="C146" s="1304">
        <v>916</v>
      </c>
      <c r="D146" s="1352">
        <v>2.08</v>
      </c>
      <c r="E146" s="1304">
        <v>57851</v>
      </c>
      <c r="F146" s="1307">
        <f t="shared" si="29"/>
        <v>57851</v>
      </c>
      <c r="G146" s="1304"/>
      <c r="H146" s="1304"/>
      <c r="I146" s="1304"/>
      <c r="J146" s="1304">
        <f t="shared" si="30"/>
        <v>11570.2</v>
      </c>
      <c r="K146" s="1304" t="s">
        <v>1228</v>
      </c>
      <c r="L146" s="1353">
        <f t="shared" si="31"/>
        <v>0</v>
      </c>
      <c r="M146" s="1363"/>
      <c r="N146" s="1363"/>
      <c r="O146" s="1363"/>
      <c r="P146" s="1363"/>
      <c r="Q146" s="1363"/>
      <c r="R146" s="1363"/>
      <c r="S146" s="1363"/>
      <c r="T146" s="1363"/>
      <c r="U146" s="1363"/>
      <c r="V146" s="1320"/>
      <c r="W146" s="1320"/>
    </row>
    <row r="147" spans="1:23">
      <c r="A147" s="1327"/>
      <c r="B147" s="1351">
        <v>134</v>
      </c>
      <c r="C147" s="1304">
        <v>141</v>
      </c>
      <c r="D147" s="1352">
        <v>2.08</v>
      </c>
      <c r="E147" s="1304">
        <v>37500</v>
      </c>
      <c r="F147" s="1307">
        <f t="shared" si="29"/>
        <v>37500</v>
      </c>
      <c r="G147" s="1304"/>
      <c r="H147" s="1304"/>
      <c r="I147" s="1304"/>
      <c r="J147" s="1304">
        <f t="shared" si="30"/>
        <v>7500</v>
      </c>
      <c r="K147" s="1304" t="s">
        <v>1286</v>
      </c>
      <c r="L147" s="1353">
        <f t="shared" si="31"/>
        <v>0</v>
      </c>
      <c r="M147" s="1363"/>
      <c r="N147" s="1363"/>
      <c r="O147" s="1363"/>
      <c r="P147" s="1363"/>
      <c r="Q147" s="1363"/>
      <c r="R147" s="1363"/>
      <c r="S147" s="1363"/>
      <c r="T147" s="1363"/>
      <c r="U147" s="1363"/>
      <c r="V147" s="1320"/>
      <c r="W147" s="1320"/>
    </row>
    <row r="148" spans="1:23">
      <c r="A148" s="1327"/>
      <c r="B148" s="1351">
        <v>135</v>
      </c>
      <c r="C148" s="1304">
        <v>461</v>
      </c>
      <c r="D148" s="1352">
        <v>22.08</v>
      </c>
      <c r="E148" s="1304">
        <v>247655</v>
      </c>
      <c r="F148" s="1307">
        <f t="shared" si="29"/>
        <v>247655</v>
      </c>
      <c r="G148" s="1304"/>
      <c r="H148" s="1304"/>
      <c r="I148" s="1304"/>
      <c r="J148" s="1304">
        <f t="shared" si="30"/>
        <v>49531</v>
      </c>
      <c r="K148" s="1304" t="s">
        <v>1496</v>
      </c>
      <c r="L148" s="1353">
        <f t="shared" si="31"/>
        <v>0</v>
      </c>
      <c r="M148" s="1363"/>
      <c r="N148" s="1363"/>
      <c r="O148" s="1363"/>
      <c r="P148" s="1363"/>
      <c r="Q148" s="1363"/>
      <c r="R148" s="1363"/>
      <c r="S148" s="1363"/>
      <c r="T148" s="1363"/>
      <c r="U148" s="1363"/>
      <c r="V148" s="1320"/>
      <c r="W148" s="1320"/>
    </row>
    <row r="149" spans="1:23">
      <c r="A149" s="1327"/>
      <c r="B149" s="1351">
        <v>136</v>
      </c>
      <c r="C149" s="1304">
        <v>513</v>
      </c>
      <c r="D149" s="1352">
        <v>24.08</v>
      </c>
      <c r="E149" s="1304">
        <v>129000</v>
      </c>
      <c r="F149" s="1307">
        <f t="shared" si="29"/>
        <v>129000</v>
      </c>
      <c r="G149" s="1304"/>
      <c r="H149" s="1304"/>
      <c r="I149" s="1304"/>
      <c r="J149" s="1304">
        <f t="shared" si="30"/>
        <v>25800</v>
      </c>
      <c r="K149" s="1304" t="s">
        <v>1904</v>
      </c>
      <c r="L149" s="1353">
        <f t="shared" si="31"/>
        <v>0</v>
      </c>
      <c r="M149" s="1363"/>
      <c r="N149" s="1363"/>
      <c r="O149" s="1363"/>
      <c r="P149" s="1363"/>
      <c r="Q149" s="1363"/>
      <c r="R149" s="1363"/>
      <c r="S149" s="1363"/>
      <c r="T149" s="1363"/>
      <c r="U149" s="1363"/>
      <c r="V149" s="1320"/>
      <c r="W149" s="1320"/>
    </row>
    <row r="150" spans="1:23">
      <c r="A150" s="1327"/>
      <c r="B150" s="1351">
        <v>137</v>
      </c>
      <c r="C150" s="1304">
        <v>364</v>
      </c>
      <c r="D150" s="1352">
        <v>20.079999999999998</v>
      </c>
      <c r="E150" s="1304">
        <v>94000</v>
      </c>
      <c r="F150" s="1307">
        <f t="shared" si="29"/>
        <v>94000</v>
      </c>
      <c r="G150" s="1304"/>
      <c r="H150" s="1304"/>
      <c r="I150" s="1304"/>
      <c r="J150" s="1304">
        <f t="shared" si="30"/>
        <v>18800</v>
      </c>
      <c r="K150" s="1304" t="s">
        <v>1272</v>
      </c>
      <c r="L150" s="1353">
        <f t="shared" si="31"/>
        <v>0</v>
      </c>
      <c r="M150" s="1363"/>
      <c r="N150" s="1363"/>
      <c r="O150" s="1363"/>
      <c r="P150" s="1363"/>
      <c r="Q150" s="1363"/>
      <c r="R150" s="1363"/>
      <c r="S150" s="1363"/>
      <c r="T150" s="1363"/>
      <c r="U150" s="1363"/>
      <c r="V150" s="1320"/>
      <c r="W150" s="1320"/>
    </row>
    <row r="151" spans="1:23">
      <c r="A151" s="1327"/>
      <c r="B151" s="1351">
        <v>138</v>
      </c>
      <c r="C151" s="1304">
        <v>81</v>
      </c>
      <c r="D151" s="1352">
        <v>26.08</v>
      </c>
      <c r="E151" s="1304">
        <v>122085</v>
      </c>
      <c r="F151" s="1307">
        <f t="shared" si="29"/>
        <v>122085</v>
      </c>
      <c r="G151" s="1304"/>
      <c r="H151" s="1304"/>
      <c r="I151" s="1304"/>
      <c r="J151" s="1304">
        <f t="shared" si="30"/>
        <v>24417</v>
      </c>
      <c r="K151" s="1304" t="s">
        <v>1234</v>
      </c>
      <c r="L151" s="1353">
        <f t="shared" si="31"/>
        <v>0</v>
      </c>
      <c r="M151" s="1363"/>
      <c r="N151" s="1363"/>
      <c r="O151" s="1363"/>
      <c r="P151" s="1363"/>
      <c r="Q151" s="1363"/>
      <c r="R151" s="1363"/>
      <c r="S151" s="1363"/>
      <c r="T151" s="1363"/>
      <c r="U151" s="1363"/>
      <c r="V151" s="1320"/>
      <c r="W151" s="1320"/>
    </row>
    <row r="152" spans="1:23">
      <c r="A152" s="1327"/>
      <c r="B152" s="1351">
        <v>139</v>
      </c>
      <c r="C152" s="1304">
        <v>172</v>
      </c>
      <c r="D152" s="1352">
        <v>18.079999999999998</v>
      </c>
      <c r="E152" s="1304">
        <v>51030</v>
      </c>
      <c r="F152" s="1307">
        <f t="shared" si="29"/>
        <v>51030</v>
      </c>
      <c r="G152" s="1304"/>
      <c r="H152" s="1304"/>
      <c r="I152" s="1304"/>
      <c r="J152" s="1304">
        <f t="shared" si="30"/>
        <v>10206</v>
      </c>
      <c r="K152" s="1304" t="s">
        <v>1905</v>
      </c>
      <c r="L152" s="1353">
        <f t="shared" si="31"/>
        <v>0</v>
      </c>
      <c r="M152" s="1363"/>
      <c r="N152" s="1363"/>
      <c r="O152" s="1363"/>
      <c r="P152" s="1363"/>
      <c r="Q152" s="1363"/>
      <c r="R152" s="1363"/>
      <c r="S152" s="1363"/>
      <c r="T152" s="1363"/>
      <c r="U152" s="1363"/>
      <c r="V152" s="1320"/>
      <c r="W152" s="1320"/>
    </row>
    <row r="153" spans="1:23">
      <c r="A153" s="1327"/>
      <c r="B153" s="1351">
        <v>140</v>
      </c>
      <c r="C153" s="1304">
        <v>7</v>
      </c>
      <c r="D153" s="1352">
        <v>31.08</v>
      </c>
      <c r="E153" s="1304">
        <v>500000</v>
      </c>
      <c r="F153" s="1307">
        <f t="shared" si="29"/>
        <v>500000</v>
      </c>
      <c r="G153" s="1304"/>
      <c r="H153" s="1304"/>
      <c r="I153" s="1304"/>
      <c r="J153" s="1304">
        <f t="shared" si="30"/>
        <v>100000</v>
      </c>
      <c r="K153" s="1304" t="s">
        <v>1605</v>
      </c>
      <c r="L153" s="1353">
        <f t="shared" si="31"/>
        <v>0</v>
      </c>
      <c r="M153" s="1363"/>
      <c r="N153" s="1363"/>
      <c r="O153" s="1363"/>
      <c r="P153" s="1363"/>
      <c r="Q153" s="1363"/>
      <c r="R153" s="1363"/>
      <c r="S153" s="1363"/>
      <c r="T153" s="1363"/>
      <c r="U153" s="1363"/>
      <c r="V153" s="1320"/>
      <c r="W153" s="1320"/>
    </row>
    <row r="154" spans="1:23">
      <c r="A154" s="1327"/>
      <c r="B154" s="1351">
        <v>141</v>
      </c>
      <c r="C154" s="1304">
        <v>1958</v>
      </c>
      <c r="D154" s="1352">
        <v>6.08</v>
      </c>
      <c r="E154" s="1304">
        <v>362524</v>
      </c>
      <c r="F154" s="1307">
        <f t="shared" si="29"/>
        <v>362524</v>
      </c>
      <c r="G154" s="1304"/>
      <c r="H154" s="1304"/>
      <c r="I154" s="1304"/>
      <c r="J154" s="1304">
        <f t="shared" si="30"/>
        <v>72504.800000000003</v>
      </c>
      <c r="K154" s="1304" t="s">
        <v>1253</v>
      </c>
      <c r="L154" s="1353">
        <f t="shared" si="31"/>
        <v>0</v>
      </c>
      <c r="M154" s="1363"/>
      <c r="N154" s="1363"/>
      <c r="O154" s="1363"/>
      <c r="P154" s="1363"/>
      <c r="Q154" s="1363"/>
      <c r="R154" s="1363"/>
      <c r="S154" s="1363"/>
      <c r="T154" s="1363"/>
      <c r="U154" s="1363"/>
      <c r="V154" s="1320"/>
      <c r="W154" s="1320"/>
    </row>
    <row r="155" spans="1:23">
      <c r="A155" s="1327"/>
      <c r="B155" s="1351">
        <v>142</v>
      </c>
      <c r="C155" s="1304"/>
      <c r="D155" s="1352">
        <v>6.08</v>
      </c>
      <c r="E155" s="1304">
        <v>1070446</v>
      </c>
      <c r="F155" s="1307">
        <f t="shared" si="29"/>
        <v>1070446</v>
      </c>
      <c r="G155" s="1304"/>
      <c r="H155" s="1304"/>
      <c r="I155" s="1304"/>
      <c r="J155" s="1304">
        <f t="shared" si="30"/>
        <v>214089.2</v>
      </c>
      <c r="K155" s="1304" t="s">
        <v>1906</v>
      </c>
      <c r="L155" s="1353">
        <f t="shared" si="31"/>
        <v>0</v>
      </c>
      <c r="M155" s="1363"/>
      <c r="N155" s="1363"/>
      <c r="O155" s="1363"/>
      <c r="P155" s="1363"/>
      <c r="Q155" s="1363"/>
      <c r="R155" s="1363"/>
      <c r="S155" s="1363"/>
      <c r="T155" s="1363"/>
      <c r="U155" s="1363"/>
      <c r="V155" s="1320"/>
      <c r="W155" s="1320"/>
    </row>
    <row r="156" spans="1:23">
      <c r="A156" s="1327"/>
      <c r="B156" s="1351">
        <v>143</v>
      </c>
      <c r="C156" s="1304">
        <v>650</v>
      </c>
      <c r="D156" s="1352">
        <v>27.08</v>
      </c>
      <c r="E156" s="1304">
        <v>246500</v>
      </c>
      <c r="F156" s="1307">
        <f t="shared" si="29"/>
        <v>246500</v>
      </c>
      <c r="G156" s="1304"/>
      <c r="H156" s="1304"/>
      <c r="I156" s="1304"/>
      <c r="J156" s="1304">
        <f t="shared" si="30"/>
        <v>49300</v>
      </c>
      <c r="K156" s="1304" t="s">
        <v>1907</v>
      </c>
      <c r="L156" s="1353">
        <f t="shared" si="31"/>
        <v>0</v>
      </c>
      <c r="M156" s="1363"/>
      <c r="N156" s="1363"/>
      <c r="O156" s="1363"/>
      <c r="P156" s="1363"/>
      <c r="Q156" s="1363"/>
      <c r="R156" s="1363"/>
      <c r="S156" s="1363"/>
      <c r="T156" s="1363"/>
      <c r="U156" s="1363"/>
      <c r="V156" s="1320"/>
      <c r="W156" s="1320"/>
    </row>
    <row r="157" spans="1:23">
      <c r="A157" s="1327"/>
      <c r="B157" s="1351">
        <v>144</v>
      </c>
      <c r="C157" s="1304">
        <v>667</v>
      </c>
      <c r="D157" s="1352">
        <v>4.08</v>
      </c>
      <c r="E157" s="1304">
        <v>166245</v>
      </c>
      <c r="F157" s="1307">
        <f t="shared" si="29"/>
        <v>166245</v>
      </c>
      <c r="G157" s="1304"/>
      <c r="H157" s="1304"/>
      <c r="I157" s="1304"/>
      <c r="J157" s="1304">
        <f t="shared" si="30"/>
        <v>33249</v>
      </c>
      <c r="K157" s="1304" t="s">
        <v>965</v>
      </c>
      <c r="L157" s="1353">
        <f t="shared" si="31"/>
        <v>0</v>
      </c>
      <c r="M157" s="1363"/>
      <c r="N157" s="1363"/>
      <c r="O157" s="1363"/>
      <c r="P157" s="1363"/>
      <c r="Q157" s="1363"/>
      <c r="R157" s="1363"/>
      <c r="S157" s="1363"/>
      <c r="T157" s="1363"/>
      <c r="U157" s="1363"/>
      <c r="V157" s="1320"/>
      <c r="W157" s="1320"/>
    </row>
    <row r="158" spans="1:23">
      <c r="A158" s="1327"/>
      <c r="B158" s="1351">
        <v>145</v>
      </c>
      <c r="C158" s="1304">
        <v>78</v>
      </c>
      <c r="D158" s="1352">
        <v>28.08</v>
      </c>
      <c r="E158" s="1304">
        <v>1302252</v>
      </c>
      <c r="F158" s="1307">
        <f t="shared" si="29"/>
        <v>1302252</v>
      </c>
      <c r="G158" s="1304"/>
      <c r="H158" s="1304"/>
      <c r="I158" s="1304"/>
      <c r="J158" s="1304">
        <f t="shared" si="30"/>
        <v>260450.40000000002</v>
      </c>
      <c r="K158" s="1304" t="s">
        <v>1908</v>
      </c>
      <c r="L158" s="1353">
        <f t="shared" si="31"/>
        <v>0</v>
      </c>
      <c r="M158" s="1363"/>
      <c r="N158" s="1363"/>
      <c r="O158" s="1363"/>
      <c r="P158" s="1363"/>
      <c r="Q158" s="1363"/>
      <c r="R158" s="1363"/>
      <c r="S158" s="1363"/>
      <c r="T158" s="1363"/>
      <c r="U158" s="1363"/>
      <c r="V158" s="1320"/>
      <c r="W158" s="1320"/>
    </row>
    <row r="159" spans="1:23">
      <c r="A159" s="1327"/>
      <c r="B159" s="1351">
        <v>146</v>
      </c>
      <c r="C159" s="1304">
        <v>79</v>
      </c>
      <c r="D159" s="1352">
        <v>29.08</v>
      </c>
      <c r="E159" s="1304">
        <v>802000</v>
      </c>
      <c r="F159" s="1307">
        <f t="shared" si="29"/>
        <v>802000</v>
      </c>
      <c r="G159" s="1304"/>
      <c r="H159" s="1304"/>
      <c r="I159" s="1304"/>
      <c r="J159" s="1304">
        <f t="shared" si="30"/>
        <v>160400</v>
      </c>
      <c r="K159" s="1304" t="s">
        <v>1909</v>
      </c>
      <c r="L159" s="1353">
        <f t="shared" si="31"/>
        <v>0</v>
      </c>
      <c r="M159" s="1363"/>
      <c r="N159" s="1363"/>
      <c r="O159" s="1363"/>
      <c r="P159" s="1363"/>
      <c r="Q159" s="1363"/>
      <c r="R159" s="1363"/>
      <c r="S159" s="1363"/>
      <c r="T159" s="1363"/>
      <c r="U159" s="1363"/>
      <c r="V159" s="1320"/>
      <c r="W159" s="1320"/>
    </row>
    <row r="160" spans="1:23">
      <c r="A160" s="1327"/>
      <c r="B160" s="1351">
        <v>147</v>
      </c>
      <c r="C160" s="1304">
        <v>62</v>
      </c>
      <c r="D160" s="1352">
        <v>4.08</v>
      </c>
      <c r="E160" s="1304">
        <v>264000</v>
      </c>
      <c r="F160" s="1307">
        <f t="shared" si="29"/>
        <v>264000</v>
      </c>
      <c r="G160" s="1304"/>
      <c r="H160" s="1304"/>
      <c r="I160" s="1304"/>
      <c r="J160" s="1304">
        <f t="shared" si="30"/>
        <v>52800</v>
      </c>
      <c r="K160" s="1304" t="s">
        <v>914</v>
      </c>
      <c r="L160" s="1353">
        <f t="shared" si="31"/>
        <v>0</v>
      </c>
      <c r="M160" s="1363"/>
      <c r="N160" s="1363"/>
      <c r="O160" s="1363"/>
      <c r="P160" s="1363"/>
      <c r="Q160" s="1363"/>
      <c r="R160" s="1363"/>
      <c r="S160" s="1363"/>
      <c r="T160" s="1363"/>
      <c r="U160" s="1363"/>
      <c r="V160" s="1320"/>
      <c r="W160" s="1320"/>
    </row>
    <row r="161" spans="1:23">
      <c r="A161" s="1327"/>
      <c r="B161" s="1351">
        <v>148</v>
      </c>
      <c r="C161" s="1304">
        <v>63</v>
      </c>
      <c r="D161" s="1352">
        <v>4.08</v>
      </c>
      <c r="E161" s="1304">
        <v>264000</v>
      </c>
      <c r="F161" s="1307">
        <f t="shared" si="29"/>
        <v>264000</v>
      </c>
      <c r="G161" s="1304"/>
      <c r="H161" s="1304"/>
      <c r="I161" s="1304"/>
      <c r="J161" s="1304">
        <f t="shared" si="30"/>
        <v>52800</v>
      </c>
      <c r="K161" s="1304" t="s">
        <v>914</v>
      </c>
      <c r="L161" s="1353">
        <f t="shared" si="31"/>
        <v>0</v>
      </c>
      <c r="M161" s="1363"/>
      <c r="N161" s="1363"/>
      <c r="O161" s="1363"/>
      <c r="P161" s="1363"/>
      <c r="Q161" s="1363"/>
      <c r="R161" s="1363"/>
      <c r="S161" s="1363"/>
      <c r="T161" s="1363"/>
      <c r="U161" s="1363"/>
      <c r="V161" s="1320"/>
      <c r="W161" s="1320"/>
    </row>
    <row r="162" spans="1:23">
      <c r="A162" s="1327"/>
      <c r="B162" s="1351">
        <v>149</v>
      </c>
      <c r="C162" s="1304">
        <v>5739</v>
      </c>
      <c r="D162" s="1352">
        <v>31.08</v>
      </c>
      <c r="E162" s="1304">
        <v>233814.55</v>
      </c>
      <c r="F162" s="1307">
        <f t="shared" si="29"/>
        <v>233814.55</v>
      </c>
      <c r="G162" s="1304"/>
      <c r="H162" s="1304"/>
      <c r="I162" s="1304"/>
      <c r="J162" s="1304">
        <f t="shared" si="30"/>
        <v>46762.91</v>
      </c>
      <c r="K162" s="1304" t="s">
        <v>914</v>
      </c>
      <c r="L162" s="1353">
        <f t="shared" si="31"/>
        <v>0</v>
      </c>
      <c r="M162" s="1363"/>
      <c r="N162" s="1363"/>
      <c r="O162" s="1363"/>
      <c r="P162" s="1363"/>
      <c r="Q162" s="1363"/>
      <c r="R162" s="1363"/>
      <c r="S162" s="1363"/>
      <c r="T162" s="1363"/>
      <c r="U162" s="1363"/>
      <c r="V162" s="1320"/>
      <c r="W162" s="1320"/>
    </row>
    <row r="163" spans="1:23">
      <c r="A163" s="1327"/>
      <c r="B163" s="1351">
        <v>150</v>
      </c>
      <c r="C163" s="1304">
        <v>2731</v>
      </c>
      <c r="D163" s="1352">
        <v>22.08</v>
      </c>
      <c r="E163" s="1304">
        <v>138694</v>
      </c>
      <c r="F163" s="1307">
        <f t="shared" si="29"/>
        <v>138694</v>
      </c>
      <c r="G163" s="1304"/>
      <c r="H163" s="1304"/>
      <c r="I163" s="1304"/>
      <c r="J163" s="1304">
        <f t="shared" si="30"/>
        <v>27738.800000000003</v>
      </c>
      <c r="K163" s="1304" t="s">
        <v>965</v>
      </c>
      <c r="L163" s="1353">
        <f t="shared" si="31"/>
        <v>0</v>
      </c>
      <c r="M163" s="1363"/>
      <c r="N163" s="1363"/>
      <c r="O163" s="1363"/>
      <c r="P163" s="1363"/>
      <c r="Q163" s="1363"/>
      <c r="R163" s="1363"/>
      <c r="S163" s="1363"/>
      <c r="T163" s="1363"/>
      <c r="U163" s="1363"/>
      <c r="V163" s="1320"/>
      <c r="W163" s="1320"/>
    </row>
    <row r="164" spans="1:23">
      <c r="A164" s="1327"/>
      <c r="B164" s="1351">
        <v>151</v>
      </c>
      <c r="C164" s="1304">
        <v>86</v>
      </c>
      <c r="D164" s="1352">
        <v>2.08</v>
      </c>
      <c r="E164" s="1304">
        <v>114583.33</v>
      </c>
      <c r="F164" s="1307">
        <f t="shared" si="29"/>
        <v>114583.33</v>
      </c>
      <c r="G164" s="1304"/>
      <c r="H164" s="1304"/>
      <c r="I164" s="1304"/>
      <c r="J164" s="1304">
        <f t="shared" si="30"/>
        <v>22916.666000000001</v>
      </c>
      <c r="K164" s="1304" t="s">
        <v>1236</v>
      </c>
      <c r="L164" s="1353">
        <f t="shared" si="31"/>
        <v>0</v>
      </c>
      <c r="M164" s="1363"/>
      <c r="N164" s="1363"/>
      <c r="O164" s="1363"/>
      <c r="P164" s="1363"/>
      <c r="Q164" s="1363"/>
      <c r="R164" s="1363"/>
      <c r="S164" s="1363"/>
      <c r="T164" s="1363"/>
      <c r="U164" s="1363"/>
      <c r="V164" s="1320"/>
      <c r="W164" s="1320"/>
    </row>
    <row r="165" spans="1:23">
      <c r="A165" s="1327"/>
      <c r="B165" s="1351">
        <v>152</v>
      </c>
      <c r="C165" s="1304">
        <v>97</v>
      </c>
      <c r="D165" s="1352">
        <v>30.08</v>
      </c>
      <c r="E165" s="1304">
        <v>25000</v>
      </c>
      <c r="F165" s="1307">
        <f t="shared" si="29"/>
        <v>25000</v>
      </c>
      <c r="G165" s="1304"/>
      <c r="H165" s="1304"/>
      <c r="I165" s="1304"/>
      <c r="J165" s="1304">
        <f t="shared" si="30"/>
        <v>5000</v>
      </c>
      <c r="K165" s="1304" t="s">
        <v>1236</v>
      </c>
      <c r="L165" s="1353">
        <f t="shared" si="31"/>
        <v>0</v>
      </c>
      <c r="M165" s="1363"/>
      <c r="N165" s="1363"/>
      <c r="O165" s="1363"/>
      <c r="P165" s="1363"/>
      <c r="Q165" s="1363"/>
      <c r="R165" s="1363"/>
      <c r="S165" s="1363"/>
      <c r="T165" s="1363"/>
      <c r="U165" s="1363"/>
      <c r="V165" s="1320"/>
      <c r="W165" s="1320"/>
    </row>
    <row r="166" spans="1:23">
      <c r="A166" s="1327"/>
      <c r="B166" s="1351">
        <v>153</v>
      </c>
      <c r="C166" s="1920" t="s">
        <v>180</v>
      </c>
      <c r="D166" s="1921"/>
      <c r="E166" s="1306">
        <f>SUM(E146:E165)</f>
        <v>6229179.8799999999</v>
      </c>
      <c r="F166" s="1306">
        <f t="shared" ref="F166:L166" si="33">SUM(F146:F165)</f>
        <v>6229179.8799999999</v>
      </c>
      <c r="G166" s="1306">
        <f t="shared" si="33"/>
        <v>0</v>
      </c>
      <c r="H166" s="1306">
        <f t="shared" si="33"/>
        <v>0</v>
      </c>
      <c r="I166" s="1306">
        <f t="shared" si="33"/>
        <v>0</v>
      </c>
      <c r="J166" s="1306">
        <f t="shared" si="33"/>
        <v>1245835.976</v>
      </c>
      <c r="K166" s="1306">
        <f t="shared" si="33"/>
        <v>0</v>
      </c>
      <c r="L166" s="1539">
        <f t="shared" si="33"/>
        <v>0</v>
      </c>
      <c r="M166" s="1363"/>
      <c r="N166" s="1363"/>
      <c r="O166" s="1363"/>
      <c r="P166" s="1363"/>
      <c r="Q166" s="1363"/>
      <c r="R166" s="1363"/>
      <c r="S166" s="1363"/>
      <c r="T166" s="1363"/>
      <c r="U166" s="1363"/>
      <c r="V166" s="1320"/>
      <c r="W166" s="1320"/>
    </row>
    <row r="167" spans="1:23">
      <c r="A167" s="1327"/>
      <c r="B167" s="1351">
        <v>154</v>
      </c>
      <c r="C167" s="1304">
        <v>102</v>
      </c>
      <c r="D167" s="1352">
        <v>2.09</v>
      </c>
      <c r="E167" s="1304">
        <v>26250</v>
      </c>
      <c r="F167" s="1307">
        <f t="shared" si="29"/>
        <v>26250</v>
      </c>
      <c r="G167" s="1304"/>
      <c r="H167" s="1304"/>
      <c r="I167" s="1304"/>
      <c r="J167" s="1304">
        <f t="shared" si="30"/>
        <v>5250</v>
      </c>
      <c r="K167" s="1304" t="s">
        <v>1236</v>
      </c>
      <c r="L167" s="1353">
        <f t="shared" si="31"/>
        <v>0</v>
      </c>
      <c r="M167" s="1363"/>
      <c r="N167" s="1363"/>
      <c r="O167" s="1363"/>
      <c r="P167" s="1363"/>
      <c r="Q167" s="1363"/>
      <c r="R167" s="1363"/>
      <c r="S167" s="1363"/>
      <c r="T167" s="1363"/>
      <c r="U167" s="1363"/>
      <c r="V167" s="1320"/>
      <c r="W167" s="1320"/>
    </row>
    <row r="168" spans="1:23">
      <c r="A168" s="1327"/>
      <c r="B168" s="1351">
        <v>155</v>
      </c>
      <c r="C168" s="1304">
        <v>102</v>
      </c>
      <c r="D168" s="1352">
        <v>26.09</v>
      </c>
      <c r="E168" s="1304">
        <v>54600</v>
      </c>
      <c r="F168" s="1307">
        <f t="shared" si="29"/>
        <v>54600</v>
      </c>
      <c r="G168" s="1304"/>
      <c r="H168" s="1304"/>
      <c r="I168" s="1304"/>
      <c r="J168" s="1304">
        <f t="shared" si="30"/>
        <v>10920</v>
      </c>
      <c r="K168" s="1304" t="s">
        <v>1692</v>
      </c>
      <c r="L168" s="1353">
        <f t="shared" si="31"/>
        <v>0</v>
      </c>
      <c r="M168" s="1363"/>
      <c r="N168" s="1363"/>
      <c r="O168" s="1363"/>
      <c r="P168" s="1363"/>
      <c r="Q168" s="1363"/>
      <c r="R168" s="1363"/>
      <c r="S168" s="1363"/>
      <c r="T168" s="1363"/>
      <c r="U168" s="1363"/>
      <c r="V168" s="1320"/>
      <c r="W168" s="1320"/>
    </row>
    <row r="169" spans="1:23">
      <c r="A169" s="1327"/>
      <c r="B169" s="1351">
        <v>156</v>
      </c>
      <c r="C169" s="1304">
        <v>2490</v>
      </c>
      <c r="D169" s="1352">
        <v>26.09</v>
      </c>
      <c r="E169" s="1304">
        <v>208333</v>
      </c>
      <c r="F169" s="1307">
        <f t="shared" si="29"/>
        <v>208333</v>
      </c>
      <c r="G169" s="1304"/>
      <c r="H169" s="1304"/>
      <c r="I169" s="1304"/>
      <c r="J169" s="1304">
        <f t="shared" si="30"/>
        <v>41666.600000000006</v>
      </c>
      <c r="K169" s="1304" t="s">
        <v>1253</v>
      </c>
      <c r="L169" s="1353">
        <f t="shared" si="31"/>
        <v>0</v>
      </c>
      <c r="M169" s="1363"/>
      <c r="N169" s="1363"/>
      <c r="O169" s="1363"/>
      <c r="P169" s="1363"/>
      <c r="Q169" s="1363"/>
      <c r="R169" s="1363"/>
      <c r="S169" s="1363"/>
      <c r="T169" s="1363"/>
      <c r="U169" s="1363"/>
      <c r="V169" s="1320"/>
      <c r="W169" s="1320"/>
    </row>
    <row r="170" spans="1:23">
      <c r="A170" s="1327"/>
      <c r="B170" s="1351">
        <v>157</v>
      </c>
      <c r="C170" s="1304">
        <v>554</v>
      </c>
      <c r="D170" s="1352">
        <v>23.09</v>
      </c>
      <c r="E170" s="1304">
        <v>93450</v>
      </c>
      <c r="F170" s="1307">
        <f t="shared" si="29"/>
        <v>93450</v>
      </c>
      <c r="G170" s="1304"/>
      <c r="H170" s="1304"/>
      <c r="I170" s="1304"/>
      <c r="J170" s="1304">
        <f t="shared" si="30"/>
        <v>18690</v>
      </c>
      <c r="K170" s="1304" t="s">
        <v>1693</v>
      </c>
      <c r="L170" s="1353">
        <f t="shared" si="31"/>
        <v>0</v>
      </c>
      <c r="M170" s="1363"/>
      <c r="N170" s="1363"/>
      <c r="O170" s="1363"/>
      <c r="P170" s="1363"/>
      <c r="Q170" s="1363"/>
      <c r="R170" s="1363"/>
      <c r="S170" s="1363"/>
      <c r="T170" s="1363"/>
      <c r="U170" s="1363"/>
      <c r="V170" s="1320"/>
      <c r="W170" s="1320"/>
    </row>
    <row r="171" spans="1:23">
      <c r="A171" s="1327"/>
      <c r="B171" s="1351">
        <v>158</v>
      </c>
      <c r="C171" s="1304">
        <v>688</v>
      </c>
      <c r="D171" s="1352">
        <v>19.09</v>
      </c>
      <c r="E171" s="1304">
        <v>247000</v>
      </c>
      <c r="F171" s="1307">
        <f t="shared" si="29"/>
        <v>247000</v>
      </c>
      <c r="G171" s="1304"/>
      <c r="H171" s="1304"/>
      <c r="I171" s="1304"/>
      <c r="J171" s="1304">
        <f t="shared" si="30"/>
        <v>49400</v>
      </c>
      <c r="K171" s="1304" t="s">
        <v>1923</v>
      </c>
      <c r="L171" s="1353">
        <f t="shared" si="31"/>
        <v>0</v>
      </c>
      <c r="M171" s="1363"/>
      <c r="N171" s="1363"/>
      <c r="O171" s="1363"/>
      <c r="P171" s="1363"/>
      <c r="Q171" s="1363"/>
      <c r="R171" s="1363"/>
      <c r="S171" s="1363"/>
      <c r="T171" s="1363"/>
      <c r="U171" s="1363"/>
      <c r="V171" s="1320"/>
      <c r="W171" s="1320"/>
    </row>
    <row r="172" spans="1:23">
      <c r="A172" s="1327"/>
      <c r="B172" s="1351">
        <v>159</v>
      </c>
      <c r="C172" s="1304">
        <v>23</v>
      </c>
      <c r="D172" s="1352">
        <v>5.07</v>
      </c>
      <c r="E172" s="1304">
        <v>72000</v>
      </c>
      <c r="F172" s="1307">
        <f t="shared" si="29"/>
        <v>72000</v>
      </c>
      <c r="G172" s="1304"/>
      <c r="H172" s="1304"/>
      <c r="I172" s="1304"/>
      <c r="J172" s="1304">
        <f t="shared" si="30"/>
        <v>14400</v>
      </c>
      <c r="K172" s="1304" t="s">
        <v>1924</v>
      </c>
      <c r="L172" s="1353">
        <f t="shared" si="31"/>
        <v>0</v>
      </c>
      <c r="M172" s="1363"/>
      <c r="N172" s="1363"/>
      <c r="O172" s="1363"/>
      <c r="P172" s="1363"/>
      <c r="Q172" s="1363"/>
      <c r="R172" s="1363"/>
      <c r="S172" s="1363"/>
      <c r="T172" s="1363"/>
      <c r="U172" s="1363"/>
      <c r="V172" s="1320"/>
      <c r="W172" s="1320"/>
    </row>
    <row r="173" spans="1:23">
      <c r="A173" s="1327"/>
      <c r="B173" s="1351">
        <v>160</v>
      </c>
      <c r="C173" s="1304">
        <v>484</v>
      </c>
      <c r="D173" s="1352">
        <v>9.09</v>
      </c>
      <c r="E173" s="1304">
        <v>80000</v>
      </c>
      <c r="F173" s="1307">
        <f t="shared" si="29"/>
        <v>80000</v>
      </c>
      <c r="G173" s="1304"/>
      <c r="H173" s="1304"/>
      <c r="I173" s="1304"/>
      <c r="J173" s="1304">
        <f t="shared" si="30"/>
        <v>16000</v>
      </c>
      <c r="K173" s="1304" t="s">
        <v>1230</v>
      </c>
      <c r="L173" s="1353">
        <f t="shared" si="31"/>
        <v>0</v>
      </c>
      <c r="M173" s="1363"/>
      <c r="N173" s="1363"/>
      <c r="O173" s="1363"/>
      <c r="P173" s="1363"/>
      <c r="Q173" s="1363"/>
      <c r="R173" s="1363"/>
      <c r="S173" s="1363"/>
      <c r="T173" s="1363"/>
      <c r="U173" s="1363"/>
      <c r="V173" s="1320"/>
      <c r="W173" s="1320"/>
    </row>
    <row r="174" spans="1:23">
      <c r="A174" s="1327"/>
      <c r="B174" s="1351">
        <v>161</v>
      </c>
      <c r="C174" s="1304">
        <v>12</v>
      </c>
      <c r="D174" s="1352">
        <v>16.09</v>
      </c>
      <c r="E174" s="1304">
        <v>179166</v>
      </c>
      <c r="F174" s="1307">
        <f t="shared" si="29"/>
        <v>179166</v>
      </c>
      <c r="G174" s="1304"/>
      <c r="H174" s="1304"/>
      <c r="I174" s="1304"/>
      <c r="J174" s="1304">
        <f t="shared" si="30"/>
        <v>35833.200000000004</v>
      </c>
      <c r="K174" s="1304" t="s">
        <v>1925</v>
      </c>
      <c r="L174" s="1353">
        <f t="shared" si="31"/>
        <v>0</v>
      </c>
      <c r="M174" s="1363"/>
      <c r="N174" s="1363"/>
      <c r="O174" s="1363"/>
      <c r="P174" s="1363"/>
      <c r="Q174" s="1363"/>
      <c r="R174" s="1363"/>
      <c r="S174" s="1363"/>
      <c r="T174" s="1363"/>
      <c r="U174" s="1363"/>
      <c r="V174" s="1320"/>
      <c r="W174" s="1320"/>
    </row>
    <row r="175" spans="1:23">
      <c r="A175" s="1327"/>
      <c r="B175" s="1351">
        <v>162</v>
      </c>
      <c r="C175" s="1304">
        <v>413</v>
      </c>
      <c r="D175" s="1352">
        <v>17.09</v>
      </c>
      <c r="E175" s="1304">
        <v>54000</v>
      </c>
      <c r="F175" s="1307">
        <f t="shared" si="29"/>
        <v>54000</v>
      </c>
      <c r="G175" s="1304"/>
      <c r="H175" s="1304"/>
      <c r="I175" s="1304"/>
      <c r="J175" s="1304">
        <f t="shared" si="30"/>
        <v>10800</v>
      </c>
      <c r="K175" s="1304" t="s">
        <v>1926</v>
      </c>
      <c r="L175" s="1353">
        <f t="shared" si="31"/>
        <v>0</v>
      </c>
      <c r="M175" s="1363"/>
      <c r="N175" s="1363"/>
      <c r="O175" s="1363"/>
      <c r="P175" s="1363"/>
      <c r="Q175" s="1363"/>
      <c r="R175" s="1363"/>
      <c r="S175" s="1363"/>
      <c r="T175" s="1363"/>
      <c r="U175" s="1363"/>
      <c r="V175" s="1320"/>
      <c r="W175" s="1320"/>
    </row>
    <row r="176" spans="1:23">
      <c r="A176" s="1327"/>
      <c r="B176" s="1351">
        <v>163</v>
      </c>
      <c r="C176" s="1304">
        <v>414</v>
      </c>
      <c r="D176" s="1352">
        <v>17.09</v>
      </c>
      <c r="E176" s="1304">
        <v>84000</v>
      </c>
      <c r="F176" s="1307">
        <f t="shared" si="29"/>
        <v>84000</v>
      </c>
      <c r="G176" s="1304"/>
      <c r="H176" s="1304"/>
      <c r="I176" s="1304"/>
      <c r="J176" s="1304">
        <f t="shared" si="30"/>
        <v>16800</v>
      </c>
      <c r="K176" s="1304" t="s">
        <v>1272</v>
      </c>
      <c r="L176" s="1353">
        <f t="shared" si="31"/>
        <v>0</v>
      </c>
      <c r="M176" s="1363"/>
      <c r="N176" s="1363"/>
      <c r="O176" s="1363"/>
      <c r="P176" s="1363"/>
      <c r="Q176" s="1363"/>
      <c r="R176" s="1363"/>
      <c r="S176" s="1363"/>
      <c r="T176" s="1363"/>
      <c r="U176" s="1363"/>
      <c r="V176" s="1320"/>
      <c r="W176" s="1320"/>
    </row>
    <row r="177" spans="1:23">
      <c r="A177" s="1327"/>
      <c r="B177" s="1351">
        <v>164</v>
      </c>
      <c r="C177" s="1304">
        <v>2831</v>
      </c>
      <c r="D177" s="1352">
        <v>4.09</v>
      </c>
      <c r="E177" s="1304">
        <v>128026</v>
      </c>
      <c r="F177" s="1307">
        <f t="shared" si="29"/>
        <v>128026</v>
      </c>
      <c r="G177" s="1304"/>
      <c r="H177" s="1304"/>
      <c r="I177" s="1304"/>
      <c r="J177" s="1304">
        <f t="shared" si="30"/>
        <v>25605.200000000001</v>
      </c>
      <c r="K177" s="1304" t="s">
        <v>965</v>
      </c>
      <c r="L177" s="1353">
        <f t="shared" si="31"/>
        <v>0</v>
      </c>
      <c r="M177" s="1363"/>
      <c r="N177" s="1363"/>
      <c r="O177" s="1363"/>
      <c r="P177" s="1363"/>
      <c r="Q177" s="1363"/>
      <c r="R177" s="1363"/>
      <c r="S177" s="1363"/>
      <c r="T177" s="1363"/>
      <c r="U177" s="1363"/>
      <c r="V177" s="1320"/>
      <c r="W177" s="1320"/>
    </row>
    <row r="178" spans="1:23">
      <c r="A178" s="1327"/>
      <c r="B178" s="1351">
        <v>165</v>
      </c>
      <c r="C178" s="1304">
        <v>2838</v>
      </c>
      <c r="D178" s="1352">
        <v>4.09</v>
      </c>
      <c r="E178" s="1304">
        <v>187200</v>
      </c>
      <c r="F178" s="1307">
        <f t="shared" si="29"/>
        <v>187200</v>
      </c>
      <c r="G178" s="1304"/>
      <c r="H178" s="1304"/>
      <c r="I178" s="1304"/>
      <c r="J178" s="1304">
        <f t="shared" si="30"/>
        <v>37440</v>
      </c>
      <c r="K178" s="1304" t="s">
        <v>965</v>
      </c>
      <c r="L178" s="1353">
        <f t="shared" si="31"/>
        <v>0</v>
      </c>
      <c r="M178" s="1363"/>
      <c r="N178" s="1363"/>
      <c r="O178" s="1363"/>
      <c r="P178" s="1363"/>
      <c r="Q178" s="1363"/>
      <c r="R178" s="1363"/>
      <c r="S178" s="1363"/>
      <c r="T178" s="1363"/>
      <c r="U178" s="1363"/>
      <c r="V178" s="1320"/>
      <c r="W178" s="1320"/>
    </row>
    <row r="179" spans="1:23">
      <c r="A179" s="1327"/>
      <c r="B179" s="1351">
        <v>166</v>
      </c>
      <c r="C179" s="1304">
        <v>2847</v>
      </c>
      <c r="D179" s="1352">
        <v>5.09</v>
      </c>
      <c r="E179" s="1304">
        <v>128026</v>
      </c>
      <c r="F179" s="1307">
        <f t="shared" si="29"/>
        <v>128026</v>
      </c>
      <c r="G179" s="1304"/>
      <c r="H179" s="1304"/>
      <c r="I179" s="1304"/>
      <c r="J179" s="1304">
        <f t="shared" si="30"/>
        <v>25605.200000000001</v>
      </c>
      <c r="K179" s="1304" t="s">
        <v>965</v>
      </c>
      <c r="L179" s="1353">
        <f t="shared" si="31"/>
        <v>0</v>
      </c>
      <c r="M179" s="1363"/>
      <c r="N179" s="1363"/>
      <c r="O179" s="1363"/>
      <c r="P179" s="1363"/>
      <c r="Q179" s="1363"/>
      <c r="R179" s="1363"/>
      <c r="S179" s="1363"/>
      <c r="T179" s="1363"/>
      <c r="U179" s="1363"/>
      <c r="V179" s="1320"/>
      <c r="W179" s="1320"/>
    </row>
    <row r="180" spans="1:23">
      <c r="A180" s="1327"/>
      <c r="B180" s="1351">
        <v>167</v>
      </c>
      <c r="C180" s="1304">
        <v>2852</v>
      </c>
      <c r="D180" s="1352">
        <v>5.09</v>
      </c>
      <c r="E180" s="1304">
        <v>138694</v>
      </c>
      <c r="F180" s="1307">
        <f t="shared" si="29"/>
        <v>138694</v>
      </c>
      <c r="G180" s="1304"/>
      <c r="H180" s="1304"/>
      <c r="I180" s="1304"/>
      <c r="J180" s="1304">
        <f t="shared" si="30"/>
        <v>27738.800000000003</v>
      </c>
      <c r="K180" s="1304" t="s">
        <v>965</v>
      </c>
      <c r="L180" s="1353">
        <f t="shared" si="31"/>
        <v>0</v>
      </c>
      <c r="M180" s="1363"/>
      <c r="N180" s="1363"/>
      <c r="O180" s="1363"/>
      <c r="P180" s="1363"/>
      <c r="Q180" s="1363"/>
      <c r="R180" s="1363"/>
      <c r="S180" s="1363"/>
      <c r="T180" s="1363"/>
      <c r="U180" s="1363"/>
      <c r="V180" s="1320"/>
      <c r="W180" s="1320"/>
    </row>
    <row r="181" spans="1:23">
      <c r="A181" s="1327"/>
      <c r="B181" s="1351">
        <v>168</v>
      </c>
      <c r="C181" s="1304">
        <v>2875</v>
      </c>
      <c r="D181" s="1352">
        <v>7.09</v>
      </c>
      <c r="E181" s="1304">
        <v>187200</v>
      </c>
      <c r="F181" s="1307">
        <f t="shared" si="29"/>
        <v>187200</v>
      </c>
      <c r="G181" s="1304"/>
      <c r="H181" s="1304"/>
      <c r="I181" s="1304"/>
      <c r="J181" s="1304">
        <f t="shared" si="30"/>
        <v>37440</v>
      </c>
      <c r="K181" s="1304" t="s">
        <v>965</v>
      </c>
      <c r="L181" s="1353">
        <f t="shared" si="31"/>
        <v>0</v>
      </c>
      <c r="M181" s="1363"/>
      <c r="N181" s="1363"/>
      <c r="O181" s="1363"/>
      <c r="P181" s="1363"/>
      <c r="Q181" s="1363"/>
      <c r="R181" s="1363"/>
      <c r="S181" s="1363"/>
      <c r="T181" s="1363"/>
      <c r="U181" s="1363"/>
      <c r="V181" s="1320"/>
      <c r="W181" s="1320"/>
    </row>
    <row r="182" spans="1:23">
      <c r="A182" s="1327"/>
      <c r="B182" s="1351">
        <v>169</v>
      </c>
      <c r="C182" s="1304">
        <v>2876</v>
      </c>
      <c r="D182" s="1352">
        <v>7.09</v>
      </c>
      <c r="E182" s="1304">
        <v>138694</v>
      </c>
      <c r="F182" s="1307">
        <f t="shared" si="29"/>
        <v>138694</v>
      </c>
      <c r="G182" s="1304"/>
      <c r="H182" s="1304"/>
      <c r="I182" s="1304"/>
      <c r="J182" s="1304">
        <f t="shared" si="30"/>
        <v>27738.800000000003</v>
      </c>
      <c r="K182" s="1304" t="s">
        <v>965</v>
      </c>
      <c r="L182" s="1353">
        <f t="shared" si="31"/>
        <v>0</v>
      </c>
      <c r="M182" s="1363"/>
      <c r="N182" s="1363"/>
      <c r="O182" s="1363"/>
      <c r="P182" s="1363"/>
      <c r="Q182" s="1363"/>
      <c r="R182" s="1363"/>
      <c r="S182" s="1363"/>
      <c r="T182" s="1363"/>
      <c r="U182" s="1363"/>
      <c r="V182" s="1320"/>
      <c r="W182" s="1320"/>
    </row>
    <row r="183" spans="1:23">
      <c r="A183" s="1327"/>
      <c r="B183" s="1351">
        <v>170</v>
      </c>
      <c r="C183" s="1920" t="s">
        <v>181</v>
      </c>
      <c r="D183" s="1921"/>
      <c r="E183" s="1306">
        <f>SUM(E167:E182)</f>
        <v>2006639</v>
      </c>
      <c r="F183" s="1306">
        <f t="shared" ref="F183:L183" si="34">SUM(F167:F182)</f>
        <v>2006639</v>
      </c>
      <c r="G183" s="1306">
        <f t="shared" si="34"/>
        <v>0</v>
      </c>
      <c r="H183" s="1306">
        <f t="shared" si="34"/>
        <v>0</v>
      </c>
      <c r="I183" s="1306">
        <f t="shared" si="34"/>
        <v>0</v>
      </c>
      <c r="J183" s="1306">
        <f t="shared" si="34"/>
        <v>401327.8</v>
      </c>
      <c r="K183" s="1306">
        <f t="shared" si="34"/>
        <v>0</v>
      </c>
      <c r="L183" s="1539">
        <f t="shared" si="34"/>
        <v>0</v>
      </c>
      <c r="M183" s="1365"/>
      <c r="N183" s="1363"/>
      <c r="O183" s="1363"/>
      <c r="P183" s="1363"/>
      <c r="Q183" s="1363"/>
      <c r="R183" s="1363"/>
      <c r="S183" s="1363"/>
      <c r="T183" s="1363"/>
      <c r="U183" s="1363"/>
      <c r="V183" s="1320"/>
      <c r="W183" s="1320"/>
    </row>
    <row r="184" spans="1:23">
      <c r="A184" s="1327"/>
      <c r="B184" s="1351">
        <v>171</v>
      </c>
      <c r="C184" s="1304">
        <v>9746</v>
      </c>
      <c r="D184" s="1352">
        <v>15.1</v>
      </c>
      <c r="E184" s="1304">
        <f>1312126+145356+271407</f>
        <v>1728889</v>
      </c>
      <c r="F184" s="1307">
        <f>12217.09*140.95</f>
        <v>1721998.8354999998</v>
      </c>
      <c r="G184" s="1304">
        <v>0</v>
      </c>
      <c r="H184" s="1304"/>
      <c r="I184" s="1304"/>
      <c r="J184" s="1304">
        <f t="shared" si="30"/>
        <v>345777.80000000005</v>
      </c>
      <c r="K184" s="1304" t="s">
        <v>1934</v>
      </c>
      <c r="L184" s="1353">
        <f t="shared" si="31"/>
        <v>6890.1645000001881</v>
      </c>
      <c r="N184" s="1363"/>
      <c r="O184" s="1363"/>
      <c r="P184" s="1363"/>
      <c r="Q184" s="1363"/>
      <c r="R184" s="1363"/>
      <c r="S184" s="1363"/>
      <c r="T184" s="1363"/>
      <c r="U184" s="1363"/>
      <c r="V184" s="1320"/>
      <c r="W184" s="1320"/>
    </row>
    <row r="185" spans="1:23">
      <c r="A185" s="1327"/>
      <c r="B185" s="1351">
        <v>172</v>
      </c>
      <c r="C185" s="1304">
        <v>9737</v>
      </c>
      <c r="D185" s="1352">
        <v>15.1</v>
      </c>
      <c r="E185" s="1304">
        <f>349447+410700</f>
        <v>760147</v>
      </c>
      <c r="F185" s="1307">
        <f>5295.91*140.95</f>
        <v>746458.51449999993</v>
      </c>
      <c r="G185" s="1304"/>
      <c r="H185" s="1304"/>
      <c r="I185" s="1304"/>
      <c r="J185" s="1304">
        <f t="shared" si="30"/>
        <v>152029.4</v>
      </c>
      <c r="K185" s="1304" t="s">
        <v>1934</v>
      </c>
      <c r="L185" s="1353">
        <f t="shared" si="31"/>
        <v>13688.485500000068</v>
      </c>
      <c r="M185" s="1363"/>
      <c r="N185" s="1363"/>
      <c r="O185" s="1363"/>
      <c r="P185" s="1363"/>
      <c r="Q185" s="1363"/>
      <c r="R185" s="1363"/>
      <c r="S185" s="1363"/>
      <c r="T185" s="1363"/>
      <c r="U185" s="1363"/>
      <c r="V185" s="1320"/>
      <c r="W185" s="1320"/>
    </row>
    <row r="186" spans="1:23">
      <c r="A186" s="1327"/>
      <c r="B186" s="1351">
        <v>173</v>
      </c>
      <c r="C186" s="1304">
        <v>9734</v>
      </c>
      <c r="D186" s="1352">
        <v>15.1</v>
      </c>
      <c r="E186" s="1304">
        <f>834638+148106+150406</f>
        <v>1133150</v>
      </c>
      <c r="F186" s="1307">
        <f>7969.5*140.95</f>
        <v>1123301.0249999999</v>
      </c>
      <c r="G186" s="1304"/>
      <c r="H186" s="1304"/>
      <c r="I186" s="1304"/>
      <c r="J186" s="1304">
        <f t="shared" si="30"/>
        <v>226630</v>
      </c>
      <c r="K186" s="1304" t="s">
        <v>1764</v>
      </c>
      <c r="L186" s="1353">
        <f t="shared" si="31"/>
        <v>9848.9750000000931</v>
      </c>
      <c r="M186" s="1320"/>
      <c r="N186" s="1320"/>
      <c r="O186" s="1320"/>
      <c r="P186" s="1320"/>
      <c r="Q186" s="1320"/>
      <c r="R186" s="1320"/>
      <c r="S186" s="1320"/>
      <c r="T186" s="1320"/>
      <c r="U186" s="1320"/>
      <c r="V186" s="1320"/>
      <c r="W186" s="1320"/>
    </row>
    <row r="187" spans="1:23" ht="13.5" customHeight="1">
      <c r="A187" s="1327"/>
      <c r="B187" s="1351">
        <v>174</v>
      </c>
      <c r="C187" s="1304">
        <v>9751</v>
      </c>
      <c r="D187" s="1352">
        <v>15.1</v>
      </c>
      <c r="E187" s="1304">
        <f>381263+187472+1035050</f>
        <v>1603785</v>
      </c>
      <c r="F187" s="1307">
        <f>10955.85*140.95</f>
        <v>1544227.0574999999</v>
      </c>
      <c r="G187" s="1304">
        <v>0</v>
      </c>
      <c r="H187" s="1304"/>
      <c r="I187" s="1304"/>
      <c r="J187" s="1304">
        <f t="shared" si="30"/>
        <v>320757</v>
      </c>
      <c r="K187" s="1304" t="s">
        <v>1280</v>
      </c>
      <c r="L187" s="1353">
        <f t="shared" si="31"/>
        <v>59557.942500000121</v>
      </c>
      <c r="M187" s="1320"/>
      <c r="N187" s="1320"/>
      <c r="O187" s="1320"/>
      <c r="P187" s="1320"/>
      <c r="Q187" s="1320"/>
      <c r="R187" s="1320"/>
      <c r="S187" s="1320"/>
      <c r="T187" s="1320"/>
      <c r="U187" s="1320"/>
      <c r="V187" s="1320"/>
      <c r="W187" s="1320"/>
    </row>
    <row r="188" spans="1:23">
      <c r="A188" s="1327"/>
      <c r="B188" s="1351">
        <v>175</v>
      </c>
      <c r="C188" s="1304">
        <v>9755</v>
      </c>
      <c r="D188" s="1352">
        <v>15.1</v>
      </c>
      <c r="E188" s="1304">
        <f>1697555+136917+760550</f>
        <v>2595022</v>
      </c>
      <c r="F188" s="1307">
        <f>18237.46*140.95</f>
        <v>2570569.9869999997</v>
      </c>
      <c r="G188" s="1304">
        <v>0</v>
      </c>
      <c r="H188" s="1304"/>
      <c r="I188" s="1304"/>
      <c r="J188" s="1304">
        <f t="shared" si="30"/>
        <v>519004.4</v>
      </c>
      <c r="K188" s="1304" t="s">
        <v>1234</v>
      </c>
      <c r="L188" s="1353">
        <f t="shared" si="31"/>
        <v>24452.013000000268</v>
      </c>
      <c r="M188" s="1320"/>
      <c r="N188" s="1320"/>
      <c r="O188" s="1408"/>
      <c r="P188" s="1408"/>
      <c r="Q188" s="1408"/>
      <c r="R188" s="1408"/>
      <c r="S188" s="1408"/>
      <c r="T188" s="1408"/>
      <c r="U188" s="1408"/>
      <c r="V188" s="1408"/>
      <c r="W188" s="1408"/>
    </row>
    <row r="189" spans="1:23">
      <c r="A189" s="1327"/>
      <c r="B189" s="1351">
        <v>176</v>
      </c>
      <c r="C189" s="1304">
        <v>882</v>
      </c>
      <c r="D189" s="1352">
        <v>1.1000000000000001</v>
      </c>
      <c r="E189" s="1304">
        <v>248192</v>
      </c>
      <c r="F189" s="1307">
        <f t="shared" si="29"/>
        <v>248192</v>
      </c>
      <c r="G189" s="1304"/>
      <c r="H189" s="1304"/>
      <c r="I189" s="1304"/>
      <c r="J189" s="1304">
        <f t="shared" si="30"/>
        <v>49638.400000000001</v>
      </c>
      <c r="K189" s="1304" t="s">
        <v>1228</v>
      </c>
      <c r="L189" s="1353">
        <f t="shared" si="31"/>
        <v>0</v>
      </c>
      <c r="M189" s="1320"/>
      <c r="N189" s="1320"/>
      <c r="O189" s="1320"/>
      <c r="P189" s="1320"/>
      <c r="Q189" s="1320"/>
      <c r="R189" s="1320"/>
      <c r="S189" s="1320"/>
      <c r="T189" s="1320"/>
      <c r="U189" s="1320"/>
      <c r="V189" s="1320"/>
      <c r="W189" s="1320"/>
    </row>
    <row r="190" spans="1:23">
      <c r="A190" s="1327"/>
      <c r="B190" s="1351">
        <v>177</v>
      </c>
      <c r="C190" s="1304">
        <v>2835</v>
      </c>
      <c r="D190" s="1352">
        <v>26.1</v>
      </c>
      <c r="E190" s="1304">
        <v>236300</v>
      </c>
      <c r="F190" s="1307">
        <f t="shared" si="29"/>
        <v>236300</v>
      </c>
      <c r="G190" s="1304"/>
      <c r="H190" s="1304"/>
      <c r="I190" s="1304"/>
      <c r="J190" s="1304">
        <f t="shared" si="30"/>
        <v>47260</v>
      </c>
      <c r="K190" s="1304" t="s">
        <v>1261</v>
      </c>
      <c r="L190" s="1353">
        <f t="shared" si="31"/>
        <v>0</v>
      </c>
      <c r="M190" s="1320"/>
      <c r="N190" s="1320"/>
      <c r="O190" s="1320"/>
      <c r="P190" s="1320"/>
      <c r="Q190" s="1320"/>
      <c r="R190" s="1320"/>
      <c r="S190" s="1320"/>
      <c r="T190" s="1320"/>
      <c r="U190" s="1320"/>
      <c r="V190" s="1320"/>
      <c r="W190" s="1320"/>
    </row>
    <row r="191" spans="1:23">
      <c r="A191" s="1327"/>
      <c r="B191" s="1351">
        <v>178</v>
      </c>
      <c r="C191" s="1304">
        <v>18</v>
      </c>
      <c r="D191" s="1352">
        <v>18.100000000000001</v>
      </c>
      <c r="E191" s="1304">
        <v>95220</v>
      </c>
      <c r="F191" s="1307">
        <f t="shared" si="29"/>
        <v>95220</v>
      </c>
      <c r="G191" s="1304"/>
      <c r="H191" s="1304"/>
      <c r="I191" s="1304"/>
      <c r="J191" s="1304">
        <f t="shared" si="30"/>
        <v>19044</v>
      </c>
      <c r="K191" s="1304" t="s">
        <v>1935</v>
      </c>
      <c r="L191" s="1353">
        <f t="shared" si="31"/>
        <v>0</v>
      </c>
      <c r="M191" s="1320"/>
      <c r="N191" s="1320"/>
      <c r="O191" s="1320"/>
      <c r="P191" s="1320"/>
      <c r="Q191" s="1320"/>
      <c r="R191" s="1320"/>
      <c r="S191" s="1320"/>
      <c r="T191" s="1320"/>
      <c r="U191" s="1320"/>
      <c r="V191" s="1320"/>
      <c r="W191" s="1320"/>
    </row>
    <row r="192" spans="1:23">
      <c r="A192" s="1327"/>
      <c r="B192" s="1351">
        <v>179</v>
      </c>
      <c r="C192" s="1304">
        <v>666</v>
      </c>
      <c r="D192" s="1352">
        <v>8.1</v>
      </c>
      <c r="E192" s="1304">
        <v>291305</v>
      </c>
      <c r="F192" s="1307">
        <f t="shared" si="29"/>
        <v>291305</v>
      </c>
      <c r="G192" s="1304"/>
      <c r="H192" s="1304"/>
      <c r="I192" s="1304"/>
      <c r="J192" s="1304">
        <f t="shared" si="30"/>
        <v>58261</v>
      </c>
      <c r="K192" s="1304" t="s">
        <v>1234</v>
      </c>
      <c r="L192" s="1353">
        <f t="shared" si="31"/>
        <v>0</v>
      </c>
    </row>
    <row r="193" spans="1:27">
      <c r="A193" s="1327"/>
      <c r="B193" s="1351">
        <v>180</v>
      </c>
      <c r="C193" s="1304">
        <v>860</v>
      </c>
      <c r="D193" s="1352">
        <v>29.1</v>
      </c>
      <c r="E193" s="1304">
        <v>240000</v>
      </c>
      <c r="F193" s="1307">
        <f t="shared" si="29"/>
        <v>240000</v>
      </c>
      <c r="G193" s="1304"/>
      <c r="H193" s="1304"/>
      <c r="I193" s="1304"/>
      <c r="J193" s="1304">
        <f t="shared" si="30"/>
        <v>48000</v>
      </c>
      <c r="K193" s="1304" t="s">
        <v>1261</v>
      </c>
      <c r="L193" s="1353">
        <f t="shared" si="31"/>
        <v>0</v>
      </c>
    </row>
    <row r="194" spans="1:27">
      <c r="A194" s="1327"/>
      <c r="B194" s="1351">
        <v>181</v>
      </c>
      <c r="C194" s="1304">
        <v>862</v>
      </c>
      <c r="D194" s="1352">
        <v>29.1</v>
      </c>
      <c r="E194" s="1304">
        <v>232500</v>
      </c>
      <c r="F194" s="1307">
        <f t="shared" si="29"/>
        <v>232500</v>
      </c>
      <c r="G194" s="1304"/>
      <c r="H194" s="1304"/>
      <c r="I194" s="1304"/>
      <c r="J194" s="1304">
        <f t="shared" si="30"/>
        <v>46500</v>
      </c>
      <c r="K194" s="1304" t="s">
        <v>1261</v>
      </c>
      <c r="L194" s="1353">
        <f t="shared" si="31"/>
        <v>0</v>
      </c>
    </row>
    <row r="195" spans="1:27">
      <c r="A195" s="1327"/>
      <c r="B195" s="1351">
        <v>182</v>
      </c>
      <c r="C195" s="1304">
        <v>909</v>
      </c>
      <c r="D195" s="1352">
        <v>6.1</v>
      </c>
      <c r="E195" s="1304">
        <v>79355</v>
      </c>
      <c r="F195" s="1307">
        <f t="shared" si="29"/>
        <v>79355</v>
      </c>
      <c r="G195" s="1304"/>
      <c r="H195" s="1304"/>
      <c r="I195" s="1304"/>
      <c r="J195" s="1304">
        <f t="shared" si="30"/>
        <v>15871</v>
      </c>
      <c r="K195" s="1304" t="s">
        <v>1228</v>
      </c>
      <c r="L195" s="1353">
        <f t="shared" si="31"/>
        <v>0</v>
      </c>
    </row>
    <row r="196" spans="1:27">
      <c r="A196" s="1327"/>
      <c r="B196" s="1351">
        <v>183</v>
      </c>
      <c r="C196" s="1304">
        <v>948</v>
      </c>
      <c r="D196" s="1352">
        <v>15.1</v>
      </c>
      <c r="E196" s="1304">
        <v>218644</v>
      </c>
      <c r="F196" s="1307">
        <f t="shared" si="29"/>
        <v>218644</v>
      </c>
      <c r="G196" s="1304"/>
      <c r="H196" s="1304"/>
      <c r="I196" s="1304"/>
      <c r="J196" s="1304">
        <f t="shared" si="30"/>
        <v>43728.800000000003</v>
      </c>
      <c r="K196" s="1304" t="s">
        <v>1228</v>
      </c>
      <c r="L196" s="1353">
        <f t="shared" si="31"/>
        <v>0</v>
      </c>
    </row>
    <row r="197" spans="1:27">
      <c r="A197" s="1327"/>
      <c r="B197" s="1351">
        <v>184</v>
      </c>
      <c r="C197" s="1304">
        <v>590</v>
      </c>
      <c r="D197" s="1352">
        <v>25.1</v>
      </c>
      <c r="E197" s="1304">
        <v>51414</v>
      </c>
      <c r="F197" s="1307">
        <f t="shared" si="29"/>
        <v>51414</v>
      </c>
      <c r="G197" s="1304"/>
      <c r="H197" s="1304"/>
      <c r="I197" s="1304"/>
      <c r="J197" s="1304">
        <f t="shared" si="30"/>
        <v>10282.800000000001</v>
      </c>
      <c r="K197" s="1304" t="s">
        <v>1228</v>
      </c>
      <c r="L197" s="1353">
        <f t="shared" si="31"/>
        <v>0</v>
      </c>
    </row>
    <row r="198" spans="1:27">
      <c r="A198" s="1327"/>
      <c r="B198" s="1351">
        <v>185</v>
      </c>
      <c r="C198" s="1304">
        <v>7412</v>
      </c>
      <c r="D198" s="1352">
        <v>15.1</v>
      </c>
      <c r="E198" s="1304">
        <v>833333</v>
      </c>
      <c r="F198" s="1307">
        <f t="shared" ref="F198:F213" si="35">+E198</f>
        <v>833333</v>
      </c>
      <c r="G198" s="1304"/>
      <c r="H198" s="1304"/>
      <c r="I198" s="1304"/>
      <c r="J198" s="1304">
        <f t="shared" ref="J198:J213" si="36">E198*0.2</f>
        <v>166666.6</v>
      </c>
      <c r="K198" s="1304" t="s">
        <v>1906</v>
      </c>
      <c r="L198" s="1353">
        <f t="shared" ref="L198:L213" si="37">E198-(F198+G198+H198+I198)</f>
        <v>0</v>
      </c>
    </row>
    <row r="199" spans="1:27">
      <c r="A199" s="1327"/>
      <c r="B199" s="1351">
        <v>186</v>
      </c>
      <c r="C199" s="1920" t="s">
        <v>182</v>
      </c>
      <c r="D199" s="1921"/>
      <c r="E199" s="1306">
        <f>SUM(E184:E198)</f>
        <v>10347256</v>
      </c>
      <c r="F199" s="1306">
        <f t="shared" ref="F199:L199" si="38">SUM(F184:F198)</f>
        <v>10232818.419499999</v>
      </c>
      <c r="G199" s="1306">
        <f t="shared" si="38"/>
        <v>0</v>
      </c>
      <c r="H199" s="1306">
        <f t="shared" si="38"/>
        <v>0</v>
      </c>
      <c r="I199" s="1306">
        <f t="shared" si="38"/>
        <v>0</v>
      </c>
      <c r="J199" s="1306">
        <f t="shared" si="38"/>
        <v>2069451.2000000002</v>
      </c>
      <c r="K199" s="1306">
        <f t="shared" si="38"/>
        <v>0</v>
      </c>
      <c r="L199" s="1539">
        <f t="shared" si="38"/>
        <v>114437.58050000074</v>
      </c>
    </row>
    <row r="200" spans="1:27">
      <c r="A200" s="1327"/>
      <c r="B200" s="1351">
        <v>187</v>
      </c>
      <c r="C200" s="1304">
        <v>118</v>
      </c>
      <c r="D200" s="1352">
        <v>1.0900000000000001</v>
      </c>
      <c r="E200" s="1304">
        <v>31250</v>
      </c>
      <c r="F200" s="1307">
        <f t="shared" si="35"/>
        <v>31250</v>
      </c>
      <c r="G200" s="1304"/>
      <c r="H200" s="1304"/>
      <c r="I200" s="1304"/>
      <c r="J200" s="1304">
        <f t="shared" si="36"/>
        <v>6250</v>
      </c>
      <c r="K200" s="1304" t="s">
        <v>1236</v>
      </c>
      <c r="L200" s="1353">
        <f t="shared" si="37"/>
        <v>0</v>
      </c>
    </row>
    <row r="201" spans="1:27">
      <c r="A201" s="1327"/>
      <c r="B201" s="1351">
        <v>188</v>
      </c>
      <c r="C201" s="1304">
        <v>136</v>
      </c>
      <c r="D201" s="1352">
        <v>26.11</v>
      </c>
      <c r="E201" s="1304">
        <v>15000</v>
      </c>
      <c r="F201" s="1307">
        <f t="shared" si="35"/>
        <v>15000</v>
      </c>
      <c r="G201" s="1304"/>
      <c r="H201" s="1304"/>
      <c r="I201" s="1304"/>
      <c r="J201" s="1304">
        <f t="shared" si="36"/>
        <v>3000</v>
      </c>
      <c r="K201" s="1304" t="s">
        <v>1236</v>
      </c>
      <c r="L201" s="1353">
        <f t="shared" si="37"/>
        <v>0</v>
      </c>
    </row>
    <row r="202" spans="1:27">
      <c r="A202" s="1327"/>
      <c r="B202" s="1351">
        <v>189</v>
      </c>
      <c r="C202" s="1304">
        <v>476</v>
      </c>
      <c r="D202" s="1352">
        <v>7.1</v>
      </c>
      <c r="E202" s="1304">
        <v>43700</v>
      </c>
      <c r="F202" s="1307">
        <f t="shared" si="35"/>
        <v>43700</v>
      </c>
      <c r="G202" s="1304"/>
      <c r="H202" s="1304"/>
      <c r="I202" s="1304"/>
      <c r="J202" s="1304">
        <f t="shared" si="36"/>
        <v>8740</v>
      </c>
      <c r="K202" s="1304" t="s">
        <v>1272</v>
      </c>
      <c r="L202" s="1353">
        <f t="shared" si="37"/>
        <v>0</v>
      </c>
    </row>
    <row r="203" spans="1:27">
      <c r="A203" s="1327"/>
      <c r="B203" s="1351">
        <v>190</v>
      </c>
      <c r="C203" s="1304">
        <v>144</v>
      </c>
      <c r="D203" s="1352">
        <v>26.11</v>
      </c>
      <c r="E203" s="1304">
        <v>417500</v>
      </c>
      <c r="F203" s="1307">
        <f t="shared" si="35"/>
        <v>417500</v>
      </c>
      <c r="G203" s="1304"/>
      <c r="H203" s="1304"/>
      <c r="I203" s="1304"/>
      <c r="J203" s="1304">
        <f t="shared" si="36"/>
        <v>83500</v>
      </c>
      <c r="K203" s="1304" t="s">
        <v>1784</v>
      </c>
      <c r="L203" s="1353">
        <f t="shared" si="37"/>
        <v>0</v>
      </c>
    </row>
    <row r="204" spans="1:27">
      <c r="A204" s="1327"/>
      <c r="B204" s="1351">
        <v>191</v>
      </c>
      <c r="C204" s="1304">
        <v>172</v>
      </c>
      <c r="D204" s="1352">
        <v>20.100000000000001</v>
      </c>
      <c r="E204" s="1304">
        <v>249405</v>
      </c>
      <c r="F204" s="1307">
        <f t="shared" si="35"/>
        <v>249405</v>
      </c>
      <c r="G204" s="1304"/>
      <c r="H204" s="1304"/>
      <c r="I204" s="1304"/>
      <c r="J204" s="1304">
        <f t="shared" si="36"/>
        <v>49881</v>
      </c>
      <c r="K204" s="1304" t="s">
        <v>1234</v>
      </c>
      <c r="L204" s="1353">
        <f t="shared" si="37"/>
        <v>0</v>
      </c>
      <c r="O204" s="1409"/>
      <c r="P204" s="1410"/>
      <c r="Q204" s="1411"/>
      <c r="R204" s="1411"/>
      <c r="S204" s="1411"/>
      <c r="T204" s="1411"/>
      <c r="U204" s="1411"/>
      <c r="V204" s="1411"/>
      <c r="W204" s="1409"/>
      <c r="X204" s="1327"/>
      <c r="Y204" s="1327"/>
      <c r="Z204" s="1327"/>
      <c r="AA204" s="1327"/>
    </row>
    <row r="205" spans="1:27">
      <c r="A205" s="1327"/>
      <c r="B205" s="1351">
        <v>192</v>
      </c>
      <c r="C205" s="1304">
        <v>189</v>
      </c>
      <c r="D205" s="1352">
        <v>27.1</v>
      </c>
      <c r="E205" s="1304">
        <v>247205</v>
      </c>
      <c r="F205" s="1307">
        <f t="shared" si="35"/>
        <v>247205</v>
      </c>
      <c r="G205" s="1304"/>
      <c r="H205" s="1304"/>
      <c r="I205" s="1304"/>
      <c r="J205" s="1304">
        <f t="shared" si="36"/>
        <v>49441</v>
      </c>
      <c r="K205" s="1304" t="s">
        <v>1234</v>
      </c>
      <c r="L205" s="1353">
        <f t="shared" si="37"/>
        <v>0</v>
      </c>
      <c r="O205" s="1327"/>
      <c r="P205" s="1327"/>
      <c r="Q205" s="1327"/>
      <c r="R205" s="1327"/>
      <c r="S205" s="1327"/>
      <c r="T205" s="1327"/>
      <c r="U205" s="1327"/>
      <c r="V205" s="1327"/>
      <c r="W205" s="1327"/>
      <c r="X205" s="1327"/>
      <c r="Y205" s="1327"/>
      <c r="Z205" s="1327"/>
      <c r="AA205" s="1327"/>
    </row>
    <row r="206" spans="1:27">
      <c r="A206" s="1327"/>
      <c r="B206" s="1351">
        <v>193</v>
      </c>
      <c r="C206" s="1304">
        <v>536</v>
      </c>
      <c r="D206" s="1352">
        <v>7.11</v>
      </c>
      <c r="E206" s="1304">
        <v>264000</v>
      </c>
      <c r="F206" s="1307">
        <f t="shared" si="35"/>
        <v>264000</v>
      </c>
      <c r="G206" s="1304"/>
      <c r="H206" s="1304"/>
      <c r="I206" s="1304"/>
      <c r="J206" s="1304">
        <f t="shared" si="36"/>
        <v>52800</v>
      </c>
      <c r="K206" s="1304" t="s">
        <v>914</v>
      </c>
      <c r="L206" s="1353">
        <f t="shared" si="37"/>
        <v>0</v>
      </c>
    </row>
    <row r="207" spans="1:27">
      <c r="A207" s="1327"/>
      <c r="B207" s="1351">
        <v>194</v>
      </c>
      <c r="C207" s="1304">
        <v>3053</v>
      </c>
      <c r="D207" s="1352">
        <v>16.11</v>
      </c>
      <c r="E207" s="1304">
        <v>256035</v>
      </c>
      <c r="F207" s="1307">
        <f t="shared" si="35"/>
        <v>256035</v>
      </c>
      <c r="G207" s="1304"/>
      <c r="H207" s="1304"/>
      <c r="I207" s="1304"/>
      <c r="J207" s="1304">
        <f t="shared" si="36"/>
        <v>51207</v>
      </c>
      <c r="K207" s="1304" t="s">
        <v>1253</v>
      </c>
      <c r="L207" s="1353">
        <f t="shared" si="37"/>
        <v>0</v>
      </c>
    </row>
    <row r="208" spans="1:27">
      <c r="A208" s="1327"/>
      <c r="B208" s="1351">
        <v>195</v>
      </c>
      <c r="C208" s="1920" t="s">
        <v>183</v>
      </c>
      <c r="D208" s="1921"/>
      <c r="E208" s="1306">
        <f>SUM(E200:E207)</f>
        <v>1524095</v>
      </c>
      <c r="F208" s="1306">
        <f t="shared" ref="F208:L208" si="39">SUM(F200:F207)</f>
        <v>1524095</v>
      </c>
      <c r="G208" s="1306">
        <f t="shared" si="39"/>
        <v>0</v>
      </c>
      <c r="H208" s="1306">
        <f t="shared" si="39"/>
        <v>0</v>
      </c>
      <c r="I208" s="1306">
        <f t="shared" si="39"/>
        <v>0</v>
      </c>
      <c r="J208" s="1306">
        <f t="shared" si="39"/>
        <v>304819</v>
      </c>
      <c r="K208" s="1306">
        <f t="shared" si="39"/>
        <v>0</v>
      </c>
      <c r="L208" s="1539">
        <f t="shared" si="39"/>
        <v>0</v>
      </c>
    </row>
    <row r="209" spans="1:12">
      <c r="A209" s="1327"/>
      <c r="B209" s="1351">
        <v>196</v>
      </c>
      <c r="C209" s="1304">
        <v>3505</v>
      </c>
      <c r="D209" s="1352">
        <v>22.12</v>
      </c>
      <c r="E209" s="1304">
        <v>291712</v>
      </c>
      <c r="F209" s="1307">
        <f t="shared" si="35"/>
        <v>291712</v>
      </c>
      <c r="G209" s="1304"/>
      <c r="H209" s="1304"/>
      <c r="I209" s="1304"/>
      <c r="J209" s="1304">
        <f t="shared" si="36"/>
        <v>58342.400000000001</v>
      </c>
      <c r="K209" s="1304" t="s">
        <v>1253</v>
      </c>
      <c r="L209" s="1353">
        <f t="shared" si="37"/>
        <v>0</v>
      </c>
    </row>
    <row r="210" spans="1:12">
      <c r="A210" s="1327"/>
      <c r="B210" s="1351">
        <v>197</v>
      </c>
      <c r="C210" s="1304">
        <v>125</v>
      </c>
      <c r="D210" s="1352">
        <v>17.12</v>
      </c>
      <c r="E210" s="1304">
        <v>416667</v>
      </c>
      <c r="F210" s="1307">
        <f t="shared" si="35"/>
        <v>416667</v>
      </c>
      <c r="G210" s="1304"/>
      <c r="H210" s="1304"/>
      <c r="I210" s="1304"/>
      <c r="J210" s="1304">
        <f t="shared" si="36"/>
        <v>83333.400000000009</v>
      </c>
      <c r="K210" s="1304" t="s">
        <v>1948</v>
      </c>
      <c r="L210" s="1353">
        <f t="shared" si="37"/>
        <v>0</v>
      </c>
    </row>
    <row r="211" spans="1:12">
      <c r="A211" s="1327"/>
      <c r="B211" s="1351">
        <v>198</v>
      </c>
      <c r="C211" s="1304">
        <v>599</v>
      </c>
      <c r="D211" s="1352">
        <v>19.12</v>
      </c>
      <c r="E211" s="1304">
        <v>264024</v>
      </c>
      <c r="F211" s="1307">
        <f t="shared" si="35"/>
        <v>264024</v>
      </c>
      <c r="G211" s="1304"/>
      <c r="H211" s="1304"/>
      <c r="I211" s="1304"/>
      <c r="J211" s="1304">
        <f t="shared" si="36"/>
        <v>52804.800000000003</v>
      </c>
      <c r="K211" s="1304" t="s">
        <v>914</v>
      </c>
      <c r="L211" s="1353">
        <f t="shared" si="37"/>
        <v>0</v>
      </c>
    </row>
    <row r="212" spans="1:12">
      <c r="A212" s="1327"/>
      <c r="B212" s="1351">
        <v>199</v>
      </c>
      <c r="C212" s="1304"/>
      <c r="D212" s="1352">
        <v>1.1200000000000001</v>
      </c>
      <c r="E212" s="1304">
        <v>13989.097</v>
      </c>
      <c r="F212" s="1307">
        <f t="shared" si="35"/>
        <v>13989.097</v>
      </c>
      <c r="G212" s="1304"/>
      <c r="H212" s="1304"/>
      <c r="I212" s="1304"/>
      <c r="J212" s="1304">
        <f t="shared" si="36"/>
        <v>2797.8194000000003</v>
      </c>
      <c r="K212" s="1304" t="s">
        <v>1786</v>
      </c>
      <c r="L212" s="1353">
        <f t="shared" si="37"/>
        <v>0</v>
      </c>
    </row>
    <row r="213" spans="1:12">
      <c r="A213" s="1327"/>
      <c r="B213" s="1351">
        <v>200</v>
      </c>
      <c r="C213" s="1304">
        <v>176</v>
      </c>
      <c r="D213" s="1352">
        <v>4.12</v>
      </c>
      <c r="E213" s="1304">
        <v>50000</v>
      </c>
      <c r="F213" s="1307">
        <f t="shared" si="35"/>
        <v>50000</v>
      </c>
      <c r="G213" s="1304"/>
      <c r="H213" s="1304"/>
      <c r="I213" s="1304"/>
      <c r="J213" s="1304">
        <f t="shared" si="36"/>
        <v>10000</v>
      </c>
      <c r="K213" s="1304" t="s">
        <v>1286</v>
      </c>
      <c r="L213" s="1353">
        <f t="shared" si="37"/>
        <v>0</v>
      </c>
    </row>
    <row r="214" spans="1:12" ht="13.5" thickBot="1">
      <c r="A214" s="1327"/>
      <c r="B214" s="1428">
        <v>201</v>
      </c>
      <c r="C214" s="1922" t="s">
        <v>184</v>
      </c>
      <c r="D214" s="1923"/>
      <c r="E214" s="1540">
        <f>SUM(E209:E213)</f>
        <v>1036392.097</v>
      </c>
      <c r="F214" s="1540">
        <f t="shared" ref="F214:L214" si="40">SUM(F209:F213)</f>
        <v>1036392.097</v>
      </c>
      <c r="G214" s="1540">
        <f t="shared" si="40"/>
        <v>0</v>
      </c>
      <c r="H214" s="1540">
        <f t="shared" si="40"/>
        <v>0</v>
      </c>
      <c r="I214" s="1540">
        <f t="shared" si="40"/>
        <v>0</v>
      </c>
      <c r="J214" s="1540">
        <f t="shared" si="40"/>
        <v>207278.41940000004</v>
      </c>
      <c r="K214" s="1540">
        <f t="shared" si="40"/>
        <v>0</v>
      </c>
      <c r="L214" s="1541">
        <f t="shared" si="40"/>
        <v>0</v>
      </c>
    </row>
    <row r="215" spans="1:12">
      <c r="A215" s="1327"/>
      <c r="B215" s="1327"/>
    </row>
  </sheetData>
  <mergeCells count="35">
    <mergeCell ref="C56:D56"/>
    <mergeCell ref="C75:D75"/>
    <mergeCell ref="C111:D111"/>
    <mergeCell ref="W6:W7"/>
    <mergeCell ref="R30:R31"/>
    <mergeCell ref="S30:S31"/>
    <mergeCell ref="P30:P31"/>
    <mergeCell ref="Q30:Q31"/>
    <mergeCell ref="W30:W31"/>
    <mergeCell ref="V30:V31"/>
    <mergeCell ref="T30:T31"/>
    <mergeCell ref="U30:U31"/>
    <mergeCell ref="U6:U7"/>
    <mergeCell ref="V6:V7"/>
    <mergeCell ref="C145:D145"/>
    <mergeCell ref="A4:B4"/>
    <mergeCell ref="M6:M7"/>
    <mergeCell ref="N6:N7"/>
    <mergeCell ref="M30:O31"/>
    <mergeCell ref="B6:J6"/>
    <mergeCell ref="B12:B13"/>
    <mergeCell ref="M22:N22"/>
    <mergeCell ref="M20:N20"/>
    <mergeCell ref="M21:N21"/>
    <mergeCell ref="C31:D31"/>
    <mergeCell ref="M53:O53"/>
    <mergeCell ref="M37:M38"/>
    <mergeCell ref="N29:O29"/>
    <mergeCell ref="C131:D131"/>
    <mergeCell ref="C44:D44"/>
    <mergeCell ref="C183:D183"/>
    <mergeCell ref="C199:D199"/>
    <mergeCell ref="C208:D208"/>
    <mergeCell ref="C214:D214"/>
    <mergeCell ref="C166:D166"/>
  </mergeCells>
  <phoneticPr fontId="7" type="noConversion"/>
  <pageMargins left="0" right="0" top="0" bottom="0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FFCC"/>
  </sheetPr>
  <dimension ref="A1:O41"/>
  <sheetViews>
    <sheetView workbookViewId="0">
      <selection activeCell="O40" sqref="A1:O40"/>
    </sheetView>
  </sheetViews>
  <sheetFormatPr defaultRowHeight="12.75"/>
  <cols>
    <col min="1" max="1" width="2.42578125" style="687" customWidth="1"/>
    <col min="2" max="2" width="4.28515625" style="687" customWidth="1"/>
    <col min="3" max="3" width="17.85546875" style="687" customWidth="1"/>
    <col min="4" max="4" width="7.5703125" style="687" customWidth="1"/>
    <col min="5" max="5" width="11.42578125" style="361" customWidth="1"/>
    <col min="6" max="6" width="10.85546875" style="361" customWidth="1"/>
    <col min="7" max="7" width="12.42578125" style="361" customWidth="1"/>
    <col min="8" max="8" width="11.85546875" style="361" customWidth="1"/>
    <col min="9" max="9" width="6.85546875" style="361" customWidth="1"/>
    <col min="10" max="10" width="8.140625" style="361" customWidth="1"/>
    <col min="11" max="11" width="11.140625" style="361" bestFit="1" customWidth="1"/>
    <col min="12" max="12" width="9.85546875" style="361" bestFit="1" customWidth="1"/>
    <col min="13" max="13" width="9.28515625" style="361" bestFit="1" customWidth="1"/>
    <col min="14" max="15" width="11.140625" style="361" bestFit="1" customWidth="1"/>
  </cols>
  <sheetData>
    <row r="1" spans="2:15">
      <c r="B1" s="43"/>
      <c r="C1" s="43"/>
      <c r="D1" s="43"/>
      <c r="E1" s="363" t="s">
        <v>796</v>
      </c>
      <c r="F1" s="100"/>
      <c r="G1" s="100"/>
      <c r="H1" s="100"/>
      <c r="I1" s="100"/>
      <c r="J1" s="100"/>
      <c r="K1" s="100"/>
      <c r="L1" s="100"/>
      <c r="M1" s="100"/>
      <c r="N1" s="100"/>
    </row>
    <row r="2" spans="2:15">
      <c r="B2" s="52" t="s">
        <v>1955</v>
      </c>
      <c r="C2" s="43"/>
      <c r="D2" s="43" t="str">
        <f>+'Kopertina '!F4</f>
        <v>Ameti</v>
      </c>
      <c r="E2" s="100"/>
      <c r="F2" s="100"/>
      <c r="G2" s="100"/>
      <c r="H2" s="100"/>
      <c r="I2" s="100"/>
      <c r="J2" s="100"/>
      <c r="K2" s="100"/>
      <c r="L2" s="100"/>
      <c r="M2" s="100"/>
      <c r="N2" s="363"/>
    </row>
    <row r="3" spans="2:15" ht="15.75">
      <c r="B3" s="52" t="s">
        <v>491</v>
      </c>
      <c r="C3" s="43"/>
      <c r="D3" s="43" t="str">
        <f>+'Kopertina '!D44</f>
        <v>K36823207C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5" ht="13.5" thickBot="1">
      <c r="B4" s="52" t="s">
        <v>1956</v>
      </c>
      <c r="C4" s="43"/>
      <c r="D4" s="43" t="str">
        <f>+'Shenimet Shpjeg'!E10</f>
        <v>Ndertim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2:15" ht="12.75" customHeight="1">
      <c r="B5" s="313" t="s">
        <v>1</v>
      </c>
      <c r="C5" s="1212" t="s">
        <v>492</v>
      </c>
      <c r="D5" s="1950" t="s">
        <v>493</v>
      </c>
      <c r="E5" s="1945" t="s">
        <v>494</v>
      </c>
      <c r="F5" s="1947" t="s">
        <v>495</v>
      </c>
      <c r="G5" s="1948"/>
      <c r="H5" s="1949"/>
      <c r="I5" s="1945" t="s">
        <v>496</v>
      </c>
      <c r="J5" s="1945" t="s">
        <v>814</v>
      </c>
      <c r="K5" s="1945" t="s">
        <v>800</v>
      </c>
      <c r="L5" s="1945" t="s">
        <v>801</v>
      </c>
      <c r="M5" s="1945" t="s">
        <v>802</v>
      </c>
      <c r="N5" s="1956" t="s">
        <v>866</v>
      </c>
      <c r="O5" s="1952" t="s">
        <v>803</v>
      </c>
    </row>
    <row r="6" spans="2:15" ht="29.25" customHeight="1" thickBot="1">
      <c r="B6" s="314"/>
      <c r="C6" s="1213"/>
      <c r="D6" s="1951"/>
      <c r="E6" s="1946"/>
      <c r="F6" s="1232" t="s">
        <v>497</v>
      </c>
      <c r="G6" s="1232" t="s">
        <v>498</v>
      </c>
      <c r="H6" s="1232" t="s">
        <v>799</v>
      </c>
      <c r="I6" s="1946"/>
      <c r="J6" s="1946"/>
      <c r="K6" s="1946"/>
      <c r="L6" s="1946"/>
      <c r="M6" s="1946"/>
      <c r="N6" s="1957"/>
      <c r="O6" s="1953"/>
    </row>
    <row r="7" spans="2:15" ht="13.5" thickBot="1">
      <c r="B7" s="302"/>
      <c r="C7" s="303" t="s">
        <v>499</v>
      </c>
      <c r="D7" s="303" t="s">
        <v>500</v>
      </c>
      <c r="E7" s="1233">
        <v>1</v>
      </c>
      <c r="F7" s="1233">
        <v>2</v>
      </c>
      <c r="G7" s="1233">
        <v>3</v>
      </c>
      <c r="H7" s="1233" t="s">
        <v>501</v>
      </c>
      <c r="I7" s="1233">
        <v>5</v>
      </c>
      <c r="J7" s="1233">
        <v>6</v>
      </c>
      <c r="K7" s="1233" t="s">
        <v>502</v>
      </c>
      <c r="L7" s="1233" t="s">
        <v>503</v>
      </c>
      <c r="M7" s="1234">
        <v>9</v>
      </c>
      <c r="N7" s="1234" t="s">
        <v>504</v>
      </c>
      <c r="O7" s="1235" t="s">
        <v>505</v>
      </c>
    </row>
    <row r="8" spans="2:15" ht="13.5" thickBot="1">
      <c r="B8" s="1432"/>
      <c r="C8" s="1433" t="s">
        <v>797</v>
      </c>
      <c r="D8" s="1434"/>
      <c r="E8" s="1435"/>
      <c r="F8" s="1436"/>
      <c r="G8" s="1437"/>
      <c r="H8" s="1437">
        <f>E8+F8-G8</f>
        <v>0</v>
      </c>
      <c r="I8" s="1437">
        <v>0</v>
      </c>
      <c r="J8" s="1437">
        <v>0</v>
      </c>
      <c r="K8" s="1437">
        <f>E8</f>
        <v>0</v>
      </c>
      <c r="L8" s="1437">
        <v>0</v>
      </c>
      <c r="M8" s="1438">
        <v>0</v>
      </c>
      <c r="N8" s="1439">
        <v>0</v>
      </c>
      <c r="O8" s="1440">
        <f>H8</f>
        <v>0</v>
      </c>
    </row>
    <row r="9" spans="2:15" ht="13.5" thickBot="1">
      <c r="B9" s="1441">
        <v>1</v>
      </c>
      <c r="C9" s="1442" t="s">
        <v>798</v>
      </c>
      <c r="D9" s="1443"/>
      <c r="E9" s="1444">
        <f>E8</f>
        <v>0</v>
      </c>
      <c r="F9" s="1445">
        <f t="shared" ref="F9:O9" si="0">F8</f>
        <v>0</v>
      </c>
      <c r="G9" s="1445">
        <f t="shared" si="0"/>
        <v>0</v>
      </c>
      <c r="H9" s="1445">
        <f t="shared" si="0"/>
        <v>0</v>
      </c>
      <c r="I9" s="1445">
        <v>0</v>
      </c>
      <c r="J9" s="1445">
        <v>0</v>
      </c>
      <c r="K9" s="1445">
        <f t="shared" si="0"/>
        <v>0</v>
      </c>
      <c r="L9" s="1445">
        <f t="shared" si="0"/>
        <v>0</v>
      </c>
      <c r="M9" s="1445">
        <f t="shared" si="0"/>
        <v>0</v>
      </c>
      <c r="N9" s="1445">
        <f t="shared" si="0"/>
        <v>0</v>
      </c>
      <c r="O9" s="1446">
        <f t="shared" si="0"/>
        <v>0</v>
      </c>
    </row>
    <row r="10" spans="2:15">
      <c r="B10" s="1447"/>
      <c r="C10" s="1448" t="s">
        <v>824</v>
      </c>
      <c r="D10" s="1449"/>
      <c r="E10" s="1450"/>
      <c r="F10" s="1450"/>
      <c r="G10" s="1450"/>
      <c r="H10" s="1451">
        <f>E10+F10-G10</f>
        <v>0</v>
      </c>
      <c r="I10" s="1451">
        <v>5</v>
      </c>
      <c r="J10" s="1451"/>
      <c r="K10" s="1451">
        <f>E10-J10</f>
        <v>0</v>
      </c>
      <c r="L10" s="1451">
        <f>K10*I10/100+F10*I10/100/12*0</f>
        <v>0</v>
      </c>
      <c r="M10" s="1452">
        <v>0</v>
      </c>
      <c r="N10" s="1452">
        <f>J10+L10-M10</f>
        <v>0</v>
      </c>
      <c r="O10" s="1453">
        <f>H10-N10</f>
        <v>0</v>
      </c>
    </row>
    <row r="11" spans="2:15">
      <c r="B11" s="1447"/>
      <c r="C11" s="1448" t="s">
        <v>825</v>
      </c>
      <c r="D11" s="1449"/>
      <c r="E11" s="1454"/>
      <c r="F11" s="1454"/>
      <c r="G11" s="1454"/>
      <c r="H11" s="1455">
        <f>E11+F11-G11</f>
        <v>0</v>
      </c>
      <c r="I11" s="1455">
        <v>5</v>
      </c>
      <c r="J11" s="1455"/>
      <c r="K11" s="1455">
        <f>E11-J11</f>
        <v>0</v>
      </c>
      <c r="L11" s="1455">
        <f>K11*I11/100+F11*I11/100/12*0</f>
        <v>0</v>
      </c>
      <c r="M11" s="1456">
        <v>0</v>
      </c>
      <c r="N11" s="1456">
        <f>J11+L11-M11</f>
        <v>0</v>
      </c>
      <c r="O11" s="1457">
        <f>H11-N11</f>
        <v>0</v>
      </c>
    </row>
    <row r="12" spans="2:15" ht="13.5" thickBot="1">
      <c r="B12" s="1447">
        <v>2</v>
      </c>
      <c r="C12" s="1448" t="s">
        <v>826</v>
      </c>
      <c r="D12" s="1449"/>
      <c r="E12" s="1458"/>
      <c r="F12" s="1458"/>
      <c r="G12" s="1458"/>
      <c r="H12" s="1459">
        <f>E12+F12-G12</f>
        <v>0</v>
      </c>
      <c r="I12" s="1459">
        <v>5</v>
      </c>
      <c r="J12" s="1459"/>
      <c r="K12" s="1459">
        <f>E12-J12</f>
        <v>0</v>
      </c>
      <c r="L12" s="1459">
        <f>K12*I12/100+F12*I12/100/12*0</f>
        <v>0</v>
      </c>
      <c r="M12" s="1460">
        <v>0</v>
      </c>
      <c r="N12" s="1460">
        <f>J12+L12-M12</f>
        <v>0</v>
      </c>
      <c r="O12" s="1461">
        <f>H12-N12</f>
        <v>0</v>
      </c>
    </row>
    <row r="13" spans="2:15" ht="13.5" thickBot="1">
      <c r="B13" s="1441"/>
      <c r="C13" s="1462" t="s">
        <v>506</v>
      </c>
      <c r="D13" s="1463"/>
      <c r="E13" s="1464">
        <f>SUM(E10:E12)</f>
        <v>0</v>
      </c>
      <c r="F13" s="1464">
        <f t="shared" ref="F13:O13" si="1">SUM(F10:F12)</f>
        <v>0</v>
      </c>
      <c r="G13" s="1464">
        <f t="shared" si="1"/>
        <v>0</v>
      </c>
      <c r="H13" s="1464">
        <f t="shared" si="1"/>
        <v>0</v>
      </c>
      <c r="I13" s="1464"/>
      <c r="J13" s="1464">
        <f t="shared" si="1"/>
        <v>0</v>
      </c>
      <c r="K13" s="1464">
        <f t="shared" si="1"/>
        <v>0</v>
      </c>
      <c r="L13" s="1464">
        <f t="shared" si="1"/>
        <v>0</v>
      </c>
      <c r="M13" s="1464">
        <f t="shared" si="1"/>
        <v>0</v>
      </c>
      <c r="N13" s="1464">
        <f t="shared" si="1"/>
        <v>0</v>
      </c>
      <c r="O13" s="1465">
        <f t="shared" si="1"/>
        <v>0</v>
      </c>
    </row>
    <row r="14" spans="2:15">
      <c r="B14" s="1447"/>
      <c r="C14" s="1466" t="s">
        <v>507</v>
      </c>
      <c r="D14" s="1467"/>
      <c r="E14" s="1451"/>
      <c r="F14" s="1451"/>
      <c r="G14" s="1451"/>
      <c r="H14" s="1451"/>
      <c r="I14" s="1451"/>
      <c r="J14" s="1451"/>
      <c r="K14" s="1451"/>
      <c r="L14" s="1451"/>
      <c r="M14" s="1451"/>
      <c r="N14" s="1451"/>
      <c r="O14" s="1468"/>
    </row>
    <row r="15" spans="2:15">
      <c r="B15" s="1469"/>
      <c r="C15" s="1470" t="s">
        <v>508</v>
      </c>
      <c r="D15" s="1471"/>
      <c r="E15" s="1459"/>
      <c r="F15" s="1459"/>
      <c r="G15" s="1459"/>
      <c r="H15" s="1451"/>
      <c r="I15" s="1459"/>
      <c r="J15" s="1459"/>
      <c r="K15" s="1459"/>
      <c r="L15" s="1459"/>
      <c r="M15" s="1459"/>
      <c r="N15" s="1459"/>
      <c r="O15" s="1472"/>
    </row>
    <row r="16" spans="2:15">
      <c r="B16" s="1441">
        <v>1</v>
      </c>
      <c r="C16" s="1448"/>
      <c r="D16" s="1449"/>
      <c r="E16" s="1455">
        <v>0</v>
      </c>
      <c r="F16" s="1455">
        <v>0</v>
      </c>
      <c r="G16" s="1455">
        <v>0</v>
      </c>
      <c r="H16" s="1451">
        <f t="shared" ref="H16:H24" si="2">E16+F16-G16</f>
        <v>0</v>
      </c>
      <c r="I16" s="1455">
        <v>5</v>
      </c>
      <c r="J16" s="1455"/>
      <c r="K16" s="1455">
        <f>E16-J16</f>
        <v>0</v>
      </c>
      <c r="L16" s="1455">
        <f>K16*I16/100+F16*I16/100/12*0</f>
        <v>0</v>
      </c>
      <c r="M16" s="1455"/>
      <c r="N16" s="1455">
        <f>J16+L16-M16</f>
        <v>0</v>
      </c>
      <c r="O16" s="1473">
        <f>H16-N16</f>
        <v>0</v>
      </c>
    </row>
    <row r="17" spans="2:15">
      <c r="B17" s="1447">
        <v>2</v>
      </c>
      <c r="C17" s="1474"/>
      <c r="D17" s="1475"/>
      <c r="E17" s="1455">
        <v>0</v>
      </c>
      <c r="F17" s="1455">
        <v>0</v>
      </c>
      <c r="G17" s="1455">
        <v>0</v>
      </c>
      <c r="H17" s="1451">
        <f t="shared" si="2"/>
        <v>0</v>
      </c>
      <c r="I17" s="1451">
        <v>5</v>
      </c>
      <c r="J17" s="1451"/>
      <c r="K17" s="1455">
        <f t="shared" ref="K17:K24" si="3">E17-J17</f>
        <v>0</v>
      </c>
      <c r="L17" s="1455">
        <f t="shared" ref="L17:L24" si="4">K17*I17/100+F17*I17/100/12*0</f>
        <v>0</v>
      </c>
      <c r="M17" s="1451"/>
      <c r="N17" s="1455">
        <f t="shared" ref="N17:N24" si="5">J17+L17-M17</f>
        <v>0</v>
      </c>
      <c r="O17" s="1473">
        <f t="shared" ref="O17:O24" si="6">H17-N17</f>
        <v>0</v>
      </c>
    </row>
    <row r="18" spans="2:15">
      <c r="B18" s="1447">
        <v>3</v>
      </c>
      <c r="C18" s="1476"/>
      <c r="D18" s="1477"/>
      <c r="E18" s="1455">
        <v>0</v>
      </c>
      <c r="F18" s="1455">
        <v>0</v>
      </c>
      <c r="G18" s="1455">
        <v>0</v>
      </c>
      <c r="H18" s="1451">
        <f t="shared" si="2"/>
        <v>0</v>
      </c>
      <c r="I18" s="1455">
        <v>5</v>
      </c>
      <c r="J18" s="1455"/>
      <c r="K18" s="1455">
        <f t="shared" si="3"/>
        <v>0</v>
      </c>
      <c r="L18" s="1455">
        <f t="shared" si="4"/>
        <v>0</v>
      </c>
      <c r="M18" s="1455"/>
      <c r="N18" s="1455">
        <f t="shared" si="5"/>
        <v>0</v>
      </c>
      <c r="O18" s="1473">
        <f t="shared" si="6"/>
        <v>0</v>
      </c>
    </row>
    <row r="19" spans="2:15">
      <c r="B19" s="1447"/>
      <c r="C19" s="1478" t="s">
        <v>507</v>
      </c>
      <c r="D19" s="1477"/>
      <c r="E19" s="1455"/>
      <c r="F19" s="1412"/>
      <c r="G19" s="1455"/>
      <c r="H19" s="1451"/>
      <c r="I19" s="1455"/>
      <c r="J19" s="1455"/>
      <c r="K19" s="1455"/>
      <c r="L19" s="1455"/>
      <c r="M19" s="1455"/>
      <c r="N19" s="1455"/>
      <c r="O19" s="1473"/>
    </row>
    <row r="20" spans="2:15">
      <c r="B20" s="1441">
        <v>1</v>
      </c>
      <c r="C20" s="1337"/>
      <c r="D20" s="1477"/>
      <c r="E20" s="1455">
        <v>0</v>
      </c>
      <c r="F20" s="1412">
        <v>0</v>
      </c>
      <c r="G20" s="1455">
        <v>0</v>
      </c>
      <c r="H20" s="1451">
        <f t="shared" si="2"/>
        <v>0</v>
      </c>
      <c r="I20" s="1455">
        <v>20</v>
      </c>
      <c r="J20" s="1455"/>
      <c r="K20" s="1455">
        <f t="shared" si="3"/>
        <v>0</v>
      </c>
      <c r="L20" s="1455">
        <f t="shared" si="4"/>
        <v>0</v>
      </c>
      <c r="M20" s="1455"/>
      <c r="N20" s="1455">
        <f t="shared" si="5"/>
        <v>0</v>
      </c>
      <c r="O20" s="1473">
        <f t="shared" si="6"/>
        <v>0</v>
      </c>
    </row>
    <row r="21" spans="2:15">
      <c r="B21" s="1447">
        <v>2</v>
      </c>
      <c r="C21" s="1337" t="s">
        <v>1223</v>
      </c>
      <c r="D21" s="1477" t="s">
        <v>1332</v>
      </c>
      <c r="E21" s="1455">
        <v>1237000</v>
      </c>
      <c r="F21" s="1412">
        <v>0</v>
      </c>
      <c r="G21" s="1455">
        <v>0</v>
      </c>
      <c r="H21" s="1451">
        <f t="shared" si="2"/>
        <v>1237000</v>
      </c>
      <c r="I21" s="1455">
        <v>20</v>
      </c>
      <c r="J21" s="1455">
        <v>247400</v>
      </c>
      <c r="K21" s="1455">
        <f t="shared" si="3"/>
        <v>989600</v>
      </c>
      <c r="L21" s="1455">
        <f t="shared" si="4"/>
        <v>197920</v>
      </c>
      <c r="M21" s="1455"/>
      <c r="N21" s="1455">
        <f t="shared" si="5"/>
        <v>445320</v>
      </c>
      <c r="O21" s="1473">
        <f t="shared" si="6"/>
        <v>791680</v>
      </c>
    </row>
    <row r="22" spans="2:15">
      <c r="B22" s="1441">
        <v>3</v>
      </c>
      <c r="C22" s="1337" t="s">
        <v>1950</v>
      </c>
      <c r="D22" s="1477" t="s">
        <v>731</v>
      </c>
      <c r="E22" s="1455">
        <v>0</v>
      </c>
      <c r="F22" s="1412">
        <v>179166</v>
      </c>
      <c r="G22" s="1455">
        <v>0</v>
      </c>
      <c r="H22" s="1451">
        <f t="shared" si="2"/>
        <v>179166</v>
      </c>
      <c r="I22" s="1455">
        <v>20</v>
      </c>
      <c r="J22" s="1455"/>
      <c r="K22" s="1455">
        <f t="shared" si="3"/>
        <v>0</v>
      </c>
      <c r="L22" s="1455">
        <f t="shared" si="4"/>
        <v>0</v>
      </c>
      <c r="M22" s="1455"/>
      <c r="N22" s="1455">
        <f t="shared" si="5"/>
        <v>0</v>
      </c>
      <c r="O22" s="1473">
        <f t="shared" si="6"/>
        <v>179166</v>
      </c>
    </row>
    <row r="23" spans="2:15">
      <c r="B23" s="1447">
        <v>4</v>
      </c>
      <c r="C23" s="1337"/>
      <c r="D23" s="1477"/>
      <c r="E23" s="1454">
        <v>0</v>
      </c>
      <c r="F23" s="1412">
        <v>0</v>
      </c>
      <c r="G23" s="1455">
        <v>0</v>
      </c>
      <c r="H23" s="1451">
        <f t="shared" si="2"/>
        <v>0</v>
      </c>
      <c r="I23" s="1455">
        <v>20</v>
      </c>
      <c r="J23" s="1455"/>
      <c r="K23" s="1455">
        <f t="shared" si="3"/>
        <v>0</v>
      </c>
      <c r="L23" s="1455">
        <f t="shared" si="4"/>
        <v>0</v>
      </c>
      <c r="M23" s="1455"/>
      <c r="N23" s="1455">
        <f t="shared" si="5"/>
        <v>0</v>
      </c>
      <c r="O23" s="1473">
        <f t="shared" si="6"/>
        <v>0</v>
      </c>
    </row>
    <row r="24" spans="2:15" ht="13.5" thickBot="1">
      <c r="B24" s="1441">
        <v>5</v>
      </c>
      <c r="C24" s="1337"/>
      <c r="D24" s="1477"/>
      <c r="E24" s="1458">
        <v>0</v>
      </c>
      <c r="F24" s="1479">
        <v>0</v>
      </c>
      <c r="G24" s="1459">
        <v>0</v>
      </c>
      <c r="H24" s="1480">
        <f t="shared" si="2"/>
        <v>0</v>
      </c>
      <c r="I24" s="1459">
        <v>20</v>
      </c>
      <c r="J24" s="1459"/>
      <c r="K24" s="1459">
        <f t="shared" si="3"/>
        <v>0</v>
      </c>
      <c r="L24" s="1459">
        <f t="shared" si="4"/>
        <v>0</v>
      </c>
      <c r="M24" s="1459"/>
      <c r="N24" s="1459">
        <f t="shared" si="5"/>
        <v>0</v>
      </c>
      <c r="O24" s="1472">
        <f t="shared" si="6"/>
        <v>0</v>
      </c>
    </row>
    <row r="25" spans="2:15" ht="13.5" thickBot="1">
      <c r="B25" s="1447"/>
      <c r="C25" s="1442" t="s">
        <v>509</v>
      </c>
      <c r="D25" s="1481"/>
      <c r="E25" s="1444">
        <f>SUM(E14:E24)</f>
        <v>1237000</v>
      </c>
      <c r="F25" s="1444">
        <f t="shared" ref="F25:O25" si="7">SUM(F14:F24)</f>
        <v>179166</v>
      </c>
      <c r="G25" s="1444">
        <f t="shared" si="7"/>
        <v>0</v>
      </c>
      <c r="H25" s="1444">
        <f t="shared" si="7"/>
        <v>1416166</v>
      </c>
      <c r="I25" s="1444"/>
      <c r="J25" s="1444">
        <f t="shared" si="7"/>
        <v>247400</v>
      </c>
      <c r="K25" s="1444">
        <f t="shared" si="7"/>
        <v>989600</v>
      </c>
      <c r="L25" s="1444">
        <f t="shared" si="7"/>
        <v>197920</v>
      </c>
      <c r="M25" s="1444">
        <f t="shared" si="7"/>
        <v>0</v>
      </c>
      <c r="N25" s="1444">
        <f t="shared" si="7"/>
        <v>445320</v>
      </c>
      <c r="O25" s="1444">
        <f t="shared" si="7"/>
        <v>970846</v>
      </c>
    </row>
    <row r="26" spans="2:15">
      <c r="B26" s="1441"/>
      <c r="C26" s="1482" t="s">
        <v>510</v>
      </c>
      <c r="D26" s="1483"/>
      <c r="E26" s="1484"/>
      <c r="F26" s="1485"/>
      <c r="G26" s="1451"/>
      <c r="H26" s="1485"/>
      <c r="I26" s="1451"/>
      <c r="J26" s="1480"/>
      <c r="K26" s="1480"/>
      <c r="L26" s="1480"/>
      <c r="M26" s="1480"/>
      <c r="N26" s="1452"/>
      <c r="O26" s="1486"/>
    </row>
    <row r="27" spans="2:15">
      <c r="B27" s="1447">
        <v>1</v>
      </c>
      <c r="C27" s="1476"/>
      <c r="D27" s="1477"/>
      <c r="E27" s="1487">
        <v>0</v>
      </c>
      <c r="F27" s="1487">
        <v>0</v>
      </c>
      <c r="G27" s="1487">
        <v>0</v>
      </c>
      <c r="H27" s="1487">
        <f>+E27+F27-G27</f>
        <v>0</v>
      </c>
      <c r="I27" s="1487">
        <v>20</v>
      </c>
      <c r="J27" s="1487">
        <v>0</v>
      </c>
      <c r="K27" s="1487">
        <f>E27-J27</f>
        <v>0</v>
      </c>
      <c r="L27" s="1487">
        <f>K27*I27/100+F27*I27/100/12*0</f>
        <v>0</v>
      </c>
      <c r="M27" s="1487">
        <v>0</v>
      </c>
      <c r="N27" s="1487">
        <f>J27+L27-M27</f>
        <v>0</v>
      </c>
      <c r="O27" s="1488">
        <f>H27-N27</f>
        <v>0</v>
      </c>
    </row>
    <row r="28" spans="2:15">
      <c r="B28" s="1441">
        <v>2</v>
      </c>
      <c r="C28" s="1489"/>
      <c r="D28" s="1477"/>
      <c r="E28" s="1487"/>
      <c r="F28" s="1487">
        <v>0</v>
      </c>
      <c r="G28" s="1487">
        <v>0</v>
      </c>
      <c r="H28" s="1487">
        <f>+E28+F28-G28</f>
        <v>0</v>
      </c>
      <c r="I28" s="1487">
        <v>20</v>
      </c>
      <c r="J28" s="1487"/>
      <c r="K28" s="1487">
        <f>E28-J28</f>
        <v>0</v>
      </c>
      <c r="L28" s="1487">
        <f>K28*I28/100+F28*I28/100/12*0</f>
        <v>0</v>
      </c>
      <c r="M28" s="1487">
        <v>0</v>
      </c>
      <c r="N28" s="1487">
        <f>J28+L28-M28</f>
        <v>0</v>
      </c>
      <c r="O28" s="1488">
        <f>H28-N28</f>
        <v>0</v>
      </c>
    </row>
    <row r="29" spans="2:15">
      <c r="B29" s="1447">
        <v>3</v>
      </c>
      <c r="C29" s="1489"/>
      <c r="D29" s="1477"/>
      <c r="E29" s="1487">
        <v>0</v>
      </c>
      <c r="F29" s="1487">
        <v>0</v>
      </c>
      <c r="G29" s="1487">
        <v>0</v>
      </c>
      <c r="H29" s="1487">
        <f>+E29+F29-G29</f>
        <v>0</v>
      </c>
      <c r="I29" s="1487">
        <v>20</v>
      </c>
      <c r="J29" s="1487">
        <v>0</v>
      </c>
      <c r="K29" s="1487">
        <f>E29-J29</f>
        <v>0</v>
      </c>
      <c r="L29" s="1487">
        <f>K29*I29/100+F29*I29/100/12*0</f>
        <v>0</v>
      </c>
      <c r="M29" s="1487">
        <v>0</v>
      </c>
      <c r="N29" s="1487">
        <f>J29+L29-M29</f>
        <v>0</v>
      </c>
      <c r="O29" s="1488">
        <f>H29-N29</f>
        <v>0</v>
      </c>
    </row>
    <row r="30" spans="2:15">
      <c r="B30" s="1441">
        <v>4</v>
      </c>
      <c r="C30" s="1489"/>
      <c r="D30" s="1477"/>
      <c r="E30" s="1487">
        <v>0</v>
      </c>
      <c r="F30" s="1487">
        <v>0</v>
      </c>
      <c r="G30" s="1487">
        <v>0</v>
      </c>
      <c r="H30" s="1487">
        <f>+E30+F30-G30</f>
        <v>0</v>
      </c>
      <c r="I30" s="1487">
        <v>20</v>
      </c>
      <c r="J30" s="1487">
        <v>0</v>
      </c>
      <c r="K30" s="1487">
        <f>E30-J30</f>
        <v>0</v>
      </c>
      <c r="L30" s="1487">
        <f>K30*I30/100+F30*I30/100/12*0</f>
        <v>0</v>
      </c>
      <c r="M30" s="1487">
        <v>0</v>
      </c>
      <c r="N30" s="1487">
        <f>J30+L30-M30</f>
        <v>0</v>
      </c>
      <c r="O30" s="1488">
        <f>H30-N30</f>
        <v>0</v>
      </c>
    </row>
    <row r="31" spans="2:15" ht="13.5" thickBot="1">
      <c r="B31" s="1447">
        <v>5</v>
      </c>
      <c r="C31" s="1489"/>
      <c r="D31" s="1477"/>
      <c r="E31" s="1490">
        <v>0</v>
      </c>
      <c r="F31" s="1490">
        <v>0</v>
      </c>
      <c r="G31" s="1490">
        <v>0</v>
      </c>
      <c r="H31" s="1490">
        <f>+E31+F31-G31</f>
        <v>0</v>
      </c>
      <c r="I31" s="1490">
        <v>20</v>
      </c>
      <c r="J31" s="1490">
        <v>0</v>
      </c>
      <c r="K31" s="1490">
        <f>E31-J31</f>
        <v>0</v>
      </c>
      <c r="L31" s="1490">
        <f>K31*I31/100+F31*I31/100/12*0</f>
        <v>0</v>
      </c>
      <c r="M31" s="1490">
        <v>0</v>
      </c>
      <c r="N31" s="1490">
        <f>J31+L31-M31</f>
        <v>0</v>
      </c>
      <c r="O31" s="1491">
        <f>H31-N31</f>
        <v>0</v>
      </c>
    </row>
    <row r="32" spans="2:15" ht="13.5" thickBot="1">
      <c r="B32" s="1447"/>
      <c r="C32" s="1492" t="s">
        <v>511</v>
      </c>
      <c r="D32" s="1493"/>
      <c r="E32" s="1464">
        <f>SUM(E26:E31)</f>
        <v>0</v>
      </c>
      <c r="F32" s="1464">
        <f t="shared" ref="F32:O32" si="8">SUM(F26:F31)</f>
        <v>0</v>
      </c>
      <c r="G32" s="1464">
        <f t="shared" si="8"/>
        <v>0</v>
      </c>
      <c r="H32" s="1464">
        <f t="shared" si="8"/>
        <v>0</v>
      </c>
      <c r="I32" s="1464"/>
      <c r="J32" s="1464">
        <f t="shared" si="8"/>
        <v>0</v>
      </c>
      <c r="K32" s="1464">
        <f t="shared" si="8"/>
        <v>0</v>
      </c>
      <c r="L32" s="1464">
        <f t="shared" si="8"/>
        <v>0</v>
      </c>
      <c r="M32" s="1464">
        <f t="shared" si="8"/>
        <v>0</v>
      </c>
      <c r="N32" s="1464">
        <f t="shared" si="8"/>
        <v>0</v>
      </c>
      <c r="O32" s="1465">
        <f t="shared" si="8"/>
        <v>0</v>
      </c>
    </row>
    <row r="33" spans="2:15">
      <c r="B33" s="1441"/>
      <c r="C33" s="1494" t="s">
        <v>512</v>
      </c>
      <c r="D33" s="1495"/>
      <c r="E33" s="1484"/>
      <c r="F33" s="1485"/>
      <c r="G33" s="1451"/>
      <c r="H33" s="1485"/>
      <c r="I33" s="1451"/>
      <c r="J33" s="1480"/>
      <c r="K33" s="1480"/>
      <c r="L33" s="1480"/>
      <c r="M33" s="1480"/>
      <c r="N33" s="1452"/>
      <c r="O33" s="1486"/>
    </row>
    <row r="34" spans="2:15">
      <c r="B34" s="1447">
        <v>1</v>
      </c>
      <c r="C34" s="1496"/>
      <c r="D34" s="1497">
        <v>2004</v>
      </c>
      <c r="E34" s="1487">
        <v>1059600</v>
      </c>
      <c r="F34" s="1412"/>
      <c r="G34" s="1451">
        <v>0</v>
      </c>
      <c r="H34" s="1412">
        <f>E34+F34-G34</f>
        <v>1059600</v>
      </c>
      <c r="I34" s="1459">
        <v>20</v>
      </c>
      <c r="J34" s="1459">
        <v>556808.69999999995</v>
      </c>
      <c r="K34" s="1459">
        <f>E34-J34</f>
        <v>502791.30000000005</v>
      </c>
      <c r="L34" s="1459">
        <f>K34*I34/100+F34*I34/100/12*0</f>
        <v>100558.26</v>
      </c>
      <c r="M34" s="1459">
        <v>0</v>
      </c>
      <c r="N34" s="1456">
        <f>J34+L34-M34</f>
        <v>657366.96</v>
      </c>
      <c r="O34" s="1472">
        <f>H34-N34</f>
        <v>402233.04000000004</v>
      </c>
    </row>
    <row r="35" spans="2:15">
      <c r="B35" s="1441">
        <v>2</v>
      </c>
      <c r="C35" s="1496" t="s">
        <v>513</v>
      </c>
      <c r="D35" s="1497"/>
      <c r="E35" s="1487"/>
      <c r="F35" s="1412">
        <v>0</v>
      </c>
      <c r="G35" s="1451">
        <v>0</v>
      </c>
      <c r="H35" s="1412">
        <f>E35+F35-G35</f>
        <v>0</v>
      </c>
      <c r="I35" s="1455">
        <v>20</v>
      </c>
      <c r="J35" s="1459"/>
      <c r="K35" s="1459">
        <f>E35-J35</f>
        <v>0</v>
      </c>
      <c r="L35" s="1459">
        <f>K35*I35/100+F35*I35/100/12*0</f>
        <v>0</v>
      </c>
      <c r="M35" s="1459">
        <v>0</v>
      </c>
      <c r="N35" s="1456">
        <f>J35+L35-M35</f>
        <v>0</v>
      </c>
      <c r="O35" s="1472">
        <f>H35-N35</f>
        <v>0</v>
      </c>
    </row>
    <row r="36" spans="2:15">
      <c r="B36" s="1447">
        <v>3</v>
      </c>
      <c r="C36" s="1476"/>
      <c r="D36" s="1477"/>
      <c r="E36" s="1487"/>
      <c r="F36" s="1412"/>
      <c r="G36" s="1451">
        <v>0</v>
      </c>
      <c r="H36" s="1412">
        <f>E36+F36-G36</f>
        <v>0</v>
      </c>
      <c r="I36" s="1498">
        <v>25</v>
      </c>
      <c r="J36" s="1459">
        <v>0</v>
      </c>
      <c r="K36" s="1459">
        <f>E36-J36</f>
        <v>0</v>
      </c>
      <c r="L36" s="1459">
        <f>K36*I36/100+F36*I36/100/12*0</f>
        <v>0</v>
      </c>
      <c r="M36" s="1459">
        <v>0</v>
      </c>
      <c r="N36" s="1456">
        <f>J36+L36-M36</f>
        <v>0</v>
      </c>
      <c r="O36" s="1472">
        <f>H36-N36</f>
        <v>0</v>
      </c>
    </row>
    <row r="37" spans="2:15" ht="13.5" thickBot="1">
      <c r="B37" s="1441">
        <v>4</v>
      </c>
      <c r="C37" s="1337"/>
      <c r="D37" s="1477"/>
      <c r="E37" s="1490">
        <v>0</v>
      </c>
      <c r="F37" s="1479">
        <v>0</v>
      </c>
      <c r="G37" s="1480">
        <v>0</v>
      </c>
      <c r="H37" s="1479">
        <f>E37+F37-G37</f>
        <v>0</v>
      </c>
      <c r="I37" s="1498">
        <v>25</v>
      </c>
      <c r="J37" s="1459">
        <v>0</v>
      </c>
      <c r="K37" s="1459">
        <f>E37-J37</f>
        <v>0</v>
      </c>
      <c r="L37" s="1459">
        <f>K37*I37/100+F37*I37/100/12*0</f>
        <v>0</v>
      </c>
      <c r="M37" s="1459">
        <v>0</v>
      </c>
      <c r="N37" s="1460">
        <f>J37+L37-M37</f>
        <v>0</v>
      </c>
      <c r="O37" s="1472">
        <f>H37-N37</f>
        <v>0</v>
      </c>
    </row>
    <row r="38" spans="2:15" ht="13.5" thickBot="1">
      <c r="B38" s="1441"/>
      <c r="C38" s="1442" t="s">
        <v>514</v>
      </c>
      <c r="D38" s="1499"/>
      <c r="E38" s="1444">
        <f>SUM(E33:E37)</f>
        <v>1059600</v>
      </c>
      <c r="F38" s="1444">
        <f t="shared" ref="F38:O38" si="9">SUM(F33:F37)</f>
        <v>0</v>
      </c>
      <c r="G38" s="1444">
        <f t="shared" si="9"/>
        <v>0</v>
      </c>
      <c r="H38" s="1444">
        <f t="shared" si="9"/>
        <v>1059600</v>
      </c>
      <c r="I38" s="1444"/>
      <c r="J38" s="1444">
        <f t="shared" si="9"/>
        <v>556808.69999999995</v>
      </c>
      <c r="K38" s="1444">
        <f t="shared" si="9"/>
        <v>502791.30000000005</v>
      </c>
      <c r="L38" s="1444">
        <f t="shared" si="9"/>
        <v>100558.26</v>
      </c>
      <c r="M38" s="1444">
        <f t="shared" si="9"/>
        <v>0</v>
      </c>
      <c r="N38" s="1444">
        <f t="shared" si="9"/>
        <v>657366.96</v>
      </c>
      <c r="O38" s="1444">
        <f t="shared" si="9"/>
        <v>402233.04000000004</v>
      </c>
    </row>
    <row r="39" spans="2:15" ht="13.5" thickBot="1">
      <c r="B39" s="1500"/>
      <c r="C39" s="1501"/>
      <c r="D39" s="1502"/>
      <c r="E39" s="1503"/>
      <c r="F39" s="1480"/>
      <c r="G39" s="1504"/>
      <c r="H39" s="1480"/>
      <c r="I39" s="1480"/>
      <c r="J39" s="1480"/>
      <c r="K39" s="1480"/>
      <c r="L39" s="1480"/>
      <c r="M39" s="1503"/>
      <c r="N39" s="1503"/>
      <c r="O39" s="1486"/>
    </row>
    <row r="40" spans="2:15" ht="13.5" thickBot="1">
      <c r="B40" s="1954" t="s">
        <v>515</v>
      </c>
      <c r="C40" s="1955"/>
      <c r="D40" s="1955"/>
      <c r="E40" s="1505">
        <f>E9+E13+E25+E32+E38</f>
        <v>2296600</v>
      </c>
      <c r="F40" s="1505">
        <f t="shared" ref="F40:O40" si="10">F9+F13+F25+F32+F38</f>
        <v>179166</v>
      </c>
      <c r="G40" s="1505">
        <f t="shared" si="10"/>
        <v>0</v>
      </c>
      <c r="H40" s="1505">
        <f t="shared" si="10"/>
        <v>2475766</v>
      </c>
      <c r="I40" s="1505">
        <f t="shared" si="10"/>
        <v>0</v>
      </c>
      <c r="J40" s="1505">
        <f t="shared" si="10"/>
        <v>804208.7</v>
      </c>
      <c r="K40" s="1505">
        <f t="shared" si="10"/>
        <v>1492391.3</v>
      </c>
      <c r="L40" s="1505">
        <f t="shared" si="10"/>
        <v>298478.26</v>
      </c>
      <c r="M40" s="1505">
        <f t="shared" si="10"/>
        <v>0</v>
      </c>
      <c r="N40" s="1505">
        <f t="shared" si="10"/>
        <v>1102686.96</v>
      </c>
      <c r="O40" s="1505">
        <f t="shared" si="10"/>
        <v>1373079.04</v>
      </c>
    </row>
    <row r="41" spans="2:15">
      <c r="B41" s="43"/>
      <c r="C41" s="43"/>
      <c r="D41" s="43"/>
      <c r="E41" s="100"/>
      <c r="F41" s="100"/>
      <c r="G41" s="100"/>
      <c r="H41" s="100"/>
      <c r="I41" s="100"/>
      <c r="J41" s="100"/>
      <c r="K41" s="363"/>
      <c r="L41" s="100"/>
      <c r="M41" s="100"/>
      <c r="N41" s="100"/>
    </row>
  </sheetData>
  <mergeCells count="11">
    <mergeCell ref="E5:E6"/>
    <mergeCell ref="F5:H5"/>
    <mergeCell ref="D5:D6"/>
    <mergeCell ref="O5:O6"/>
    <mergeCell ref="B40:D40"/>
    <mergeCell ref="J5:J6"/>
    <mergeCell ref="K5:K6"/>
    <mergeCell ref="L5:L6"/>
    <mergeCell ref="M5:M6"/>
    <mergeCell ref="N5:N6"/>
    <mergeCell ref="I5:I6"/>
  </mergeCells>
  <phoneticPr fontId="7" type="noConversion"/>
  <pageMargins left="0" right="0" top="0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F53" sqref="A1:F53"/>
    </sheetView>
  </sheetViews>
  <sheetFormatPr defaultRowHeight="12.75"/>
  <cols>
    <col min="1" max="2" width="4.140625" customWidth="1"/>
    <col min="3" max="3" width="44.7109375" customWidth="1"/>
    <col min="4" max="4" width="9.42578125" customWidth="1"/>
    <col min="5" max="5" width="14.85546875" style="74" customWidth="1"/>
    <col min="6" max="6" width="16.7109375" style="74" customWidth="1"/>
    <col min="9" max="9" width="11.85546875" bestFit="1" customWidth="1"/>
  </cols>
  <sheetData>
    <row r="1" spans="1:9" ht="14.25">
      <c r="A1" s="10"/>
      <c r="B1" s="10"/>
      <c r="C1" s="10"/>
      <c r="D1" s="10"/>
      <c r="E1" s="77" t="str">
        <f>'Kopertina '!F4</f>
        <v>Ameti</v>
      </c>
      <c r="F1" s="77"/>
    </row>
    <row r="2" spans="1:9" ht="15.75">
      <c r="A2" s="10"/>
      <c r="B2" s="1720" t="s">
        <v>0</v>
      </c>
      <c r="C2" s="1720"/>
      <c r="D2" s="1720"/>
      <c r="E2" s="1720"/>
      <c r="F2" s="78">
        <f>'Kopertina '!F29</f>
        <v>2011</v>
      </c>
    </row>
    <row r="3" spans="1:9" ht="15" thickBot="1">
      <c r="A3" s="10"/>
      <c r="B3" s="10"/>
      <c r="C3" s="10"/>
      <c r="D3" s="10"/>
      <c r="E3" s="77"/>
      <c r="F3" s="77"/>
    </row>
    <row r="4" spans="1:9" ht="15">
      <c r="A4" s="10"/>
      <c r="B4" s="1725" t="s">
        <v>1</v>
      </c>
      <c r="C4" s="1725" t="s">
        <v>270</v>
      </c>
      <c r="D4" s="11" t="s">
        <v>3</v>
      </c>
      <c r="E4" s="1723" t="s">
        <v>832</v>
      </c>
      <c r="F4" s="1723" t="s">
        <v>868</v>
      </c>
    </row>
    <row r="5" spans="1:9" ht="15.75" thickBot="1">
      <c r="A5" s="10"/>
      <c r="B5" s="1726"/>
      <c r="C5" s="1726"/>
      <c r="D5" s="12"/>
      <c r="E5" s="1728"/>
      <c r="F5" s="1728"/>
    </row>
    <row r="6" spans="1:9" ht="19.5" customHeight="1">
      <c r="A6" s="10"/>
      <c r="B6" s="492" t="s">
        <v>4</v>
      </c>
      <c r="C6" s="493" t="s">
        <v>271</v>
      </c>
      <c r="D6" s="494"/>
      <c r="E6" s="477">
        <f>E7+E8+E12+E24+E25</f>
        <v>39372691.048999995</v>
      </c>
      <c r="F6" s="477">
        <f>F7+F8+F12+F24+F25</f>
        <v>116141000</v>
      </c>
    </row>
    <row r="7" spans="1:9" ht="15">
      <c r="A7" s="10"/>
      <c r="B7" s="203"/>
      <c r="C7" s="214" t="s">
        <v>272</v>
      </c>
      <c r="D7" s="487" t="s">
        <v>466</v>
      </c>
      <c r="E7" s="488"/>
      <c r="F7" s="489"/>
    </row>
    <row r="8" spans="1:9" ht="15">
      <c r="A8" s="10"/>
      <c r="B8" s="203"/>
      <c r="C8" s="200" t="s">
        <v>30</v>
      </c>
      <c r="D8" s="487"/>
      <c r="E8" s="488">
        <f>E9+E10+E11</f>
        <v>28249342.75</v>
      </c>
      <c r="F8" s="488">
        <f>F9+F10+F11</f>
        <v>95974130</v>
      </c>
    </row>
    <row r="9" spans="1:9" ht="15">
      <c r="A9" s="10"/>
      <c r="B9" s="203"/>
      <c r="C9" s="198" t="s">
        <v>273</v>
      </c>
      <c r="D9" s="1427" t="s">
        <v>804</v>
      </c>
      <c r="E9" s="208">
        <f>'L  1'!G14</f>
        <v>28249342.75</v>
      </c>
      <c r="F9" s="213">
        <v>95974130</v>
      </c>
      <c r="G9" s="85"/>
    </row>
    <row r="10" spans="1:9" ht="14.25">
      <c r="A10" s="10"/>
      <c r="B10" s="203"/>
      <c r="C10" s="205" t="s">
        <v>274</v>
      </c>
      <c r="D10" s="204" t="s">
        <v>466</v>
      </c>
      <c r="E10" s="198"/>
      <c r="F10" s="199"/>
    </row>
    <row r="11" spans="1:9" ht="14.25">
      <c r="A11" s="10"/>
      <c r="B11" s="203"/>
      <c r="C11" s="205" t="s">
        <v>275</v>
      </c>
      <c r="D11" s="204" t="s">
        <v>466</v>
      </c>
      <c r="E11" s="198"/>
      <c r="F11" s="199"/>
    </row>
    <row r="12" spans="1:9" ht="15">
      <c r="A12" s="10"/>
      <c r="B12" s="203"/>
      <c r="C12" s="200" t="s">
        <v>31</v>
      </c>
      <c r="D12" s="426"/>
      <c r="E12" s="200">
        <f>E13+E14+E15+E16+E17+E18+E19+E20+E21+E22+E23</f>
        <v>11123348.298999995</v>
      </c>
      <c r="F12" s="200">
        <f>F13+F14+F15+F16+F17+F18+F19+F20+F21+F22+F23</f>
        <v>20166870</v>
      </c>
    </row>
    <row r="13" spans="1:9" ht="15">
      <c r="A13" s="10"/>
      <c r="B13" s="203"/>
      <c r="C13" s="198" t="s">
        <v>32</v>
      </c>
      <c r="D13" s="206" t="s">
        <v>129</v>
      </c>
      <c r="E13" s="208">
        <f>+'M1'!I83</f>
        <v>6890680.8183999956</v>
      </c>
      <c r="F13" s="199">
        <v>18869675</v>
      </c>
    </row>
    <row r="14" spans="1:9" ht="15">
      <c r="A14" s="10"/>
      <c r="B14" s="203"/>
      <c r="C14" s="198" t="s">
        <v>33</v>
      </c>
      <c r="D14" s="206" t="s">
        <v>160</v>
      </c>
      <c r="E14" s="208">
        <v>1238462.5</v>
      </c>
      <c r="F14" s="213">
        <v>885186</v>
      </c>
      <c r="I14" s="689"/>
    </row>
    <row r="15" spans="1:9" ht="15">
      <c r="A15" s="10"/>
      <c r="B15" s="203"/>
      <c r="C15" s="198" t="s">
        <v>34</v>
      </c>
      <c r="D15" s="206" t="s">
        <v>160</v>
      </c>
      <c r="E15" s="208">
        <f>+T!AL24+T!AP24</f>
        <v>110874.6</v>
      </c>
      <c r="F15" s="213">
        <v>155375</v>
      </c>
      <c r="I15" s="689"/>
    </row>
    <row r="16" spans="1:9" ht="15">
      <c r="A16" s="10"/>
      <c r="B16" s="203"/>
      <c r="C16" s="198" t="s">
        <v>35</v>
      </c>
      <c r="D16" s="206" t="s">
        <v>160</v>
      </c>
      <c r="E16" s="208">
        <f>T!AR24</f>
        <v>30970</v>
      </c>
      <c r="F16" s="213">
        <v>37280</v>
      </c>
      <c r="I16" s="689"/>
    </row>
    <row r="17" spans="1:8" ht="15">
      <c r="A17" s="10"/>
      <c r="B17" s="203"/>
      <c r="C17" s="198" t="s">
        <v>36</v>
      </c>
      <c r="D17" s="207" t="s">
        <v>808</v>
      </c>
      <c r="E17" s="208">
        <f>+IF('C3'!F36&lt;0,0,'C3'!F36)</f>
        <v>0</v>
      </c>
      <c r="F17" s="213"/>
    </row>
    <row r="18" spans="1:8" ht="15">
      <c r="A18" s="10"/>
      <c r="B18" s="203"/>
      <c r="C18" s="198" t="s">
        <v>37</v>
      </c>
      <c r="D18" s="207" t="s">
        <v>130</v>
      </c>
      <c r="E18" s="208">
        <f>+IF('Liber Shit- Blerje '!AZ24&gt;0,'Liber Shit- Blerje '!AZ24,0)</f>
        <v>137572.98059999998</v>
      </c>
      <c r="F18" s="213">
        <v>219354</v>
      </c>
      <c r="H18" s="689"/>
    </row>
    <row r="19" spans="1:8" ht="14.25">
      <c r="A19" s="10"/>
      <c r="B19" s="203"/>
      <c r="C19" s="198" t="s">
        <v>38</v>
      </c>
      <c r="D19" s="204" t="s">
        <v>466</v>
      </c>
      <c r="E19" s="208">
        <v>0</v>
      </c>
      <c r="F19" s="213"/>
    </row>
    <row r="20" spans="1:8" ht="15">
      <c r="A20" s="10"/>
      <c r="B20" s="203"/>
      <c r="C20" s="198" t="s">
        <v>2090</v>
      </c>
      <c r="D20" s="1427" t="s">
        <v>1687</v>
      </c>
      <c r="E20" s="208">
        <f>+'L4'!F19</f>
        <v>2668117</v>
      </c>
      <c r="F20" s="213"/>
    </row>
    <row r="21" spans="1:8" ht="14.25">
      <c r="A21" s="10"/>
      <c r="B21" s="203"/>
      <c r="C21" s="209" t="s">
        <v>39</v>
      </c>
      <c r="D21" s="204" t="s">
        <v>466</v>
      </c>
      <c r="E21" s="208"/>
      <c r="F21" s="213"/>
    </row>
    <row r="22" spans="1:8" ht="14.25">
      <c r="A22" s="10"/>
      <c r="B22" s="203"/>
      <c r="C22" s="198" t="s">
        <v>276</v>
      </c>
      <c r="D22" s="204" t="s">
        <v>466</v>
      </c>
      <c r="E22" s="208">
        <v>0</v>
      </c>
      <c r="F22" s="213"/>
    </row>
    <row r="23" spans="1:8" ht="15">
      <c r="A23" s="10"/>
      <c r="B23" s="203"/>
      <c r="C23" s="198" t="s">
        <v>2128</v>
      </c>
      <c r="D23" s="1427" t="s">
        <v>2129</v>
      </c>
      <c r="E23" s="198">
        <f>+'D6'!I20</f>
        <v>46670.400000000001</v>
      </c>
      <c r="F23" s="199"/>
    </row>
    <row r="24" spans="1:8" ht="15">
      <c r="A24" s="10"/>
      <c r="B24" s="203"/>
      <c r="C24" s="214" t="s">
        <v>40</v>
      </c>
      <c r="D24" s="487" t="s">
        <v>466</v>
      </c>
      <c r="E24" s="214"/>
      <c r="F24" s="489"/>
    </row>
    <row r="25" spans="1:8" ht="15">
      <c r="A25" s="10"/>
      <c r="B25" s="203"/>
      <c r="C25" s="214" t="s">
        <v>126</v>
      </c>
      <c r="D25" s="487" t="s">
        <v>466</v>
      </c>
      <c r="E25" s="214"/>
      <c r="F25" s="489"/>
    </row>
    <row r="26" spans="1:8" ht="15">
      <c r="A26" s="10"/>
      <c r="B26" s="203"/>
      <c r="C26" s="198"/>
      <c r="D26" s="206"/>
      <c r="E26" s="198"/>
      <c r="F26" s="199"/>
    </row>
    <row r="27" spans="1:8" ht="15">
      <c r="A27" s="10"/>
      <c r="B27" s="495" t="s">
        <v>19</v>
      </c>
      <c r="C27" s="481" t="s">
        <v>277</v>
      </c>
      <c r="D27" s="496"/>
      <c r="E27" s="481">
        <f>E28+E31+E32+E33+E34</f>
        <v>36444422</v>
      </c>
      <c r="F27" s="481">
        <f>F28+F31+F32+F33+F34</f>
        <v>0</v>
      </c>
    </row>
    <row r="28" spans="1:8" ht="15">
      <c r="A28" s="10"/>
      <c r="B28" s="210"/>
      <c r="C28" s="214" t="s">
        <v>41</v>
      </c>
      <c r="D28" s="487" t="s">
        <v>466</v>
      </c>
      <c r="E28" s="488">
        <f>E29+E30</f>
        <v>36444422</v>
      </c>
      <c r="F28" s="488">
        <f>F29+F30</f>
        <v>0</v>
      </c>
    </row>
    <row r="29" spans="1:8" ht="15">
      <c r="A29" s="10"/>
      <c r="B29" s="210"/>
      <c r="C29" s="198" t="s">
        <v>42</v>
      </c>
      <c r="D29" s="1427" t="s">
        <v>662</v>
      </c>
      <c r="E29" s="208">
        <f>+'L  2'!F30</f>
        <v>36444422</v>
      </c>
      <c r="F29" s="213"/>
      <c r="G29" s="732"/>
      <c r="H29" s="74"/>
    </row>
    <row r="30" spans="1:8" ht="15">
      <c r="A30" s="10"/>
      <c r="B30" s="210"/>
      <c r="C30" s="198" t="s">
        <v>43</v>
      </c>
      <c r="D30" s="204"/>
      <c r="E30" s="208"/>
      <c r="F30" s="213"/>
      <c r="G30" s="85"/>
    </row>
    <row r="31" spans="1:8" ht="15">
      <c r="A31" s="10"/>
      <c r="B31" s="210"/>
      <c r="C31" s="214" t="s">
        <v>44</v>
      </c>
      <c r="D31" s="490" t="s">
        <v>466</v>
      </c>
      <c r="E31" s="214"/>
      <c r="F31" s="491"/>
    </row>
    <row r="32" spans="1:8" ht="15">
      <c r="A32" s="10"/>
      <c r="B32" s="210"/>
      <c r="C32" s="214" t="s">
        <v>278</v>
      </c>
      <c r="D32" s="490" t="s">
        <v>466</v>
      </c>
      <c r="E32" s="214"/>
      <c r="F32" s="491"/>
    </row>
    <row r="33" spans="1:6" ht="15">
      <c r="A33" s="10"/>
      <c r="B33" s="210"/>
      <c r="C33" s="214" t="s">
        <v>40</v>
      </c>
      <c r="D33" s="490" t="s">
        <v>466</v>
      </c>
      <c r="E33" s="214"/>
      <c r="F33" s="491"/>
    </row>
    <row r="34" spans="1:6" ht="15">
      <c r="A34" s="10"/>
      <c r="B34" s="210"/>
      <c r="C34" s="198"/>
      <c r="D34" s="206"/>
      <c r="E34" s="198"/>
      <c r="F34" s="199"/>
    </row>
    <row r="35" spans="1:6" ht="15">
      <c r="A35" s="10"/>
      <c r="B35" s="210"/>
      <c r="C35" s="198"/>
      <c r="D35" s="206"/>
      <c r="E35" s="198"/>
      <c r="F35" s="199"/>
    </row>
    <row r="36" spans="1:6" ht="21" customHeight="1">
      <c r="A36" s="10"/>
      <c r="B36" s="500"/>
      <c r="C36" s="497" t="s">
        <v>279</v>
      </c>
      <c r="D36" s="496"/>
      <c r="E36" s="481">
        <f>E6+E27</f>
        <v>75817113.048999995</v>
      </c>
      <c r="F36" s="481">
        <f>F6+F27</f>
        <v>116141000</v>
      </c>
    </row>
    <row r="37" spans="1:6" ht="15">
      <c r="A37" s="10"/>
      <c r="B37" s="210"/>
      <c r="C37" s="211"/>
      <c r="D37" s="212"/>
      <c r="E37" s="208"/>
      <c r="F37" s="213"/>
    </row>
    <row r="38" spans="1:6" ht="19.5" customHeight="1">
      <c r="A38" s="10"/>
      <c r="B38" s="495" t="s">
        <v>45</v>
      </c>
      <c r="C38" s="498" t="s">
        <v>46</v>
      </c>
      <c r="D38" s="496"/>
      <c r="E38" s="481">
        <f>E39+E40+E41+E42+E43+E44+E45+E46+E47+E48+E49+E50</f>
        <v>447143963.99085921</v>
      </c>
      <c r="F38" s="481">
        <f>F39+F40+F41+F42+F43+F44+F45+F46+F47+F48+F49+F50</f>
        <v>380673207</v>
      </c>
    </row>
    <row r="39" spans="1:6" ht="14.25">
      <c r="A39" s="10"/>
      <c r="B39" s="203"/>
      <c r="C39" s="198" t="s">
        <v>47</v>
      </c>
      <c r="D39" s="204" t="s">
        <v>466</v>
      </c>
      <c r="E39" s="198">
        <f>'Pasq e ndrysh te kap 2'!E18</f>
        <v>206926731</v>
      </c>
      <c r="F39" s="199">
        <v>206926731</v>
      </c>
    </row>
    <row r="40" spans="1:6" ht="14.25">
      <c r="A40" s="10"/>
      <c r="B40" s="203"/>
      <c r="C40" s="198" t="s">
        <v>48</v>
      </c>
      <c r="D40" s="204" t="s">
        <v>466</v>
      </c>
      <c r="E40" s="198"/>
      <c r="F40" s="199"/>
    </row>
    <row r="41" spans="1:6" ht="14.25">
      <c r="A41" s="10"/>
      <c r="B41" s="203"/>
      <c r="C41" s="198" t="s">
        <v>49</v>
      </c>
      <c r="D41" s="204" t="s">
        <v>466</v>
      </c>
      <c r="E41" s="198"/>
      <c r="F41" s="199"/>
    </row>
    <row r="42" spans="1:6" ht="14.25">
      <c r="A42" s="10"/>
      <c r="B42" s="203"/>
      <c r="C42" s="198" t="s">
        <v>50</v>
      </c>
      <c r="D42" s="204" t="s">
        <v>466</v>
      </c>
      <c r="E42" s="198"/>
      <c r="F42" s="199"/>
    </row>
    <row r="43" spans="1:6" ht="14.25">
      <c r="A43" s="10"/>
      <c r="B43" s="203"/>
      <c r="C43" s="198" t="s">
        <v>51</v>
      </c>
      <c r="D43" s="204" t="s">
        <v>466</v>
      </c>
      <c r="E43" s="198"/>
      <c r="F43" s="199"/>
    </row>
    <row r="44" spans="1:6" ht="14.25">
      <c r="A44" s="10"/>
      <c r="B44" s="203"/>
      <c r="C44" s="209" t="s">
        <v>337</v>
      </c>
      <c r="D44" s="204" t="s">
        <v>466</v>
      </c>
      <c r="E44" s="198"/>
      <c r="F44" s="199"/>
    </row>
    <row r="45" spans="1:6" ht="14.25">
      <c r="A45" s="10"/>
      <c r="B45" s="203"/>
      <c r="C45" s="209" t="s">
        <v>52</v>
      </c>
      <c r="D45" s="204" t="s">
        <v>466</v>
      </c>
      <c r="E45" s="198">
        <f>'Pasq e ndrysh te kap 2'!H18</f>
        <v>10890881</v>
      </c>
      <c r="F45" s="199">
        <v>10890881</v>
      </c>
    </row>
    <row r="46" spans="1:6" ht="14.25">
      <c r="A46" s="10"/>
      <c r="B46" s="203"/>
      <c r="C46" s="198" t="s">
        <v>811</v>
      </c>
      <c r="D46" s="204" t="s">
        <v>466</v>
      </c>
      <c r="E46" s="198"/>
      <c r="F46" s="199"/>
    </row>
    <row r="47" spans="1:6" ht="14.25">
      <c r="A47" s="10"/>
      <c r="B47" s="203"/>
      <c r="C47" s="209" t="s">
        <v>53</v>
      </c>
      <c r="D47" s="204" t="s">
        <v>466</v>
      </c>
      <c r="E47" s="198">
        <f>+'Pasq e ndrysh te kap 2'!I13</f>
        <v>162855595</v>
      </c>
      <c r="F47" s="199">
        <v>91667373</v>
      </c>
    </row>
    <row r="48" spans="1:6" ht="14.25">
      <c r="A48" s="10"/>
      <c r="B48" s="203"/>
      <c r="C48" s="198" t="s">
        <v>54</v>
      </c>
      <c r="D48" s="204" t="s">
        <v>466</v>
      </c>
      <c r="E48" s="198">
        <f>'Ardh e shp - natyres'!E38</f>
        <v>66470756.990859233</v>
      </c>
      <c r="F48" s="199">
        <v>71188222</v>
      </c>
    </row>
    <row r="49" spans="1:6" ht="14.25">
      <c r="A49" s="10"/>
      <c r="B49" s="203"/>
      <c r="C49" s="198" t="s">
        <v>282</v>
      </c>
      <c r="D49" s="204" t="s">
        <v>466</v>
      </c>
      <c r="E49" s="198"/>
      <c r="F49" s="199">
        <v>0</v>
      </c>
    </row>
    <row r="50" spans="1:6" ht="15">
      <c r="A50" s="10"/>
      <c r="B50" s="203"/>
      <c r="C50" s="198"/>
      <c r="D50" s="206"/>
      <c r="E50" s="198"/>
      <c r="F50" s="199"/>
    </row>
    <row r="51" spans="1:6" ht="15">
      <c r="A51" s="10"/>
      <c r="B51" s="203"/>
      <c r="C51" s="198"/>
      <c r="D51" s="206"/>
      <c r="E51" s="198"/>
      <c r="F51" s="199"/>
    </row>
    <row r="52" spans="1:6" ht="22.5" customHeight="1">
      <c r="A52" s="10"/>
      <c r="B52" s="499"/>
      <c r="C52" s="1727" t="s">
        <v>280</v>
      </c>
      <c r="D52" s="1727"/>
      <c r="E52" s="1282">
        <f>E36+E38</f>
        <v>522961077.03985918</v>
      </c>
      <c r="F52" s="486">
        <f>F36+F38</f>
        <v>496814207</v>
      </c>
    </row>
    <row r="53" spans="1:6" ht="15.75" thickBot="1">
      <c r="A53" s="10"/>
      <c r="B53" s="215"/>
      <c r="C53" s="201"/>
      <c r="D53" s="216"/>
      <c r="E53" s="201"/>
      <c r="F53" s="202"/>
    </row>
    <row r="55" spans="1:6">
      <c r="E55" s="74">
        <f>'AKTIVI '!E52-'PASIVI '!E52</f>
        <v>0.13565409183502197</v>
      </c>
      <c r="F55" s="74">
        <f>'AKTIVI '!F52-'PASIVI '!F52</f>
        <v>0.10000002384185791</v>
      </c>
    </row>
  </sheetData>
  <mergeCells count="6">
    <mergeCell ref="B2:E2"/>
    <mergeCell ref="C52:D52"/>
    <mergeCell ref="E4:E5"/>
    <mergeCell ref="F4:F5"/>
    <mergeCell ref="C4:C5"/>
    <mergeCell ref="B4:B5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FFCC"/>
  </sheetPr>
  <dimension ref="A2:X46"/>
  <sheetViews>
    <sheetView topLeftCell="A10" workbookViewId="0">
      <selection activeCell="J43" sqref="A1:J43"/>
    </sheetView>
  </sheetViews>
  <sheetFormatPr defaultRowHeight="12.75"/>
  <cols>
    <col min="1" max="1" width="6.28515625" customWidth="1"/>
    <col min="2" max="2" width="3.85546875" customWidth="1"/>
    <col min="3" max="3" width="26.5703125" customWidth="1"/>
    <col min="4" max="4" width="14" customWidth="1"/>
    <col min="5" max="5" width="10.7109375" customWidth="1"/>
    <col min="6" max="6" width="13.42578125" customWidth="1"/>
    <col min="7" max="7" width="11.42578125" style="113" customWidth="1"/>
    <col min="8" max="8" width="14.85546875" customWidth="1"/>
    <col min="9" max="9" width="7.85546875" customWidth="1"/>
    <col min="11" max="11" width="14" bestFit="1" customWidth="1"/>
    <col min="19" max="19" width="12" bestFit="1" customWidth="1"/>
    <col min="22" max="22" width="12" bestFit="1" customWidth="1"/>
    <col min="24" max="24" width="14" bestFit="1" customWidth="1"/>
  </cols>
  <sheetData>
    <row r="2" spans="1:23"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23">
      <c r="B3" s="2"/>
      <c r="C3" s="49"/>
      <c r="D3" s="49"/>
      <c r="E3" s="49"/>
      <c r="F3" s="2"/>
      <c r="G3" s="115"/>
      <c r="H3" s="2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</row>
    <row r="4" spans="1:23">
      <c r="B4" s="2"/>
      <c r="C4" s="2" t="str">
        <f>'Kopertina '!F4</f>
        <v>Ameti</v>
      </c>
      <c r="D4" s="2"/>
      <c r="E4" s="2"/>
      <c r="F4" s="2"/>
      <c r="G4" s="115"/>
      <c r="H4" s="2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</row>
    <row r="5" spans="1:23">
      <c r="B5" s="1"/>
      <c r="C5" s="1"/>
      <c r="D5" s="1"/>
      <c r="E5" s="1"/>
      <c r="F5" s="2"/>
      <c r="G5" s="115"/>
      <c r="H5" s="2"/>
      <c r="I5" s="2"/>
      <c r="J5" s="2" t="s">
        <v>162</v>
      </c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3">
      <c r="B6" s="1"/>
      <c r="C6" s="1741" t="s">
        <v>168</v>
      </c>
      <c r="D6" s="1741"/>
      <c r="E6" s="1741"/>
      <c r="F6" s="1741"/>
      <c r="G6" s="116"/>
      <c r="H6" s="50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spans="1:23" ht="13.5" thickBot="1">
      <c r="B7" s="1"/>
      <c r="C7" s="1"/>
      <c r="D7" s="1"/>
      <c r="E7" s="1"/>
      <c r="F7" s="1"/>
      <c r="G7" s="98"/>
      <c r="H7" s="1"/>
      <c r="I7" s="21">
        <f>'Kopertina '!F29</f>
        <v>2011</v>
      </c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</row>
    <row r="8" spans="1:23" ht="13.5" thickBot="1">
      <c r="M8" s="95"/>
      <c r="N8" s="95"/>
      <c r="O8" s="95"/>
      <c r="P8" s="95"/>
      <c r="Q8" s="95"/>
      <c r="R8" s="95"/>
      <c r="S8" s="95"/>
      <c r="T8" s="95"/>
      <c r="U8" s="95"/>
      <c r="V8" s="110"/>
      <c r="W8" s="95"/>
    </row>
    <row r="9" spans="1:23">
      <c r="A9" s="18"/>
      <c r="B9" s="19"/>
      <c r="C9" s="19"/>
      <c r="D9" s="19"/>
      <c r="E9" s="19"/>
      <c r="F9" s="19"/>
      <c r="G9" s="117"/>
      <c r="H9" s="19"/>
      <c r="I9" s="20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</row>
    <row r="10" spans="1:23" ht="13.5" thickBot="1">
      <c r="A10" s="5"/>
      <c r="B10" s="1"/>
      <c r="C10" s="1"/>
      <c r="D10" s="1"/>
      <c r="E10" s="1"/>
      <c r="F10" s="1"/>
      <c r="G10" s="98"/>
      <c r="H10" s="1"/>
      <c r="I10" s="6"/>
      <c r="M10" s="95"/>
      <c r="N10" s="95"/>
      <c r="O10" s="95"/>
      <c r="P10" s="95"/>
      <c r="Q10" s="95"/>
      <c r="R10" s="95"/>
      <c r="S10" s="97"/>
      <c r="T10" s="95"/>
      <c r="U10" s="95"/>
      <c r="V10" s="95"/>
      <c r="W10" s="95"/>
    </row>
    <row r="11" spans="1:23" ht="21" customHeight="1" thickBot="1">
      <c r="A11" s="5"/>
      <c r="B11" s="1959" t="s">
        <v>1</v>
      </c>
      <c r="C11" s="1961" t="s">
        <v>227</v>
      </c>
      <c r="D11" s="1512"/>
      <c r="E11" s="1512" t="s">
        <v>474</v>
      </c>
      <c r="F11" s="1963" t="s">
        <v>349</v>
      </c>
      <c r="G11" s="1964"/>
      <c r="H11" s="1965"/>
      <c r="I11" s="6"/>
      <c r="M11" s="95"/>
      <c r="N11" s="95"/>
      <c r="O11" s="95"/>
      <c r="P11" s="95"/>
      <c r="Q11" s="95"/>
      <c r="R11" s="95"/>
      <c r="S11" s="112"/>
      <c r="T11" s="95"/>
      <c r="U11" s="95"/>
      <c r="V11" s="95"/>
      <c r="W11" s="95"/>
    </row>
    <row r="12" spans="1:23" ht="21" customHeight="1" thickBot="1">
      <c r="A12" s="5"/>
      <c r="B12" s="1960"/>
      <c r="C12" s="1962"/>
      <c r="D12" s="1513"/>
      <c r="E12" s="1514" t="s">
        <v>475</v>
      </c>
      <c r="F12" s="1515" t="s">
        <v>350</v>
      </c>
      <c r="G12" s="1516" t="s">
        <v>351</v>
      </c>
      <c r="H12" s="1517" t="s">
        <v>477</v>
      </c>
      <c r="I12" s="6"/>
      <c r="M12" s="95"/>
      <c r="N12" s="95"/>
      <c r="O12" s="95"/>
      <c r="P12" s="95"/>
      <c r="Q12" s="95"/>
      <c r="R12" s="95"/>
      <c r="S12" s="97"/>
      <c r="T12" s="95"/>
      <c r="U12" s="95"/>
      <c r="V12" s="95"/>
      <c r="W12" s="95"/>
    </row>
    <row r="13" spans="1:23">
      <c r="A13" s="5"/>
      <c r="B13" s="304">
        <v>1</v>
      </c>
      <c r="C13" s="1507" t="s">
        <v>2103</v>
      </c>
      <c r="D13" s="1507"/>
      <c r="E13" s="1507"/>
      <c r="F13" s="272">
        <f>41538.04+304700+427055</f>
        <v>773293.04</v>
      </c>
      <c r="G13" s="272">
        <v>147.72999999999999</v>
      </c>
      <c r="H13" s="1508">
        <f>+F13+G13*140+E13</f>
        <v>793975.24</v>
      </c>
      <c r="I13" s="6"/>
      <c r="M13" s="95"/>
      <c r="N13" s="95"/>
      <c r="O13" s="95"/>
      <c r="P13" s="95"/>
      <c r="Q13" s="95"/>
      <c r="R13" s="95"/>
      <c r="S13" s="97"/>
      <c r="T13" s="95"/>
      <c r="U13" s="95"/>
      <c r="V13" s="95"/>
      <c r="W13" s="95"/>
    </row>
    <row r="14" spans="1:23">
      <c r="A14" s="5"/>
      <c r="B14" s="181">
        <v>2</v>
      </c>
      <c r="C14" s="182" t="s">
        <v>2104</v>
      </c>
      <c r="D14" s="182"/>
      <c r="E14" s="182"/>
      <c r="F14" s="99">
        <v>106780</v>
      </c>
      <c r="G14" s="99"/>
      <c r="H14" s="1508">
        <f>+F14+G14*140+E14</f>
        <v>106780</v>
      </c>
      <c r="I14" s="6"/>
      <c r="M14" s="95"/>
      <c r="N14" s="95"/>
      <c r="O14" s="95"/>
      <c r="P14" s="95"/>
      <c r="Q14" s="95"/>
      <c r="R14" s="95"/>
      <c r="S14" s="97"/>
      <c r="T14" s="95"/>
      <c r="U14" s="95"/>
      <c r="V14" s="95"/>
      <c r="W14" s="95"/>
    </row>
    <row r="15" spans="1:23">
      <c r="A15" s="5"/>
      <c r="B15" s="181">
        <v>3</v>
      </c>
      <c r="C15" s="182" t="s">
        <v>2105</v>
      </c>
      <c r="D15" s="182"/>
      <c r="E15" s="182"/>
      <c r="F15" s="99"/>
      <c r="G15" s="99">
        <v>-2.33</v>
      </c>
      <c r="H15" s="1508">
        <f t="shared" ref="H15:H33" si="0">+F15+G15*140+E15</f>
        <v>-326.2</v>
      </c>
      <c r="I15" s="6"/>
      <c r="M15" s="95"/>
      <c r="N15" s="95"/>
      <c r="O15" s="95"/>
      <c r="P15" s="95"/>
      <c r="Q15" s="95"/>
      <c r="R15" s="95"/>
      <c r="S15" s="97"/>
      <c r="T15" s="95"/>
      <c r="U15" s="95"/>
      <c r="V15" s="95"/>
      <c r="W15" s="95"/>
    </row>
    <row r="16" spans="1:23">
      <c r="A16" s="5"/>
      <c r="B16" s="181">
        <v>4</v>
      </c>
      <c r="C16" s="182" t="s">
        <v>2106</v>
      </c>
      <c r="D16" s="182"/>
      <c r="E16" s="182"/>
      <c r="F16" s="1520">
        <v>3441255.8</v>
      </c>
      <c r="G16" s="99"/>
      <c r="H16" s="1508">
        <f t="shared" si="0"/>
        <v>3441255.8</v>
      </c>
      <c r="I16" s="6"/>
      <c r="M16" s="95"/>
      <c r="N16" s="95"/>
      <c r="O16" s="95"/>
      <c r="P16" s="95"/>
      <c r="Q16" s="95"/>
      <c r="R16" s="95"/>
      <c r="S16" s="97"/>
      <c r="T16" s="95"/>
      <c r="U16" s="95"/>
      <c r="V16" s="95"/>
      <c r="W16" s="95"/>
    </row>
    <row r="17" spans="1:24">
      <c r="A17" s="5"/>
      <c r="B17" s="181">
        <v>5</v>
      </c>
      <c r="C17" s="182" t="s">
        <v>2112</v>
      </c>
      <c r="D17" s="182"/>
      <c r="E17" s="182"/>
      <c r="F17" s="99">
        <f>0-F16</f>
        <v>-3441255.8</v>
      </c>
      <c r="G17" s="99"/>
      <c r="H17" s="1508">
        <f t="shared" si="0"/>
        <v>-3441255.8</v>
      </c>
      <c r="I17" s="6"/>
      <c r="M17" s="95"/>
      <c r="N17" s="95"/>
      <c r="O17" s="95"/>
      <c r="P17" s="95"/>
      <c r="Q17" s="95"/>
      <c r="R17" s="95"/>
      <c r="S17" s="97"/>
      <c r="T17" s="95"/>
      <c r="U17" s="95"/>
      <c r="V17" s="95"/>
      <c r="W17" s="95"/>
    </row>
    <row r="18" spans="1:24" ht="13.5" thickBot="1">
      <c r="A18" s="5"/>
      <c r="B18" s="181">
        <v>6</v>
      </c>
      <c r="C18" s="182"/>
      <c r="D18" s="182"/>
      <c r="E18" s="182"/>
      <c r="F18" s="99"/>
      <c r="G18" s="99"/>
      <c r="H18" s="1508">
        <f t="shared" si="0"/>
        <v>0</v>
      </c>
      <c r="I18" s="6"/>
      <c r="M18" s="95"/>
      <c r="N18" s="95"/>
      <c r="O18" s="95"/>
      <c r="P18" s="95"/>
      <c r="Q18" s="95"/>
      <c r="R18" s="95"/>
      <c r="S18" s="97"/>
      <c r="T18" s="95"/>
      <c r="U18" s="95"/>
      <c r="V18" s="95"/>
      <c r="W18" s="95"/>
    </row>
    <row r="19" spans="1:24" ht="13.5" thickBot="1">
      <c r="A19" s="5"/>
      <c r="B19" s="181">
        <v>7</v>
      </c>
      <c r="C19" s="1431" t="s">
        <v>2101</v>
      </c>
      <c r="D19" s="1509"/>
      <c r="E19" s="1509"/>
      <c r="F19" s="1431">
        <f>-F20-F21-F22-F23</f>
        <v>-1065409.76</v>
      </c>
      <c r="G19" s="99"/>
      <c r="H19" s="1508">
        <f t="shared" si="0"/>
        <v>-1065409.76</v>
      </c>
      <c r="I19" s="6"/>
      <c r="M19" s="95"/>
      <c r="N19" s="95"/>
      <c r="O19" s="95"/>
      <c r="P19" s="95"/>
      <c r="Q19" s="95"/>
      <c r="R19" s="95"/>
      <c r="S19" s="97"/>
      <c r="T19" s="95"/>
      <c r="U19" s="95"/>
      <c r="V19" s="95"/>
      <c r="W19" s="95"/>
      <c r="X19" s="114"/>
    </row>
    <row r="20" spans="1:24">
      <c r="A20" s="5"/>
      <c r="B20" s="181">
        <v>8</v>
      </c>
      <c r="C20" s="311" t="s">
        <v>2094</v>
      </c>
      <c r="D20" s="182"/>
      <c r="E20" s="182"/>
      <c r="F20" s="99">
        <v>65024.76</v>
      </c>
      <c r="G20" s="99"/>
      <c r="H20" s="1508">
        <f t="shared" si="0"/>
        <v>65024.76</v>
      </c>
      <c r="I20" s="6"/>
      <c r="M20" s="95"/>
      <c r="N20" s="95"/>
      <c r="O20" s="95"/>
      <c r="P20" s="95"/>
      <c r="Q20" s="95"/>
      <c r="R20" s="95"/>
      <c r="S20" s="97"/>
      <c r="T20" s="95"/>
      <c r="U20" s="95"/>
      <c r="V20" s="95"/>
      <c r="W20" s="95"/>
    </row>
    <row r="21" spans="1:24">
      <c r="A21" s="5"/>
      <c r="B21" s="181">
        <v>9</v>
      </c>
      <c r="C21" s="311" t="s">
        <v>2091</v>
      </c>
      <c r="D21" s="182"/>
      <c r="E21" s="182"/>
      <c r="F21" s="99">
        <f>778358+115483</f>
        <v>893841</v>
      </c>
      <c r="G21" s="99"/>
      <c r="H21" s="1508">
        <f t="shared" si="0"/>
        <v>893841</v>
      </c>
      <c r="I21" s="6"/>
      <c r="M21" s="95"/>
      <c r="N21" s="95"/>
      <c r="O21" s="95"/>
      <c r="P21" s="95"/>
      <c r="Q21" s="95"/>
      <c r="R21" s="95"/>
      <c r="S21" s="97"/>
      <c r="T21" s="95"/>
      <c r="U21" s="95"/>
      <c r="V21" s="95"/>
      <c r="W21" s="95"/>
    </row>
    <row r="22" spans="1:24">
      <c r="A22" s="5"/>
      <c r="B22" s="181">
        <v>10</v>
      </c>
      <c r="C22" s="311" t="s">
        <v>2092</v>
      </c>
      <c r="D22" s="182"/>
      <c r="E22" s="182"/>
      <c r="F22" s="99">
        <v>101544</v>
      </c>
      <c r="G22" s="99"/>
      <c r="H22" s="1508">
        <f t="shared" si="0"/>
        <v>101544</v>
      </c>
      <c r="I22" s="6"/>
      <c r="M22" s="95"/>
      <c r="N22" s="95"/>
      <c r="O22" s="95"/>
      <c r="P22" s="95"/>
      <c r="Q22" s="95"/>
      <c r="R22" s="95"/>
      <c r="S22" s="97"/>
      <c r="T22" s="95"/>
      <c r="U22" s="95"/>
      <c r="V22" s="95"/>
      <c r="W22" s="95"/>
    </row>
    <row r="23" spans="1:24">
      <c r="A23" s="5"/>
      <c r="B23" s="181">
        <v>11</v>
      </c>
      <c r="C23" s="311" t="s">
        <v>2093</v>
      </c>
      <c r="D23" s="182"/>
      <c r="E23" s="182"/>
      <c r="F23" s="99">
        <v>5000</v>
      </c>
      <c r="G23" s="99"/>
      <c r="H23" s="1508">
        <f t="shared" si="0"/>
        <v>5000</v>
      </c>
      <c r="I23" s="6"/>
      <c r="M23" s="95"/>
      <c r="N23" s="95"/>
      <c r="O23" s="95"/>
      <c r="P23" s="95"/>
      <c r="Q23" s="95"/>
      <c r="R23" s="95"/>
      <c r="S23" s="97"/>
      <c r="T23" s="95"/>
      <c r="U23" s="95"/>
      <c r="V23" s="95"/>
      <c r="W23" s="95"/>
    </row>
    <row r="24" spans="1:24">
      <c r="A24" s="5"/>
      <c r="B24" s="181">
        <v>12</v>
      </c>
      <c r="C24" s="311"/>
      <c r="D24" s="182"/>
      <c r="E24" s="182"/>
      <c r="F24" s="99"/>
      <c r="G24" s="99"/>
      <c r="H24" s="1508">
        <f t="shared" si="0"/>
        <v>0</v>
      </c>
      <c r="I24" s="6"/>
      <c r="M24" s="95"/>
      <c r="N24" s="95"/>
      <c r="O24" s="95"/>
      <c r="P24" s="95"/>
      <c r="Q24" s="95"/>
      <c r="R24" s="95"/>
      <c r="S24" s="97"/>
      <c r="T24" s="95"/>
      <c r="U24" s="95"/>
      <c r="V24" s="95"/>
      <c r="W24" s="95"/>
    </row>
    <row r="25" spans="1:24">
      <c r="A25" s="5"/>
      <c r="B25" s="181">
        <v>13</v>
      </c>
      <c r="C25" s="311" t="s">
        <v>2113</v>
      </c>
      <c r="D25" s="182"/>
      <c r="E25" s="182"/>
      <c r="F25" s="99"/>
      <c r="G25" s="99"/>
      <c r="H25" s="1508">
        <f t="shared" si="0"/>
        <v>0</v>
      </c>
      <c r="I25" s="6"/>
      <c r="M25" s="95"/>
      <c r="N25" s="95"/>
      <c r="O25" s="95"/>
      <c r="P25" s="95"/>
      <c r="Q25" s="95"/>
      <c r="R25" s="95"/>
      <c r="S25" s="97"/>
      <c r="T25" s="95"/>
      <c r="U25" s="95"/>
      <c r="V25" s="95"/>
      <c r="W25" s="95"/>
    </row>
    <row r="26" spans="1:24">
      <c r="A26" s="5"/>
      <c r="B26" s="181">
        <v>14</v>
      </c>
      <c r="C26" s="311" t="s">
        <v>2117</v>
      </c>
      <c r="D26" s="182"/>
      <c r="E26" s="182"/>
      <c r="F26" s="99">
        <f>'Pas E Shitjes Ndertiimi I'!J35</f>
        <v>15738985.50093458</v>
      </c>
      <c r="G26" s="99"/>
      <c r="H26" s="1508">
        <f t="shared" si="0"/>
        <v>15738985.50093458</v>
      </c>
      <c r="I26" s="6"/>
      <c r="M26" s="95"/>
      <c r="N26" s="95"/>
      <c r="O26" s="95"/>
      <c r="P26" s="95"/>
      <c r="Q26" s="95"/>
      <c r="R26" s="95"/>
      <c r="S26" s="97"/>
      <c r="T26" s="95"/>
      <c r="U26" s="95"/>
      <c r="V26" s="95"/>
      <c r="W26" s="95"/>
    </row>
    <row r="27" spans="1:24">
      <c r="A27" s="5"/>
      <c r="B27" s="181">
        <v>15</v>
      </c>
      <c r="C27" s="311" t="s">
        <v>2118</v>
      </c>
      <c r="D27" s="182"/>
      <c r="E27" s="182"/>
      <c r="F27" s="99">
        <f>'Pas E Shitjes Ndertiimi I'!J37</f>
        <v>6456158.1758036083</v>
      </c>
      <c r="G27" s="99"/>
      <c r="H27" s="1508">
        <f t="shared" si="0"/>
        <v>6456158.1758036083</v>
      </c>
      <c r="I27" s="6"/>
      <c r="M27" s="95"/>
      <c r="N27" s="95"/>
      <c r="O27" s="95"/>
      <c r="P27" s="95"/>
      <c r="Q27" s="95"/>
      <c r="R27" s="95"/>
      <c r="S27" s="97"/>
      <c r="T27" s="95"/>
      <c r="U27" s="95"/>
      <c r="V27" s="95"/>
      <c r="W27" s="95"/>
    </row>
    <row r="28" spans="1:24">
      <c r="A28" s="5"/>
      <c r="B28" s="181">
        <v>16</v>
      </c>
      <c r="C28" s="311" t="s">
        <v>2119</v>
      </c>
      <c r="D28" s="182"/>
      <c r="E28" s="182"/>
      <c r="F28" s="99">
        <f>'Pas E Shitjes Ndertiimi I'!J38</f>
        <v>34215643.305599995</v>
      </c>
      <c r="G28" s="99"/>
      <c r="H28" s="1508">
        <f t="shared" si="0"/>
        <v>34215643.305599995</v>
      </c>
      <c r="I28" s="6"/>
      <c r="M28" s="95"/>
      <c r="N28" s="95"/>
      <c r="O28" s="95"/>
      <c r="P28" s="95"/>
      <c r="Q28" s="95"/>
      <c r="R28" s="95"/>
      <c r="S28" s="97"/>
      <c r="T28" s="95"/>
      <c r="U28" s="95"/>
      <c r="V28" s="95"/>
      <c r="W28" s="95"/>
    </row>
    <row r="29" spans="1:24">
      <c r="A29" s="5"/>
      <c r="B29" s="181">
        <v>17</v>
      </c>
      <c r="C29" s="311" t="s">
        <v>2120</v>
      </c>
      <c r="D29" s="182"/>
      <c r="E29" s="182"/>
      <c r="F29" s="99">
        <f>'Pas E Shitjes Ndertiimi I'!J40</f>
        <v>3441255.8</v>
      </c>
      <c r="G29" s="99"/>
      <c r="H29" s="1508">
        <f t="shared" si="0"/>
        <v>3441255.8</v>
      </c>
      <c r="I29" s="6"/>
      <c r="M29" s="95"/>
      <c r="N29" s="95"/>
      <c r="O29" s="95"/>
      <c r="P29" s="95"/>
      <c r="Q29" s="95"/>
      <c r="R29" s="95"/>
      <c r="S29" s="112"/>
      <c r="T29" s="95"/>
      <c r="U29" s="95"/>
      <c r="V29" s="95"/>
      <c r="W29" s="95"/>
    </row>
    <row r="30" spans="1:24">
      <c r="A30" s="5"/>
      <c r="B30" s="181">
        <v>18</v>
      </c>
      <c r="C30" s="311" t="s">
        <v>2121</v>
      </c>
      <c r="D30" s="182"/>
      <c r="E30" s="182"/>
      <c r="F30" s="99">
        <f>'Pas E Shitjes Ndertiimi I'!J41+'Pas E Shitjes Ndertiimi I'!J42</f>
        <v>1703272.76</v>
      </c>
      <c r="G30" s="99"/>
      <c r="H30" s="1508">
        <f t="shared" si="0"/>
        <v>1703272.76</v>
      </c>
      <c r="I30" s="6"/>
      <c r="M30" s="95"/>
      <c r="N30" s="95"/>
      <c r="O30" s="95"/>
      <c r="P30" s="95"/>
      <c r="Q30" s="95"/>
      <c r="R30" s="95"/>
      <c r="S30" s="97"/>
      <c r="T30" s="95"/>
      <c r="U30" s="95"/>
      <c r="V30" s="95"/>
      <c r="W30" s="95"/>
    </row>
    <row r="31" spans="1:24">
      <c r="A31" s="5"/>
      <c r="B31" s="181">
        <v>19</v>
      </c>
      <c r="C31" s="1510"/>
      <c r="D31" s="1511"/>
      <c r="E31" s="1511"/>
      <c r="F31" s="106"/>
      <c r="G31" s="106"/>
      <c r="H31" s="1508">
        <f t="shared" si="0"/>
        <v>0</v>
      </c>
      <c r="I31" s="6"/>
      <c r="K31" s="400">
        <f>H13+H14+H15+H16+H17+H19+H26+H27+H28+H29+H30</f>
        <v>61390334.822338179</v>
      </c>
      <c r="M31" s="95"/>
      <c r="N31" s="95"/>
      <c r="O31" s="95"/>
      <c r="P31" s="95"/>
      <c r="Q31" s="95"/>
      <c r="R31" s="95"/>
      <c r="S31" s="97"/>
      <c r="T31" s="95"/>
      <c r="U31" s="95"/>
      <c r="V31" s="95"/>
      <c r="W31" s="95"/>
    </row>
    <row r="32" spans="1:24">
      <c r="A32" s="5"/>
      <c r="B32" s="181">
        <v>20</v>
      </c>
      <c r="C32" s="1510"/>
      <c r="D32" s="1511"/>
      <c r="E32" s="1511"/>
      <c r="F32" s="106"/>
      <c r="G32" s="106"/>
      <c r="H32" s="1508">
        <f t="shared" si="0"/>
        <v>0</v>
      </c>
      <c r="I32" s="6"/>
      <c r="K32" s="400">
        <f>K31-H34</f>
        <v>-1065409.7599999979</v>
      </c>
      <c r="M32" s="95"/>
      <c r="N32" s="95"/>
      <c r="O32" s="95"/>
      <c r="P32" s="95"/>
      <c r="Q32" s="95"/>
      <c r="R32" s="95"/>
      <c r="S32" s="97"/>
      <c r="T32" s="95"/>
      <c r="U32" s="95"/>
      <c r="V32" s="95"/>
      <c r="W32" s="95"/>
    </row>
    <row r="33" spans="1:23" ht="13.5" thickBot="1">
      <c r="A33" s="5"/>
      <c r="B33" s="181">
        <v>21</v>
      </c>
      <c r="C33" s="1510"/>
      <c r="D33" s="1511"/>
      <c r="E33" s="1511"/>
      <c r="F33" s="106"/>
      <c r="G33" s="106"/>
      <c r="H33" s="1508">
        <f t="shared" si="0"/>
        <v>0</v>
      </c>
      <c r="I33" s="6"/>
      <c r="M33" s="95"/>
      <c r="N33" s="95"/>
      <c r="O33" s="95"/>
      <c r="P33" s="95"/>
      <c r="Q33" s="95"/>
      <c r="R33" s="95"/>
      <c r="S33" s="97"/>
      <c r="T33" s="95"/>
      <c r="U33" s="95"/>
      <c r="V33" s="95"/>
      <c r="W33" s="95"/>
    </row>
    <row r="34" spans="1:23" ht="13.5" thickBot="1">
      <c r="A34" s="5"/>
      <c r="B34" s="291" t="s">
        <v>476</v>
      </c>
      <c r="C34" s="292"/>
      <c r="D34" s="292"/>
      <c r="E34" s="292">
        <f>SUM(E13:E33)</f>
        <v>0</v>
      </c>
      <c r="F34" s="1506">
        <f t="shared" ref="F34:G34" si="1">SUM(F13:F33)</f>
        <v>62435388.582338177</v>
      </c>
      <c r="G34" s="1506">
        <f t="shared" si="1"/>
        <v>145.39999999999998</v>
      </c>
      <c r="H34" s="1506">
        <f>SUM(H13:H33)</f>
        <v>62455744.582338177</v>
      </c>
      <c r="I34" s="6"/>
      <c r="M34" s="95"/>
      <c r="N34" s="95"/>
      <c r="O34" s="95"/>
      <c r="P34" s="95"/>
      <c r="Q34" s="95"/>
      <c r="R34" s="95"/>
      <c r="S34" s="97"/>
      <c r="T34" s="95"/>
      <c r="U34" s="95"/>
      <c r="V34" s="95"/>
      <c r="W34" s="95"/>
    </row>
    <row r="35" spans="1:23">
      <c r="A35" s="5"/>
      <c r="B35" s="1"/>
      <c r="C35" s="1"/>
      <c r="D35" s="1"/>
      <c r="E35" s="1"/>
      <c r="F35" s="1"/>
      <c r="G35" s="96"/>
      <c r="H35" s="1"/>
      <c r="I35" s="6"/>
      <c r="M35" s="95"/>
      <c r="N35" s="95"/>
      <c r="O35" s="95"/>
      <c r="P35" s="95"/>
      <c r="Q35" s="95"/>
      <c r="R35" s="95"/>
      <c r="S35" s="97"/>
      <c r="T35" s="95"/>
      <c r="U35" s="95"/>
      <c r="V35" s="95"/>
      <c r="W35" s="95"/>
    </row>
    <row r="36" spans="1:23">
      <c r="A36" s="5"/>
      <c r="B36" s="1"/>
      <c r="C36" s="2" t="s">
        <v>478</v>
      </c>
      <c r="D36" s="107"/>
      <c r="E36" s="107"/>
      <c r="F36" s="1"/>
      <c r="G36" s="94">
        <v>0</v>
      </c>
      <c r="H36" s="1"/>
      <c r="I36" s="6"/>
      <c r="M36" s="95"/>
      <c r="N36" s="95"/>
      <c r="O36" s="95"/>
      <c r="P36" s="95"/>
      <c r="Q36" s="95"/>
      <c r="R36" s="95"/>
      <c r="S36" s="97"/>
      <c r="T36" s="95"/>
      <c r="U36" s="95"/>
      <c r="V36" s="95"/>
      <c r="W36" s="95"/>
    </row>
    <row r="37" spans="1:23">
      <c r="A37" s="5"/>
      <c r="B37" s="1"/>
      <c r="C37" s="30" t="s">
        <v>2107</v>
      </c>
      <c r="D37" s="107"/>
      <c r="E37" s="107"/>
      <c r="F37" s="1"/>
      <c r="G37" s="94">
        <v>427055</v>
      </c>
      <c r="H37" s="1"/>
      <c r="I37" s="6"/>
      <c r="M37" s="95"/>
      <c r="N37" s="95"/>
      <c r="O37" s="95"/>
      <c r="P37" s="95"/>
      <c r="Q37" s="95"/>
      <c r="R37" s="95"/>
      <c r="S37" s="97"/>
      <c r="T37" s="95"/>
      <c r="U37" s="95"/>
      <c r="V37" s="95"/>
      <c r="W37" s="95"/>
    </row>
    <row r="38" spans="1:23">
      <c r="A38" s="5"/>
      <c r="B38" s="1"/>
      <c r="C38" s="30" t="s">
        <v>479</v>
      </c>
      <c r="D38" s="107"/>
      <c r="E38" s="107"/>
      <c r="F38" s="1"/>
      <c r="G38" s="119">
        <v>0</v>
      </c>
      <c r="H38" s="81"/>
      <c r="I38" s="6"/>
      <c r="M38" s="95"/>
      <c r="N38" s="95"/>
      <c r="O38" s="95"/>
      <c r="P38" s="95"/>
      <c r="Q38" s="95"/>
      <c r="R38" s="95"/>
      <c r="S38" s="97"/>
      <c r="T38" s="95"/>
      <c r="U38" s="95"/>
      <c r="V38" s="95"/>
      <c r="W38" s="95"/>
    </row>
    <row r="39" spans="1:23">
      <c r="A39" s="5"/>
      <c r="B39" s="1"/>
      <c r="C39" s="58" t="s">
        <v>480</v>
      </c>
      <c r="D39" s="107"/>
      <c r="E39" s="107"/>
      <c r="F39" s="1"/>
      <c r="G39" s="119">
        <v>0</v>
      </c>
      <c r="H39" s="1"/>
      <c r="I39" s="6"/>
      <c r="M39" s="95"/>
      <c r="N39" s="95"/>
      <c r="O39" s="95"/>
      <c r="P39" s="95"/>
      <c r="Q39" s="95"/>
      <c r="R39" s="95"/>
      <c r="S39" s="97"/>
      <c r="T39" s="95"/>
      <c r="U39" s="95"/>
      <c r="V39" s="95"/>
      <c r="W39" s="95"/>
    </row>
    <row r="40" spans="1:23" ht="13.5" thickBot="1">
      <c r="A40" s="5"/>
      <c r="B40" s="1"/>
      <c r="C40" s="58" t="s">
        <v>481</v>
      </c>
      <c r="D40" s="1"/>
      <c r="E40" s="1"/>
      <c r="F40" s="1"/>
      <c r="G40" s="187">
        <v>0</v>
      </c>
      <c r="H40" s="1"/>
      <c r="I40" s="6"/>
      <c r="M40" s="95"/>
      <c r="N40" s="95"/>
      <c r="O40" s="95"/>
      <c r="P40" s="95"/>
      <c r="Q40" s="95"/>
      <c r="R40" s="95"/>
      <c r="S40" s="97"/>
      <c r="T40" s="95"/>
      <c r="U40" s="95"/>
      <c r="V40" s="95"/>
      <c r="W40" s="95"/>
    </row>
    <row r="41" spans="1:23" ht="13.5" thickBot="1">
      <c r="A41" s="5"/>
      <c r="B41" s="1"/>
      <c r="C41" s="1"/>
      <c r="D41" s="1958" t="s">
        <v>167</v>
      </c>
      <c r="E41" s="1762"/>
      <c r="F41" s="1"/>
      <c r="G41" s="293">
        <f>SUM(G36:G40)</f>
        <v>427055</v>
      </c>
      <c r="H41" s="1"/>
      <c r="I41" s="6"/>
      <c r="M41" s="95"/>
      <c r="N41" s="95"/>
      <c r="O41" s="95"/>
      <c r="P41" s="95"/>
      <c r="Q41" s="95"/>
      <c r="R41" s="95"/>
      <c r="S41" s="97"/>
      <c r="T41" s="95"/>
      <c r="U41" s="95"/>
      <c r="V41" s="95"/>
      <c r="W41" s="95"/>
    </row>
    <row r="42" spans="1:23" ht="13.5" thickBot="1">
      <c r="A42" s="7"/>
      <c r="B42" s="8"/>
      <c r="C42" s="8"/>
      <c r="D42" s="8"/>
      <c r="E42" s="8"/>
      <c r="F42" s="8"/>
      <c r="G42" s="121"/>
      <c r="H42" s="8"/>
      <c r="I42" s="9"/>
    </row>
    <row r="43" spans="1:23">
      <c r="A43" s="1"/>
    </row>
    <row r="44" spans="1:23">
      <c r="A44" s="1"/>
    </row>
    <row r="45" spans="1:23">
      <c r="A45" s="1"/>
    </row>
    <row r="46" spans="1:23">
      <c r="A46" s="1"/>
    </row>
  </sheetData>
  <mergeCells count="5">
    <mergeCell ref="D41:E41"/>
    <mergeCell ref="C6:F6"/>
    <mergeCell ref="B11:B12"/>
    <mergeCell ref="C11:C12"/>
    <mergeCell ref="F11:H11"/>
  </mergeCells>
  <phoneticPr fontId="7" type="noConversion"/>
  <pageMargins left="0" right="0" top="0" bottom="0" header="0" footer="0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FFCC"/>
  </sheetPr>
  <dimension ref="A1:AT599"/>
  <sheetViews>
    <sheetView topLeftCell="AB1" workbookViewId="0">
      <selection activeCell="AT27" sqref="AF1:AT27"/>
    </sheetView>
  </sheetViews>
  <sheetFormatPr defaultRowHeight="12.75"/>
  <cols>
    <col min="1" max="1" width="4.7109375" style="350" customWidth="1"/>
    <col min="2" max="2" width="14.28515625" style="350" customWidth="1"/>
    <col min="3" max="3" width="9.140625" style="350"/>
    <col min="4" max="4" width="8.7109375" style="350" customWidth="1"/>
    <col min="5" max="5" width="10.140625" style="350" customWidth="1"/>
    <col min="6" max="6" width="6.5703125" style="350" customWidth="1"/>
    <col min="7" max="7" width="7.28515625" style="350" customWidth="1"/>
    <col min="8" max="8" width="10.42578125" style="350" customWidth="1"/>
    <col min="9" max="9" width="10" style="350" customWidth="1"/>
    <col min="10" max="10" width="10.140625" style="350" customWidth="1"/>
    <col min="11" max="11" width="9.28515625" style="350" customWidth="1"/>
    <col min="12" max="12" width="11.7109375" style="350" customWidth="1"/>
    <col min="13" max="13" width="6" style="350" customWidth="1"/>
    <col min="14" max="14" width="10" style="350" customWidth="1"/>
    <col min="15" max="15" width="9.140625" style="350" customWidth="1"/>
    <col min="16" max="16" width="9.7109375" style="350" customWidth="1"/>
    <col min="17" max="17" width="0.140625" style="350" hidden="1" customWidth="1"/>
    <col min="18" max="18" width="5.28515625" style="350" customWidth="1"/>
    <col min="19" max="19" width="17.7109375" style="350" customWidth="1"/>
    <col min="20" max="20" width="7.85546875" style="350" customWidth="1"/>
    <col min="21" max="21" width="3.140625" style="350" customWidth="1"/>
    <col min="22" max="22" width="8.85546875" style="350" customWidth="1"/>
    <col min="23" max="23" width="9.85546875" style="350" customWidth="1"/>
    <col min="24" max="24" width="11.28515625" style="350" customWidth="1"/>
    <col min="25" max="25" width="7.28515625" style="350" customWidth="1"/>
    <col min="26" max="26" width="16.85546875" style="350" customWidth="1"/>
    <col min="27" max="27" width="12" style="350" customWidth="1"/>
    <col min="28" max="29" width="9.7109375" style="350" customWidth="1"/>
    <col min="30" max="30" width="11.7109375" style="350" customWidth="1"/>
    <col min="31" max="33" width="6.42578125" style="1" customWidth="1"/>
    <col min="34" max="34" width="4" style="95" customWidth="1"/>
    <col min="35" max="35" width="7.7109375" style="95" customWidth="1"/>
    <col min="36" max="36" width="9.140625" style="95"/>
    <col min="37" max="37" width="9.5703125" style="95" bestFit="1" customWidth="1"/>
    <col min="38" max="40" width="9.140625" style="95"/>
    <col min="41" max="41" width="6.7109375" style="95" customWidth="1"/>
    <col min="42" max="42" width="9.140625" style="95"/>
    <col min="43" max="43" width="10.140625" style="95" customWidth="1"/>
    <col min="44" max="45" width="9.140625" style="95"/>
    <col min="46" max="46" width="5.42578125" style="95" customWidth="1"/>
    <col min="47" max="16384" width="9.140625" style="95"/>
  </cols>
  <sheetData>
    <row r="1" spans="1:46" ht="12" customHeight="1">
      <c r="A1" s="349" t="s">
        <v>664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/>
      <c r="AH1" s="349"/>
      <c r="AI1"/>
      <c r="AJ1"/>
      <c r="AK1"/>
      <c r="AL1"/>
      <c r="AM1"/>
      <c r="AN1"/>
      <c r="AO1"/>
      <c r="AP1"/>
      <c r="AQ1"/>
      <c r="AR1"/>
    </row>
    <row r="2" spans="1:46" ht="12" customHeight="1">
      <c r="A2" s="349" t="s">
        <v>1099</v>
      </c>
      <c r="B2" s="349"/>
      <c r="C2" s="349"/>
      <c r="D2" s="349" t="s">
        <v>1100</v>
      </c>
      <c r="E2" s="349"/>
      <c r="F2" s="349"/>
      <c r="G2" s="349"/>
      <c r="H2" s="349"/>
      <c r="I2" s="349" t="s">
        <v>1101</v>
      </c>
      <c r="J2" s="349"/>
      <c r="K2" s="349"/>
      <c r="L2" s="349"/>
      <c r="M2" s="349"/>
      <c r="N2" s="349" t="s">
        <v>1102</v>
      </c>
      <c r="O2" s="349"/>
      <c r="P2" s="349"/>
      <c r="Q2"/>
      <c r="R2" s="349" t="s">
        <v>1103</v>
      </c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H2" s="349"/>
      <c r="AI2" s="10"/>
      <c r="AJ2" s="2031"/>
      <c r="AK2" s="2031"/>
      <c r="AL2" s="2031"/>
      <c r="AM2" s="2031"/>
      <c r="AN2" s="2031"/>
      <c r="AO2" s="2031"/>
      <c r="AP2"/>
      <c r="AQ2"/>
      <c r="AR2"/>
    </row>
    <row r="3" spans="1:46" ht="12" customHeight="1" thickBot="1">
      <c r="A3" s="349" t="s">
        <v>665</v>
      </c>
      <c r="B3" s="349"/>
      <c r="C3" s="349"/>
      <c r="D3" s="349"/>
      <c r="E3" s="1979"/>
      <c r="F3" s="1979"/>
      <c r="G3" s="1979"/>
      <c r="H3" s="1979" t="s">
        <v>1104</v>
      </c>
      <c r="I3" s="1979"/>
      <c r="J3" s="1979"/>
      <c r="K3" s="1979"/>
      <c r="L3" s="349"/>
      <c r="M3" s="1979" t="s">
        <v>666</v>
      </c>
      <c r="N3" s="1979"/>
      <c r="O3" s="1979"/>
      <c r="P3" s="1979"/>
      <c r="Q3"/>
      <c r="R3" s="349" t="s">
        <v>1099</v>
      </c>
      <c r="S3" s="349"/>
      <c r="T3" s="349"/>
      <c r="U3" s="349" t="s">
        <v>1100</v>
      </c>
      <c r="V3" s="349"/>
      <c r="W3" s="349"/>
      <c r="X3" s="349"/>
      <c r="Y3" s="349"/>
      <c r="Z3" s="349" t="s">
        <v>1105</v>
      </c>
      <c r="AA3" s="349"/>
      <c r="AB3" s="349"/>
      <c r="AC3" s="349"/>
      <c r="AD3" s="349" t="s">
        <v>1102</v>
      </c>
      <c r="AE3" s="736"/>
      <c r="AF3" s="736"/>
      <c r="AG3" s="736"/>
      <c r="AH3" s="190"/>
      <c r="AI3" s="10"/>
      <c r="AJ3" s="2031"/>
      <c r="AK3" s="2031"/>
      <c r="AL3" s="2031"/>
      <c r="AM3" s="2031"/>
      <c r="AN3" s="2031"/>
      <c r="AO3" s="2031"/>
      <c r="AP3"/>
      <c r="AQ3"/>
      <c r="AR3"/>
    </row>
    <row r="4" spans="1:46" ht="12" customHeight="1" thickBot="1">
      <c r="A4" s="1980" t="s">
        <v>187</v>
      </c>
      <c r="B4" s="826" t="s">
        <v>667</v>
      </c>
      <c r="C4" s="1980" t="s">
        <v>1106</v>
      </c>
      <c r="D4" s="1983"/>
      <c r="E4" s="1980" t="s">
        <v>1107</v>
      </c>
      <c r="F4" s="1986" t="s">
        <v>1108</v>
      </c>
      <c r="G4" s="1986" t="s">
        <v>1109</v>
      </c>
      <c r="H4" s="827" t="s">
        <v>1110</v>
      </c>
      <c r="I4" s="828"/>
      <c r="J4" s="827" t="s">
        <v>188</v>
      </c>
      <c r="K4" s="829"/>
      <c r="L4" s="829"/>
      <c r="M4" s="829"/>
      <c r="N4" s="826" t="s">
        <v>189</v>
      </c>
      <c r="O4" s="826" t="s">
        <v>1111</v>
      </c>
      <c r="P4" s="1989" t="s">
        <v>1112</v>
      </c>
      <c r="Q4"/>
      <c r="R4" s="349" t="s">
        <v>665</v>
      </c>
      <c r="S4" s="349"/>
      <c r="T4" s="349"/>
      <c r="U4" s="349"/>
      <c r="V4" s="830"/>
      <c r="W4" s="830"/>
      <c r="X4" s="830"/>
      <c r="Y4" s="830" t="s">
        <v>1104</v>
      </c>
      <c r="Z4" s="830"/>
      <c r="AA4" s="830"/>
      <c r="AB4" s="349"/>
      <c r="AC4" s="831" t="s">
        <v>666</v>
      </c>
      <c r="AD4" s="831"/>
      <c r="AE4" s="736"/>
      <c r="AF4" s="736"/>
      <c r="AG4" s="736"/>
      <c r="AH4" s="100"/>
      <c r="AI4" s="361"/>
      <c r="AJ4" s="362" t="s">
        <v>712</v>
      </c>
      <c r="AK4" s="362"/>
      <c r="AL4" s="362"/>
      <c r="AM4" s="362"/>
      <c r="AN4" s="362"/>
      <c r="AO4" s="362"/>
      <c r="AP4" s="362"/>
      <c r="AQ4" s="361"/>
      <c r="AR4" s="361"/>
      <c r="AS4" s="361"/>
      <c r="AT4" s="361"/>
    </row>
    <row r="5" spans="1:46" ht="12" customHeight="1" thickBot="1">
      <c r="A5" s="1981"/>
      <c r="B5" s="832" t="s">
        <v>668</v>
      </c>
      <c r="C5" s="1981"/>
      <c r="D5" s="1984"/>
      <c r="E5" s="1981"/>
      <c r="F5" s="1987"/>
      <c r="G5" s="1987"/>
      <c r="H5" s="1989" t="s">
        <v>193</v>
      </c>
      <c r="I5" s="1989" t="s">
        <v>1113</v>
      </c>
      <c r="J5" s="1989" t="s">
        <v>1114</v>
      </c>
      <c r="K5" s="833" t="s">
        <v>194</v>
      </c>
      <c r="L5" s="834"/>
      <c r="M5" s="826" t="s">
        <v>669</v>
      </c>
      <c r="N5" s="832" t="s">
        <v>670</v>
      </c>
      <c r="O5" s="832" t="s">
        <v>195</v>
      </c>
      <c r="P5" s="1990"/>
      <c r="Q5"/>
      <c r="R5" s="2028" t="s">
        <v>1115</v>
      </c>
      <c r="S5" s="2029"/>
      <c r="T5" s="2029"/>
      <c r="U5" s="2029"/>
      <c r="V5" s="2029"/>
      <c r="W5" s="2029"/>
      <c r="X5" s="2030"/>
      <c r="Y5" s="2003" t="s">
        <v>1116</v>
      </c>
      <c r="Z5" s="2004"/>
      <c r="AA5" s="2004"/>
      <c r="AB5" s="2004"/>
      <c r="AC5" s="2004"/>
      <c r="AD5" s="2005"/>
      <c r="AE5" s="736"/>
      <c r="AF5" s="736"/>
      <c r="AG5" s="736"/>
      <c r="AH5" s="100"/>
      <c r="AI5" s="100"/>
      <c r="AJ5" s="100"/>
      <c r="AK5" s="100"/>
      <c r="AL5" s="100"/>
      <c r="AM5" s="363" t="s">
        <v>132</v>
      </c>
      <c r="AN5" s="364"/>
      <c r="AO5" s="364">
        <v>2011</v>
      </c>
      <c r="AP5" s="361"/>
      <c r="AQ5" s="361"/>
      <c r="AR5" s="361"/>
      <c r="AS5" s="361"/>
      <c r="AT5" s="361"/>
    </row>
    <row r="6" spans="1:46" ht="12" customHeight="1" thickBot="1">
      <c r="A6" s="1982"/>
      <c r="B6" s="835" t="s">
        <v>671</v>
      </c>
      <c r="C6" s="1982"/>
      <c r="D6" s="1985"/>
      <c r="E6" s="1982"/>
      <c r="F6" s="1988"/>
      <c r="G6" s="1988"/>
      <c r="H6" s="1991"/>
      <c r="I6" s="1991"/>
      <c r="J6" s="1991"/>
      <c r="K6" s="836" t="s">
        <v>672</v>
      </c>
      <c r="L6" s="836" t="s">
        <v>673</v>
      </c>
      <c r="M6" s="835" t="s">
        <v>674</v>
      </c>
      <c r="N6" s="835" t="s">
        <v>675</v>
      </c>
      <c r="O6" s="835" t="s">
        <v>676</v>
      </c>
      <c r="P6" s="1991"/>
      <c r="Q6"/>
      <c r="R6" s="2006" t="s">
        <v>1</v>
      </c>
      <c r="S6" s="2006" t="s">
        <v>677</v>
      </c>
      <c r="T6" s="2009" t="s">
        <v>1117</v>
      </c>
      <c r="U6" s="2010"/>
      <c r="V6" s="2017" t="s">
        <v>1118</v>
      </c>
      <c r="W6" s="2017" t="s">
        <v>1119</v>
      </c>
      <c r="X6" s="2017" t="s">
        <v>1120</v>
      </c>
      <c r="Y6" s="2006" t="s">
        <v>1</v>
      </c>
      <c r="Z6" s="2006" t="s">
        <v>677</v>
      </c>
      <c r="AA6" s="2009" t="s">
        <v>1117</v>
      </c>
      <c r="AB6" s="2017" t="s">
        <v>1118</v>
      </c>
      <c r="AC6" s="2017" t="s">
        <v>1119</v>
      </c>
      <c r="AD6" s="2017" t="s">
        <v>1121</v>
      </c>
      <c r="AE6" s="723"/>
      <c r="AF6" s="723"/>
      <c r="AG6" s="723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</row>
    <row r="7" spans="1:46" ht="12" customHeight="1">
      <c r="A7" s="837">
        <v>1</v>
      </c>
      <c r="B7" s="838" t="s">
        <v>1122</v>
      </c>
      <c r="C7" s="839" t="s">
        <v>1123</v>
      </c>
      <c r="D7" s="840"/>
      <c r="E7" s="306" t="s">
        <v>1124</v>
      </c>
      <c r="F7" s="841">
        <v>1</v>
      </c>
      <c r="G7" s="841">
        <v>22</v>
      </c>
      <c r="H7" s="307">
        <v>100000</v>
      </c>
      <c r="I7" s="307">
        <v>84100</v>
      </c>
      <c r="J7" s="307">
        <f>K7+L7</f>
        <v>20604.5</v>
      </c>
      <c r="K7" s="307">
        <f>I7*0.15</f>
        <v>12615</v>
      </c>
      <c r="L7" s="307">
        <f>I7*0.095</f>
        <v>7989.5</v>
      </c>
      <c r="M7" s="307">
        <v>0</v>
      </c>
      <c r="N7" s="307">
        <f>I7*0.034</f>
        <v>2859.4</v>
      </c>
      <c r="O7" s="307">
        <f>H7</f>
        <v>100000</v>
      </c>
      <c r="P7" s="842">
        <f>H7*0.1</f>
        <v>10000</v>
      </c>
      <c r="Q7"/>
      <c r="R7" s="2007"/>
      <c r="S7" s="2007"/>
      <c r="T7" s="2011"/>
      <c r="U7" s="2012"/>
      <c r="V7" s="2018"/>
      <c r="W7" s="2018"/>
      <c r="X7" s="2018"/>
      <c r="Y7" s="2007"/>
      <c r="Z7" s="2007"/>
      <c r="AA7" s="2011"/>
      <c r="AB7" s="2018"/>
      <c r="AC7" s="2018"/>
      <c r="AD7" s="2018"/>
      <c r="AE7" s="733"/>
      <c r="AF7" s="733"/>
      <c r="AG7" s="733"/>
      <c r="AH7" s="361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1"/>
      <c r="AT7" s="361"/>
    </row>
    <row r="8" spans="1:46" ht="12" customHeight="1" thickBot="1">
      <c r="A8" s="843">
        <v>2</v>
      </c>
      <c r="B8" s="844" t="s">
        <v>1125</v>
      </c>
      <c r="C8" s="845" t="s">
        <v>1126</v>
      </c>
      <c r="D8" s="846"/>
      <c r="E8" s="305" t="s">
        <v>678</v>
      </c>
      <c r="F8" s="305">
        <v>1</v>
      </c>
      <c r="G8" s="305">
        <v>22</v>
      </c>
      <c r="H8" s="305">
        <v>40000</v>
      </c>
      <c r="I8" s="305">
        <f t="shared" ref="I8:I13" si="0">H8</f>
        <v>40000</v>
      </c>
      <c r="J8" s="307">
        <f t="shared" ref="J8:J22" si="1">K8+L8</f>
        <v>9800</v>
      </c>
      <c r="K8" s="307">
        <f t="shared" ref="K8:K22" si="2">I8*0.15</f>
        <v>6000</v>
      </c>
      <c r="L8" s="307">
        <f t="shared" ref="L8:L22" si="3">I8*0.095</f>
        <v>3800</v>
      </c>
      <c r="M8" s="307">
        <v>0</v>
      </c>
      <c r="N8" s="307">
        <f t="shared" ref="N8:N22" si="4">I8*0.034</f>
        <v>1360</v>
      </c>
      <c r="O8" s="307">
        <f t="shared" ref="O8:O13" si="5">H8</f>
        <v>40000</v>
      </c>
      <c r="P8" s="842">
        <v>4000</v>
      </c>
      <c r="Q8"/>
      <c r="R8" s="2008"/>
      <c r="S8" s="2008"/>
      <c r="T8" s="2013"/>
      <c r="U8" s="2014"/>
      <c r="V8" s="2019"/>
      <c r="W8" s="2019"/>
      <c r="X8" s="2019"/>
      <c r="Y8" s="2008"/>
      <c r="Z8" s="2008"/>
      <c r="AA8" s="2013"/>
      <c r="AB8" s="2019"/>
      <c r="AC8" s="2019"/>
      <c r="AD8" s="2019"/>
      <c r="AE8" s="733"/>
      <c r="AF8" s="733"/>
      <c r="AG8" s="733"/>
      <c r="AH8" s="361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1"/>
      <c r="AT8" s="361"/>
    </row>
    <row r="9" spans="1:46" ht="12" customHeight="1">
      <c r="A9" s="843">
        <v>3</v>
      </c>
      <c r="B9" s="844" t="s">
        <v>1127</v>
      </c>
      <c r="C9" s="845" t="s">
        <v>1128</v>
      </c>
      <c r="D9" s="846"/>
      <c r="E9" s="847" t="s">
        <v>679</v>
      </c>
      <c r="F9" s="305">
        <v>1</v>
      </c>
      <c r="G9" s="305">
        <v>22</v>
      </c>
      <c r="H9" s="305">
        <v>19100</v>
      </c>
      <c r="I9" s="305">
        <f t="shared" si="0"/>
        <v>19100</v>
      </c>
      <c r="J9" s="307">
        <f t="shared" si="1"/>
        <v>4679.5</v>
      </c>
      <c r="K9" s="307">
        <f t="shared" si="2"/>
        <v>2865</v>
      </c>
      <c r="L9" s="307">
        <f t="shared" si="3"/>
        <v>1814.5</v>
      </c>
      <c r="M9" s="307">
        <v>0</v>
      </c>
      <c r="N9" s="307">
        <f t="shared" si="4"/>
        <v>649.40000000000009</v>
      </c>
      <c r="O9" s="307">
        <f t="shared" si="5"/>
        <v>19100</v>
      </c>
      <c r="P9" s="842">
        <v>910</v>
      </c>
      <c r="Q9"/>
      <c r="R9" s="848">
        <v>1</v>
      </c>
      <c r="S9" s="849" t="s">
        <v>1129</v>
      </c>
      <c r="T9" s="2026"/>
      <c r="U9" s="2027"/>
      <c r="V9" s="850" t="s">
        <v>1130</v>
      </c>
      <c r="W9" s="850" t="s">
        <v>680</v>
      </c>
      <c r="X9" s="851">
        <v>40550</v>
      </c>
      <c r="Y9" s="848">
        <v>1</v>
      </c>
      <c r="Z9" s="849" t="s">
        <v>1131</v>
      </c>
      <c r="AA9" s="852"/>
      <c r="AB9" s="850" t="s">
        <v>1130</v>
      </c>
      <c r="AC9" s="850" t="s">
        <v>680</v>
      </c>
      <c r="AD9" s="853">
        <v>40544</v>
      </c>
      <c r="AE9" s="733"/>
      <c r="AF9" s="733"/>
      <c r="AG9" s="733"/>
      <c r="AH9" s="365" t="s">
        <v>187</v>
      </c>
      <c r="AI9" s="366"/>
      <c r="AJ9" s="2032" t="s">
        <v>713</v>
      </c>
      <c r="AK9" s="2033"/>
      <c r="AL9" s="2032" t="s">
        <v>188</v>
      </c>
      <c r="AM9" s="2034"/>
      <c r="AN9" s="2034"/>
      <c r="AO9" s="2033"/>
      <c r="AP9" s="366" t="s">
        <v>189</v>
      </c>
      <c r="AQ9" s="366" t="s">
        <v>190</v>
      </c>
      <c r="AR9" s="366" t="s">
        <v>191</v>
      </c>
      <c r="AS9" s="367"/>
      <c r="AT9" s="2020" t="s">
        <v>714</v>
      </c>
    </row>
    <row r="10" spans="1:46" ht="12" customHeight="1">
      <c r="A10" s="843">
        <v>4</v>
      </c>
      <c r="B10" s="844" t="s">
        <v>1132</v>
      </c>
      <c r="C10" s="845" t="s">
        <v>1133</v>
      </c>
      <c r="D10" s="846"/>
      <c r="E10" s="847" t="s">
        <v>1134</v>
      </c>
      <c r="F10" s="305">
        <v>1</v>
      </c>
      <c r="G10" s="305">
        <v>22</v>
      </c>
      <c r="H10" s="305">
        <v>27000</v>
      </c>
      <c r="I10" s="305">
        <f t="shared" si="0"/>
        <v>27000</v>
      </c>
      <c r="J10" s="307">
        <f t="shared" si="1"/>
        <v>6615</v>
      </c>
      <c r="K10" s="307">
        <f t="shared" si="2"/>
        <v>4050</v>
      </c>
      <c r="L10" s="307">
        <f t="shared" si="3"/>
        <v>2565</v>
      </c>
      <c r="M10" s="307">
        <v>0</v>
      </c>
      <c r="N10" s="307">
        <f t="shared" si="4"/>
        <v>918.00000000000011</v>
      </c>
      <c r="O10" s="307">
        <f t="shared" si="5"/>
        <v>27000</v>
      </c>
      <c r="P10" s="842">
        <v>1700</v>
      </c>
      <c r="Q10"/>
      <c r="R10" s="746">
        <v>2</v>
      </c>
      <c r="S10" s="849" t="s">
        <v>1135</v>
      </c>
      <c r="T10" s="1998"/>
      <c r="U10" s="1998"/>
      <c r="V10" s="850" t="s">
        <v>1130</v>
      </c>
      <c r="W10" s="850" t="s">
        <v>680</v>
      </c>
      <c r="X10" s="851">
        <v>40550</v>
      </c>
      <c r="Y10" s="746">
        <v>2</v>
      </c>
      <c r="Z10" s="849" t="s">
        <v>1136</v>
      </c>
      <c r="AA10" s="852"/>
      <c r="AB10" s="850" t="s">
        <v>1130</v>
      </c>
      <c r="AC10" s="850" t="s">
        <v>680</v>
      </c>
      <c r="AD10" s="853">
        <v>40544</v>
      </c>
      <c r="AE10" s="734"/>
      <c r="AF10" s="734"/>
      <c r="AG10" s="734"/>
      <c r="AH10" s="368"/>
      <c r="AI10" s="369" t="s">
        <v>192</v>
      </c>
      <c r="AJ10" s="370" t="s">
        <v>193</v>
      </c>
      <c r="AK10" s="370" t="s">
        <v>715</v>
      </c>
      <c r="AL10" s="2023" t="s">
        <v>194</v>
      </c>
      <c r="AM10" s="2024"/>
      <c r="AN10" s="2024"/>
      <c r="AO10" s="2025"/>
      <c r="AP10" s="369" t="s">
        <v>716</v>
      </c>
      <c r="AQ10" s="369" t="s">
        <v>195</v>
      </c>
      <c r="AR10" s="369" t="s">
        <v>196</v>
      </c>
      <c r="AS10" s="371" t="s">
        <v>717</v>
      </c>
      <c r="AT10" s="2021"/>
    </row>
    <row r="11" spans="1:46" ht="12" customHeight="1">
      <c r="A11" s="843">
        <v>5</v>
      </c>
      <c r="B11" s="844"/>
      <c r="C11" s="845" t="s">
        <v>1137</v>
      </c>
      <c r="D11" s="846"/>
      <c r="E11" s="847" t="s">
        <v>679</v>
      </c>
      <c r="F11" s="305">
        <v>1</v>
      </c>
      <c r="G11" s="305">
        <v>22</v>
      </c>
      <c r="H11" s="305">
        <v>19100</v>
      </c>
      <c r="I11" s="305">
        <f t="shared" si="0"/>
        <v>19100</v>
      </c>
      <c r="J11" s="307">
        <f t="shared" si="1"/>
        <v>4679.5</v>
      </c>
      <c r="K11" s="307">
        <f t="shared" si="2"/>
        <v>2865</v>
      </c>
      <c r="L11" s="307">
        <f t="shared" si="3"/>
        <v>1814.5</v>
      </c>
      <c r="M11" s="307">
        <v>0</v>
      </c>
      <c r="N11" s="307">
        <f t="shared" si="4"/>
        <v>649.40000000000009</v>
      </c>
      <c r="O11" s="307">
        <f t="shared" si="5"/>
        <v>19100</v>
      </c>
      <c r="P11" s="842">
        <v>910</v>
      </c>
      <c r="Q11"/>
      <c r="R11" s="746">
        <v>3</v>
      </c>
      <c r="S11" s="849"/>
      <c r="T11" s="1998"/>
      <c r="U11" s="1998"/>
      <c r="V11" s="850"/>
      <c r="W11" s="850"/>
      <c r="X11" s="851"/>
      <c r="Y11" s="746">
        <v>3</v>
      </c>
      <c r="Z11" s="854" t="s">
        <v>1138</v>
      </c>
      <c r="AA11" s="852"/>
      <c r="AB11" s="850" t="s">
        <v>1130</v>
      </c>
      <c r="AC11" s="850" t="s">
        <v>680</v>
      </c>
      <c r="AD11" s="853">
        <v>40544</v>
      </c>
      <c r="AE11" s="735"/>
      <c r="AF11" s="735"/>
      <c r="AG11" s="735"/>
      <c r="AH11" s="368"/>
      <c r="AI11" s="369"/>
      <c r="AJ11" s="369"/>
      <c r="AK11" s="369" t="s">
        <v>718</v>
      </c>
      <c r="AL11" s="369" t="s">
        <v>719</v>
      </c>
      <c r="AM11" s="369" t="s">
        <v>720</v>
      </c>
      <c r="AN11" s="371" t="s">
        <v>721</v>
      </c>
      <c r="AO11" s="370" t="s">
        <v>209</v>
      </c>
      <c r="AP11" s="369" t="s">
        <v>722</v>
      </c>
      <c r="AQ11" s="369"/>
      <c r="AR11" s="369" t="s">
        <v>723</v>
      </c>
      <c r="AS11" s="371" t="s">
        <v>210</v>
      </c>
      <c r="AT11" s="2021"/>
    </row>
    <row r="12" spans="1:46" ht="12" customHeight="1" thickBot="1">
      <c r="A12" s="843">
        <v>6</v>
      </c>
      <c r="B12" s="844"/>
      <c r="C12" s="845" t="s">
        <v>1139</v>
      </c>
      <c r="D12" s="846"/>
      <c r="E12" s="305" t="s">
        <v>679</v>
      </c>
      <c r="F12" s="305">
        <v>1</v>
      </c>
      <c r="G12" s="305">
        <v>22</v>
      </c>
      <c r="H12" s="305">
        <v>19100</v>
      </c>
      <c r="I12" s="305">
        <f t="shared" si="0"/>
        <v>19100</v>
      </c>
      <c r="J12" s="307">
        <f t="shared" si="1"/>
        <v>4679.5</v>
      </c>
      <c r="K12" s="307">
        <f t="shared" si="2"/>
        <v>2865</v>
      </c>
      <c r="L12" s="307">
        <f t="shared" si="3"/>
        <v>1814.5</v>
      </c>
      <c r="M12" s="307">
        <v>0</v>
      </c>
      <c r="N12" s="307">
        <f t="shared" si="4"/>
        <v>649.40000000000009</v>
      </c>
      <c r="O12" s="307">
        <f t="shared" si="5"/>
        <v>19100</v>
      </c>
      <c r="P12" s="742">
        <v>910</v>
      </c>
      <c r="R12" s="848">
        <v>4</v>
      </c>
      <c r="S12" s="849"/>
      <c r="T12" s="1998"/>
      <c r="U12" s="1998"/>
      <c r="V12" s="850"/>
      <c r="W12" s="850"/>
      <c r="X12" s="851"/>
      <c r="Y12" s="848">
        <v>4</v>
      </c>
      <c r="Z12" s="854" t="s">
        <v>1140</v>
      </c>
      <c r="AA12" s="852"/>
      <c r="AB12" s="850" t="s">
        <v>1130</v>
      </c>
      <c r="AC12" s="850" t="s">
        <v>680</v>
      </c>
      <c r="AD12" s="853">
        <v>40544</v>
      </c>
      <c r="AE12" s="735"/>
      <c r="AF12" s="735"/>
      <c r="AG12" s="735"/>
      <c r="AH12" s="372"/>
      <c r="AI12" s="373"/>
      <c r="AJ12" s="373"/>
      <c r="AK12" s="373" t="s">
        <v>724</v>
      </c>
      <c r="AL12" s="373"/>
      <c r="AM12" s="373"/>
      <c r="AN12" s="374"/>
      <c r="AO12" s="373"/>
      <c r="AP12" s="373" t="s">
        <v>725</v>
      </c>
      <c r="AQ12" s="373"/>
      <c r="AR12" s="373"/>
      <c r="AS12" s="374"/>
      <c r="AT12" s="2022"/>
    </row>
    <row r="13" spans="1:46" ht="12" customHeight="1">
      <c r="A13" s="843">
        <v>7</v>
      </c>
      <c r="B13" s="844"/>
      <c r="C13" s="845" t="s">
        <v>1141</v>
      </c>
      <c r="D13" s="846"/>
      <c r="E13" s="847" t="s">
        <v>1142</v>
      </c>
      <c r="F13" s="305">
        <v>1</v>
      </c>
      <c r="G13" s="305">
        <v>22</v>
      </c>
      <c r="H13" s="305">
        <v>35000</v>
      </c>
      <c r="I13" s="305">
        <f t="shared" si="0"/>
        <v>35000</v>
      </c>
      <c r="J13" s="307">
        <f t="shared" si="1"/>
        <v>8575</v>
      </c>
      <c r="K13" s="307">
        <f t="shared" si="2"/>
        <v>5250</v>
      </c>
      <c r="L13" s="307">
        <f t="shared" si="3"/>
        <v>3325</v>
      </c>
      <c r="M13" s="307">
        <v>0</v>
      </c>
      <c r="N13" s="307">
        <f t="shared" si="4"/>
        <v>1190</v>
      </c>
      <c r="O13" s="307">
        <f t="shared" si="5"/>
        <v>35000</v>
      </c>
      <c r="P13" s="742">
        <v>3500</v>
      </c>
      <c r="R13" s="848">
        <v>5</v>
      </c>
      <c r="S13" s="849"/>
      <c r="T13" s="1998"/>
      <c r="U13" s="1998"/>
      <c r="V13" s="850"/>
      <c r="W13" s="850"/>
      <c r="X13" s="851"/>
      <c r="Y13" s="848">
        <v>5</v>
      </c>
      <c r="Z13" s="845" t="s">
        <v>1143</v>
      </c>
      <c r="AA13" s="855"/>
      <c r="AB13" s="850" t="s">
        <v>1130</v>
      </c>
      <c r="AC13" s="850" t="s">
        <v>680</v>
      </c>
      <c r="AD13" s="853">
        <v>40544</v>
      </c>
      <c r="AE13" s="735"/>
      <c r="AF13" s="735"/>
      <c r="AG13" s="735"/>
      <c r="AH13" s="375">
        <v>1</v>
      </c>
      <c r="AI13" s="376" t="s">
        <v>197</v>
      </c>
      <c r="AJ13" s="376">
        <f>+H34</f>
        <v>462200</v>
      </c>
      <c r="AK13" s="376">
        <f t="shared" ref="AK13:AR13" si="6">+I34</f>
        <v>446300</v>
      </c>
      <c r="AL13" s="376">
        <f t="shared" si="6"/>
        <v>109343.5</v>
      </c>
      <c r="AM13" s="376">
        <f t="shared" si="6"/>
        <v>66945</v>
      </c>
      <c r="AN13" s="376">
        <f t="shared" si="6"/>
        <v>42398.5</v>
      </c>
      <c r="AO13" s="376">
        <f t="shared" si="6"/>
        <v>0</v>
      </c>
      <c r="AP13" s="376">
        <f t="shared" si="6"/>
        <v>15174.199999999995</v>
      </c>
      <c r="AQ13" s="376">
        <f t="shared" si="6"/>
        <v>462200</v>
      </c>
      <c r="AR13" s="376">
        <f t="shared" si="6"/>
        <v>30920</v>
      </c>
      <c r="AS13" s="680">
        <f>+AQ13-AR13-AN13-AP13/2</f>
        <v>381294.4</v>
      </c>
      <c r="AT13" s="274">
        <v>19</v>
      </c>
    </row>
    <row r="14" spans="1:46" ht="12" customHeight="1">
      <c r="A14" s="843">
        <v>8</v>
      </c>
      <c r="B14" s="844" t="s">
        <v>1144</v>
      </c>
      <c r="C14" s="845" t="s">
        <v>1145</v>
      </c>
      <c r="D14" s="846"/>
      <c r="E14" s="847" t="s">
        <v>679</v>
      </c>
      <c r="F14" s="305">
        <v>1</v>
      </c>
      <c r="G14" s="305">
        <v>22</v>
      </c>
      <c r="H14" s="305">
        <v>19100</v>
      </c>
      <c r="I14" s="305">
        <f>H14</f>
        <v>19100</v>
      </c>
      <c r="J14" s="307">
        <f t="shared" si="1"/>
        <v>4679.5</v>
      </c>
      <c r="K14" s="307">
        <f t="shared" si="2"/>
        <v>2865</v>
      </c>
      <c r="L14" s="307">
        <f t="shared" si="3"/>
        <v>1814.5</v>
      </c>
      <c r="M14" s="307">
        <v>0</v>
      </c>
      <c r="N14" s="307">
        <f t="shared" si="4"/>
        <v>649.40000000000009</v>
      </c>
      <c r="O14" s="307">
        <f>H14</f>
        <v>19100</v>
      </c>
      <c r="P14" s="842">
        <v>910</v>
      </c>
      <c r="R14" s="746">
        <v>6</v>
      </c>
      <c r="S14" s="849"/>
      <c r="T14" s="1998"/>
      <c r="U14" s="1998"/>
      <c r="V14" s="850"/>
      <c r="W14" s="850"/>
      <c r="X14" s="851"/>
      <c r="Y14" s="746">
        <v>6</v>
      </c>
      <c r="Z14" s="845" t="s">
        <v>1146</v>
      </c>
      <c r="AA14" s="855"/>
      <c r="AB14" s="850" t="s">
        <v>1130</v>
      </c>
      <c r="AC14" s="850" t="s">
        <v>680</v>
      </c>
      <c r="AD14" s="853">
        <v>40544</v>
      </c>
      <c r="AH14" s="102">
        <v>2</v>
      </c>
      <c r="AI14" s="99" t="s">
        <v>726</v>
      </c>
      <c r="AJ14" s="99">
        <f>+H82</f>
        <v>316600</v>
      </c>
      <c r="AK14" s="99">
        <f t="shared" ref="AK14:AR14" si="7">+I82</f>
        <v>300700</v>
      </c>
      <c r="AL14" s="99">
        <f t="shared" si="7"/>
        <v>73671.5</v>
      </c>
      <c r="AM14" s="99">
        <f t="shared" si="7"/>
        <v>45105</v>
      </c>
      <c r="AN14" s="99">
        <f t="shared" si="7"/>
        <v>28566.5</v>
      </c>
      <c r="AO14" s="99">
        <f t="shared" si="7"/>
        <v>0</v>
      </c>
      <c r="AP14" s="99">
        <f t="shared" si="7"/>
        <v>10223.799999999997</v>
      </c>
      <c r="AQ14" s="99">
        <f t="shared" si="7"/>
        <v>316600</v>
      </c>
      <c r="AR14" s="99">
        <f t="shared" si="7"/>
        <v>24660</v>
      </c>
      <c r="AS14" s="99">
        <f t="shared" ref="AS14:AS26" si="8">+AQ14-AR14-AN14-AP14/2</f>
        <v>258261.6</v>
      </c>
      <c r="AT14" s="103">
        <v>10</v>
      </c>
    </row>
    <row r="15" spans="1:46" ht="12" customHeight="1">
      <c r="A15" s="843">
        <v>9</v>
      </c>
      <c r="B15" s="844"/>
      <c r="C15" s="856" t="s">
        <v>1147</v>
      </c>
      <c r="D15" s="846"/>
      <c r="E15" s="847" t="s">
        <v>679</v>
      </c>
      <c r="F15" s="305">
        <v>1</v>
      </c>
      <c r="G15" s="305">
        <v>22</v>
      </c>
      <c r="H15" s="305">
        <v>19100</v>
      </c>
      <c r="I15" s="305">
        <f t="shared" ref="I15:I22" si="9">H15</f>
        <v>19100</v>
      </c>
      <c r="J15" s="307">
        <f t="shared" si="1"/>
        <v>4679.5</v>
      </c>
      <c r="K15" s="307">
        <f t="shared" si="2"/>
        <v>2865</v>
      </c>
      <c r="L15" s="307">
        <f t="shared" si="3"/>
        <v>1814.5</v>
      </c>
      <c r="M15" s="307">
        <v>0</v>
      </c>
      <c r="N15" s="307">
        <f t="shared" si="4"/>
        <v>649.40000000000009</v>
      </c>
      <c r="O15" s="307">
        <f t="shared" ref="O15:O22" si="10">H15</f>
        <v>19100</v>
      </c>
      <c r="P15" s="842">
        <v>910</v>
      </c>
      <c r="Q15"/>
      <c r="R15" s="746">
        <v>7</v>
      </c>
      <c r="S15" s="849"/>
      <c r="T15" s="1998"/>
      <c r="U15" s="1998"/>
      <c r="V15" s="850"/>
      <c r="W15" s="850"/>
      <c r="X15" s="851"/>
      <c r="Y15" s="746">
        <v>7</v>
      </c>
      <c r="Z15" s="845" t="s">
        <v>1148</v>
      </c>
      <c r="AA15" s="855"/>
      <c r="AB15" s="850" t="s">
        <v>1130</v>
      </c>
      <c r="AC15" s="850" t="s">
        <v>680</v>
      </c>
      <c r="AD15" s="853">
        <v>40544</v>
      </c>
      <c r="AH15" s="102">
        <v>3</v>
      </c>
      <c r="AI15" s="99" t="s">
        <v>198</v>
      </c>
      <c r="AJ15" s="99">
        <f>+H130</f>
        <v>316600</v>
      </c>
      <c r="AK15" s="99">
        <f t="shared" ref="AK15:AR15" si="11">+I130</f>
        <v>300700</v>
      </c>
      <c r="AL15" s="99">
        <f t="shared" si="11"/>
        <v>73671.5</v>
      </c>
      <c r="AM15" s="99">
        <f t="shared" si="11"/>
        <v>45105</v>
      </c>
      <c r="AN15" s="99">
        <f t="shared" si="11"/>
        <v>28566.5</v>
      </c>
      <c r="AO15" s="99">
        <f t="shared" si="11"/>
        <v>0</v>
      </c>
      <c r="AP15" s="99">
        <f t="shared" si="11"/>
        <v>10223.799999999997</v>
      </c>
      <c r="AQ15" s="99">
        <f t="shared" si="11"/>
        <v>316600</v>
      </c>
      <c r="AR15" s="99">
        <f t="shared" si="11"/>
        <v>24660</v>
      </c>
      <c r="AS15" s="99">
        <f t="shared" si="8"/>
        <v>258261.6</v>
      </c>
      <c r="AT15" s="103">
        <v>11</v>
      </c>
    </row>
    <row r="16" spans="1:46" ht="12" customHeight="1">
      <c r="A16" s="843">
        <v>10</v>
      </c>
      <c r="B16" s="73"/>
      <c r="C16" s="856" t="s">
        <v>1149</v>
      </c>
      <c r="D16" s="846"/>
      <c r="E16" s="847" t="s">
        <v>679</v>
      </c>
      <c r="F16" s="305">
        <v>1</v>
      </c>
      <c r="G16" s="305">
        <v>22</v>
      </c>
      <c r="H16" s="305">
        <v>19100</v>
      </c>
      <c r="I16" s="305">
        <f t="shared" si="9"/>
        <v>19100</v>
      </c>
      <c r="J16" s="307">
        <f t="shared" si="1"/>
        <v>4679.5</v>
      </c>
      <c r="K16" s="307">
        <f t="shared" si="2"/>
        <v>2865</v>
      </c>
      <c r="L16" s="307">
        <f t="shared" si="3"/>
        <v>1814.5</v>
      </c>
      <c r="M16" s="307">
        <v>0</v>
      </c>
      <c r="N16" s="307">
        <f t="shared" si="4"/>
        <v>649.40000000000009</v>
      </c>
      <c r="O16" s="307">
        <f t="shared" si="10"/>
        <v>19100</v>
      </c>
      <c r="P16" s="842">
        <v>910</v>
      </c>
      <c r="Q16"/>
      <c r="R16" s="848">
        <v>8</v>
      </c>
      <c r="S16" s="849"/>
      <c r="T16" s="1998"/>
      <c r="U16" s="1998"/>
      <c r="V16" s="850"/>
      <c r="W16" s="850"/>
      <c r="X16" s="851"/>
      <c r="Y16" s="848">
        <v>8</v>
      </c>
      <c r="Z16" s="849"/>
      <c r="AA16" s="855"/>
      <c r="AB16" s="84"/>
      <c r="AC16" s="84"/>
      <c r="AD16" s="111"/>
      <c r="AH16" s="102">
        <v>4</v>
      </c>
      <c r="AI16" s="99" t="s">
        <v>199</v>
      </c>
      <c r="AJ16" s="99">
        <f>+H178</f>
        <v>297500</v>
      </c>
      <c r="AK16" s="99">
        <f t="shared" ref="AK16:AR16" si="12">+I178</f>
        <v>281600</v>
      </c>
      <c r="AL16" s="99">
        <f t="shared" si="12"/>
        <v>68992</v>
      </c>
      <c r="AM16" s="99">
        <f t="shared" si="12"/>
        <v>42240</v>
      </c>
      <c r="AN16" s="99">
        <f t="shared" si="12"/>
        <v>26752</v>
      </c>
      <c r="AO16" s="99">
        <f t="shared" si="12"/>
        <v>0</v>
      </c>
      <c r="AP16" s="99">
        <f t="shared" si="12"/>
        <v>9574.3999999999978</v>
      </c>
      <c r="AQ16" s="99">
        <f t="shared" si="12"/>
        <v>297500</v>
      </c>
      <c r="AR16" s="99">
        <f t="shared" si="12"/>
        <v>23750</v>
      </c>
      <c r="AS16" s="99">
        <f t="shared" si="8"/>
        <v>242210.8</v>
      </c>
      <c r="AT16" s="103">
        <v>10</v>
      </c>
    </row>
    <row r="17" spans="1:46" ht="12" customHeight="1">
      <c r="A17" s="843">
        <v>11</v>
      </c>
      <c r="B17" s="73"/>
      <c r="C17" s="856" t="s">
        <v>1150</v>
      </c>
      <c r="D17" s="846"/>
      <c r="E17" s="847" t="s">
        <v>679</v>
      </c>
      <c r="F17" s="305">
        <v>1</v>
      </c>
      <c r="G17" s="305">
        <v>22</v>
      </c>
      <c r="H17" s="305">
        <v>19100</v>
      </c>
      <c r="I17" s="305">
        <f t="shared" si="9"/>
        <v>19100</v>
      </c>
      <c r="J17" s="307">
        <f t="shared" si="1"/>
        <v>4679.5</v>
      </c>
      <c r="K17" s="307">
        <f t="shared" si="2"/>
        <v>2865</v>
      </c>
      <c r="L17" s="307">
        <f t="shared" si="3"/>
        <v>1814.5</v>
      </c>
      <c r="M17" s="307">
        <v>0</v>
      </c>
      <c r="N17" s="307">
        <f t="shared" si="4"/>
        <v>649.40000000000009</v>
      </c>
      <c r="O17" s="307">
        <f t="shared" si="10"/>
        <v>19100</v>
      </c>
      <c r="P17" s="842">
        <v>910</v>
      </c>
      <c r="Q17"/>
      <c r="R17" s="848">
        <v>9</v>
      </c>
      <c r="S17" s="849"/>
      <c r="T17" s="1998"/>
      <c r="U17" s="1998"/>
      <c r="V17" s="850"/>
      <c r="W17" s="850"/>
      <c r="X17" s="851"/>
      <c r="Y17" s="848">
        <v>9</v>
      </c>
      <c r="Z17" s="849"/>
      <c r="AA17" s="855"/>
      <c r="AB17" s="84"/>
      <c r="AC17" s="84"/>
      <c r="AD17" s="111"/>
      <c r="AH17" s="102">
        <v>5</v>
      </c>
      <c r="AI17" s="99" t="s">
        <v>200</v>
      </c>
      <c r="AJ17" s="99">
        <f>+H226</f>
        <v>297500</v>
      </c>
      <c r="AK17" s="99">
        <f t="shared" ref="AK17:AR17" si="13">+I226</f>
        <v>281600</v>
      </c>
      <c r="AL17" s="99">
        <f t="shared" si="13"/>
        <v>68992</v>
      </c>
      <c r="AM17" s="99">
        <f t="shared" si="13"/>
        <v>42240</v>
      </c>
      <c r="AN17" s="99">
        <f t="shared" si="13"/>
        <v>26752</v>
      </c>
      <c r="AO17" s="99">
        <f t="shared" si="13"/>
        <v>0</v>
      </c>
      <c r="AP17" s="99">
        <f t="shared" si="13"/>
        <v>9574.3999999999978</v>
      </c>
      <c r="AQ17" s="99">
        <f t="shared" si="13"/>
        <v>297500</v>
      </c>
      <c r="AR17" s="99">
        <f t="shared" si="13"/>
        <v>23750</v>
      </c>
      <c r="AS17" s="99">
        <f t="shared" si="8"/>
        <v>242210.8</v>
      </c>
      <c r="AT17" s="103">
        <v>10</v>
      </c>
    </row>
    <row r="18" spans="1:46" ht="12" customHeight="1">
      <c r="A18" s="843">
        <v>12</v>
      </c>
      <c r="B18" s="73"/>
      <c r="C18" s="856" t="s">
        <v>1151</v>
      </c>
      <c r="D18" s="846"/>
      <c r="E18" s="847" t="s">
        <v>679</v>
      </c>
      <c r="F18" s="305">
        <v>1</v>
      </c>
      <c r="G18" s="305">
        <v>22</v>
      </c>
      <c r="H18" s="305">
        <v>19100</v>
      </c>
      <c r="I18" s="305">
        <f t="shared" si="9"/>
        <v>19100</v>
      </c>
      <c r="J18" s="307">
        <f t="shared" si="1"/>
        <v>4679.5</v>
      </c>
      <c r="K18" s="307">
        <f t="shared" si="2"/>
        <v>2865</v>
      </c>
      <c r="L18" s="307">
        <f t="shared" si="3"/>
        <v>1814.5</v>
      </c>
      <c r="M18" s="307">
        <v>0</v>
      </c>
      <c r="N18" s="307">
        <f t="shared" si="4"/>
        <v>649.40000000000009</v>
      </c>
      <c r="O18" s="307">
        <f t="shared" si="10"/>
        <v>19100</v>
      </c>
      <c r="P18" s="842">
        <v>910</v>
      </c>
      <c r="Q18"/>
      <c r="R18" s="746">
        <v>10</v>
      </c>
      <c r="S18" s="849"/>
      <c r="T18" s="1998"/>
      <c r="U18" s="1998"/>
      <c r="V18" s="850"/>
      <c r="W18" s="850"/>
      <c r="X18" s="851"/>
      <c r="Y18" s="746">
        <v>10</v>
      </c>
      <c r="Z18" s="849"/>
      <c r="AA18" s="855"/>
      <c r="AB18" s="84"/>
      <c r="AC18" s="84"/>
      <c r="AD18" s="111"/>
      <c r="AH18" s="102">
        <v>6</v>
      </c>
      <c r="AI18" s="99" t="s">
        <v>201</v>
      </c>
      <c r="AJ18" s="99">
        <f>+H275</f>
        <v>297500</v>
      </c>
      <c r="AK18" s="99">
        <f t="shared" ref="AK18:AR18" si="14">+I275</f>
        <v>281600</v>
      </c>
      <c r="AL18" s="99">
        <f t="shared" si="14"/>
        <v>68992</v>
      </c>
      <c r="AM18" s="99">
        <f t="shared" si="14"/>
        <v>42240</v>
      </c>
      <c r="AN18" s="99">
        <f t="shared" si="14"/>
        <v>26752</v>
      </c>
      <c r="AO18" s="99">
        <f t="shared" si="14"/>
        <v>0</v>
      </c>
      <c r="AP18" s="99">
        <f t="shared" si="14"/>
        <v>9574.3999999999978</v>
      </c>
      <c r="AQ18" s="99">
        <f t="shared" si="14"/>
        <v>297500</v>
      </c>
      <c r="AR18" s="99">
        <f t="shared" si="14"/>
        <v>23750</v>
      </c>
      <c r="AS18" s="99">
        <f t="shared" si="8"/>
        <v>242210.8</v>
      </c>
      <c r="AT18" s="103">
        <v>9</v>
      </c>
    </row>
    <row r="19" spans="1:46" ht="12" customHeight="1">
      <c r="A19" s="843">
        <v>13</v>
      </c>
      <c r="B19" s="73"/>
      <c r="C19" s="856" t="s">
        <v>1152</v>
      </c>
      <c r="D19" s="846"/>
      <c r="E19" s="847" t="s">
        <v>679</v>
      </c>
      <c r="F19" s="305">
        <v>1</v>
      </c>
      <c r="G19" s="305">
        <v>22</v>
      </c>
      <c r="H19" s="305">
        <v>19100</v>
      </c>
      <c r="I19" s="305">
        <f t="shared" si="9"/>
        <v>19100</v>
      </c>
      <c r="J19" s="307">
        <f t="shared" si="1"/>
        <v>4679.5</v>
      </c>
      <c r="K19" s="307">
        <f t="shared" si="2"/>
        <v>2865</v>
      </c>
      <c r="L19" s="307">
        <f t="shared" si="3"/>
        <v>1814.5</v>
      </c>
      <c r="M19" s="307">
        <v>0</v>
      </c>
      <c r="N19" s="307">
        <f t="shared" si="4"/>
        <v>649.40000000000009</v>
      </c>
      <c r="O19" s="307">
        <f t="shared" si="10"/>
        <v>19100</v>
      </c>
      <c r="P19" s="842">
        <v>910</v>
      </c>
      <c r="Q19"/>
      <c r="R19" s="746">
        <v>11</v>
      </c>
      <c r="S19" s="849"/>
      <c r="T19" s="1998"/>
      <c r="U19" s="1998"/>
      <c r="V19" s="850"/>
      <c r="W19" s="850"/>
      <c r="X19" s="851"/>
      <c r="Y19" s="746">
        <v>11</v>
      </c>
      <c r="Z19" s="849"/>
      <c r="AA19" s="855"/>
      <c r="AB19" s="84"/>
      <c r="AC19" s="84"/>
      <c r="AD19" s="111"/>
      <c r="AH19" s="102">
        <v>7</v>
      </c>
      <c r="AI19" s="99" t="s">
        <v>202</v>
      </c>
      <c r="AJ19" s="99">
        <f>+H324</f>
        <v>302000</v>
      </c>
      <c r="AK19" s="99">
        <f t="shared" ref="AK19:AR19" si="15">+I324</f>
        <v>289700</v>
      </c>
      <c r="AL19" s="99">
        <f t="shared" si="15"/>
        <v>70976.5</v>
      </c>
      <c r="AM19" s="99">
        <f t="shared" si="15"/>
        <v>43455</v>
      </c>
      <c r="AN19" s="99">
        <f t="shared" si="15"/>
        <v>27521.5</v>
      </c>
      <c r="AO19" s="99">
        <f t="shared" si="15"/>
        <v>0</v>
      </c>
      <c r="AP19" s="99">
        <f t="shared" si="15"/>
        <v>9849.7999999999993</v>
      </c>
      <c r="AQ19" s="99">
        <f t="shared" si="15"/>
        <v>302000</v>
      </c>
      <c r="AR19" s="99">
        <f t="shared" si="15"/>
        <v>24200</v>
      </c>
      <c r="AS19" s="99">
        <f t="shared" si="8"/>
        <v>245353.60000000001</v>
      </c>
      <c r="AT19" s="103">
        <v>9</v>
      </c>
    </row>
    <row r="20" spans="1:46" ht="12" customHeight="1">
      <c r="A20" s="843">
        <v>14</v>
      </c>
      <c r="B20" s="73"/>
      <c r="C20" s="856" t="s">
        <v>1153</v>
      </c>
      <c r="D20" s="846"/>
      <c r="E20" s="847" t="s">
        <v>679</v>
      </c>
      <c r="F20" s="305">
        <v>1</v>
      </c>
      <c r="G20" s="305">
        <v>22</v>
      </c>
      <c r="H20" s="305">
        <v>19100</v>
      </c>
      <c r="I20" s="305">
        <f t="shared" si="9"/>
        <v>19100</v>
      </c>
      <c r="J20" s="307">
        <f t="shared" si="1"/>
        <v>4679.5</v>
      </c>
      <c r="K20" s="307">
        <f t="shared" si="2"/>
        <v>2865</v>
      </c>
      <c r="L20" s="307">
        <f t="shared" si="3"/>
        <v>1814.5</v>
      </c>
      <c r="M20" s="307">
        <v>0</v>
      </c>
      <c r="N20" s="307">
        <f t="shared" si="4"/>
        <v>649.40000000000009</v>
      </c>
      <c r="O20" s="307">
        <f t="shared" si="10"/>
        <v>19100</v>
      </c>
      <c r="P20" s="842">
        <v>910</v>
      </c>
      <c r="Q20"/>
      <c r="R20" s="848">
        <v>12</v>
      </c>
      <c r="S20" s="849"/>
      <c r="T20" s="1998"/>
      <c r="U20" s="1998"/>
      <c r="V20" s="850"/>
      <c r="W20" s="850"/>
      <c r="X20" s="851"/>
      <c r="Y20" s="848">
        <v>12</v>
      </c>
      <c r="Z20" s="849"/>
      <c r="AA20" s="855"/>
      <c r="AB20" s="84"/>
      <c r="AC20" s="84"/>
      <c r="AD20" s="111"/>
      <c r="AH20" s="102">
        <v>8</v>
      </c>
      <c r="AI20" s="99" t="s">
        <v>203</v>
      </c>
      <c r="AJ20" s="99">
        <f>+H370</f>
        <v>302500</v>
      </c>
      <c r="AK20" s="99">
        <f t="shared" ref="AK20:AR20" si="16">+I370</f>
        <v>290200</v>
      </c>
      <c r="AL20" s="99">
        <f t="shared" si="16"/>
        <v>71099</v>
      </c>
      <c r="AM20" s="99">
        <f t="shared" si="16"/>
        <v>43530</v>
      </c>
      <c r="AN20" s="99">
        <f t="shared" si="16"/>
        <v>27569</v>
      </c>
      <c r="AO20" s="99">
        <f t="shared" si="16"/>
        <v>0</v>
      </c>
      <c r="AP20" s="99">
        <f t="shared" si="16"/>
        <v>9866.7999999999993</v>
      </c>
      <c r="AQ20" s="99">
        <f t="shared" si="16"/>
        <v>302500</v>
      </c>
      <c r="AR20" s="99">
        <f t="shared" si="16"/>
        <v>24250</v>
      </c>
      <c r="AS20" s="99">
        <f t="shared" si="8"/>
        <v>245747.6</v>
      </c>
      <c r="AT20" s="103">
        <v>9</v>
      </c>
    </row>
    <row r="21" spans="1:46" ht="12" customHeight="1">
      <c r="A21" s="843">
        <v>15</v>
      </c>
      <c r="B21" s="73"/>
      <c r="C21" s="2015" t="s">
        <v>1154</v>
      </c>
      <c r="D21" s="2016"/>
      <c r="E21" s="847" t="s">
        <v>679</v>
      </c>
      <c r="F21" s="305">
        <v>1</v>
      </c>
      <c r="G21" s="305">
        <v>22</v>
      </c>
      <c r="H21" s="305">
        <v>19100</v>
      </c>
      <c r="I21" s="305">
        <f t="shared" si="9"/>
        <v>19100</v>
      </c>
      <c r="J21" s="307">
        <f t="shared" si="1"/>
        <v>4679.5</v>
      </c>
      <c r="K21" s="307">
        <f t="shared" si="2"/>
        <v>2865</v>
      </c>
      <c r="L21" s="307">
        <f t="shared" si="3"/>
        <v>1814.5</v>
      </c>
      <c r="M21" s="307">
        <v>0</v>
      </c>
      <c r="N21" s="307">
        <f t="shared" si="4"/>
        <v>649.40000000000009</v>
      </c>
      <c r="O21" s="307">
        <f t="shared" si="10"/>
        <v>19100</v>
      </c>
      <c r="P21" s="842">
        <v>910</v>
      </c>
      <c r="Q21" s="144"/>
      <c r="R21" s="848">
        <v>13</v>
      </c>
      <c r="S21" s="84"/>
      <c r="T21" s="1998"/>
      <c r="U21" s="1998"/>
      <c r="V21" s="850"/>
      <c r="W21" s="850"/>
      <c r="X21" s="851"/>
      <c r="Y21" s="848">
        <v>13</v>
      </c>
      <c r="Z21" s="849"/>
      <c r="AA21" s="855"/>
      <c r="AB21" s="84"/>
      <c r="AC21" s="84"/>
      <c r="AD21" s="111"/>
      <c r="AH21" s="102">
        <v>9</v>
      </c>
      <c r="AI21" s="99" t="s">
        <v>204</v>
      </c>
      <c r="AJ21" s="99">
        <f>+H417</f>
        <v>302500</v>
      </c>
      <c r="AK21" s="99">
        <f t="shared" ref="AK21:AR21" si="17">+I417</f>
        <v>290200</v>
      </c>
      <c r="AL21" s="99">
        <f t="shared" si="17"/>
        <v>71099</v>
      </c>
      <c r="AM21" s="99">
        <f t="shared" si="17"/>
        <v>43530</v>
      </c>
      <c r="AN21" s="99">
        <f t="shared" si="17"/>
        <v>27569</v>
      </c>
      <c r="AO21" s="99">
        <f t="shared" si="17"/>
        <v>0</v>
      </c>
      <c r="AP21" s="99">
        <f t="shared" si="17"/>
        <v>9866.7999999999993</v>
      </c>
      <c r="AQ21" s="99">
        <f t="shared" si="17"/>
        <v>302500</v>
      </c>
      <c r="AR21" s="99">
        <f t="shared" si="17"/>
        <v>24250</v>
      </c>
      <c r="AS21" s="99">
        <f t="shared" si="8"/>
        <v>245747.6</v>
      </c>
      <c r="AT21" s="103">
        <v>9</v>
      </c>
    </row>
    <row r="22" spans="1:46" ht="12" customHeight="1">
      <c r="A22" s="843">
        <v>16</v>
      </c>
      <c r="B22" s="73"/>
      <c r="C22" s="857" t="s">
        <v>1155</v>
      </c>
      <c r="D22" s="847"/>
      <c r="E22" s="847" t="s">
        <v>679</v>
      </c>
      <c r="F22" s="305">
        <v>1</v>
      </c>
      <c r="G22" s="305">
        <v>22</v>
      </c>
      <c r="H22" s="305">
        <v>19100</v>
      </c>
      <c r="I22" s="305">
        <f t="shared" si="9"/>
        <v>19100</v>
      </c>
      <c r="J22" s="307">
        <f t="shared" si="1"/>
        <v>4679.5</v>
      </c>
      <c r="K22" s="307">
        <f t="shared" si="2"/>
        <v>2865</v>
      </c>
      <c r="L22" s="307">
        <f t="shared" si="3"/>
        <v>1814.5</v>
      </c>
      <c r="M22" s="307">
        <v>0</v>
      </c>
      <c r="N22" s="307">
        <f t="shared" si="4"/>
        <v>649.40000000000009</v>
      </c>
      <c r="O22" s="307">
        <f t="shared" si="10"/>
        <v>19100</v>
      </c>
      <c r="P22" s="842">
        <v>910</v>
      </c>
      <c r="Q22"/>
      <c r="R22" s="746">
        <v>14</v>
      </c>
      <c r="S22" s="84"/>
      <c r="T22" s="1998"/>
      <c r="U22" s="1998"/>
      <c r="V22" s="84"/>
      <c r="W22" s="84"/>
      <c r="X22" s="84"/>
      <c r="Y22" s="746">
        <v>14</v>
      </c>
      <c r="Z22" s="84"/>
      <c r="AA22" s="855"/>
      <c r="AB22" s="84"/>
      <c r="AC22" s="84"/>
      <c r="AD22" s="111"/>
      <c r="AH22" s="102">
        <v>10</v>
      </c>
      <c r="AI22" s="99" t="s">
        <v>205</v>
      </c>
      <c r="AJ22" s="99">
        <f>+H501</f>
        <v>302500</v>
      </c>
      <c r="AK22" s="99">
        <f t="shared" ref="AK22:AR22" si="18">+I501</f>
        <v>290200</v>
      </c>
      <c r="AL22" s="99">
        <f t="shared" si="18"/>
        <v>71099</v>
      </c>
      <c r="AM22" s="99">
        <f t="shared" si="18"/>
        <v>43530</v>
      </c>
      <c r="AN22" s="99">
        <f t="shared" si="18"/>
        <v>27569</v>
      </c>
      <c r="AO22" s="99">
        <f t="shared" si="18"/>
        <v>0</v>
      </c>
      <c r="AP22" s="99">
        <f t="shared" si="18"/>
        <v>9866.7999999999993</v>
      </c>
      <c r="AQ22" s="99">
        <f t="shared" si="18"/>
        <v>302500</v>
      </c>
      <c r="AR22" s="99">
        <f t="shared" si="18"/>
        <v>24250</v>
      </c>
      <c r="AS22" s="99">
        <f t="shared" si="8"/>
        <v>245747.6</v>
      </c>
      <c r="AT22" s="103">
        <v>9</v>
      </c>
    </row>
    <row r="23" spans="1:46" ht="12" customHeight="1">
      <c r="A23" s="843">
        <v>17</v>
      </c>
      <c r="B23" s="73"/>
      <c r="C23" s="856" t="s">
        <v>1129</v>
      </c>
      <c r="D23" s="849"/>
      <c r="E23" s="847" t="s">
        <v>679</v>
      </c>
      <c r="F23" s="305">
        <v>1</v>
      </c>
      <c r="G23" s="305">
        <v>16</v>
      </c>
      <c r="H23" s="305">
        <v>14000</v>
      </c>
      <c r="I23" s="305">
        <f>H23</f>
        <v>14000</v>
      </c>
      <c r="J23" s="307">
        <f>K23+L23</f>
        <v>3430</v>
      </c>
      <c r="K23" s="307">
        <f>I23*0.15</f>
        <v>2100</v>
      </c>
      <c r="L23" s="307">
        <f>I23*0.095</f>
        <v>1330</v>
      </c>
      <c r="M23" s="307">
        <v>0</v>
      </c>
      <c r="N23" s="307">
        <f>I23*0.034</f>
        <v>476.00000000000006</v>
      </c>
      <c r="O23" s="307">
        <f>H23</f>
        <v>14000</v>
      </c>
      <c r="P23" s="842">
        <v>400</v>
      </c>
      <c r="Q23"/>
      <c r="R23" s="746">
        <v>15</v>
      </c>
      <c r="S23" s="84"/>
      <c r="T23" s="1998"/>
      <c r="U23" s="1998"/>
      <c r="V23" s="84"/>
      <c r="W23" s="84"/>
      <c r="X23" s="84"/>
      <c r="Y23" s="746">
        <v>15</v>
      </c>
      <c r="Z23" s="84"/>
      <c r="AA23" s="855"/>
      <c r="AB23" s="84"/>
      <c r="AC23" s="84"/>
      <c r="AD23" s="111"/>
      <c r="AH23" s="102">
        <v>11</v>
      </c>
      <c r="AI23" s="99" t="s">
        <v>206</v>
      </c>
      <c r="AJ23" s="99">
        <f>+H542</f>
        <v>368500</v>
      </c>
      <c r="AK23" s="99">
        <f t="shared" ref="AK23:AR23" si="19">+I542</f>
        <v>356200</v>
      </c>
      <c r="AL23" s="99">
        <f t="shared" si="19"/>
        <v>87269</v>
      </c>
      <c r="AM23" s="99">
        <f t="shared" si="19"/>
        <v>53430</v>
      </c>
      <c r="AN23" s="99">
        <f t="shared" si="19"/>
        <v>33839</v>
      </c>
      <c r="AO23" s="99">
        <f t="shared" si="19"/>
        <v>0</v>
      </c>
      <c r="AP23" s="99">
        <f t="shared" si="19"/>
        <v>12110.8</v>
      </c>
      <c r="AQ23" s="99">
        <f t="shared" si="19"/>
        <v>368500</v>
      </c>
      <c r="AR23" s="99">
        <f t="shared" si="19"/>
        <v>26850</v>
      </c>
      <c r="AS23" s="99">
        <f t="shared" si="8"/>
        <v>301755.59999999998</v>
      </c>
      <c r="AT23" s="103">
        <v>13</v>
      </c>
    </row>
    <row r="24" spans="1:46" ht="12" customHeight="1">
      <c r="A24" s="843">
        <v>18</v>
      </c>
      <c r="B24" s="73"/>
      <c r="C24" s="849" t="s">
        <v>1135</v>
      </c>
      <c r="D24" s="849"/>
      <c r="E24" s="847" t="s">
        <v>679</v>
      </c>
      <c r="F24" s="305">
        <v>1</v>
      </c>
      <c r="G24" s="305">
        <v>16</v>
      </c>
      <c r="H24" s="305">
        <v>14000</v>
      </c>
      <c r="I24" s="305">
        <f>H24</f>
        <v>14000</v>
      </c>
      <c r="J24" s="307">
        <f>K24+L24</f>
        <v>3430</v>
      </c>
      <c r="K24" s="307">
        <f>I24*0.15</f>
        <v>2100</v>
      </c>
      <c r="L24" s="307">
        <f>I24*0.095</f>
        <v>1330</v>
      </c>
      <c r="M24" s="307">
        <v>0</v>
      </c>
      <c r="N24" s="307">
        <f>I24*0.034</f>
        <v>476.00000000000006</v>
      </c>
      <c r="O24" s="307">
        <f>H24</f>
        <v>14000</v>
      </c>
      <c r="P24" s="842">
        <v>400</v>
      </c>
      <c r="Q24"/>
      <c r="R24" s="848">
        <v>16</v>
      </c>
      <c r="S24" s="84"/>
      <c r="T24" s="1998"/>
      <c r="U24" s="1998"/>
      <c r="V24" s="84"/>
      <c r="W24" s="84"/>
      <c r="X24" s="84"/>
      <c r="Y24" s="848">
        <v>16</v>
      </c>
      <c r="Z24" s="84"/>
      <c r="AA24" s="855"/>
      <c r="AB24" s="84"/>
      <c r="AC24" s="84"/>
      <c r="AD24" s="111"/>
      <c r="AH24" s="102">
        <v>12</v>
      </c>
      <c r="AI24" s="99" t="s">
        <v>207</v>
      </c>
      <c r="AJ24" s="99">
        <f>+H586</f>
        <v>409700</v>
      </c>
      <c r="AK24" s="99">
        <f t="shared" ref="AK24:AR24" si="20">+I586</f>
        <v>397400</v>
      </c>
      <c r="AL24" s="99">
        <f t="shared" si="20"/>
        <v>97363</v>
      </c>
      <c r="AM24" s="99">
        <f t="shared" si="20"/>
        <v>59610</v>
      </c>
      <c r="AN24" s="99">
        <f t="shared" si="20"/>
        <v>37753</v>
      </c>
      <c r="AO24" s="99">
        <f t="shared" si="20"/>
        <v>0</v>
      </c>
      <c r="AP24" s="99">
        <f t="shared" si="20"/>
        <v>13511.599999999999</v>
      </c>
      <c r="AQ24" s="99">
        <f t="shared" si="20"/>
        <v>409700</v>
      </c>
      <c r="AR24" s="99">
        <f t="shared" si="20"/>
        <v>30970</v>
      </c>
      <c r="AS24" s="99">
        <f t="shared" si="8"/>
        <v>334221.2</v>
      </c>
      <c r="AT24" s="103">
        <v>13</v>
      </c>
    </row>
    <row r="25" spans="1:46" ht="12" customHeight="1">
      <c r="A25" s="843">
        <v>19</v>
      </c>
      <c r="B25" s="73"/>
      <c r="C25" s="1966" t="s">
        <v>1156</v>
      </c>
      <c r="D25" s="1967"/>
      <c r="E25" s="847" t="s">
        <v>679</v>
      </c>
      <c r="F25" s="305">
        <v>1</v>
      </c>
      <c r="G25" s="305">
        <v>3</v>
      </c>
      <c r="H25" s="305">
        <v>3000</v>
      </c>
      <c r="I25" s="305">
        <f>H25</f>
        <v>3000</v>
      </c>
      <c r="J25" s="307">
        <f>K25+L25</f>
        <v>735</v>
      </c>
      <c r="K25" s="307">
        <f>I25*0.15</f>
        <v>450</v>
      </c>
      <c r="L25" s="307">
        <f>I25*0.095</f>
        <v>285</v>
      </c>
      <c r="M25" s="307">
        <v>0</v>
      </c>
      <c r="N25" s="307">
        <f>I25*0.034</f>
        <v>102.00000000000001</v>
      </c>
      <c r="O25" s="307">
        <f>H25</f>
        <v>3000</v>
      </c>
      <c r="P25" s="842">
        <v>0</v>
      </c>
      <c r="Q25"/>
      <c r="R25" s="848">
        <v>17</v>
      </c>
      <c r="S25" s="84"/>
      <c r="T25" s="1998"/>
      <c r="U25" s="1998"/>
      <c r="V25" s="84"/>
      <c r="W25" s="84"/>
      <c r="X25" s="84"/>
      <c r="Y25" s="848">
        <v>17</v>
      </c>
      <c r="Z25" s="84"/>
      <c r="AA25" s="855"/>
      <c r="AB25" s="84"/>
      <c r="AC25" s="84"/>
      <c r="AD25" s="111"/>
      <c r="AH25" s="102">
        <v>13</v>
      </c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>
        <f t="shared" si="8"/>
        <v>0</v>
      </c>
      <c r="AT25" s="103"/>
    </row>
    <row r="26" spans="1:46" ht="12" customHeight="1" thickBot="1">
      <c r="A26" s="843">
        <v>20</v>
      </c>
      <c r="B26" s="73"/>
      <c r="C26" s="1966"/>
      <c r="D26" s="1967"/>
      <c r="E26" s="847"/>
      <c r="F26" s="305"/>
      <c r="G26" s="305"/>
      <c r="H26" s="305"/>
      <c r="I26" s="305"/>
      <c r="J26" s="307"/>
      <c r="K26" s="307"/>
      <c r="L26" s="307"/>
      <c r="M26" s="307"/>
      <c r="N26" s="307"/>
      <c r="O26" s="307"/>
      <c r="P26" s="842"/>
      <c r="Q26"/>
      <c r="R26" s="746">
        <v>18</v>
      </c>
      <c r="S26" s="84"/>
      <c r="T26" s="1998"/>
      <c r="U26" s="1998"/>
      <c r="V26" s="84"/>
      <c r="W26" s="84"/>
      <c r="X26" s="84"/>
      <c r="Y26" s="746">
        <v>18</v>
      </c>
      <c r="Z26" s="84"/>
      <c r="AA26" s="855"/>
      <c r="AB26" s="84"/>
      <c r="AC26" s="84"/>
      <c r="AD26" s="111"/>
      <c r="AH26" s="104">
        <v>14</v>
      </c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272">
        <f t="shared" si="8"/>
        <v>0</v>
      </c>
      <c r="AT26" s="103"/>
    </row>
    <row r="27" spans="1:46" ht="12" customHeight="1" thickBot="1">
      <c r="A27" s="843">
        <v>21</v>
      </c>
      <c r="B27" s="73"/>
      <c r="C27" s="1966"/>
      <c r="D27" s="1967"/>
      <c r="E27" s="847"/>
      <c r="F27" s="305"/>
      <c r="G27" s="305"/>
      <c r="H27" s="305"/>
      <c r="I27" s="305"/>
      <c r="J27" s="307"/>
      <c r="K27" s="307"/>
      <c r="L27" s="307"/>
      <c r="M27" s="307"/>
      <c r="N27" s="307"/>
      <c r="O27" s="307"/>
      <c r="P27" s="842"/>
      <c r="Q27"/>
      <c r="R27" s="858">
        <v>19</v>
      </c>
      <c r="S27" s="269"/>
      <c r="T27" s="1999"/>
      <c r="U27" s="1999"/>
      <c r="V27" s="269"/>
      <c r="W27" s="269"/>
      <c r="X27" s="269"/>
      <c r="Y27" s="858">
        <v>19</v>
      </c>
      <c r="Z27" s="269"/>
      <c r="AA27" s="859"/>
      <c r="AB27" s="269"/>
      <c r="AC27" s="269"/>
      <c r="AD27" s="743"/>
      <c r="AH27" s="377">
        <v>15</v>
      </c>
      <c r="AI27" s="378" t="s">
        <v>208</v>
      </c>
      <c r="AJ27" s="378">
        <f>SUM(AJ13:AJ26)</f>
        <v>3975600</v>
      </c>
      <c r="AK27" s="378">
        <f t="shared" ref="AK27:AT27" si="21">SUM(AK13:AK26)</f>
        <v>3806400</v>
      </c>
      <c r="AL27" s="378">
        <f t="shared" si="21"/>
        <v>932568</v>
      </c>
      <c r="AM27" s="378">
        <f t="shared" si="21"/>
        <v>570960</v>
      </c>
      <c r="AN27" s="378">
        <f t="shared" si="21"/>
        <v>361608</v>
      </c>
      <c r="AO27" s="378">
        <f t="shared" si="21"/>
        <v>0</v>
      </c>
      <c r="AP27" s="378">
        <f t="shared" si="21"/>
        <v>129417.59999999998</v>
      </c>
      <c r="AQ27" s="378">
        <f t="shared" si="21"/>
        <v>3975600</v>
      </c>
      <c r="AR27" s="378">
        <f t="shared" si="21"/>
        <v>306260</v>
      </c>
      <c r="AS27" s="378">
        <f t="shared" si="21"/>
        <v>3243023.2000000007</v>
      </c>
      <c r="AT27" s="378">
        <f t="shared" si="21"/>
        <v>131</v>
      </c>
    </row>
    <row r="28" spans="1:46" ht="12" customHeight="1" thickBot="1">
      <c r="A28" s="843">
        <v>22</v>
      </c>
      <c r="B28" s="73"/>
      <c r="C28" s="1966"/>
      <c r="D28" s="1967"/>
      <c r="E28" s="847"/>
      <c r="F28" s="305"/>
      <c r="G28" s="305"/>
      <c r="H28" s="305"/>
      <c r="I28" s="305"/>
      <c r="J28" s="307"/>
      <c r="K28" s="307"/>
      <c r="L28" s="307"/>
      <c r="M28" s="307"/>
      <c r="N28" s="307"/>
      <c r="O28" s="307"/>
      <c r="P28" s="842"/>
      <c r="Q28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H28" s="361"/>
      <c r="AI28" s="361"/>
      <c r="AJ28" s="361"/>
      <c r="AK28" s="361">
        <v>3807200</v>
      </c>
      <c r="AL28" s="361">
        <f>+AM28+AN28</f>
        <v>978392</v>
      </c>
      <c r="AM28" s="361">
        <v>599010</v>
      </c>
      <c r="AN28" s="361">
        <v>379382</v>
      </c>
      <c r="AO28" s="361"/>
      <c r="AP28" s="361">
        <v>135802</v>
      </c>
      <c r="AQ28" s="361">
        <v>3976100</v>
      </c>
      <c r="AR28" s="361">
        <v>324960</v>
      </c>
      <c r="AS28" s="361"/>
      <c r="AT28" s="361"/>
    </row>
    <row r="29" spans="1:46" ht="12" customHeight="1">
      <c r="A29" s="843">
        <v>23</v>
      </c>
      <c r="B29" s="73"/>
      <c r="C29" s="1966"/>
      <c r="D29" s="1967"/>
      <c r="E29" s="847"/>
      <c r="F29" s="305"/>
      <c r="G29" s="305"/>
      <c r="H29" s="305"/>
      <c r="I29" s="305"/>
      <c r="J29" s="307"/>
      <c r="K29" s="307"/>
      <c r="L29" s="307"/>
      <c r="M29" s="307"/>
      <c r="N29" s="307"/>
      <c r="O29" s="307"/>
      <c r="P29" s="842"/>
      <c r="Q29"/>
      <c r="R29" s="860" t="s">
        <v>681</v>
      </c>
      <c r="S29" s="775"/>
      <c r="T29" s="775"/>
      <c r="U29" s="775"/>
      <c r="V29" s="775"/>
      <c r="W29" s="775"/>
      <c r="X29" s="776"/>
      <c r="Y29" s="351" t="s">
        <v>682</v>
      </c>
      <c r="Z29" s="352"/>
      <c r="AA29" s="352"/>
      <c r="AB29" s="352"/>
      <c r="AC29" s="352"/>
      <c r="AD29" s="353"/>
      <c r="AH29" s="361"/>
      <c r="AI29" s="361"/>
      <c r="AJ29" s="737"/>
      <c r="AK29" s="379">
        <f>+AK28-AK27</f>
        <v>800</v>
      </c>
      <c r="AL29" s="379">
        <f t="shared" ref="AL29:AR29" si="22">+AL28-AL27</f>
        <v>45824</v>
      </c>
      <c r="AM29" s="379">
        <f t="shared" si="22"/>
        <v>28050</v>
      </c>
      <c r="AN29" s="379">
        <f t="shared" si="22"/>
        <v>17774</v>
      </c>
      <c r="AO29" s="379">
        <f t="shared" si="22"/>
        <v>0</v>
      </c>
      <c r="AP29" s="379">
        <f t="shared" si="22"/>
        <v>6384.4000000000233</v>
      </c>
      <c r="AQ29" s="379">
        <f t="shared" si="22"/>
        <v>500</v>
      </c>
      <c r="AR29" s="379">
        <f t="shared" si="22"/>
        <v>18700</v>
      </c>
      <c r="AS29" s="737"/>
      <c r="AT29" s="361"/>
    </row>
    <row r="30" spans="1:46" ht="12" customHeight="1">
      <c r="A30" s="843">
        <v>24</v>
      </c>
      <c r="B30" s="73"/>
      <c r="C30" s="1968"/>
      <c r="D30" s="1969"/>
      <c r="E30" s="305"/>
      <c r="F30" s="305"/>
      <c r="G30" s="305"/>
      <c r="H30" s="305"/>
      <c r="I30" s="305"/>
      <c r="J30" s="307"/>
      <c r="K30" s="307"/>
      <c r="L30" s="307"/>
      <c r="M30" s="307"/>
      <c r="N30" s="307"/>
      <c r="O30" s="305"/>
      <c r="P30" s="742"/>
      <c r="Q30"/>
      <c r="R30" s="772" t="s">
        <v>683</v>
      </c>
      <c r="S30" s="773"/>
      <c r="T30" s="773"/>
      <c r="U30" s="773"/>
      <c r="V30" s="773"/>
      <c r="W30" s="773"/>
      <c r="X30" s="774"/>
      <c r="Y30" s="354" t="s">
        <v>684</v>
      </c>
      <c r="Z30" s="90"/>
      <c r="AA30" s="90"/>
      <c r="AB30" s="90"/>
      <c r="AC30" s="90"/>
      <c r="AD30" s="355"/>
      <c r="AH30" s="361"/>
      <c r="AI30" s="361"/>
      <c r="AJ30" s="361"/>
      <c r="AK30" s="361"/>
      <c r="AL30" s="361"/>
      <c r="AM30" s="361"/>
      <c r="AN30" s="361"/>
      <c r="AO30" s="361"/>
      <c r="AP30" s="361"/>
      <c r="AQ30" s="361"/>
      <c r="AR30" s="361"/>
      <c r="AS30" s="361"/>
      <c r="AT30" s="361"/>
    </row>
    <row r="31" spans="1:46" ht="12" customHeight="1" thickBot="1">
      <c r="A31" s="837">
        <v>25</v>
      </c>
      <c r="B31" s="73"/>
      <c r="C31" s="845"/>
      <c r="D31" s="846"/>
      <c r="E31" s="305"/>
      <c r="F31" s="305"/>
      <c r="G31" s="305"/>
      <c r="H31" s="305"/>
      <c r="I31" s="305"/>
      <c r="J31" s="307"/>
      <c r="K31" s="307"/>
      <c r="L31" s="307"/>
      <c r="M31" s="307"/>
      <c r="N31" s="307"/>
      <c r="O31" s="305"/>
      <c r="P31" s="742"/>
      <c r="Q31"/>
      <c r="R31" s="772" t="s">
        <v>685</v>
      </c>
      <c r="S31" s="773"/>
      <c r="T31" s="773"/>
      <c r="U31" s="773"/>
      <c r="V31" s="773"/>
      <c r="W31" s="773"/>
      <c r="X31" s="774"/>
      <c r="Y31" s="354" t="s">
        <v>686</v>
      </c>
      <c r="Z31" s="90"/>
      <c r="AA31" s="90"/>
      <c r="AB31" s="90"/>
      <c r="AC31" s="90"/>
      <c r="AD31" s="355"/>
      <c r="AH31"/>
      <c r="AI31"/>
      <c r="AJ31"/>
      <c r="AK31"/>
      <c r="AL31"/>
      <c r="AM31"/>
      <c r="AN31"/>
      <c r="AO31"/>
      <c r="AP31"/>
      <c r="AQ31"/>
      <c r="AR31"/>
    </row>
    <row r="32" spans="1:46" ht="12" customHeight="1" thickBot="1">
      <c r="A32" s="1970" t="s">
        <v>687</v>
      </c>
      <c r="B32" s="1971"/>
      <c r="C32" s="1971"/>
      <c r="D32" s="1971"/>
      <c r="E32" s="1971"/>
      <c r="F32" s="1971"/>
      <c r="G32" s="1972"/>
      <c r="H32" s="861">
        <f t="shared" ref="H32:P32" si="23">SUM(H7:H31)</f>
        <v>462200</v>
      </c>
      <c r="I32" s="861">
        <f t="shared" si="23"/>
        <v>446300</v>
      </c>
      <c r="J32" s="861">
        <f t="shared" si="23"/>
        <v>109343.5</v>
      </c>
      <c r="K32" s="861">
        <f t="shared" si="23"/>
        <v>66945</v>
      </c>
      <c r="L32" s="861">
        <f t="shared" si="23"/>
        <v>42398.5</v>
      </c>
      <c r="M32" s="861">
        <f t="shared" si="23"/>
        <v>0</v>
      </c>
      <c r="N32" s="861">
        <f t="shared" si="23"/>
        <v>15174.199999999995</v>
      </c>
      <c r="O32" s="861">
        <f t="shared" si="23"/>
        <v>462200</v>
      </c>
      <c r="P32" s="861">
        <f t="shared" si="23"/>
        <v>30920</v>
      </c>
      <c r="Q32"/>
      <c r="R32" s="1992" t="s">
        <v>688</v>
      </c>
      <c r="S32" s="1993"/>
      <c r="T32" s="1993"/>
      <c r="U32" s="1993"/>
      <c r="V32" s="1993"/>
      <c r="W32" s="1993"/>
      <c r="X32" s="1994"/>
      <c r="Y32" s="354" t="s">
        <v>689</v>
      </c>
      <c r="Z32" s="90"/>
      <c r="AA32" s="90"/>
      <c r="AB32" s="90"/>
      <c r="AC32" s="90"/>
      <c r="AD32" s="355"/>
      <c r="AE32" s="2"/>
      <c r="AF32" s="2"/>
      <c r="AG32" s="2"/>
      <c r="AH32"/>
      <c r="AI32"/>
      <c r="AJ32"/>
      <c r="AK32"/>
      <c r="AL32"/>
      <c r="AM32"/>
      <c r="AN32"/>
      <c r="AO32"/>
      <c r="AP32"/>
      <c r="AQ32"/>
      <c r="AR32"/>
    </row>
    <row r="33" spans="1:46" ht="12" customHeight="1" thickBot="1">
      <c r="A33" s="1973" t="s">
        <v>690</v>
      </c>
      <c r="B33" s="1974"/>
      <c r="C33" s="1974"/>
      <c r="D33" s="1974"/>
      <c r="E33" s="1974"/>
      <c r="F33" s="1974"/>
      <c r="G33" s="1975"/>
      <c r="H33" s="862"/>
      <c r="I33" s="863"/>
      <c r="J33" s="863"/>
      <c r="K33" s="863"/>
      <c r="L33" s="863"/>
      <c r="M33" s="863"/>
      <c r="N33" s="863"/>
      <c r="O33" s="863"/>
      <c r="P33" s="864"/>
      <c r="Q33"/>
      <c r="R33" s="1995" t="s">
        <v>691</v>
      </c>
      <c r="S33" s="1996"/>
      <c r="T33" s="1996"/>
      <c r="U33" s="1996"/>
      <c r="V33" s="1996"/>
      <c r="W33" s="1996"/>
      <c r="X33" s="1997"/>
      <c r="Y33" s="354"/>
      <c r="Z33" s="90"/>
      <c r="AA33" s="89" t="s">
        <v>692</v>
      </c>
      <c r="AB33" s="90"/>
      <c r="AC33" s="90"/>
      <c r="AD33" s="355"/>
      <c r="AE33" s="2"/>
      <c r="AF33" s="2"/>
      <c r="AG33" s="2"/>
      <c r="AH33"/>
      <c r="AI33"/>
      <c r="AJ33"/>
      <c r="AK33"/>
      <c r="AL33"/>
      <c r="AM33"/>
      <c r="AN33"/>
      <c r="AO33"/>
      <c r="AP33"/>
      <c r="AQ33"/>
      <c r="AR33"/>
    </row>
    <row r="34" spans="1:46" ht="12" customHeight="1" thickBot="1">
      <c r="A34" s="1976" t="s">
        <v>693</v>
      </c>
      <c r="B34" s="1977"/>
      <c r="C34" s="1977"/>
      <c r="D34" s="1977"/>
      <c r="E34" s="1977"/>
      <c r="F34" s="1977"/>
      <c r="G34" s="1978"/>
      <c r="H34" s="861">
        <f t="shared" ref="H34:P34" si="24">SUM(H32:H33)</f>
        <v>462200</v>
      </c>
      <c r="I34" s="861">
        <f t="shared" si="24"/>
        <v>446300</v>
      </c>
      <c r="J34" s="861">
        <f t="shared" si="24"/>
        <v>109343.5</v>
      </c>
      <c r="K34" s="861">
        <f t="shared" si="24"/>
        <v>66945</v>
      </c>
      <c r="L34" s="861">
        <f t="shared" si="24"/>
        <v>42398.5</v>
      </c>
      <c r="M34" s="861">
        <f t="shared" si="24"/>
        <v>0</v>
      </c>
      <c r="N34" s="861">
        <f t="shared" si="24"/>
        <v>15174.199999999995</v>
      </c>
      <c r="O34" s="861">
        <f t="shared" si="24"/>
        <v>462200</v>
      </c>
      <c r="P34" s="861">
        <f t="shared" si="24"/>
        <v>30920</v>
      </c>
      <c r="Q34"/>
      <c r="R34" s="1992" t="s">
        <v>694</v>
      </c>
      <c r="S34" s="1993"/>
      <c r="T34" s="1993"/>
      <c r="U34" s="1993"/>
      <c r="V34" s="1993"/>
      <c r="W34" s="1993"/>
      <c r="X34" s="1994"/>
      <c r="Y34" s="354" t="s">
        <v>695</v>
      </c>
      <c r="Z34" s="90"/>
      <c r="AA34" s="90"/>
      <c r="AB34" s="90"/>
      <c r="AC34" s="90"/>
      <c r="AD34" s="355"/>
      <c r="AE34" s="2"/>
      <c r="AF34" s="2"/>
      <c r="AG34" s="2"/>
      <c r="AH34"/>
      <c r="AI34" s="356"/>
      <c r="AJ34" s="49"/>
      <c r="AK34" s="49"/>
      <c r="AL34" s="49"/>
      <c r="AM34" s="49"/>
      <c r="AN34" s="49"/>
      <c r="AO34" s="49"/>
      <c r="AP34" s="1"/>
      <c r="AQ34"/>
      <c r="AR34"/>
    </row>
    <row r="35" spans="1:46" ht="12" customHeight="1" thickBot="1">
      <c r="A35" s="865"/>
      <c r="B35" s="866"/>
      <c r="C35" s="866"/>
      <c r="D35" s="866"/>
      <c r="E35" s="866"/>
      <c r="F35" s="866"/>
      <c r="G35" s="866"/>
      <c r="H35" s="867"/>
      <c r="I35" s="867"/>
      <c r="J35" s="867"/>
      <c r="K35" s="867"/>
      <c r="L35" s="867"/>
      <c r="M35" s="867"/>
      <c r="N35" s="867"/>
      <c r="O35" s="867"/>
      <c r="P35" s="868"/>
      <c r="Q35"/>
      <c r="R35" s="1992" t="s">
        <v>696</v>
      </c>
      <c r="S35" s="1993"/>
      <c r="T35" s="1993"/>
      <c r="U35" s="1993"/>
      <c r="V35" s="1993"/>
      <c r="W35" s="1993"/>
      <c r="X35" s="1994"/>
      <c r="Y35" s="354" t="s">
        <v>697</v>
      </c>
      <c r="Z35" s="90"/>
      <c r="AA35" s="90"/>
      <c r="AB35" s="90"/>
      <c r="AC35" s="90"/>
      <c r="AD35" s="355"/>
      <c r="AE35" s="2"/>
      <c r="AF35" s="2"/>
      <c r="AG35" s="2"/>
      <c r="AH35"/>
      <c r="AI35" s="356"/>
      <c r="AJ35" s="49"/>
      <c r="AK35" s="49"/>
      <c r="AL35" s="49"/>
      <c r="AM35" s="49"/>
      <c r="AN35" s="49"/>
      <c r="AO35" s="49"/>
      <c r="AP35" s="1"/>
      <c r="AQ35"/>
      <c r="AR35"/>
    </row>
    <row r="36" spans="1:46" ht="12" customHeight="1">
      <c r="A36" s="869"/>
      <c r="B36" s="870" t="s">
        <v>698</v>
      </c>
      <c r="C36" s="871"/>
      <c r="D36" s="871"/>
      <c r="E36" s="871"/>
      <c r="F36" s="871"/>
      <c r="G36" s="871"/>
      <c r="H36" s="872" t="s">
        <v>699</v>
      </c>
      <c r="I36" s="871"/>
      <c r="J36" s="871"/>
      <c r="K36" s="871"/>
      <c r="L36" s="871"/>
      <c r="M36" s="871"/>
      <c r="N36" s="871"/>
      <c r="O36" s="871"/>
      <c r="P36" s="873"/>
      <c r="Q36"/>
      <c r="R36" s="1992"/>
      <c r="S36" s="1993"/>
      <c r="T36" s="1993"/>
      <c r="U36" s="1993"/>
      <c r="V36" s="1993"/>
      <c r="W36" s="1993"/>
      <c r="X36" s="1994"/>
      <c r="Y36" s="354"/>
      <c r="Z36" s="90" t="s">
        <v>694</v>
      </c>
      <c r="AA36" s="90"/>
      <c r="AB36" s="90"/>
      <c r="AC36" s="90"/>
      <c r="AD36" s="355"/>
      <c r="AE36" s="2"/>
      <c r="AF36" s="2"/>
      <c r="AG36" s="2"/>
      <c r="AH36"/>
      <c r="AI36" s="745"/>
      <c r="AJ36" s="745"/>
      <c r="AK36" s="745"/>
      <c r="AL36" s="745"/>
      <c r="AM36" s="745"/>
      <c r="AN36" s="745"/>
      <c r="AO36" s="745"/>
      <c r="AP36" s="745"/>
      <c r="AQ36" s="745"/>
      <c r="AR36" s="745"/>
      <c r="AS36" s="745"/>
      <c r="AT36" s="745"/>
    </row>
    <row r="37" spans="1:46" ht="12" customHeight="1" thickBot="1">
      <c r="A37" s="874" t="s">
        <v>1157</v>
      </c>
      <c r="B37" s="875"/>
      <c r="C37" s="875"/>
      <c r="D37" s="875"/>
      <c r="E37" s="875"/>
      <c r="F37" s="875"/>
      <c r="G37" s="875"/>
      <c r="H37" s="876" t="s">
        <v>700</v>
      </c>
      <c r="I37" s="875"/>
      <c r="J37" s="875"/>
      <c r="K37" s="875"/>
      <c r="L37" s="875"/>
      <c r="M37" s="875"/>
      <c r="N37" s="875"/>
      <c r="O37" s="875"/>
      <c r="P37" s="877"/>
      <c r="R37" s="2000"/>
      <c r="S37" s="2001"/>
      <c r="T37" s="2001"/>
      <c r="U37" s="2001"/>
      <c r="V37" s="2001"/>
      <c r="W37" s="2001"/>
      <c r="X37" s="2002"/>
      <c r="Y37" s="357"/>
      <c r="Z37" s="358"/>
      <c r="AA37" s="358"/>
      <c r="AB37" s="358"/>
      <c r="AC37" s="358"/>
      <c r="AD37" s="359"/>
      <c r="AE37" s="2"/>
      <c r="AF37" s="2"/>
      <c r="AG37" s="2"/>
      <c r="AH37"/>
      <c r="AI37" s="745"/>
      <c r="AJ37" s="745"/>
      <c r="AK37" s="745"/>
      <c r="AL37" s="745"/>
      <c r="AM37" s="745"/>
      <c r="AN37" s="745"/>
      <c r="AO37" s="745"/>
      <c r="AP37" s="745"/>
      <c r="AQ37" s="745"/>
      <c r="AR37" s="745"/>
      <c r="AS37" s="745"/>
      <c r="AT37" s="745"/>
    </row>
    <row r="38" spans="1:46" ht="12" customHeight="1">
      <c r="A38" s="874" t="s">
        <v>1158</v>
      </c>
      <c r="B38" s="875"/>
      <c r="C38" s="875"/>
      <c r="D38" s="875"/>
      <c r="E38" s="875"/>
      <c r="F38" s="875"/>
      <c r="G38" s="875"/>
      <c r="H38" s="45" t="s">
        <v>701</v>
      </c>
      <c r="I38" s="875"/>
      <c r="J38" s="875"/>
      <c r="K38" s="875"/>
      <c r="L38" s="875"/>
      <c r="M38" s="875"/>
      <c r="N38" s="875"/>
      <c r="O38" s="875"/>
      <c r="P38" s="877"/>
      <c r="AE38" s="2"/>
      <c r="AF38" s="2"/>
      <c r="AG38" s="2"/>
      <c r="AH38"/>
      <c r="AI38" s="745"/>
      <c r="AJ38" s="745"/>
      <c r="AK38" s="745"/>
      <c r="AL38" s="745"/>
      <c r="AM38" s="745"/>
      <c r="AN38" s="745"/>
      <c r="AO38" s="745"/>
      <c r="AP38" s="745"/>
      <c r="AQ38" s="745"/>
      <c r="AR38" s="745"/>
      <c r="AS38" s="745"/>
      <c r="AT38" s="745"/>
    </row>
    <row r="39" spans="1:46" ht="12" customHeight="1">
      <c r="A39" s="874" t="s">
        <v>702</v>
      </c>
      <c r="B39" s="875"/>
      <c r="C39" s="1"/>
      <c r="D39" s="875"/>
      <c r="E39" s="875"/>
      <c r="F39" s="875"/>
      <c r="G39" s="875"/>
      <c r="H39" s="876" t="s">
        <v>703</v>
      </c>
      <c r="I39" s="875"/>
      <c r="J39" s="875"/>
      <c r="K39" s="875"/>
      <c r="L39" s="875"/>
      <c r="M39" s="875"/>
      <c r="N39" s="875"/>
      <c r="O39" s="875"/>
      <c r="P39" s="877"/>
      <c r="AE39" s="2"/>
      <c r="AF39" s="2"/>
      <c r="AG39" s="2"/>
      <c r="AH39"/>
      <c r="AI39" s="745"/>
      <c r="AJ39" s="745"/>
      <c r="AK39" s="745"/>
      <c r="AL39" s="745"/>
      <c r="AM39" s="745"/>
      <c r="AN39" s="745"/>
      <c r="AO39" s="745"/>
      <c r="AP39" s="745"/>
      <c r="AQ39" s="745"/>
      <c r="AR39" s="745"/>
      <c r="AS39" s="745"/>
      <c r="AT39" s="745"/>
    </row>
    <row r="40" spans="1:46" ht="12" customHeight="1">
      <c r="A40" s="874"/>
      <c r="B40" s="875"/>
      <c r="C40" s="875"/>
      <c r="D40" s="875"/>
      <c r="E40" s="875"/>
      <c r="F40" s="875"/>
      <c r="G40" s="875"/>
      <c r="H40" s="876" t="s">
        <v>704</v>
      </c>
      <c r="I40" s="875"/>
      <c r="J40" s="875"/>
      <c r="K40" s="875"/>
      <c r="L40" s="875"/>
      <c r="M40" s="875"/>
      <c r="N40" s="875"/>
      <c r="O40" s="875"/>
      <c r="P40" s="877"/>
      <c r="AE40" s="2"/>
      <c r="AF40" s="2"/>
      <c r="AG40" s="2"/>
      <c r="AH40"/>
      <c r="AI40" s="745"/>
      <c r="AJ40" s="745"/>
      <c r="AK40" s="745"/>
      <c r="AL40" s="745"/>
      <c r="AM40" s="745"/>
      <c r="AN40" s="745"/>
      <c r="AO40" s="745"/>
      <c r="AP40" s="745"/>
      <c r="AQ40" s="745"/>
      <c r="AR40" s="745"/>
      <c r="AS40" s="745"/>
      <c r="AT40" s="745"/>
    </row>
    <row r="41" spans="1:46" ht="12" customHeight="1">
      <c r="A41" s="874"/>
      <c r="B41" s="878" t="s">
        <v>705</v>
      </c>
      <c r="C41" s="875"/>
      <c r="D41" s="875"/>
      <c r="E41" s="875"/>
      <c r="F41" s="875"/>
      <c r="G41" s="875"/>
      <c r="H41" s="45" t="s">
        <v>706</v>
      </c>
      <c r="I41" s="875"/>
      <c r="J41" s="875"/>
      <c r="K41" s="875"/>
      <c r="L41" s="875"/>
      <c r="M41" s="875"/>
      <c r="N41" s="875"/>
      <c r="O41" s="875"/>
      <c r="P41" s="877"/>
      <c r="AH41"/>
      <c r="AI41" s="745"/>
      <c r="AJ41" s="745"/>
      <c r="AK41" s="745"/>
      <c r="AL41" s="745"/>
      <c r="AM41" s="745"/>
      <c r="AN41" s="745"/>
      <c r="AO41" s="745"/>
      <c r="AP41" s="745"/>
      <c r="AQ41" s="745"/>
      <c r="AR41" s="745"/>
      <c r="AS41" s="745"/>
      <c r="AT41" s="745"/>
    </row>
    <row r="42" spans="1:46" ht="12" customHeight="1">
      <c r="A42" s="874"/>
      <c r="B42" s="875" t="s">
        <v>1159</v>
      </c>
      <c r="C42" s="875"/>
      <c r="D42" s="875"/>
      <c r="E42" s="875"/>
      <c r="F42" s="875"/>
      <c r="G42" s="875"/>
      <c r="H42" s="45"/>
      <c r="I42" s="875"/>
      <c r="J42" s="875"/>
      <c r="K42" s="879" t="s">
        <v>707</v>
      </c>
      <c r="L42" s="875"/>
      <c r="M42" s="875"/>
      <c r="N42" s="875"/>
      <c r="O42" s="875"/>
      <c r="P42" s="877"/>
      <c r="AE42" s="736"/>
      <c r="AF42" s="736"/>
      <c r="AG42" s="736"/>
      <c r="AH42"/>
      <c r="AI42" s="745"/>
      <c r="AJ42" s="745"/>
      <c r="AK42" s="745"/>
      <c r="AL42" s="745"/>
      <c r="AM42" s="745"/>
      <c r="AN42" s="745"/>
      <c r="AO42" s="745"/>
      <c r="AP42" s="745"/>
      <c r="AQ42" s="745"/>
      <c r="AR42" s="745"/>
      <c r="AS42" s="745"/>
      <c r="AT42" s="745"/>
    </row>
    <row r="43" spans="1:46" ht="12" customHeight="1">
      <c r="A43" s="874"/>
      <c r="B43" s="875"/>
      <c r="C43" s="875"/>
      <c r="D43" s="875" t="s">
        <v>708</v>
      </c>
      <c r="E43" s="875"/>
      <c r="F43" s="875"/>
      <c r="G43" s="875"/>
      <c r="H43" s="876" t="s">
        <v>709</v>
      </c>
      <c r="I43" s="875"/>
      <c r="J43" s="875"/>
      <c r="K43" s="875"/>
      <c r="L43" s="875"/>
      <c r="M43" s="875"/>
      <c r="N43" s="875"/>
      <c r="O43" s="875"/>
      <c r="P43" s="877"/>
      <c r="AE43" s="736"/>
      <c r="AF43" s="736"/>
      <c r="AG43" s="736"/>
      <c r="AH43"/>
      <c r="AI43" s="745"/>
      <c r="AJ43" s="745"/>
      <c r="AK43" s="745"/>
      <c r="AL43" s="745"/>
      <c r="AM43" s="745"/>
      <c r="AN43" s="745"/>
      <c r="AO43" s="745"/>
      <c r="AP43" s="745"/>
      <c r="AQ43" s="745"/>
      <c r="AR43" s="745"/>
      <c r="AS43" s="745"/>
      <c r="AT43" s="745"/>
    </row>
    <row r="44" spans="1:46" ht="12" customHeight="1">
      <c r="A44" s="874"/>
      <c r="B44" s="875"/>
      <c r="C44" s="875"/>
      <c r="D44" s="875"/>
      <c r="E44" s="875"/>
      <c r="F44" s="875"/>
      <c r="G44" s="875"/>
      <c r="H44" s="876"/>
      <c r="I44" s="875" t="s">
        <v>710</v>
      </c>
      <c r="J44" s="875"/>
      <c r="K44" s="875"/>
      <c r="L44" s="875"/>
      <c r="M44" s="875"/>
      <c r="N44" s="875"/>
      <c r="O44" s="875"/>
      <c r="P44" s="877"/>
      <c r="AE44" s="736"/>
      <c r="AF44" s="736"/>
      <c r="AG44" s="736"/>
      <c r="AH44"/>
      <c r="AI44" s="745"/>
      <c r="AJ44" s="745"/>
      <c r="AK44" s="745"/>
      <c r="AL44" s="745"/>
      <c r="AM44" s="745"/>
      <c r="AN44" s="745"/>
      <c r="AO44" s="745"/>
      <c r="AP44" s="745"/>
      <c r="AQ44" s="745"/>
      <c r="AR44" s="745"/>
      <c r="AS44" s="745"/>
      <c r="AT44" s="745"/>
    </row>
    <row r="45" spans="1:46" ht="12" customHeight="1" thickBot="1">
      <c r="A45" s="880"/>
      <c r="B45" s="881"/>
      <c r="C45" s="881"/>
      <c r="D45" s="881"/>
      <c r="E45" s="881"/>
      <c r="F45" s="881"/>
      <c r="G45" s="881"/>
      <c r="H45" s="882"/>
      <c r="I45" s="883" t="s">
        <v>711</v>
      </c>
      <c r="J45" s="881"/>
      <c r="K45" s="881"/>
      <c r="L45" s="881"/>
      <c r="M45" s="881"/>
      <c r="N45" s="881"/>
      <c r="O45" s="881"/>
      <c r="P45" s="884"/>
      <c r="AE45" s="723"/>
      <c r="AF45" s="723"/>
      <c r="AG45" s="723"/>
      <c r="AH45"/>
      <c r="AI45" s="745"/>
      <c r="AJ45" s="745"/>
      <c r="AK45" s="745"/>
      <c r="AL45" s="745"/>
      <c r="AM45" s="745"/>
      <c r="AN45" s="745"/>
      <c r="AO45" s="745"/>
      <c r="AP45" s="745"/>
      <c r="AQ45" s="745"/>
      <c r="AR45" s="745"/>
      <c r="AS45" s="745"/>
      <c r="AT45" s="745"/>
    </row>
    <row r="46" spans="1:46" ht="12" customHeight="1">
      <c r="A46" s="875"/>
      <c r="B46" s="875"/>
      <c r="C46" s="875"/>
      <c r="D46" s="875"/>
      <c r="E46" s="875"/>
      <c r="F46" s="875"/>
      <c r="G46" s="875"/>
      <c r="H46" s="875"/>
      <c r="I46" s="43"/>
      <c r="J46" s="875"/>
      <c r="K46" s="875"/>
      <c r="L46" s="875"/>
      <c r="M46" s="875"/>
      <c r="N46" s="875"/>
      <c r="O46" s="875"/>
      <c r="P46" s="875"/>
      <c r="AE46" s="723"/>
      <c r="AF46" s="723"/>
      <c r="AG46" s="723"/>
      <c r="AH46"/>
      <c r="AI46" s="745"/>
      <c r="AJ46" s="745"/>
      <c r="AK46" s="745"/>
      <c r="AL46" s="745"/>
      <c r="AM46" s="745"/>
      <c r="AN46" s="745"/>
      <c r="AO46" s="745"/>
      <c r="AP46" s="745"/>
      <c r="AQ46" s="745"/>
      <c r="AR46" s="745"/>
      <c r="AS46" s="745"/>
      <c r="AT46" s="745"/>
    </row>
    <row r="47" spans="1:46" ht="12" customHeight="1">
      <c r="A47" s="875"/>
      <c r="B47" s="875"/>
      <c r="C47" s="875"/>
      <c r="D47" s="875"/>
      <c r="E47" s="875"/>
      <c r="F47" s="875"/>
      <c r="G47" s="875"/>
      <c r="H47" s="875"/>
      <c r="I47" s="43"/>
      <c r="J47" s="875"/>
      <c r="K47" s="875"/>
      <c r="L47" s="875"/>
      <c r="M47" s="875"/>
      <c r="N47" s="875"/>
      <c r="O47" s="875"/>
      <c r="P47" s="875"/>
      <c r="AE47" s="723"/>
      <c r="AF47" s="723"/>
      <c r="AG47" s="723"/>
      <c r="AH47"/>
      <c r="AI47" s="745"/>
      <c r="AJ47" s="745"/>
      <c r="AK47" s="745"/>
      <c r="AL47" s="745"/>
      <c r="AM47" s="745"/>
      <c r="AN47" s="745"/>
      <c r="AO47" s="745"/>
      <c r="AP47" s="745"/>
      <c r="AQ47" s="745"/>
      <c r="AR47" s="745"/>
      <c r="AS47" s="745"/>
      <c r="AT47" s="745"/>
    </row>
    <row r="48" spans="1:46" ht="12" customHeight="1">
      <c r="A48" s="875"/>
      <c r="B48" s="875"/>
      <c r="C48" s="875"/>
      <c r="D48" s="875"/>
      <c r="E48" s="875"/>
      <c r="F48" s="875"/>
      <c r="G48" s="875"/>
      <c r="H48" s="875"/>
      <c r="I48" s="43"/>
      <c r="J48" s="875"/>
      <c r="K48" s="875"/>
      <c r="L48" s="875"/>
      <c r="M48" s="875"/>
      <c r="N48" s="875"/>
      <c r="O48" s="875"/>
      <c r="P48" s="875"/>
      <c r="AE48" s="723"/>
      <c r="AF48" s="723"/>
      <c r="AG48" s="723"/>
      <c r="AH48"/>
      <c r="AI48" s="745"/>
      <c r="AJ48" s="745"/>
      <c r="AK48" s="745"/>
      <c r="AL48" s="745"/>
      <c r="AM48" s="745"/>
      <c r="AN48" s="745"/>
      <c r="AO48" s="745"/>
      <c r="AP48" s="745"/>
      <c r="AQ48" s="745"/>
      <c r="AR48" s="745"/>
      <c r="AS48" s="745"/>
      <c r="AT48" s="745"/>
    </row>
    <row r="49" spans="1:46" ht="12" customHeight="1">
      <c r="A49" s="875"/>
      <c r="B49" s="875"/>
      <c r="C49" s="875"/>
      <c r="D49" s="875"/>
      <c r="E49" s="875"/>
      <c r="F49" s="875"/>
      <c r="G49" s="875"/>
      <c r="H49" s="875"/>
      <c r="I49" s="43"/>
      <c r="J49" s="875"/>
      <c r="K49" s="875"/>
      <c r="L49" s="875"/>
      <c r="M49" s="875"/>
      <c r="N49" s="875"/>
      <c r="O49" s="875"/>
      <c r="P49" s="875"/>
      <c r="AE49" s="723"/>
      <c r="AF49" s="723"/>
      <c r="AG49" s="723"/>
      <c r="AH49"/>
      <c r="AI49" s="745"/>
      <c r="AJ49" s="745"/>
      <c r="AK49" s="745"/>
      <c r="AL49" s="745"/>
      <c r="AM49" s="745"/>
      <c r="AN49" s="745"/>
      <c r="AO49" s="745"/>
      <c r="AP49" s="745"/>
      <c r="AQ49" s="745"/>
      <c r="AR49" s="745"/>
      <c r="AS49" s="745"/>
      <c r="AT49" s="745"/>
    </row>
    <row r="50" spans="1:46" ht="12" customHeight="1">
      <c r="A50" s="349" t="s">
        <v>664</v>
      </c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AE50" s="733"/>
      <c r="AF50" s="733"/>
      <c r="AG50" s="733"/>
      <c r="AH50"/>
      <c r="AI50" s="745"/>
      <c r="AJ50" s="745"/>
      <c r="AK50" s="745"/>
      <c r="AL50" s="745"/>
      <c r="AM50" s="745"/>
      <c r="AN50" s="745"/>
      <c r="AO50" s="745"/>
      <c r="AP50" s="745"/>
      <c r="AQ50" s="745"/>
      <c r="AR50" s="745"/>
      <c r="AS50" s="745"/>
      <c r="AT50" s="745"/>
    </row>
    <row r="51" spans="1:46" ht="12" customHeight="1">
      <c r="A51" s="349" t="s">
        <v>1099</v>
      </c>
      <c r="B51" s="349"/>
      <c r="C51" s="349"/>
      <c r="D51" s="349" t="s">
        <v>1100</v>
      </c>
      <c r="E51" s="349"/>
      <c r="F51" s="349"/>
      <c r="G51" s="349"/>
      <c r="H51" s="349"/>
      <c r="I51" s="349" t="s">
        <v>1160</v>
      </c>
      <c r="J51" s="349"/>
      <c r="K51" s="349"/>
      <c r="L51" s="349"/>
      <c r="M51" s="349"/>
      <c r="N51" s="349" t="s">
        <v>1102</v>
      </c>
      <c r="O51" s="349"/>
      <c r="P51" s="349"/>
      <c r="R51" s="349" t="s">
        <v>1103</v>
      </c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733"/>
      <c r="AF51" s="733"/>
      <c r="AG51" s="733"/>
      <c r="AH51"/>
      <c r="AI51" s="745"/>
      <c r="AJ51" s="745"/>
      <c r="AK51" s="745"/>
      <c r="AL51" s="745"/>
      <c r="AM51" s="745"/>
      <c r="AN51" s="745"/>
      <c r="AO51" s="745"/>
      <c r="AP51" s="745"/>
      <c r="AQ51" s="745"/>
      <c r="AR51" s="745"/>
      <c r="AS51" s="745"/>
      <c r="AT51" s="745"/>
    </row>
    <row r="52" spans="1:46" ht="12" customHeight="1" thickBot="1">
      <c r="A52" s="349" t="s">
        <v>665</v>
      </c>
      <c r="B52" s="349"/>
      <c r="C52" s="349"/>
      <c r="D52" s="349"/>
      <c r="E52" s="1979"/>
      <c r="F52" s="1979"/>
      <c r="G52" s="1979"/>
      <c r="H52" s="1979" t="s">
        <v>1104</v>
      </c>
      <c r="I52" s="1979"/>
      <c r="J52" s="1979"/>
      <c r="K52" s="1979"/>
      <c r="L52" s="349"/>
      <c r="M52" s="1979" t="s">
        <v>666</v>
      </c>
      <c r="N52" s="1979"/>
      <c r="O52" s="1979"/>
      <c r="P52" s="1979"/>
      <c r="R52" s="349" t="s">
        <v>1099</v>
      </c>
      <c r="S52" s="349"/>
      <c r="T52" s="349"/>
      <c r="U52" s="349" t="s">
        <v>1100</v>
      </c>
      <c r="V52" s="349"/>
      <c r="W52" s="349"/>
      <c r="X52" s="349"/>
      <c r="Y52" s="349"/>
      <c r="Z52" s="349" t="s">
        <v>1105</v>
      </c>
      <c r="AA52" s="349"/>
      <c r="AB52" s="349"/>
      <c r="AC52" s="349"/>
      <c r="AD52" s="349" t="s">
        <v>1102</v>
      </c>
      <c r="AE52" s="733"/>
      <c r="AF52" s="733"/>
      <c r="AG52" s="733"/>
      <c r="AH52"/>
      <c r="AI52" s="745"/>
      <c r="AJ52" s="745"/>
      <c r="AK52" s="745"/>
      <c r="AL52" s="745"/>
      <c r="AM52" s="745"/>
      <c r="AN52" s="745"/>
      <c r="AO52" s="745"/>
      <c r="AP52" s="745"/>
      <c r="AQ52" s="745"/>
      <c r="AR52" s="745"/>
      <c r="AS52" s="745"/>
      <c r="AT52" s="745"/>
    </row>
    <row r="53" spans="1:46" ht="12" customHeight="1" thickBot="1">
      <c r="A53" s="1980" t="s">
        <v>187</v>
      </c>
      <c r="B53" s="826" t="s">
        <v>667</v>
      </c>
      <c r="C53" s="1980" t="s">
        <v>1106</v>
      </c>
      <c r="D53" s="1983"/>
      <c r="E53" s="1980" t="s">
        <v>1107</v>
      </c>
      <c r="F53" s="1986" t="s">
        <v>1108</v>
      </c>
      <c r="G53" s="1986" t="s">
        <v>1109</v>
      </c>
      <c r="H53" s="827" t="s">
        <v>1110</v>
      </c>
      <c r="I53" s="828"/>
      <c r="J53" s="827" t="s">
        <v>188</v>
      </c>
      <c r="K53" s="829"/>
      <c r="L53" s="829"/>
      <c r="M53" s="829"/>
      <c r="N53" s="826" t="s">
        <v>189</v>
      </c>
      <c r="O53" s="826" t="s">
        <v>1111</v>
      </c>
      <c r="P53" s="1989" t="s">
        <v>1112</v>
      </c>
      <c r="R53" s="349" t="s">
        <v>665</v>
      </c>
      <c r="S53" s="349"/>
      <c r="T53" s="349"/>
      <c r="U53" s="349"/>
      <c r="V53" s="830"/>
      <c r="W53" s="830"/>
      <c r="X53" s="830"/>
      <c r="Y53" s="830" t="s">
        <v>1104</v>
      </c>
      <c r="Z53" s="830"/>
      <c r="AA53" s="830"/>
      <c r="AB53" s="349"/>
      <c r="AC53" s="831" t="s">
        <v>666</v>
      </c>
      <c r="AD53" s="831"/>
      <c r="AE53" s="734"/>
      <c r="AF53" s="734"/>
      <c r="AG53" s="734"/>
      <c r="AH53"/>
      <c r="AI53" s="745"/>
      <c r="AJ53" s="745"/>
      <c r="AK53" s="745"/>
      <c r="AL53" s="745"/>
      <c r="AM53" s="745"/>
      <c r="AN53" s="745"/>
      <c r="AO53" s="745"/>
      <c r="AP53" s="745"/>
      <c r="AQ53" s="745"/>
      <c r="AR53" s="745"/>
      <c r="AS53" s="745"/>
      <c r="AT53" s="745"/>
    </row>
    <row r="54" spans="1:46" ht="12" customHeight="1" thickBot="1">
      <c r="A54" s="1981"/>
      <c r="B54" s="832" t="s">
        <v>668</v>
      </c>
      <c r="C54" s="1981"/>
      <c r="D54" s="1984"/>
      <c r="E54" s="1981"/>
      <c r="F54" s="1987"/>
      <c r="G54" s="1987"/>
      <c r="H54" s="1989" t="s">
        <v>193</v>
      </c>
      <c r="I54" s="1989" t="s">
        <v>1113</v>
      </c>
      <c r="J54" s="1989" t="s">
        <v>1114</v>
      </c>
      <c r="K54" s="833" t="s">
        <v>194</v>
      </c>
      <c r="L54" s="834"/>
      <c r="M54" s="826" t="s">
        <v>669</v>
      </c>
      <c r="N54" s="832" t="s">
        <v>670</v>
      </c>
      <c r="O54" s="832" t="s">
        <v>195</v>
      </c>
      <c r="P54" s="1990"/>
      <c r="R54" s="2028" t="s">
        <v>1115</v>
      </c>
      <c r="S54" s="2029"/>
      <c r="T54" s="2029"/>
      <c r="U54" s="2029"/>
      <c r="V54" s="2029"/>
      <c r="W54" s="2029"/>
      <c r="X54" s="2030"/>
      <c r="Y54" s="2003" t="s">
        <v>1116</v>
      </c>
      <c r="Z54" s="2004"/>
      <c r="AA54" s="2004"/>
      <c r="AB54" s="2004"/>
      <c r="AC54" s="2004"/>
      <c r="AD54" s="2005"/>
      <c r="AE54" s="735"/>
      <c r="AF54" s="735"/>
      <c r="AG54" s="735"/>
      <c r="AH54"/>
      <c r="AI54" s="745"/>
      <c r="AJ54" s="745"/>
      <c r="AK54" s="745"/>
      <c r="AL54" s="745"/>
      <c r="AM54" s="745"/>
      <c r="AN54" s="745"/>
      <c r="AO54" s="745"/>
      <c r="AP54" s="745"/>
      <c r="AQ54" s="745"/>
      <c r="AR54" s="745"/>
      <c r="AS54" s="745"/>
      <c r="AT54" s="745"/>
    </row>
    <row r="55" spans="1:46" ht="12" customHeight="1" thickBot="1">
      <c r="A55" s="1982"/>
      <c r="B55" s="835" t="s">
        <v>671</v>
      </c>
      <c r="C55" s="1982"/>
      <c r="D55" s="1985"/>
      <c r="E55" s="1982"/>
      <c r="F55" s="1988"/>
      <c r="G55" s="1988"/>
      <c r="H55" s="1991"/>
      <c r="I55" s="1991"/>
      <c r="J55" s="1991"/>
      <c r="K55" s="836" t="s">
        <v>672</v>
      </c>
      <c r="L55" s="836" t="s">
        <v>673</v>
      </c>
      <c r="M55" s="835" t="s">
        <v>674</v>
      </c>
      <c r="N55" s="835" t="s">
        <v>675</v>
      </c>
      <c r="O55" s="835" t="s">
        <v>676</v>
      </c>
      <c r="P55" s="1991"/>
      <c r="R55" s="2006" t="s">
        <v>1</v>
      </c>
      <c r="S55" s="2006" t="s">
        <v>677</v>
      </c>
      <c r="T55" s="2009" t="s">
        <v>1117</v>
      </c>
      <c r="U55" s="2010"/>
      <c r="V55" s="2017" t="s">
        <v>1118</v>
      </c>
      <c r="W55" s="2017" t="s">
        <v>1119</v>
      </c>
      <c r="X55" s="2017" t="s">
        <v>1120</v>
      </c>
      <c r="Y55" s="2006" t="s">
        <v>1</v>
      </c>
      <c r="Z55" s="2006" t="s">
        <v>677</v>
      </c>
      <c r="AA55" s="2009" t="s">
        <v>1117</v>
      </c>
      <c r="AB55" s="2017" t="s">
        <v>1118</v>
      </c>
      <c r="AC55" s="2017" t="s">
        <v>1119</v>
      </c>
      <c r="AD55" s="2017" t="s">
        <v>1121</v>
      </c>
      <c r="AE55" s="735"/>
      <c r="AF55" s="735"/>
      <c r="AG55" s="735"/>
      <c r="AH55"/>
      <c r="AI55" s="745"/>
      <c r="AJ55" s="745"/>
      <c r="AK55" s="745"/>
      <c r="AL55" s="745"/>
      <c r="AM55" s="745"/>
      <c r="AN55" s="745"/>
      <c r="AO55" s="745"/>
      <c r="AP55" s="745"/>
      <c r="AQ55" s="745"/>
      <c r="AR55" s="745"/>
      <c r="AS55" s="745"/>
      <c r="AT55" s="745"/>
    </row>
    <row r="56" spans="1:46" ht="12" customHeight="1">
      <c r="A56" s="837">
        <v>1</v>
      </c>
      <c r="B56" s="838" t="s">
        <v>1122</v>
      </c>
      <c r="C56" s="839" t="s">
        <v>1123</v>
      </c>
      <c r="D56" s="840"/>
      <c r="E56" s="306" t="s">
        <v>1124</v>
      </c>
      <c r="F56" s="841">
        <v>1</v>
      </c>
      <c r="G56" s="841">
        <v>22</v>
      </c>
      <c r="H56" s="307">
        <v>100000</v>
      </c>
      <c r="I56" s="307">
        <v>84100</v>
      </c>
      <c r="J56" s="307">
        <f>K56+L56</f>
        <v>20604.5</v>
      </c>
      <c r="K56" s="307">
        <f>I56*0.15</f>
        <v>12615</v>
      </c>
      <c r="L56" s="307">
        <f>I56*0.095</f>
        <v>7989.5</v>
      </c>
      <c r="M56" s="307">
        <v>0</v>
      </c>
      <c r="N56" s="307">
        <f>I56*0.034</f>
        <v>2859.4</v>
      </c>
      <c r="O56" s="307">
        <f>H56</f>
        <v>100000</v>
      </c>
      <c r="P56" s="842">
        <f>H56*0.1</f>
        <v>10000</v>
      </c>
      <c r="R56" s="2007"/>
      <c r="S56" s="2007"/>
      <c r="T56" s="2011"/>
      <c r="U56" s="2012"/>
      <c r="V56" s="2018"/>
      <c r="W56" s="2018"/>
      <c r="X56" s="2018"/>
      <c r="Y56" s="2007"/>
      <c r="Z56" s="2007"/>
      <c r="AA56" s="2011"/>
      <c r="AB56" s="2018"/>
      <c r="AC56" s="2018"/>
      <c r="AD56" s="2018"/>
      <c r="AE56" s="735"/>
      <c r="AF56" s="735"/>
      <c r="AG56" s="735"/>
      <c r="AH56"/>
      <c r="AI56" s="745"/>
      <c r="AJ56" s="745"/>
      <c r="AK56" s="745"/>
      <c r="AL56" s="745"/>
      <c r="AM56" s="745"/>
      <c r="AN56" s="745"/>
      <c r="AO56" s="745"/>
      <c r="AP56" s="745"/>
      <c r="AQ56" s="745"/>
      <c r="AR56" s="745"/>
      <c r="AS56" s="745"/>
      <c r="AT56" s="745"/>
    </row>
    <row r="57" spans="1:46" ht="12" customHeight="1" thickBot="1">
      <c r="A57" s="843">
        <v>2</v>
      </c>
      <c r="B57" s="844" t="s">
        <v>1125</v>
      </c>
      <c r="C57" s="845" t="s">
        <v>1126</v>
      </c>
      <c r="D57" s="846"/>
      <c r="E57" s="305" t="s">
        <v>678</v>
      </c>
      <c r="F57" s="305">
        <v>1</v>
      </c>
      <c r="G57" s="305">
        <v>22</v>
      </c>
      <c r="H57" s="305">
        <v>40000</v>
      </c>
      <c r="I57" s="305">
        <f t="shared" ref="I57:I62" si="25">H57</f>
        <v>40000</v>
      </c>
      <c r="J57" s="307">
        <f t="shared" ref="J57:J63" si="26">K57+L57</f>
        <v>9800</v>
      </c>
      <c r="K57" s="307">
        <f t="shared" ref="K57:K63" si="27">I57*0.15</f>
        <v>6000</v>
      </c>
      <c r="L57" s="307">
        <f t="shared" ref="L57:L63" si="28">I57*0.095</f>
        <v>3800</v>
      </c>
      <c r="M57" s="307">
        <v>0</v>
      </c>
      <c r="N57" s="307">
        <f t="shared" ref="N57:N63" si="29">I57*0.034</f>
        <v>1360</v>
      </c>
      <c r="O57" s="307">
        <f t="shared" ref="O57:O62" si="30">H57</f>
        <v>40000</v>
      </c>
      <c r="P57" s="842">
        <v>4000</v>
      </c>
      <c r="R57" s="2008"/>
      <c r="S57" s="2008"/>
      <c r="T57" s="2013"/>
      <c r="U57" s="2014"/>
      <c r="V57" s="2019"/>
      <c r="W57" s="2019"/>
      <c r="X57" s="2019"/>
      <c r="Y57" s="2008"/>
      <c r="Z57" s="2008"/>
      <c r="AA57" s="2013"/>
      <c r="AB57" s="2019"/>
      <c r="AC57" s="2019"/>
      <c r="AD57" s="2019"/>
      <c r="AH57"/>
      <c r="AI57" s="745"/>
      <c r="AJ57" s="745"/>
      <c r="AK57" s="745"/>
      <c r="AL57" s="745"/>
      <c r="AM57" s="745"/>
      <c r="AN57" s="745"/>
      <c r="AO57" s="745"/>
      <c r="AP57" s="745"/>
      <c r="AQ57" s="745"/>
      <c r="AR57" s="745"/>
      <c r="AS57" s="745"/>
      <c r="AT57" s="745"/>
    </row>
    <row r="58" spans="1:46" ht="12" customHeight="1">
      <c r="A58" s="843">
        <v>3</v>
      </c>
      <c r="B58" s="844" t="s">
        <v>1127</v>
      </c>
      <c r="C58" s="845" t="s">
        <v>1128</v>
      </c>
      <c r="D58" s="846"/>
      <c r="E58" s="847" t="s">
        <v>679</v>
      </c>
      <c r="F58" s="305">
        <v>1</v>
      </c>
      <c r="G58" s="305">
        <v>22</v>
      </c>
      <c r="H58" s="305">
        <v>19100</v>
      </c>
      <c r="I58" s="305">
        <f t="shared" si="25"/>
        <v>19100</v>
      </c>
      <c r="J58" s="307">
        <f t="shared" si="26"/>
        <v>4679.5</v>
      </c>
      <c r="K58" s="307">
        <f t="shared" si="27"/>
        <v>2865</v>
      </c>
      <c r="L58" s="307">
        <f t="shared" si="28"/>
        <v>1814.5</v>
      </c>
      <c r="M58" s="307">
        <v>0</v>
      </c>
      <c r="N58" s="307">
        <f t="shared" si="29"/>
        <v>649.40000000000009</v>
      </c>
      <c r="O58" s="307">
        <f t="shared" si="30"/>
        <v>19100</v>
      </c>
      <c r="P58" s="842">
        <v>910</v>
      </c>
      <c r="R58" s="848">
        <v>1</v>
      </c>
      <c r="S58" s="885" t="s">
        <v>1161</v>
      </c>
      <c r="T58" s="2026"/>
      <c r="U58" s="2027"/>
      <c r="V58" s="850" t="s">
        <v>464</v>
      </c>
      <c r="W58" s="850" t="s">
        <v>680</v>
      </c>
      <c r="X58" s="851" t="s">
        <v>1162</v>
      </c>
      <c r="Y58" s="848">
        <v>1</v>
      </c>
      <c r="Z58" s="849"/>
      <c r="AA58" s="852"/>
      <c r="AB58" s="850"/>
      <c r="AC58" s="850"/>
      <c r="AD58" s="853"/>
      <c r="AH58"/>
      <c r="AI58" s="745"/>
      <c r="AJ58" s="745"/>
      <c r="AK58" s="745"/>
      <c r="AL58" s="745"/>
      <c r="AM58" s="745"/>
      <c r="AN58" s="745"/>
      <c r="AO58" s="745"/>
      <c r="AP58" s="745"/>
      <c r="AQ58" s="745"/>
      <c r="AR58" s="745"/>
      <c r="AS58" s="745"/>
      <c r="AT58" s="745"/>
    </row>
    <row r="59" spans="1:46" ht="12" customHeight="1">
      <c r="A59" s="837">
        <v>4</v>
      </c>
      <c r="B59" s="844" t="s">
        <v>1132</v>
      </c>
      <c r="C59" s="845" t="s">
        <v>1133</v>
      </c>
      <c r="D59" s="846"/>
      <c r="E59" s="847" t="s">
        <v>1134</v>
      </c>
      <c r="F59" s="305">
        <v>1</v>
      </c>
      <c r="G59" s="305">
        <v>22</v>
      </c>
      <c r="H59" s="305">
        <v>27000</v>
      </c>
      <c r="I59" s="305">
        <f t="shared" si="25"/>
        <v>27000</v>
      </c>
      <c r="J59" s="307">
        <f t="shared" si="26"/>
        <v>6615</v>
      </c>
      <c r="K59" s="307">
        <f t="shared" si="27"/>
        <v>4050</v>
      </c>
      <c r="L59" s="307">
        <f t="shared" si="28"/>
        <v>2565</v>
      </c>
      <c r="M59" s="307">
        <v>0</v>
      </c>
      <c r="N59" s="307">
        <f t="shared" si="29"/>
        <v>918.00000000000011</v>
      </c>
      <c r="O59" s="307">
        <f t="shared" si="30"/>
        <v>27000</v>
      </c>
      <c r="P59" s="842">
        <v>1700</v>
      </c>
      <c r="R59" s="746">
        <v>2</v>
      </c>
      <c r="S59" s="849"/>
      <c r="T59" s="1998"/>
      <c r="U59" s="1998"/>
      <c r="V59" s="850"/>
      <c r="W59" s="850"/>
      <c r="X59" s="851"/>
      <c r="Y59" s="746">
        <v>2</v>
      </c>
      <c r="Z59" s="849"/>
      <c r="AA59" s="852"/>
      <c r="AB59" s="850"/>
      <c r="AC59" s="850"/>
      <c r="AD59" s="853"/>
      <c r="AH59"/>
      <c r="AI59" s="745"/>
      <c r="AJ59" s="745"/>
      <c r="AK59" s="745"/>
      <c r="AL59" s="745"/>
      <c r="AM59" s="745"/>
      <c r="AN59" s="745"/>
      <c r="AO59" s="745"/>
      <c r="AP59" s="745"/>
      <c r="AQ59" s="745"/>
      <c r="AR59" s="745"/>
      <c r="AS59" s="745"/>
      <c r="AT59" s="745"/>
    </row>
    <row r="60" spans="1:46" ht="12" customHeight="1">
      <c r="A60" s="843">
        <v>5</v>
      </c>
      <c r="B60" s="844"/>
      <c r="C60" s="845" t="s">
        <v>1137</v>
      </c>
      <c r="D60" s="846"/>
      <c r="E60" s="847" t="s">
        <v>679</v>
      </c>
      <c r="F60" s="305">
        <v>1</v>
      </c>
      <c r="G60" s="305">
        <v>22</v>
      </c>
      <c r="H60" s="305">
        <v>19100</v>
      </c>
      <c r="I60" s="305">
        <f t="shared" si="25"/>
        <v>19100</v>
      </c>
      <c r="J60" s="307">
        <f t="shared" si="26"/>
        <v>4679.5</v>
      </c>
      <c r="K60" s="307">
        <f t="shared" si="27"/>
        <v>2865</v>
      </c>
      <c r="L60" s="307">
        <f t="shared" si="28"/>
        <v>1814.5</v>
      </c>
      <c r="M60" s="307">
        <v>0</v>
      </c>
      <c r="N60" s="307">
        <f t="shared" si="29"/>
        <v>649.40000000000009</v>
      </c>
      <c r="O60" s="307">
        <f t="shared" si="30"/>
        <v>19100</v>
      </c>
      <c r="P60" s="842">
        <v>910</v>
      </c>
      <c r="R60" s="746">
        <v>3</v>
      </c>
      <c r="S60" s="849"/>
      <c r="T60" s="1998"/>
      <c r="U60" s="1998"/>
      <c r="V60" s="850"/>
      <c r="W60" s="850"/>
      <c r="X60" s="851"/>
      <c r="Y60" s="746">
        <v>3</v>
      </c>
      <c r="Z60" s="854"/>
      <c r="AA60" s="852"/>
      <c r="AB60" s="850"/>
      <c r="AC60" s="850"/>
      <c r="AD60" s="853"/>
      <c r="AH60"/>
      <c r="AI60" s="745"/>
      <c r="AJ60" s="745"/>
      <c r="AK60" s="745"/>
      <c r="AL60" s="745"/>
      <c r="AM60" s="745"/>
      <c r="AN60" s="745"/>
      <c r="AO60" s="745"/>
      <c r="AP60" s="745"/>
      <c r="AQ60" s="745"/>
      <c r="AR60" s="745"/>
      <c r="AS60" s="745"/>
      <c r="AT60" s="745"/>
    </row>
    <row r="61" spans="1:46" ht="12" customHeight="1">
      <c r="A61" s="843">
        <v>6</v>
      </c>
      <c r="B61" s="844"/>
      <c r="C61" s="845" t="s">
        <v>1139</v>
      </c>
      <c r="D61" s="846"/>
      <c r="E61" s="305" t="s">
        <v>679</v>
      </c>
      <c r="F61" s="305">
        <v>1</v>
      </c>
      <c r="G61" s="305">
        <v>22</v>
      </c>
      <c r="H61" s="305">
        <v>19100</v>
      </c>
      <c r="I61" s="305">
        <f t="shared" si="25"/>
        <v>19100</v>
      </c>
      <c r="J61" s="307">
        <f t="shared" si="26"/>
        <v>4679.5</v>
      </c>
      <c r="K61" s="307">
        <f t="shared" si="27"/>
        <v>2865</v>
      </c>
      <c r="L61" s="307">
        <f t="shared" si="28"/>
        <v>1814.5</v>
      </c>
      <c r="M61" s="307">
        <v>0</v>
      </c>
      <c r="N61" s="307">
        <f t="shared" si="29"/>
        <v>649.40000000000009</v>
      </c>
      <c r="O61" s="307">
        <f t="shared" si="30"/>
        <v>19100</v>
      </c>
      <c r="P61" s="742">
        <v>910</v>
      </c>
      <c r="R61" s="848">
        <v>4</v>
      </c>
      <c r="S61" s="849"/>
      <c r="T61" s="1998"/>
      <c r="U61" s="1998"/>
      <c r="V61" s="850"/>
      <c r="W61" s="850"/>
      <c r="X61" s="851"/>
      <c r="Y61" s="848">
        <v>4</v>
      </c>
      <c r="Z61" s="854"/>
      <c r="AA61" s="852"/>
      <c r="AB61" s="850"/>
      <c r="AC61" s="850"/>
      <c r="AD61" s="853"/>
      <c r="AH61"/>
      <c r="AI61" s="745"/>
      <c r="AJ61" s="745"/>
      <c r="AK61" s="745"/>
      <c r="AL61" s="745"/>
      <c r="AM61" s="745"/>
      <c r="AN61" s="745"/>
      <c r="AO61" s="745"/>
      <c r="AP61" s="745"/>
      <c r="AQ61" s="745"/>
      <c r="AR61" s="745"/>
      <c r="AS61" s="745"/>
      <c r="AT61" s="745"/>
    </row>
    <row r="62" spans="1:46" ht="12" customHeight="1">
      <c r="A62" s="837">
        <v>7</v>
      </c>
      <c r="B62" s="844"/>
      <c r="C62" s="845" t="s">
        <v>1141</v>
      </c>
      <c r="D62" s="846"/>
      <c r="E62" s="847" t="s">
        <v>1142</v>
      </c>
      <c r="F62" s="305">
        <v>1</v>
      </c>
      <c r="G62" s="305">
        <v>22</v>
      </c>
      <c r="H62" s="305">
        <v>35000</v>
      </c>
      <c r="I62" s="305">
        <f t="shared" si="25"/>
        <v>35000</v>
      </c>
      <c r="J62" s="307">
        <f t="shared" si="26"/>
        <v>8575</v>
      </c>
      <c r="K62" s="307">
        <f t="shared" si="27"/>
        <v>5250</v>
      </c>
      <c r="L62" s="307">
        <f t="shared" si="28"/>
        <v>3325</v>
      </c>
      <c r="M62" s="307">
        <v>0</v>
      </c>
      <c r="N62" s="307">
        <f t="shared" si="29"/>
        <v>1190</v>
      </c>
      <c r="O62" s="307">
        <f t="shared" si="30"/>
        <v>35000</v>
      </c>
      <c r="P62" s="742">
        <v>3500</v>
      </c>
      <c r="R62" s="848">
        <v>5</v>
      </c>
      <c r="S62" s="849"/>
      <c r="T62" s="1998"/>
      <c r="U62" s="1998"/>
      <c r="V62" s="850"/>
      <c r="W62" s="850"/>
      <c r="X62" s="851"/>
      <c r="Y62" s="848">
        <v>5</v>
      </c>
      <c r="Z62" s="845"/>
      <c r="AA62" s="855"/>
      <c r="AB62" s="850"/>
      <c r="AC62" s="850"/>
      <c r="AD62" s="853"/>
      <c r="AH62"/>
      <c r="AI62" s="745"/>
      <c r="AJ62" s="745"/>
      <c r="AK62" s="745"/>
      <c r="AL62" s="745"/>
      <c r="AM62" s="745"/>
      <c r="AN62" s="745"/>
      <c r="AO62" s="745"/>
      <c r="AP62" s="745"/>
      <c r="AQ62" s="745"/>
      <c r="AR62" s="745"/>
      <c r="AS62" s="745"/>
      <c r="AT62" s="745"/>
    </row>
    <row r="63" spans="1:46" ht="12" customHeight="1">
      <c r="A63" s="843">
        <v>8</v>
      </c>
      <c r="B63" s="844" t="s">
        <v>1144</v>
      </c>
      <c r="C63" s="845" t="s">
        <v>1145</v>
      </c>
      <c r="D63" s="846"/>
      <c r="E63" s="847" t="s">
        <v>679</v>
      </c>
      <c r="F63" s="305">
        <v>1</v>
      </c>
      <c r="G63" s="305">
        <v>22</v>
      </c>
      <c r="H63" s="305">
        <v>19100</v>
      </c>
      <c r="I63" s="305">
        <f>H63</f>
        <v>19100</v>
      </c>
      <c r="J63" s="307">
        <f t="shared" si="26"/>
        <v>4679.5</v>
      </c>
      <c r="K63" s="307">
        <f t="shared" si="27"/>
        <v>2865</v>
      </c>
      <c r="L63" s="307">
        <f t="shared" si="28"/>
        <v>1814.5</v>
      </c>
      <c r="M63" s="307">
        <v>0</v>
      </c>
      <c r="N63" s="307">
        <f t="shared" si="29"/>
        <v>649.40000000000009</v>
      </c>
      <c r="O63" s="307">
        <f>H63</f>
        <v>19100</v>
      </c>
      <c r="P63" s="842">
        <v>910</v>
      </c>
      <c r="R63" s="746">
        <v>6</v>
      </c>
      <c r="S63" s="849"/>
      <c r="T63" s="1998"/>
      <c r="U63" s="1998"/>
      <c r="V63" s="850"/>
      <c r="W63" s="850"/>
      <c r="X63" s="851"/>
      <c r="Y63" s="746">
        <v>6</v>
      </c>
      <c r="Z63" s="845"/>
      <c r="AA63" s="855"/>
      <c r="AB63" s="850"/>
      <c r="AC63" s="850"/>
      <c r="AD63" s="853"/>
      <c r="AH63"/>
      <c r="AI63" s="745"/>
      <c r="AJ63" s="745"/>
      <c r="AK63" s="745"/>
      <c r="AL63" s="745"/>
      <c r="AM63" s="745"/>
      <c r="AN63" s="745"/>
      <c r="AO63" s="745"/>
      <c r="AP63" s="745"/>
      <c r="AQ63" s="745"/>
      <c r="AR63" s="745"/>
      <c r="AS63" s="745"/>
      <c r="AT63" s="745"/>
    </row>
    <row r="64" spans="1:46" ht="12" customHeight="1">
      <c r="A64" s="843">
        <v>9</v>
      </c>
      <c r="B64" s="844"/>
      <c r="C64" s="849" t="s">
        <v>1135</v>
      </c>
      <c r="D64" s="849"/>
      <c r="E64" s="847" t="s">
        <v>679</v>
      </c>
      <c r="F64" s="305">
        <v>1</v>
      </c>
      <c r="G64" s="305">
        <v>22</v>
      </c>
      <c r="H64" s="305">
        <v>19100</v>
      </c>
      <c r="I64" s="305">
        <f>H64</f>
        <v>19100</v>
      </c>
      <c r="J64" s="307">
        <f>K64+L64</f>
        <v>4679.5</v>
      </c>
      <c r="K64" s="307">
        <f>I64*0.15</f>
        <v>2865</v>
      </c>
      <c r="L64" s="307">
        <f>I64*0.095</f>
        <v>1814.5</v>
      </c>
      <c r="M64" s="307">
        <v>0</v>
      </c>
      <c r="N64" s="307">
        <f>I64*0.034</f>
        <v>649.40000000000009</v>
      </c>
      <c r="O64" s="307">
        <f>H64</f>
        <v>19100</v>
      </c>
      <c r="P64" s="842">
        <v>910</v>
      </c>
      <c r="R64" s="746">
        <v>7</v>
      </c>
      <c r="S64" s="849"/>
      <c r="T64" s="1998"/>
      <c r="U64" s="1998"/>
      <c r="V64" s="850"/>
      <c r="W64" s="850"/>
      <c r="X64" s="851"/>
      <c r="Y64" s="746">
        <v>7</v>
      </c>
      <c r="Z64" s="845"/>
      <c r="AA64" s="855"/>
      <c r="AB64" s="850"/>
      <c r="AC64" s="850"/>
      <c r="AD64" s="853"/>
      <c r="AH64"/>
      <c r="AI64"/>
      <c r="AJ64"/>
      <c r="AK64"/>
      <c r="AL64"/>
      <c r="AM64"/>
      <c r="AN64"/>
      <c r="AO64"/>
      <c r="AP64"/>
      <c r="AQ64"/>
      <c r="AR64"/>
    </row>
    <row r="65" spans="1:44" ht="12" customHeight="1">
      <c r="A65" s="837">
        <v>10</v>
      </c>
      <c r="B65" s="73"/>
      <c r="C65" s="1966" t="s">
        <v>1156</v>
      </c>
      <c r="D65" s="1967"/>
      <c r="E65" s="847" t="s">
        <v>679</v>
      </c>
      <c r="F65" s="305">
        <v>1</v>
      </c>
      <c r="G65" s="305">
        <v>22</v>
      </c>
      <c r="H65" s="305">
        <v>19100</v>
      </c>
      <c r="I65" s="305">
        <f>H65</f>
        <v>19100</v>
      </c>
      <c r="J65" s="307">
        <f>K65+L65</f>
        <v>4679.5</v>
      </c>
      <c r="K65" s="307">
        <f>I65*0.15</f>
        <v>2865</v>
      </c>
      <c r="L65" s="307">
        <f>I65*0.095</f>
        <v>1814.5</v>
      </c>
      <c r="M65" s="307">
        <v>0</v>
      </c>
      <c r="N65" s="307">
        <f>I65*0.034</f>
        <v>649.40000000000009</v>
      </c>
      <c r="O65" s="307">
        <f>H65</f>
        <v>19100</v>
      </c>
      <c r="P65" s="842">
        <v>910</v>
      </c>
      <c r="R65" s="848">
        <v>8</v>
      </c>
      <c r="S65" s="849"/>
      <c r="T65" s="1998"/>
      <c r="U65" s="1998"/>
      <c r="V65" s="850"/>
      <c r="W65" s="850"/>
      <c r="X65" s="851"/>
      <c r="Y65" s="848">
        <v>8</v>
      </c>
      <c r="Z65" s="849"/>
      <c r="AA65" s="855"/>
      <c r="AB65" s="84"/>
      <c r="AC65" s="84"/>
      <c r="AD65" s="111"/>
      <c r="AH65"/>
      <c r="AI65"/>
      <c r="AJ65"/>
      <c r="AK65"/>
      <c r="AL65"/>
      <c r="AM65"/>
      <c r="AN65"/>
      <c r="AO65"/>
      <c r="AP65"/>
      <c r="AQ65"/>
      <c r="AR65"/>
    </row>
    <row r="66" spans="1:44" ht="12" customHeight="1">
      <c r="A66" s="843">
        <v>11</v>
      </c>
      <c r="B66" s="73"/>
      <c r="C66" s="1966"/>
      <c r="D66" s="1967"/>
      <c r="E66" s="847"/>
      <c r="F66" s="305"/>
      <c r="G66" s="305"/>
      <c r="H66" s="305"/>
      <c r="I66" s="305"/>
      <c r="J66" s="307"/>
      <c r="K66" s="307"/>
      <c r="L66" s="307"/>
      <c r="M66" s="307"/>
      <c r="N66" s="307"/>
      <c r="O66" s="307"/>
      <c r="P66" s="842"/>
      <c r="R66" s="848">
        <v>9</v>
      </c>
      <c r="S66" s="849"/>
      <c r="T66" s="1998"/>
      <c r="U66" s="1998"/>
      <c r="V66" s="850"/>
      <c r="W66" s="850"/>
      <c r="X66" s="851"/>
      <c r="Y66" s="848">
        <v>9</v>
      </c>
      <c r="Z66" s="849"/>
      <c r="AA66" s="855"/>
      <c r="AB66" s="84"/>
      <c r="AC66" s="84"/>
      <c r="AD66" s="111"/>
      <c r="AH66"/>
      <c r="AI66"/>
      <c r="AJ66"/>
      <c r="AK66"/>
      <c r="AL66"/>
      <c r="AM66"/>
      <c r="AN66"/>
      <c r="AO66"/>
      <c r="AP66"/>
      <c r="AQ66"/>
      <c r="AR66"/>
    </row>
    <row r="67" spans="1:44" ht="12" customHeight="1">
      <c r="A67" s="843">
        <v>12</v>
      </c>
      <c r="B67" s="73"/>
      <c r="C67" s="1966"/>
      <c r="D67" s="1967"/>
      <c r="E67" s="847"/>
      <c r="F67" s="305"/>
      <c r="G67" s="305"/>
      <c r="H67" s="305"/>
      <c r="I67" s="305"/>
      <c r="J67" s="307"/>
      <c r="K67" s="307"/>
      <c r="L67" s="307"/>
      <c r="M67" s="307"/>
      <c r="N67" s="307"/>
      <c r="O67" s="307"/>
      <c r="P67" s="842"/>
      <c r="R67" s="746">
        <v>10</v>
      </c>
      <c r="S67" s="849"/>
      <c r="T67" s="1998"/>
      <c r="U67" s="1998"/>
      <c r="V67" s="850"/>
      <c r="W67" s="850"/>
      <c r="X67" s="851"/>
      <c r="Y67" s="746">
        <v>10</v>
      </c>
      <c r="Z67" s="849"/>
      <c r="AA67" s="855"/>
      <c r="AB67" s="84"/>
      <c r="AC67" s="84"/>
      <c r="AD67" s="111"/>
      <c r="AH67"/>
      <c r="AI67"/>
      <c r="AJ67"/>
      <c r="AK67"/>
      <c r="AL67"/>
      <c r="AM67"/>
      <c r="AN67"/>
      <c r="AO67"/>
      <c r="AP67"/>
      <c r="AQ67"/>
      <c r="AR67"/>
    </row>
    <row r="68" spans="1:44" ht="12" customHeight="1">
      <c r="A68" s="837">
        <v>13</v>
      </c>
      <c r="B68" s="73"/>
      <c r="C68" s="1966"/>
      <c r="D68" s="1967"/>
      <c r="E68" s="847"/>
      <c r="F68" s="305"/>
      <c r="G68" s="305"/>
      <c r="H68" s="305"/>
      <c r="I68" s="305"/>
      <c r="J68" s="307"/>
      <c r="K68" s="307"/>
      <c r="L68" s="307"/>
      <c r="M68" s="307"/>
      <c r="N68" s="307"/>
      <c r="O68" s="307"/>
      <c r="P68" s="842"/>
      <c r="R68" s="746">
        <v>11</v>
      </c>
      <c r="S68" s="849"/>
      <c r="T68" s="1998"/>
      <c r="U68" s="1998"/>
      <c r="V68" s="850"/>
      <c r="W68" s="850"/>
      <c r="X68" s="851"/>
      <c r="Y68" s="746">
        <v>11</v>
      </c>
      <c r="Z68" s="85"/>
      <c r="AA68" s="855"/>
      <c r="AB68" s="84"/>
      <c r="AC68" s="84"/>
      <c r="AD68" s="111"/>
      <c r="AH68"/>
      <c r="AI68"/>
      <c r="AJ68"/>
      <c r="AK68"/>
      <c r="AL68"/>
      <c r="AM68"/>
      <c r="AN68"/>
      <c r="AO68"/>
      <c r="AP68"/>
      <c r="AQ68"/>
      <c r="AR68"/>
    </row>
    <row r="69" spans="1:44" ht="12" customHeight="1">
      <c r="A69" s="843">
        <v>14</v>
      </c>
      <c r="B69" s="73"/>
      <c r="C69" s="1966"/>
      <c r="D69" s="1967"/>
      <c r="E69" s="847"/>
      <c r="F69" s="305"/>
      <c r="G69" s="305"/>
      <c r="H69" s="305"/>
      <c r="I69" s="305"/>
      <c r="J69" s="307"/>
      <c r="K69" s="307"/>
      <c r="L69" s="307"/>
      <c r="M69" s="307"/>
      <c r="N69" s="307"/>
      <c r="O69" s="307"/>
      <c r="P69" s="842"/>
      <c r="R69" s="848">
        <v>12</v>
      </c>
      <c r="S69" s="849"/>
      <c r="T69" s="1998"/>
      <c r="U69" s="1998"/>
      <c r="V69" s="850"/>
      <c r="W69" s="850"/>
      <c r="X69" s="851"/>
      <c r="Y69" s="848">
        <v>12</v>
      </c>
      <c r="Z69" s="85"/>
      <c r="AA69" s="855"/>
      <c r="AB69" s="84"/>
      <c r="AC69" s="84"/>
      <c r="AD69" s="111"/>
      <c r="AH69"/>
      <c r="AI69"/>
      <c r="AJ69"/>
      <c r="AK69"/>
      <c r="AL69"/>
      <c r="AM69"/>
      <c r="AN69"/>
      <c r="AO69"/>
      <c r="AP69"/>
      <c r="AQ69"/>
      <c r="AR69"/>
    </row>
    <row r="70" spans="1:44" ht="12" customHeight="1">
      <c r="A70" s="843">
        <v>15</v>
      </c>
      <c r="B70" s="73"/>
      <c r="C70" s="1966"/>
      <c r="D70" s="1967"/>
      <c r="E70" s="847"/>
      <c r="F70" s="305"/>
      <c r="G70" s="305"/>
      <c r="H70" s="305"/>
      <c r="I70" s="305"/>
      <c r="J70" s="307"/>
      <c r="K70" s="307"/>
      <c r="L70" s="307"/>
      <c r="M70" s="307"/>
      <c r="N70" s="307"/>
      <c r="O70" s="307"/>
      <c r="P70" s="842"/>
      <c r="R70" s="848">
        <v>13</v>
      </c>
      <c r="S70" s="84"/>
      <c r="T70" s="1998"/>
      <c r="U70" s="1998"/>
      <c r="V70" s="850"/>
      <c r="W70" s="850"/>
      <c r="X70" s="851"/>
      <c r="Y70" s="848">
        <v>13</v>
      </c>
      <c r="Z70" s="85"/>
      <c r="AA70" s="855"/>
      <c r="AB70" s="84"/>
      <c r="AC70" s="84"/>
      <c r="AD70" s="111"/>
      <c r="AH70"/>
      <c r="AI70"/>
      <c r="AJ70"/>
      <c r="AK70"/>
      <c r="AL70"/>
      <c r="AM70"/>
      <c r="AN70"/>
      <c r="AO70"/>
      <c r="AP70"/>
      <c r="AQ70"/>
      <c r="AR70"/>
    </row>
    <row r="71" spans="1:44" ht="12" customHeight="1">
      <c r="A71" s="837">
        <v>16</v>
      </c>
      <c r="B71" s="73"/>
      <c r="C71" s="1966"/>
      <c r="D71" s="1967"/>
      <c r="E71" s="847"/>
      <c r="F71" s="305"/>
      <c r="G71" s="305"/>
      <c r="H71" s="305"/>
      <c r="I71" s="305"/>
      <c r="J71" s="307"/>
      <c r="K71" s="307"/>
      <c r="L71" s="307"/>
      <c r="M71" s="307"/>
      <c r="N71" s="307"/>
      <c r="O71" s="307"/>
      <c r="P71" s="842"/>
      <c r="R71" s="746">
        <v>14</v>
      </c>
      <c r="S71" s="84"/>
      <c r="T71" s="1998"/>
      <c r="U71" s="1998"/>
      <c r="V71" s="84"/>
      <c r="W71" s="84"/>
      <c r="X71" s="84"/>
      <c r="Y71" s="746">
        <v>14</v>
      </c>
      <c r="Z71" s="84"/>
      <c r="AA71" s="855"/>
      <c r="AB71" s="84"/>
      <c r="AC71" s="84"/>
      <c r="AD71" s="111"/>
      <c r="AH71"/>
      <c r="AI71"/>
      <c r="AJ71"/>
      <c r="AK71"/>
      <c r="AL71"/>
      <c r="AM71"/>
      <c r="AN71"/>
      <c r="AO71"/>
      <c r="AP71"/>
      <c r="AQ71"/>
      <c r="AR71"/>
    </row>
    <row r="72" spans="1:44" ht="12" customHeight="1">
      <c r="A72" s="843">
        <v>17</v>
      </c>
      <c r="B72" s="73"/>
      <c r="C72" s="1966"/>
      <c r="D72" s="1967"/>
      <c r="E72" s="847"/>
      <c r="F72" s="305"/>
      <c r="G72" s="305"/>
      <c r="H72" s="305"/>
      <c r="I72" s="305"/>
      <c r="J72" s="307"/>
      <c r="K72" s="307"/>
      <c r="L72" s="307"/>
      <c r="M72" s="307"/>
      <c r="N72" s="307"/>
      <c r="O72" s="307"/>
      <c r="P72" s="842"/>
      <c r="R72" s="746">
        <v>15</v>
      </c>
      <c r="S72" s="84"/>
      <c r="T72" s="1998"/>
      <c r="U72" s="1998"/>
      <c r="V72" s="84"/>
      <c r="W72" s="84"/>
      <c r="X72" s="84"/>
      <c r="Y72" s="746">
        <v>15</v>
      </c>
      <c r="Z72" s="84"/>
      <c r="AA72" s="855"/>
      <c r="AB72" s="84"/>
      <c r="AC72" s="84"/>
      <c r="AD72" s="111"/>
      <c r="AH72"/>
      <c r="AI72"/>
      <c r="AJ72"/>
      <c r="AK72"/>
      <c r="AL72"/>
      <c r="AM72"/>
      <c r="AN72"/>
      <c r="AO72"/>
      <c r="AP72"/>
      <c r="AQ72"/>
      <c r="AR72"/>
    </row>
    <row r="73" spans="1:44" ht="12" customHeight="1">
      <c r="A73" s="843">
        <v>18</v>
      </c>
      <c r="B73" s="73"/>
      <c r="C73" s="1966"/>
      <c r="D73" s="1967"/>
      <c r="E73" s="847"/>
      <c r="F73" s="305"/>
      <c r="G73" s="305"/>
      <c r="H73" s="305"/>
      <c r="I73" s="305"/>
      <c r="J73" s="307"/>
      <c r="K73" s="307"/>
      <c r="L73" s="307"/>
      <c r="M73" s="307"/>
      <c r="N73" s="307"/>
      <c r="O73" s="307"/>
      <c r="P73" s="842"/>
      <c r="R73" s="848">
        <v>16</v>
      </c>
      <c r="S73" s="84"/>
      <c r="T73" s="1998"/>
      <c r="U73" s="1998"/>
      <c r="V73" s="84"/>
      <c r="W73" s="84"/>
      <c r="X73" s="84"/>
      <c r="Y73" s="848">
        <v>16</v>
      </c>
      <c r="Z73" s="84"/>
      <c r="AA73" s="855"/>
      <c r="AB73" s="84"/>
      <c r="AC73" s="84"/>
      <c r="AD73" s="111"/>
      <c r="AH73"/>
      <c r="AI73"/>
      <c r="AJ73"/>
      <c r="AK73"/>
      <c r="AL73"/>
      <c r="AM73"/>
      <c r="AN73"/>
      <c r="AO73"/>
      <c r="AP73"/>
      <c r="AQ73"/>
      <c r="AR73"/>
    </row>
    <row r="74" spans="1:44" ht="12" customHeight="1">
      <c r="A74" s="837">
        <v>19</v>
      </c>
      <c r="B74" s="73"/>
      <c r="C74" s="1966"/>
      <c r="D74" s="1967"/>
      <c r="E74" s="847"/>
      <c r="F74" s="305"/>
      <c r="G74" s="305"/>
      <c r="H74" s="305"/>
      <c r="I74" s="305"/>
      <c r="J74" s="307"/>
      <c r="K74" s="307"/>
      <c r="L74" s="307"/>
      <c r="M74" s="307"/>
      <c r="N74" s="307"/>
      <c r="O74" s="307"/>
      <c r="P74" s="842"/>
      <c r="R74" s="848">
        <v>17</v>
      </c>
      <c r="S74" s="84"/>
      <c r="T74" s="1998"/>
      <c r="U74" s="1998"/>
      <c r="V74" s="84"/>
      <c r="W74" s="84"/>
      <c r="X74" s="84"/>
      <c r="Y74" s="848">
        <v>17</v>
      </c>
      <c r="Z74" s="84"/>
      <c r="AA74" s="855"/>
      <c r="AB74" s="84"/>
      <c r="AC74" s="84"/>
      <c r="AD74" s="111"/>
      <c r="AH74"/>
      <c r="AI74"/>
      <c r="AJ74"/>
      <c r="AK74"/>
      <c r="AL74"/>
      <c r="AM74"/>
      <c r="AN74"/>
      <c r="AO74"/>
      <c r="AP74"/>
      <c r="AQ74"/>
      <c r="AR74"/>
    </row>
    <row r="75" spans="1:44" ht="12" customHeight="1">
      <c r="A75" s="843">
        <v>20</v>
      </c>
      <c r="B75" s="73"/>
      <c r="C75" s="1966"/>
      <c r="D75" s="1967"/>
      <c r="E75" s="847"/>
      <c r="F75" s="305"/>
      <c r="G75" s="305"/>
      <c r="H75" s="305"/>
      <c r="I75" s="305"/>
      <c r="J75" s="307"/>
      <c r="K75" s="307"/>
      <c r="L75" s="307"/>
      <c r="M75" s="307"/>
      <c r="N75" s="307"/>
      <c r="O75" s="307"/>
      <c r="P75" s="842"/>
      <c r="R75" s="746">
        <v>18</v>
      </c>
      <c r="S75" s="84"/>
      <c r="T75" s="1998"/>
      <c r="U75" s="1998"/>
      <c r="V75" s="84"/>
      <c r="W75" s="84"/>
      <c r="X75" s="84"/>
      <c r="Y75" s="746">
        <v>18</v>
      </c>
      <c r="Z75" s="84"/>
      <c r="AA75" s="855"/>
      <c r="AB75" s="84"/>
      <c r="AC75" s="84"/>
      <c r="AD75" s="111"/>
      <c r="AE75" s="2"/>
      <c r="AF75" s="2"/>
      <c r="AG75" s="2"/>
      <c r="AH75"/>
      <c r="AI75"/>
      <c r="AJ75"/>
      <c r="AK75"/>
      <c r="AL75"/>
      <c r="AM75"/>
      <c r="AN75"/>
      <c r="AO75"/>
      <c r="AP75"/>
      <c r="AQ75"/>
      <c r="AR75"/>
    </row>
    <row r="76" spans="1:44" ht="12" customHeight="1" thickBot="1">
      <c r="A76" s="843">
        <v>21</v>
      </c>
      <c r="B76" s="73"/>
      <c r="C76" s="1966"/>
      <c r="D76" s="1967"/>
      <c r="E76" s="847"/>
      <c r="F76" s="305"/>
      <c r="G76" s="305"/>
      <c r="H76" s="305"/>
      <c r="I76" s="305"/>
      <c r="J76" s="307"/>
      <c r="K76" s="307"/>
      <c r="L76" s="307"/>
      <c r="M76" s="307"/>
      <c r="N76" s="307"/>
      <c r="O76" s="307"/>
      <c r="P76" s="842"/>
      <c r="R76" s="858">
        <v>19</v>
      </c>
      <c r="S76" s="269"/>
      <c r="T76" s="1999"/>
      <c r="U76" s="1999"/>
      <c r="V76" s="269"/>
      <c r="W76" s="269"/>
      <c r="X76" s="269"/>
      <c r="Y76" s="858">
        <v>19</v>
      </c>
      <c r="Z76" s="269"/>
      <c r="AA76" s="859"/>
      <c r="AB76" s="269"/>
      <c r="AC76" s="269"/>
      <c r="AD76" s="743"/>
      <c r="AE76" s="2"/>
      <c r="AF76" s="2"/>
      <c r="AG76" s="2"/>
      <c r="AH76"/>
      <c r="AI76"/>
      <c r="AJ76"/>
      <c r="AK76"/>
      <c r="AL76"/>
      <c r="AM76"/>
      <c r="AN76"/>
      <c r="AO76"/>
      <c r="AP76"/>
      <c r="AQ76"/>
      <c r="AR76"/>
    </row>
    <row r="77" spans="1:44" ht="12" customHeight="1" thickBot="1">
      <c r="A77" s="837">
        <v>22</v>
      </c>
      <c r="B77" s="73"/>
      <c r="C77" s="1966"/>
      <c r="D77" s="1967"/>
      <c r="E77" s="847"/>
      <c r="F77" s="305"/>
      <c r="G77" s="305"/>
      <c r="H77" s="305"/>
      <c r="I77" s="305"/>
      <c r="J77" s="307"/>
      <c r="K77" s="307"/>
      <c r="L77" s="307"/>
      <c r="M77" s="307"/>
      <c r="N77" s="307"/>
      <c r="O77" s="307"/>
      <c r="P77" s="842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2"/>
      <c r="AF77" s="2"/>
      <c r="AG77" s="2"/>
      <c r="AH77"/>
      <c r="AI77"/>
      <c r="AJ77"/>
      <c r="AK77"/>
      <c r="AL77"/>
      <c r="AM77"/>
      <c r="AN77"/>
      <c r="AO77"/>
      <c r="AP77"/>
      <c r="AQ77"/>
      <c r="AR77"/>
    </row>
    <row r="78" spans="1:44" ht="12" customHeight="1">
      <c r="A78" s="843">
        <v>23</v>
      </c>
      <c r="B78" s="73"/>
      <c r="C78" s="1966"/>
      <c r="D78" s="1967"/>
      <c r="E78" s="847"/>
      <c r="F78" s="305"/>
      <c r="G78" s="305"/>
      <c r="H78" s="305"/>
      <c r="I78" s="305"/>
      <c r="J78" s="307"/>
      <c r="K78" s="307"/>
      <c r="L78" s="307"/>
      <c r="M78" s="307"/>
      <c r="N78" s="307"/>
      <c r="O78" s="307"/>
      <c r="P78" s="842"/>
      <c r="R78" s="860" t="s">
        <v>681</v>
      </c>
      <c r="S78" s="775"/>
      <c r="T78" s="775"/>
      <c r="U78" s="775"/>
      <c r="V78" s="775"/>
      <c r="W78" s="775"/>
      <c r="X78" s="776"/>
      <c r="Y78" s="351" t="s">
        <v>682</v>
      </c>
      <c r="Z78" s="352"/>
      <c r="AA78" s="352"/>
      <c r="AB78" s="352"/>
      <c r="AC78" s="352"/>
      <c r="AD78" s="353"/>
      <c r="AE78" s="2"/>
      <c r="AF78" s="2"/>
      <c r="AG78" s="2"/>
      <c r="AH78"/>
      <c r="AI78"/>
      <c r="AJ78"/>
      <c r="AK78"/>
      <c r="AL78"/>
      <c r="AM78"/>
      <c r="AN78"/>
      <c r="AO78"/>
      <c r="AP78"/>
      <c r="AQ78"/>
      <c r="AR78"/>
    </row>
    <row r="79" spans="1:44" ht="12" customHeight="1" thickBot="1">
      <c r="A79" s="843">
        <v>24</v>
      </c>
      <c r="B79" s="73"/>
      <c r="C79" s="1968"/>
      <c r="D79" s="1969"/>
      <c r="E79" s="305"/>
      <c r="F79" s="305"/>
      <c r="G79" s="305"/>
      <c r="H79" s="305"/>
      <c r="I79" s="305"/>
      <c r="J79" s="307"/>
      <c r="K79" s="307"/>
      <c r="L79" s="307"/>
      <c r="M79" s="307"/>
      <c r="N79" s="307"/>
      <c r="O79" s="305"/>
      <c r="P79" s="742"/>
      <c r="R79" s="772" t="s">
        <v>683</v>
      </c>
      <c r="S79" s="773"/>
      <c r="T79" s="773"/>
      <c r="U79" s="773"/>
      <c r="V79" s="773"/>
      <c r="W79" s="773"/>
      <c r="X79" s="774"/>
      <c r="Y79" s="354" t="s">
        <v>684</v>
      </c>
      <c r="Z79" s="90"/>
      <c r="AA79" s="90"/>
      <c r="AB79" s="90"/>
      <c r="AC79" s="90"/>
      <c r="AD79" s="355"/>
      <c r="AE79" s="2"/>
      <c r="AF79" s="2"/>
      <c r="AG79" s="2"/>
      <c r="AH79"/>
      <c r="AI79"/>
      <c r="AJ79"/>
      <c r="AK79"/>
      <c r="AL79"/>
      <c r="AM79"/>
      <c r="AN79"/>
      <c r="AO79"/>
      <c r="AP79"/>
      <c r="AQ79"/>
      <c r="AR79"/>
    </row>
    <row r="80" spans="1:44" ht="12" customHeight="1" thickBot="1">
      <c r="A80" s="1970" t="s">
        <v>687</v>
      </c>
      <c r="B80" s="1971"/>
      <c r="C80" s="1971"/>
      <c r="D80" s="1971"/>
      <c r="E80" s="1971"/>
      <c r="F80" s="1971"/>
      <c r="G80" s="1972"/>
      <c r="H80" s="861">
        <f t="shared" ref="H80:P80" si="31">SUM(H56:H79)</f>
        <v>316600</v>
      </c>
      <c r="I80" s="861">
        <f t="shared" si="31"/>
        <v>300700</v>
      </c>
      <c r="J80" s="861">
        <f t="shared" si="31"/>
        <v>73671.5</v>
      </c>
      <c r="K80" s="861">
        <f t="shared" si="31"/>
        <v>45105</v>
      </c>
      <c r="L80" s="861">
        <f t="shared" si="31"/>
        <v>28566.5</v>
      </c>
      <c r="M80" s="861">
        <f t="shared" si="31"/>
        <v>0</v>
      </c>
      <c r="N80" s="861">
        <f t="shared" si="31"/>
        <v>10223.799999999997</v>
      </c>
      <c r="O80" s="861">
        <f t="shared" si="31"/>
        <v>316600</v>
      </c>
      <c r="P80" s="861">
        <f t="shared" si="31"/>
        <v>24660</v>
      </c>
      <c r="R80" s="772" t="s">
        <v>685</v>
      </c>
      <c r="S80" s="773"/>
      <c r="T80" s="773"/>
      <c r="U80" s="773"/>
      <c r="V80" s="773"/>
      <c r="W80" s="773"/>
      <c r="X80" s="774"/>
      <c r="Y80" s="354" t="s">
        <v>686</v>
      </c>
      <c r="Z80" s="90"/>
      <c r="AA80" s="90"/>
      <c r="AB80" s="90"/>
      <c r="AC80" s="90"/>
      <c r="AD80" s="355"/>
      <c r="AE80" s="2"/>
      <c r="AF80" s="2"/>
      <c r="AG80" s="2"/>
      <c r="AH80"/>
      <c r="AI80"/>
      <c r="AJ80"/>
      <c r="AK80"/>
      <c r="AL80"/>
      <c r="AM80"/>
      <c r="AN80"/>
      <c r="AO80"/>
      <c r="AP80"/>
      <c r="AQ80"/>
      <c r="AR80"/>
    </row>
    <row r="81" spans="1:44" ht="12" customHeight="1" thickBot="1">
      <c r="A81" s="1973" t="s">
        <v>690</v>
      </c>
      <c r="B81" s="1974"/>
      <c r="C81" s="1974"/>
      <c r="D81" s="1974"/>
      <c r="E81" s="1974"/>
      <c r="F81" s="1974"/>
      <c r="G81" s="1975"/>
      <c r="H81" s="862"/>
      <c r="I81" s="863"/>
      <c r="J81" s="863"/>
      <c r="K81" s="863"/>
      <c r="L81" s="863"/>
      <c r="M81" s="863"/>
      <c r="N81" s="863"/>
      <c r="O81" s="863"/>
      <c r="P81" s="864"/>
      <c r="R81" s="1992" t="s">
        <v>688</v>
      </c>
      <c r="S81" s="1993"/>
      <c r="T81" s="1993"/>
      <c r="U81" s="1993"/>
      <c r="V81" s="1993"/>
      <c r="W81" s="1993"/>
      <c r="X81" s="1994"/>
      <c r="Y81" s="354" t="s">
        <v>689</v>
      </c>
      <c r="Z81" s="90"/>
      <c r="AA81" s="90"/>
      <c r="AB81" s="90"/>
      <c r="AC81" s="90"/>
      <c r="AD81" s="355"/>
      <c r="AE81" s="2"/>
      <c r="AF81" s="2"/>
      <c r="AG81" s="2"/>
      <c r="AH81"/>
      <c r="AI81"/>
      <c r="AJ81"/>
      <c r="AK81"/>
      <c r="AL81"/>
      <c r="AM81"/>
      <c r="AN81"/>
      <c r="AO81"/>
      <c r="AP81"/>
      <c r="AQ81"/>
      <c r="AR81"/>
    </row>
    <row r="82" spans="1:44" ht="12" customHeight="1" thickBot="1">
      <c r="A82" s="1976" t="s">
        <v>693</v>
      </c>
      <c r="B82" s="1977"/>
      <c r="C82" s="1977"/>
      <c r="D82" s="1977"/>
      <c r="E82" s="1977"/>
      <c r="F82" s="1977"/>
      <c r="G82" s="1978"/>
      <c r="H82" s="861">
        <f t="shared" ref="H82:P82" si="32">SUM(H80:H81)</f>
        <v>316600</v>
      </c>
      <c r="I82" s="861">
        <f t="shared" si="32"/>
        <v>300700</v>
      </c>
      <c r="J82" s="861">
        <f t="shared" si="32"/>
        <v>73671.5</v>
      </c>
      <c r="K82" s="861">
        <f t="shared" si="32"/>
        <v>45105</v>
      </c>
      <c r="L82" s="861">
        <f t="shared" si="32"/>
        <v>28566.5</v>
      </c>
      <c r="M82" s="861">
        <f t="shared" si="32"/>
        <v>0</v>
      </c>
      <c r="N82" s="861">
        <f t="shared" si="32"/>
        <v>10223.799999999997</v>
      </c>
      <c r="O82" s="861">
        <f t="shared" si="32"/>
        <v>316600</v>
      </c>
      <c r="P82" s="861">
        <f t="shared" si="32"/>
        <v>24660</v>
      </c>
      <c r="R82" s="1995" t="s">
        <v>691</v>
      </c>
      <c r="S82" s="1996"/>
      <c r="T82" s="1996"/>
      <c r="U82" s="1996"/>
      <c r="V82" s="1996"/>
      <c r="W82" s="1996"/>
      <c r="X82" s="1997"/>
      <c r="Y82" s="354"/>
      <c r="Z82" s="90"/>
      <c r="AA82" s="89" t="s">
        <v>692</v>
      </c>
      <c r="AB82" s="90"/>
      <c r="AC82" s="90"/>
      <c r="AD82" s="355"/>
      <c r="AE82" s="2"/>
      <c r="AF82" s="2"/>
      <c r="AG82" s="2"/>
      <c r="AH82"/>
      <c r="AI82"/>
      <c r="AJ82"/>
      <c r="AK82"/>
      <c r="AL82"/>
      <c r="AM82"/>
      <c r="AN82"/>
      <c r="AO82"/>
      <c r="AP82"/>
      <c r="AQ82"/>
      <c r="AR82"/>
    </row>
    <row r="83" spans="1:44" ht="12" customHeight="1" thickBot="1">
      <c r="A83" s="865"/>
      <c r="B83" s="866"/>
      <c r="C83" s="866"/>
      <c r="D83" s="866"/>
      <c r="E83" s="866"/>
      <c r="F83" s="866"/>
      <c r="G83" s="866"/>
      <c r="H83" s="867"/>
      <c r="I83" s="867"/>
      <c r="J83" s="867"/>
      <c r="K83" s="867"/>
      <c r="L83" s="867"/>
      <c r="M83" s="867"/>
      <c r="N83" s="867"/>
      <c r="O83" s="867"/>
      <c r="P83" s="868"/>
      <c r="R83" s="1992" t="s">
        <v>694</v>
      </c>
      <c r="S83" s="1993"/>
      <c r="T83" s="1993"/>
      <c r="U83" s="1993"/>
      <c r="V83" s="1993"/>
      <c r="W83" s="1993"/>
      <c r="X83" s="1994"/>
      <c r="Y83" s="354" t="s">
        <v>695</v>
      </c>
      <c r="Z83" s="90"/>
      <c r="AA83" s="90"/>
      <c r="AB83" s="90"/>
      <c r="AC83" s="90"/>
      <c r="AD83" s="355"/>
      <c r="AE83" s="2"/>
      <c r="AF83" s="2"/>
      <c r="AG83" s="2"/>
      <c r="AH83"/>
      <c r="AI83"/>
      <c r="AJ83"/>
      <c r="AK83"/>
      <c r="AL83"/>
      <c r="AM83"/>
      <c r="AN83"/>
      <c r="AO83"/>
      <c r="AP83"/>
      <c r="AQ83"/>
      <c r="AR83"/>
    </row>
    <row r="84" spans="1:44" ht="12" customHeight="1">
      <c r="A84" s="869"/>
      <c r="B84" s="870" t="s">
        <v>698</v>
      </c>
      <c r="C84" s="871"/>
      <c r="D84" s="871"/>
      <c r="E84" s="871"/>
      <c r="F84" s="871"/>
      <c r="G84" s="871"/>
      <c r="H84" s="872" t="s">
        <v>699</v>
      </c>
      <c r="I84" s="871"/>
      <c r="J84" s="871"/>
      <c r="K84" s="871"/>
      <c r="L84" s="871"/>
      <c r="M84" s="871"/>
      <c r="N84" s="871"/>
      <c r="O84" s="871"/>
      <c r="P84" s="873"/>
      <c r="R84" s="1992" t="s">
        <v>696</v>
      </c>
      <c r="S84" s="1993"/>
      <c r="T84" s="1993"/>
      <c r="U84" s="1993"/>
      <c r="V84" s="1993"/>
      <c r="W84" s="1993"/>
      <c r="X84" s="1994"/>
      <c r="Y84" s="354" t="s">
        <v>697</v>
      </c>
      <c r="Z84" s="90"/>
      <c r="AA84" s="90"/>
      <c r="AB84" s="90"/>
      <c r="AC84" s="90"/>
      <c r="AD84" s="355"/>
      <c r="AE84" s="2"/>
      <c r="AF84" s="2"/>
      <c r="AG84" s="2"/>
      <c r="AH84"/>
      <c r="AI84"/>
      <c r="AJ84"/>
      <c r="AK84"/>
      <c r="AL84"/>
      <c r="AM84"/>
      <c r="AN84"/>
      <c r="AO84"/>
      <c r="AP84"/>
      <c r="AQ84"/>
      <c r="AR84"/>
    </row>
    <row r="85" spans="1:44" ht="12" customHeight="1">
      <c r="A85" s="874" t="s">
        <v>1157</v>
      </c>
      <c r="B85" s="875"/>
      <c r="C85" s="875"/>
      <c r="D85" s="875"/>
      <c r="E85" s="875"/>
      <c r="F85" s="875"/>
      <c r="G85" s="875"/>
      <c r="H85" s="876" t="s">
        <v>700</v>
      </c>
      <c r="I85" s="875"/>
      <c r="J85" s="875"/>
      <c r="K85" s="875"/>
      <c r="L85" s="875"/>
      <c r="M85" s="875"/>
      <c r="N85" s="875"/>
      <c r="O85" s="875"/>
      <c r="P85" s="877"/>
      <c r="R85" s="1992"/>
      <c r="S85" s="1993"/>
      <c r="T85" s="1993"/>
      <c r="U85" s="1993"/>
      <c r="V85" s="1993"/>
      <c r="W85" s="1993"/>
      <c r="X85" s="1994"/>
      <c r="Y85" s="354"/>
      <c r="Z85" s="90" t="s">
        <v>694</v>
      </c>
      <c r="AA85" s="90"/>
      <c r="AB85" s="90"/>
      <c r="AC85" s="90"/>
      <c r="AD85" s="355"/>
      <c r="AH85"/>
      <c r="AI85"/>
      <c r="AJ85"/>
      <c r="AK85"/>
      <c r="AL85"/>
      <c r="AM85"/>
      <c r="AN85"/>
      <c r="AO85"/>
      <c r="AP85"/>
      <c r="AQ85"/>
      <c r="AR85"/>
    </row>
    <row r="86" spans="1:44" ht="12" customHeight="1" thickBot="1">
      <c r="A86" s="874" t="s">
        <v>1158</v>
      </c>
      <c r="B86" s="875"/>
      <c r="C86" s="875"/>
      <c r="D86" s="875"/>
      <c r="E86" s="875"/>
      <c r="F86" s="875"/>
      <c r="G86" s="875"/>
      <c r="H86" s="45" t="s">
        <v>701</v>
      </c>
      <c r="I86" s="875"/>
      <c r="J86" s="875"/>
      <c r="K86" s="875"/>
      <c r="L86" s="875"/>
      <c r="M86" s="875"/>
      <c r="N86" s="875"/>
      <c r="O86" s="875"/>
      <c r="P86" s="877"/>
      <c r="R86" s="2000"/>
      <c r="S86" s="2001"/>
      <c r="T86" s="2001"/>
      <c r="U86" s="2001"/>
      <c r="V86" s="2001"/>
      <c r="W86" s="2001"/>
      <c r="X86" s="2002"/>
      <c r="Y86" s="357"/>
      <c r="Z86" s="358"/>
      <c r="AA86" s="358"/>
      <c r="AB86" s="358"/>
      <c r="AC86" s="358"/>
      <c r="AD86" s="359"/>
      <c r="AH86"/>
      <c r="AI86"/>
      <c r="AJ86"/>
      <c r="AK86"/>
      <c r="AL86"/>
      <c r="AM86"/>
      <c r="AN86"/>
      <c r="AO86"/>
      <c r="AP86"/>
      <c r="AQ86"/>
      <c r="AR86"/>
    </row>
    <row r="87" spans="1:44" ht="12" customHeight="1">
      <c r="A87" s="874" t="s">
        <v>702</v>
      </c>
      <c r="B87" s="875"/>
      <c r="C87" s="1"/>
      <c r="D87" s="875"/>
      <c r="E87" s="875"/>
      <c r="F87" s="875"/>
      <c r="G87" s="875"/>
      <c r="H87" s="876" t="s">
        <v>703</v>
      </c>
      <c r="I87" s="875"/>
      <c r="J87" s="875"/>
      <c r="K87" s="875"/>
      <c r="L87" s="875"/>
      <c r="M87" s="875"/>
      <c r="N87" s="875"/>
      <c r="O87" s="875"/>
      <c r="P87" s="877"/>
      <c r="AH87"/>
      <c r="AI87"/>
      <c r="AJ87"/>
      <c r="AK87"/>
      <c r="AL87"/>
      <c r="AM87"/>
      <c r="AN87"/>
      <c r="AO87"/>
      <c r="AP87"/>
      <c r="AQ87"/>
      <c r="AR87"/>
    </row>
    <row r="88" spans="1:44" ht="12" customHeight="1">
      <c r="A88" s="874"/>
      <c r="B88" s="875"/>
      <c r="C88" s="875"/>
      <c r="D88" s="875"/>
      <c r="E88" s="875"/>
      <c r="F88" s="875"/>
      <c r="G88" s="875"/>
      <c r="H88" s="876" t="s">
        <v>704</v>
      </c>
      <c r="I88" s="875"/>
      <c r="J88" s="875"/>
      <c r="K88" s="875"/>
      <c r="L88" s="875"/>
      <c r="M88" s="875"/>
      <c r="N88" s="875"/>
      <c r="O88" s="875"/>
      <c r="P88" s="877"/>
      <c r="AH88"/>
      <c r="AI88"/>
      <c r="AJ88"/>
      <c r="AK88"/>
      <c r="AL88"/>
      <c r="AM88"/>
      <c r="AN88"/>
      <c r="AO88"/>
      <c r="AP88"/>
      <c r="AQ88"/>
      <c r="AR88"/>
    </row>
    <row r="89" spans="1:44" ht="12" customHeight="1">
      <c r="A89" s="874"/>
      <c r="B89" s="878" t="s">
        <v>705</v>
      </c>
      <c r="C89" s="875"/>
      <c r="D89" s="875"/>
      <c r="E89" s="875"/>
      <c r="F89" s="875"/>
      <c r="G89" s="875"/>
      <c r="H89" s="45" t="s">
        <v>706</v>
      </c>
      <c r="I89" s="875"/>
      <c r="J89" s="875"/>
      <c r="K89" s="875"/>
      <c r="L89" s="875"/>
      <c r="M89" s="875"/>
      <c r="N89" s="875"/>
      <c r="O89" s="875"/>
      <c r="P89" s="877"/>
      <c r="AE89" s="736"/>
      <c r="AF89" s="736"/>
      <c r="AG89" s="736"/>
      <c r="AH89"/>
      <c r="AI89"/>
      <c r="AJ89"/>
      <c r="AK89"/>
      <c r="AL89"/>
      <c r="AM89"/>
      <c r="AN89"/>
      <c r="AO89"/>
      <c r="AP89"/>
      <c r="AQ89"/>
      <c r="AR89"/>
    </row>
    <row r="90" spans="1:44" ht="12" customHeight="1">
      <c r="A90" s="874"/>
      <c r="B90" s="875" t="s">
        <v>1159</v>
      </c>
      <c r="C90" s="875"/>
      <c r="D90" s="875"/>
      <c r="E90" s="875"/>
      <c r="F90" s="875"/>
      <c r="G90" s="875"/>
      <c r="H90" s="45"/>
      <c r="I90" s="875"/>
      <c r="J90" s="875"/>
      <c r="K90" s="879" t="s">
        <v>707</v>
      </c>
      <c r="L90" s="875"/>
      <c r="M90" s="875"/>
      <c r="N90" s="875"/>
      <c r="O90" s="875"/>
      <c r="P90" s="877"/>
      <c r="AE90" s="736"/>
      <c r="AF90" s="736"/>
      <c r="AG90" s="736"/>
      <c r="AH90"/>
      <c r="AI90"/>
      <c r="AJ90"/>
      <c r="AK90"/>
      <c r="AL90"/>
      <c r="AM90"/>
      <c r="AN90"/>
      <c r="AO90"/>
      <c r="AP90"/>
      <c r="AQ90"/>
      <c r="AR90"/>
    </row>
    <row r="91" spans="1:44" ht="12" customHeight="1">
      <c r="A91" s="874"/>
      <c r="B91" s="875"/>
      <c r="C91" s="875"/>
      <c r="D91" s="875" t="s">
        <v>708</v>
      </c>
      <c r="E91" s="875"/>
      <c r="F91" s="875"/>
      <c r="G91" s="875"/>
      <c r="H91" s="876" t="s">
        <v>709</v>
      </c>
      <c r="I91" s="875"/>
      <c r="J91" s="875"/>
      <c r="K91" s="875"/>
      <c r="L91" s="875"/>
      <c r="M91" s="875"/>
      <c r="N91" s="875"/>
      <c r="O91" s="875"/>
      <c r="P91" s="877"/>
      <c r="AE91" s="736"/>
      <c r="AF91" s="736"/>
      <c r="AG91" s="736"/>
      <c r="AH91"/>
      <c r="AI91"/>
      <c r="AJ91"/>
      <c r="AK91"/>
      <c r="AL91"/>
      <c r="AM91"/>
      <c r="AN91"/>
      <c r="AO91"/>
      <c r="AP91"/>
      <c r="AQ91"/>
      <c r="AR91"/>
    </row>
    <row r="92" spans="1:44" ht="12" customHeight="1">
      <c r="A92" s="874"/>
      <c r="B92" s="875"/>
      <c r="C92" s="875"/>
      <c r="D92" s="875"/>
      <c r="E92" s="875"/>
      <c r="F92" s="875"/>
      <c r="G92" s="875"/>
      <c r="H92" s="876"/>
      <c r="I92" s="875" t="s">
        <v>710</v>
      </c>
      <c r="J92" s="875"/>
      <c r="K92" s="875"/>
      <c r="L92" s="875"/>
      <c r="M92" s="875"/>
      <c r="N92" s="875"/>
      <c r="O92" s="875"/>
      <c r="P92" s="877"/>
      <c r="AE92" s="723"/>
      <c r="AF92" s="723"/>
      <c r="AG92" s="723"/>
      <c r="AH92"/>
      <c r="AI92"/>
      <c r="AJ92"/>
      <c r="AK92"/>
      <c r="AL92"/>
      <c r="AM92"/>
      <c r="AN92"/>
      <c r="AO92"/>
      <c r="AP92"/>
      <c r="AQ92"/>
      <c r="AR92"/>
    </row>
    <row r="93" spans="1:44" ht="12" customHeight="1" thickBot="1">
      <c r="A93" s="880"/>
      <c r="B93" s="881"/>
      <c r="C93" s="881"/>
      <c r="D93" s="881"/>
      <c r="E93" s="881"/>
      <c r="F93" s="881"/>
      <c r="G93" s="881"/>
      <c r="H93" s="882"/>
      <c r="I93" s="883" t="s">
        <v>711</v>
      </c>
      <c r="J93" s="881"/>
      <c r="K93" s="881"/>
      <c r="L93" s="881"/>
      <c r="M93" s="881"/>
      <c r="N93" s="881"/>
      <c r="O93" s="881"/>
      <c r="P93" s="884"/>
      <c r="AE93" s="733"/>
      <c r="AF93" s="733"/>
      <c r="AG93" s="733"/>
      <c r="AH93"/>
      <c r="AI93"/>
      <c r="AJ93"/>
      <c r="AK93"/>
      <c r="AL93"/>
      <c r="AM93"/>
      <c r="AN93"/>
      <c r="AO93"/>
      <c r="AP93"/>
      <c r="AQ93"/>
      <c r="AR93"/>
    </row>
    <row r="94" spans="1:44" ht="12" customHeight="1">
      <c r="A94" s="875"/>
      <c r="B94" s="875"/>
      <c r="C94" s="875"/>
      <c r="D94" s="875"/>
      <c r="E94" s="875"/>
      <c r="F94" s="875"/>
      <c r="G94" s="875"/>
      <c r="H94" s="875"/>
      <c r="I94" s="43"/>
      <c r="J94" s="875"/>
      <c r="K94" s="875"/>
      <c r="L94" s="875"/>
      <c r="M94" s="875"/>
      <c r="N94" s="875"/>
      <c r="O94" s="875"/>
      <c r="P94" s="875"/>
      <c r="AE94" s="733"/>
      <c r="AF94" s="733"/>
      <c r="AG94" s="733"/>
      <c r="AH94"/>
      <c r="AI94"/>
      <c r="AJ94"/>
      <c r="AK94"/>
      <c r="AL94"/>
      <c r="AM94"/>
      <c r="AN94"/>
      <c r="AO94"/>
      <c r="AP94"/>
      <c r="AQ94"/>
      <c r="AR94"/>
    </row>
    <row r="95" spans="1:44" ht="12" customHeight="1">
      <c r="A95" s="875"/>
      <c r="B95" s="875"/>
      <c r="C95" s="875"/>
      <c r="D95" s="875"/>
      <c r="E95" s="875"/>
      <c r="F95" s="875"/>
      <c r="G95" s="875"/>
      <c r="H95" s="875"/>
      <c r="I95" s="43"/>
      <c r="J95" s="875"/>
      <c r="K95" s="875"/>
      <c r="L95" s="875"/>
      <c r="M95" s="875"/>
      <c r="N95" s="875"/>
      <c r="O95" s="875"/>
      <c r="P95" s="875"/>
      <c r="AE95" s="733"/>
      <c r="AF95" s="733"/>
      <c r="AG95" s="733"/>
      <c r="AH95"/>
      <c r="AI95"/>
      <c r="AJ95"/>
      <c r="AK95"/>
      <c r="AL95"/>
      <c r="AM95"/>
      <c r="AN95"/>
      <c r="AO95"/>
      <c r="AP95"/>
      <c r="AQ95"/>
      <c r="AR95"/>
    </row>
    <row r="96" spans="1:44" ht="12" customHeight="1">
      <c r="A96" s="875"/>
      <c r="B96" s="875"/>
      <c r="C96" s="875"/>
      <c r="D96" s="875"/>
      <c r="E96" s="875"/>
      <c r="F96" s="875"/>
      <c r="G96" s="875"/>
      <c r="H96" s="875"/>
      <c r="I96" s="43"/>
      <c r="J96" s="875"/>
      <c r="K96" s="875"/>
      <c r="L96" s="875"/>
      <c r="M96" s="875"/>
      <c r="N96" s="875"/>
      <c r="O96" s="875"/>
      <c r="P96" s="875"/>
      <c r="AE96" s="733"/>
      <c r="AF96" s="733"/>
      <c r="AG96" s="733"/>
      <c r="AH96"/>
      <c r="AI96"/>
      <c r="AJ96"/>
      <c r="AK96"/>
      <c r="AL96"/>
      <c r="AM96"/>
      <c r="AN96"/>
      <c r="AO96"/>
      <c r="AP96"/>
      <c r="AQ96"/>
      <c r="AR96"/>
    </row>
    <row r="97" spans="1:44" ht="12" customHeight="1">
      <c r="A97" s="875"/>
      <c r="B97" s="875"/>
      <c r="C97" s="875"/>
      <c r="D97" s="875"/>
      <c r="E97" s="875"/>
      <c r="F97" s="875"/>
      <c r="G97" s="875"/>
      <c r="H97" s="875"/>
      <c r="I97" s="43"/>
      <c r="J97" s="875"/>
      <c r="K97" s="875"/>
      <c r="L97" s="875"/>
      <c r="M97" s="875"/>
      <c r="N97" s="875"/>
      <c r="O97" s="875"/>
      <c r="P97" s="875"/>
      <c r="AE97" s="733"/>
      <c r="AF97" s="733"/>
      <c r="AG97" s="733"/>
      <c r="AH97"/>
      <c r="AI97"/>
      <c r="AJ97"/>
      <c r="AK97"/>
      <c r="AL97"/>
      <c r="AM97"/>
      <c r="AN97"/>
      <c r="AO97"/>
      <c r="AP97"/>
      <c r="AQ97"/>
      <c r="AR97"/>
    </row>
    <row r="98" spans="1:44" ht="12" customHeight="1">
      <c r="A98" s="349" t="s">
        <v>664</v>
      </c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AE98" s="733"/>
      <c r="AF98" s="733"/>
      <c r="AG98" s="733"/>
      <c r="AH98"/>
      <c r="AI98"/>
      <c r="AJ98"/>
      <c r="AK98"/>
      <c r="AL98"/>
      <c r="AM98"/>
      <c r="AN98"/>
      <c r="AO98"/>
      <c r="AP98"/>
      <c r="AQ98"/>
      <c r="AR98"/>
    </row>
    <row r="99" spans="1:44" ht="12" customHeight="1">
      <c r="A99" s="349" t="s">
        <v>1099</v>
      </c>
      <c r="B99" s="349"/>
      <c r="C99" s="349"/>
      <c r="D99" s="349" t="s">
        <v>1100</v>
      </c>
      <c r="E99" s="349"/>
      <c r="F99" s="349"/>
      <c r="G99" s="349"/>
      <c r="H99" s="349"/>
      <c r="I99" s="349" t="s">
        <v>1163</v>
      </c>
      <c r="J99" s="349"/>
      <c r="K99" s="349"/>
      <c r="L99" s="349"/>
      <c r="M99" s="349"/>
      <c r="N99" s="349" t="s">
        <v>1102</v>
      </c>
      <c r="O99" s="349"/>
      <c r="P99" s="349"/>
      <c r="R99" s="349" t="s">
        <v>1103</v>
      </c>
      <c r="S99" s="349"/>
      <c r="T99" s="34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733"/>
      <c r="AF99" s="733"/>
      <c r="AG99" s="733"/>
      <c r="AH99"/>
      <c r="AI99"/>
      <c r="AJ99"/>
      <c r="AK99"/>
      <c r="AL99"/>
      <c r="AM99"/>
      <c r="AN99"/>
      <c r="AO99"/>
      <c r="AP99"/>
      <c r="AQ99"/>
      <c r="AR99"/>
    </row>
    <row r="100" spans="1:44" ht="12" customHeight="1" thickBot="1">
      <c r="A100" s="349" t="s">
        <v>665</v>
      </c>
      <c r="B100" s="349"/>
      <c r="C100" s="349"/>
      <c r="D100" s="349"/>
      <c r="E100" s="1979"/>
      <c r="F100" s="1979"/>
      <c r="G100" s="1979"/>
      <c r="H100" s="1979" t="s">
        <v>1104</v>
      </c>
      <c r="I100" s="1979"/>
      <c r="J100" s="1979"/>
      <c r="K100" s="1979"/>
      <c r="L100" s="349"/>
      <c r="M100" s="1979" t="s">
        <v>666</v>
      </c>
      <c r="N100" s="1979"/>
      <c r="O100" s="1979"/>
      <c r="P100" s="1979"/>
      <c r="R100" s="349" t="s">
        <v>1099</v>
      </c>
      <c r="S100" s="349"/>
      <c r="T100" s="349"/>
      <c r="U100" s="349" t="s">
        <v>1100</v>
      </c>
      <c r="V100" s="349"/>
      <c r="W100" s="349"/>
      <c r="X100" s="349"/>
      <c r="Y100" s="349"/>
      <c r="Z100" s="349" t="s">
        <v>1164</v>
      </c>
      <c r="AA100" s="349"/>
      <c r="AB100" s="349"/>
      <c r="AC100" s="349"/>
      <c r="AD100" s="349" t="s">
        <v>1102</v>
      </c>
      <c r="AE100" s="734"/>
      <c r="AF100" s="734"/>
      <c r="AG100" s="734"/>
      <c r="AH100"/>
      <c r="AI100"/>
      <c r="AJ100"/>
      <c r="AK100"/>
      <c r="AL100"/>
      <c r="AM100"/>
      <c r="AN100"/>
      <c r="AO100"/>
      <c r="AP100"/>
      <c r="AQ100"/>
      <c r="AR100"/>
    </row>
    <row r="101" spans="1:44" ht="12" customHeight="1" thickBot="1">
      <c r="A101" s="1980" t="s">
        <v>187</v>
      </c>
      <c r="B101" s="826" t="s">
        <v>667</v>
      </c>
      <c r="C101" s="1980" t="s">
        <v>1106</v>
      </c>
      <c r="D101" s="1983"/>
      <c r="E101" s="1980" t="s">
        <v>1107</v>
      </c>
      <c r="F101" s="1986" t="s">
        <v>1108</v>
      </c>
      <c r="G101" s="1986" t="s">
        <v>1109</v>
      </c>
      <c r="H101" s="827" t="s">
        <v>1110</v>
      </c>
      <c r="I101" s="828"/>
      <c r="J101" s="827" t="s">
        <v>188</v>
      </c>
      <c r="K101" s="829"/>
      <c r="L101" s="829"/>
      <c r="M101" s="829"/>
      <c r="N101" s="826" t="s">
        <v>189</v>
      </c>
      <c r="O101" s="826" t="s">
        <v>1111</v>
      </c>
      <c r="P101" s="1989" t="s">
        <v>1112</v>
      </c>
      <c r="R101" s="349" t="s">
        <v>665</v>
      </c>
      <c r="S101" s="349"/>
      <c r="T101" s="349"/>
      <c r="U101" s="349"/>
      <c r="V101" s="830"/>
      <c r="W101" s="830"/>
      <c r="X101" s="830"/>
      <c r="Y101" s="830" t="s">
        <v>1104</v>
      </c>
      <c r="Z101" s="830"/>
      <c r="AA101" s="830"/>
      <c r="AB101" s="349"/>
      <c r="AC101" s="831" t="s">
        <v>666</v>
      </c>
      <c r="AD101" s="831"/>
      <c r="AE101" s="735"/>
      <c r="AF101" s="735"/>
      <c r="AG101" s="735"/>
      <c r="AH101"/>
      <c r="AI101"/>
      <c r="AJ101"/>
      <c r="AK101"/>
      <c r="AL101"/>
      <c r="AM101"/>
      <c r="AN101"/>
      <c r="AO101"/>
      <c r="AP101"/>
      <c r="AQ101"/>
      <c r="AR101"/>
    </row>
    <row r="102" spans="1:44" ht="12" customHeight="1" thickBot="1">
      <c r="A102" s="1981"/>
      <c r="B102" s="832" t="s">
        <v>668</v>
      </c>
      <c r="C102" s="1981"/>
      <c r="D102" s="1984"/>
      <c r="E102" s="1981"/>
      <c r="F102" s="1987"/>
      <c r="G102" s="1987"/>
      <c r="H102" s="1989" t="s">
        <v>193</v>
      </c>
      <c r="I102" s="1989" t="s">
        <v>1113</v>
      </c>
      <c r="J102" s="1989" t="s">
        <v>1114</v>
      </c>
      <c r="K102" s="833" t="s">
        <v>194</v>
      </c>
      <c r="L102" s="834"/>
      <c r="M102" s="826" t="s">
        <v>669</v>
      </c>
      <c r="N102" s="832" t="s">
        <v>670</v>
      </c>
      <c r="O102" s="832" t="s">
        <v>195</v>
      </c>
      <c r="P102" s="1990"/>
      <c r="R102" s="2028" t="s">
        <v>1115</v>
      </c>
      <c r="S102" s="2029"/>
      <c r="T102" s="2029"/>
      <c r="U102" s="2029"/>
      <c r="V102" s="2029"/>
      <c r="W102" s="2029"/>
      <c r="X102" s="2030"/>
      <c r="Y102" s="2003" t="s">
        <v>1116</v>
      </c>
      <c r="Z102" s="2004"/>
      <c r="AA102" s="2004"/>
      <c r="AB102" s="2004"/>
      <c r="AC102" s="2004"/>
      <c r="AD102" s="2005"/>
      <c r="AE102" s="735"/>
      <c r="AF102" s="735"/>
      <c r="AG102" s="735"/>
      <c r="AH102"/>
      <c r="AI102"/>
      <c r="AJ102"/>
      <c r="AK102"/>
      <c r="AL102"/>
      <c r="AM102"/>
      <c r="AN102"/>
      <c r="AO102"/>
      <c r="AP102"/>
      <c r="AQ102"/>
      <c r="AR102"/>
    </row>
    <row r="103" spans="1:44" ht="12" customHeight="1" thickBot="1">
      <c r="A103" s="1982"/>
      <c r="B103" s="835" t="s">
        <v>671</v>
      </c>
      <c r="C103" s="1982"/>
      <c r="D103" s="1985"/>
      <c r="E103" s="1982"/>
      <c r="F103" s="1988"/>
      <c r="G103" s="1988"/>
      <c r="H103" s="1991"/>
      <c r="I103" s="1991"/>
      <c r="J103" s="1991"/>
      <c r="K103" s="836" t="s">
        <v>672</v>
      </c>
      <c r="L103" s="836" t="s">
        <v>673</v>
      </c>
      <c r="M103" s="835" t="s">
        <v>674</v>
      </c>
      <c r="N103" s="835" t="s">
        <v>675</v>
      </c>
      <c r="O103" s="835" t="s">
        <v>676</v>
      </c>
      <c r="P103" s="1991"/>
      <c r="R103" s="2006" t="s">
        <v>1</v>
      </c>
      <c r="S103" s="2006" t="s">
        <v>677</v>
      </c>
      <c r="T103" s="2009" t="s">
        <v>1117</v>
      </c>
      <c r="U103" s="2010"/>
      <c r="V103" s="2017" t="s">
        <v>1118</v>
      </c>
      <c r="W103" s="2017" t="s">
        <v>1119</v>
      </c>
      <c r="X103" s="2017" t="s">
        <v>1120</v>
      </c>
      <c r="Y103" s="2006" t="s">
        <v>1</v>
      </c>
      <c r="Z103" s="2006" t="s">
        <v>677</v>
      </c>
      <c r="AA103" s="2009" t="s">
        <v>1117</v>
      </c>
      <c r="AB103" s="2017" t="s">
        <v>1118</v>
      </c>
      <c r="AC103" s="2017" t="s">
        <v>1119</v>
      </c>
      <c r="AD103" s="2017" t="s">
        <v>1121</v>
      </c>
      <c r="AE103" s="735"/>
      <c r="AF103" s="735"/>
      <c r="AG103" s="735"/>
      <c r="AH103"/>
      <c r="AI103"/>
      <c r="AJ103"/>
      <c r="AK103"/>
      <c r="AL103"/>
      <c r="AM103"/>
      <c r="AN103"/>
      <c r="AO103"/>
      <c r="AP103"/>
      <c r="AQ103"/>
      <c r="AR103"/>
    </row>
    <row r="104" spans="1:44" ht="12" customHeight="1">
      <c r="A104" s="837">
        <v>1</v>
      </c>
      <c r="B104" s="838" t="s">
        <v>1122</v>
      </c>
      <c r="C104" s="839" t="s">
        <v>1123</v>
      </c>
      <c r="D104" s="840"/>
      <c r="E104" s="306" t="s">
        <v>1124</v>
      </c>
      <c r="F104" s="841">
        <v>1</v>
      </c>
      <c r="G104" s="841">
        <v>22</v>
      </c>
      <c r="H104" s="307">
        <v>100000</v>
      </c>
      <c r="I104" s="307">
        <v>84100</v>
      </c>
      <c r="J104" s="307">
        <f>K104+L104</f>
        <v>20604.5</v>
      </c>
      <c r="K104" s="307">
        <f>I104*0.15</f>
        <v>12615</v>
      </c>
      <c r="L104" s="307">
        <f>I104*0.095</f>
        <v>7989.5</v>
      </c>
      <c r="M104" s="307">
        <v>0</v>
      </c>
      <c r="N104" s="307">
        <f>I104*0.034</f>
        <v>2859.4</v>
      </c>
      <c r="O104" s="307">
        <f>H104</f>
        <v>100000</v>
      </c>
      <c r="P104" s="842">
        <f>H104*0.1</f>
        <v>10000</v>
      </c>
      <c r="R104" s="2007"/>
      <c r="S104" s="2007"/>
      <c r="T104" s="2011"/>
      <c r="U104" s="2012"/>
      <c r="V104" s="2018"/>
      <c r="W104" s="2018"/>
      <c r="X104" s="2018"/>
      <c r="Y104" s="2007"/>
      <c r="Z104" s="2007"/>
      <c r="AA104" s="2011"/>
      <c r="AB104" s="2018"/>
      <c r="AC104" s="2018"/>
      <c r="AD104" s="2018"/>
      <c r="AH104"/>
      <c r="AI104"/>
      <c r="AJ104"/>
      <c r="AK104"/>
      <c r="AL104"/>
      <c r="AM104"/>
      <c r="AN104"/>
      <c r="AO104"/>
      <c r="AP104"/>
      <c r="AQ104"/>
      <c r="AR104"/>
    </row>
    <row r="105" spans="1:44" ht="12" customHeight="1" thickBot="1">
      <c r="A105" s="843">
        <v>2</v>
      </c>
      <c r="B105" s="844" t="s">
        <v>1125</v>
      </c>
      <c r="C105" s="845" t="s">
        <v>1126</v>
      </c>
      <c r="D105" s="846"/>
      <c r="E105" s="305" t="s">
        <v>678</v>
      </c>
      <c r="F105" s="305">
        <v>1</v>
      </c>
      <c r="G105" s="305">
        <v>22</v>
      </c>
      <c r="H105" s="305">
        <v>40000</v>
      </c>
      <c r="I105" s="305">
        <f t="shared" ref="I105:I110" si="33">H105</f>
        <v>40000</v>
      </c>
      <c r="J105" s="307">
        <f t="shared" ref="J105:J111" si="34">K105+L105</f>
        <v>9800</v>
      </c>
      <c r="K105" s="307">
        <f t="shared" ref="K105:K111" si="35">I105*0.15</f>
        <v>6000</v>
      </c>
      <c r="L105" s="307">
        <f t="shared" ref="L105:L111" si="36">I105*0.095</f>
        <v>3800</v>
      </c>
      <c r="M105" s="307">
        <v>0</v>
      </c>
      <c r="N105" s="307">
        <f t="shared" ref="N105:N111" si="37">I105*0.034</f>
        <v>1360</v>
      </c>
      <c r="O105" s="307">
        <f t="shared" ref="O105:O110" si="38">H105</f>
        <v>40000</v>
      </c>
      <c r="P105" s="842">
        <v>4000</v>
      </c>
      <c r="R105" s="2008"/>
      <c r="S105" s="2008"/>
      <c r="T105" s="2013"/>
      <c r="U105" s="2014"/>
      <c r="V105" s="2019"/>
      <c r="W105" s="2019"/>
      <c r="X105" s="2019"/>
      <c r="Y105" s="2008"/>
      <c r="Z105" s="2008"/>
      <c r="AA105" s="2013"/>
      <c r="AB105" s="2019"/>
      <c r="AC105" s="2019"/>
      <c r="AD105" s="2019"/>
      <c r="AH105"/>
      <c r="AI105"/>
      <c r="AJ105"/>
      <c r="AK105"/>
      <c r="AL105"/>
      <c r="AM105"/>
      <c r="AN105"/>
      <c r="AO105"/>
      <c r="AP105"/>
      <c r="AQ105"/>
      <c r="AR105"/>
    </row>
    <row r="106" spans="1:44" ht="12" customHeight="1">
      <c r="A106" s="843">
        <v>3</v>
      </c>
      <c r="B106" s="844" t="s">
        <v>1127</v>
      </c>
      <c r="C106" s="845" t="s">
        <v>1128</v>
      </c>
      <c r="D106" s="846"/>
      <c r="E106" s="847" t="s">
        <v>679</v>
      </c>
      <c r="F106" s="305">
        <v>1</v>
      </c>
      <c r="G106" s="305">
        <v>22</v>
      </c>
      <c r="H106" s="305">
        <v>19100</v>
      </c>
      <c r="I106" s="305">
        <f t="shared" si="33"/>
        <v>19100</v>
      </c>
      <c r="J106" s="307">
        <f t="shared" si="34"/>
        <v>4679.5</v>
      </c>
      <c r="K106" s="307">
        <f t="shared" si="35"/>
        <v>2865</v>
      </c>
      <c r="L106" s="307">
        <f t="shared" si="36"/>
        <v>1814.5</v>
      </c>
      <c r="M106" s="307">
        <v>0</v>
      </c>
      <c r="N106" s="307">
        <f t="shared" si="37"/>
        <v>649.40000000000009</v>
      </c>
      <c r="O106" s="307">
        <f t="shared" si="38"/>
        <v>19100</v>
      </c>
      <c r="P106" s="842">
        <v>910</v>
      </c>
      <c r="R106" s="848">
        <v>1</v>
      </c>
      <c r="S106" s="885"/>
      <c r="T106" s="2026"/>
      <c r="U106" s="2027"/>
      <c r="V106" s="850"/>
      <c r="W106" s="850"/>
      <c r="X106" s="851"/>
      <c r="Y106" s="848">
        <v>1</v>
      </c>
      <c r="Z106" s="849" t="s">
        <v>1165</v>
      </c>
      <c r="AA106" s="852"/>
      <c r="AB106" s="850" t="s">
        <v>1130</v>
      </c>
      <c r="AC106" s="850" t="s">
        <v>680</v>
      </c>
      <c r="AD106" s="853">
        <v>40575</v>
      </c>
      <c r="AH106"/>
      <c r="AI106"/>
      <c r="AJ106"/>
      <c r="AK106"/>
      <c r="AL106"/>
      <c r="AM106"/>
      <c r="AN106"/>
      <c r="AO106"/>
      <c r="AP106"/>
      <c r="AQ106"/>
      <c r="AR106"/>
    </row>
    <row r="107" spans="1:44" ht="12" customHeight="1">
      <c r="A107" s="843">
        <v>4</v>
      </c>
      <c r="B107" s="844" t="s">
        <v>1132</v>
      </c>
      <c r="C107" s="845" t="s">
        <v>1133</v>
      </c>
      <c r="D107" s="846"/>
      <c r="E107" s="847" t="s">
        <v>1134</v>
      </c>
      <c r="F107" s="305">
        <v>1</v>
      </c>
      <c r="G107" s="305">
        <v>22</v>
      </c>
      <c r="H107" s="305">
        <v>27000</v>
      </c>
      <c r="I107" s="305">
        <f t="shared" si="33"/>
        <v>27000</v>
      </c>
      <c r="J107" s="307">
        <f t="shared" si="34"/>
        <v>6615</v>
      </c>
      <c r="K107" s="307">
        <f t="shared" si="35"/>
        <v>4050</v>
      </c>
      <c r="L107" s="307">
        <f t="shared" si="36"/>
        <v>2565</v>
      </c>
      <c r="M107" s="307">
        <v>0</v>
      </c>
      <c r="N107" s="307">
        <f t="shared" si="37"/>
        <v>918.00000000000011</v>
      </c>
      <c r="O107" s="307">
        <f t="shared" si="38"/>
        <v>27000</v>
      </c>
      <c r="P107" s="842">
        <v>1700</v>
      </c>
      <c r="R107" s="746">
        <v>2</v>
      </c>
      <c r="S107" s="849"/>
      <c r="T107" s="1998"/>
      <c r="U107" s="1998"/>
      <c r="V107" s="850"/>
      <c r="W107" s="850"/>
      <c r="X107" s="851"/>
      <c r="Y107" s="746">
        <v>2</v>
      </c>
      <c r="Z107" s="849" t="s">
        <v>1131</v>
      </c>
      <c r="AA107" s="852"/>
      <c r="AB107" s="850" t="s">
        <v>1130</v>
      </c>
      <c r="AC107" s="850" t="s">
        <v>680</v>
      </c>
      <c r="AD107" s="853">
        <v>40575</v>
      </c>
      <c r="AH107"/>
      <c r="AI107"/>
      <c r="AJ107"/>
      <c r="AK107"/>
      <c r="AL107"/>
      <c r="AM107"/>
      <c r="AN107"/>
      <c r="AO107"/>
      <c r="AP107"/>
      <c r="AQ107"/>
      <c r="AR107"/>
    </row>
    <row r="108" spans="1:44" ht="12" customHeight="1">
      <c r="A108" s="843">
        <v>5</v>
      </c>
      <c r="B108" s="844"/>
      <c r="C108" s="845" t="s">
        <v>1137</v>
      </c>
      <c r="D108" s="846"/>
      <c r="E108" s="847" t="s">
        <v>679</v>
      </c>
      <c r="F108" s="305">
        <v>1</v>
      </c>
      <c r="G108" s="305">
        <v>22</v>
      </c>
      <c r="H108" s="305">
        <v>19100</v>
      </c>
      <c r="I108" s="305">
        <f t="shared" si="33"/>
        <v>19100</v>
      </c>
      <c r="J108" s="307">
        <f t="shared" si="34"/>
        <v>4679.5</v>
      </c>
      <c r="K108" s="307">
        <f t="shared" si="35"/>
        <v>2865</v>
      </c>
      <c r="L108" s="307">
        <f t="shared" si="36"/>
        <v>1814.5</v>
      </c>
      <c r="M108" s="307">
        <v>0</v>
      </c>
      <c r="N108" s="307">
        <f t="shared" si="37"/>
        <v>649.40000000000009</v>
      </c>
      <c r="O108" s="307">
        <f t="shared" si="38"/>
        <v>19100</v>
      </c>
      <c r="P108" s="842">
        <v>910</v>
      </c>
      <c r="R108" s="746">
        <v>3</v>
      </c>
      <c r="S108" s="849"/>
      <c r="T108" s="1998"/>
      <c r="U108" s="1998"/>
      <c r="V108" s="850"/>
      <c r="W108" s="850"/>
      <c r="X108" s="851"/>
      <c r="Y108" s="746">
        <v>3</v>
      </c>
      <c r="Z108" s="849" t="s">
        <v>1166</v>
      </c>
      <c r="AA108" s="852"/>
      <c r="AB108" s="850" t="s">
        <v>1130</v>
      </c>
      <c r="AC108" s="850" t="s">
        <v>680</v>
      </c>
      <c r="AD108" s="853">
        <v>40575</v>
      </c>
      <c r="AH108"/>
      <c r="AI108"/>
      <c r="AJ108"/>
      <c r="AK108"/>
      <c r="AL108"/>
      <c r="AM108"/>
      <c r="AN108"/>
      <c r="AO108"/>
      <c r="AP108"/>
      <c r="AQ108"/>
      <c r="AR108"/>
    </row>
    <row r="109" spans="1:44" ht="12" customHeight="1">
      <c r="A109" s="843">
        <v>6</v>
      </c>
      <c r="B109" s="844"/>
      <c r="C109" s="845" t="s">
        <v>1139</v>
      </c>
      <c r="D109" s="846"/>
      <c r="E109" s="305" t="s">
        <v>679</v>
      </c>
      <c r="F109" s="305">
        <v>1</v>
      </c>
      <c r="G109" s="305">
        <v>22</v>
      </c>
      <c r="H109" s="305">
        <v>19100</v>
      </c>
      <c r="I109" s="305">
        <f t="shared" si="33"/>
        <v>19100</v>
      </c>
      <c r="J109" s="307">
        <f t="shared" si="34"/>
        <v>4679.5</v>
      </c>
      <c r="K109" s="307">
        <f t="shared" si="35"/>
        <v>2865</v>
      </c>
      <c r="L109" s="307">
        <f t="shared" si="36"/>
        <v>1814.5</v>
      </c>
      <c r="M109" s="307">
        <v>0</v>
      </c>
      <c r="N109" s="307">
        <f t="shared" si="37"/>
        <v>649.40000000000009</v>
      </c>
      <c r="O109" s="307">
        <f t="shared" si="38"/>
        <v>19100</v>
      </c>
      <c r="P109" s="742">
        <v>910</v>
      </c>
      <c r="R109" s="848">
        <v>4</v>
      </c>
      <c r="S109" s="849"/>
      <c r="T109" s="1998"/>
      <c r="U109" s="1998"/>
      <c r="V109" s="850"/>
      <c r="W109" s="850"/>
      <c r="X109" s="851"/>
      <c r="Y109" s="746">
        <v>4</v>
      </c>
      <c r="Z109" s="849" t="s">
        <v>1167</v>
      </c>
      <c r="AA109" s="852"/>
      <c r="AB109" s="850" t="s">
        <v>1130</v>
      </c>
      <c r="AC109" s="850" t="s">
        <v>680</v>
      </c>
      <c r="AD109" s="853">
        <v>40575</v>
      </c>
      <c r="AH109"/>
      <c r="AI109"/>
      <c r="AJ109"/>
      <c r="AK109"/>
      <c r="AL109"/>
      <c r="AM109"/>
      <c r="AN109"/>
      <c r="AO109"/>
      <c r="AP109"/>
      <c r="AQ109"/>
      <c r="AR109"/>
    </row>
    <row r="110" spans="1:44" ht="12" customHeight="1">
      <c r="A110" s="843">
        <v>7</v>
      </c>
      <c r="B110" s="844"/>
      <c r="C110" s="845" t="s">
        <v>1141</v>
      </c>
      <c r="D110" s="846"/>
      <c r="E110" s="847" t="s">
        <v>1142</v>
      </c>
      <c r="F110" s="305">
        <v>1</v>
      </c>
      <c r="G110" s="305">
        <v>22</v>
      </c>
      <c r="H110" s="305">
        <v>35000</v>
      </c>
      <c r="I110" s="305">
        <f t="shared" si="33"/>
        <v>35000</v>
      </c>
      <c r="J110" s="307">
        <f t="shared" si="34"/>
        <v>8575</v>
      </c>
      <c r="K110" s="307">
        <f t="shared" si="35"/>
        <v>5250</v>
      </c>
      <c r="L110" s="307">
        <f t="shared" si="36"/>
        <v>3325</v>
      </c>
      <c r="M110" s="307">
        <v>0</v>
      </c>
      <c r="N110" s="307">
        <f t="shared" si="37"/>
        <v>1190</v>
      </c>
      <c r="O110" s="307">
        <f t="shared" si="38"/>
        <v>35000</v>
      </c>
      <c r="P110" s="742">
        <v>3500</v>
      </c>
      <c r="R110" s="848">
        <v>5</v>
      </c>
      <c r="S110" s="849"/>
      <c r="T110" s="1998"/>
      <c r="U110" s="1998"/>
      <c r="V110" s="850"/>
      <c r="W110" s="850"/>
      <c r="X110" s="851"/>
      <c r="Y110" s="746">
        <v>5</v>
      </c>
      <c r="Z110" s="845" t="s">
        <v>1168</v>
      </c>
      <c r="AA110" s="855"/>
      <c r="AB110" s="850" t="s">
        <v>1130</v>
      </c>
      <c r="AC110" s="850" t="s">
        <v>680</v>
      </c>
      <c r="AD110" s="853">
        <v>40575</v>
      </c>
      <c r="AH110"/>
      <c r="AI110"/>
      <c r="AJ110"/>
      <c r="AK110"/>
      <c r="AL110"/>
      <c r="AM110"/>
      <c r="AN110"/>
      <c r="AO110"/>
      <c r="AP110"/>
      <c r="AQ110"/>
      <c r="AR110"/>
    </row>
    <row r="111" spans="1:44" ht="12" customHeight="1">
      <c r="A111" s="843">
        <v>8</v>
      </c>
      <c r="B111" s="844" t="s">
        <v>1144</v>
      </c>
      <c r="C111" s="845" t="s">
        <v>1145</v>
      </c>
      <c r="D111" s="846"/>
      <c r="E111" s="847" t="s">
        <v>679</v>
      </c>
      <c r="F111" s="305">
        <v>1</v>
      </c>
      <c r="G111" s="305">
        <v>22</v>
      </c>
      <c r="H111" s="305">
        <v>19100</v>
      </c>
      <c r="I111" s="305">
        <f>H111</f>
        <v>19100</v>
      </c>
      <c r="J111" s="307">
        <f t="shared" si="34"/>
        <v>4679.5</v>
      </c>
      <c r="K111" s="307">
        <f t="shared" si="35"/>
        <v>2865</v>
      </c>
      <c r="L111" s="307">
        <f t="shared" si="36"/>
        <v>1814.5</v>
      </c>
      <c r="M111" s="307">
        <v>0</v>
      </c>
      <c r="N111" s="307">
        <f t="shared" si="37"/>
        <v>649.40000000000009</v>
      </c>
      <c r="O111" s="307">
        <f>H111</f>
        <v>19100</v>
      </c>
      <c r="P111" s="842">
        <v>910</v>
      </c>
      <c r="R111" s="746">
        <v>6</v>
      </c>
      <c r="S111" s="849"/>
      <c r="T111" s="1998"/>
      <c r="U111" s="1998"/>
      <c r="V111" s="850"/>
      <c r="W111" s="850"/>
      <c r="X111" s="851"/>
      <c r="Y111" s="746">
        <v>6</v>
      </c>
      <c r="Z111" s="845" t="s">
        <v>1169</v>
      </c>
      <c r="AA111" s="855"/>
      <c r="AB111" s="850" t="s">
        <v>1130</v>
      </c>
      <c r="AC111" s="850" t="s">
        <v>680</v>
      </c>
      <c r="AD111" s="853">
        <v>40575</v>
      </c>
      <c r="AH111"/>
      <c r="AI111"/>
      <c r="AJ111"/>
      <c r="AK111"/>
      <c r="AL111"/>
      <c r="AM111"/>
      <c r="AN111"/>
      <c r="AO111"/>
      <c r="AP111"/>
      <c r="AQ111"/>
      <c r="AR111"/>
    </row>
    <row r="112" spans="1:44" ht="12" customHeight="1">
      <c r="A112" s="843">
        <v>9</v>
      </c>
      <c r="B112" s="844"/>
      <c r="C112" s="849" t="s">
        <v>1135</v>
      </c>
      <c r="D112" s="849"/>
      <c r="E112" s="847" t="s">
        <v>679</v>
      </c>
      <c r="F112" s="305">
        <v>1</v>
      </c>
      <c r="G112" s="305">
        <v>22</v>
      </c>
      <c r="H112" s="305">
        <v>19100</v>
      </c>
      <c r="I112" s="305">
        <f>H112</f>
        <v>19100</v>
      </c>
      <c r="J112" s="307">
        <f>K112+L112</f>
        <v>4679.5</v>
      </c>
      <c r="K112" s="307">
        <f>I112*0.15</f>
        <v>2865</v>
      </c>
      <c r="L112" s="307">
        <f>I112*0.095</f>
        <v>1814.5</v>
      </c>
      <c r="M112" s="307">
        <v>0</v>
      </c>
      <c r="N112" s="307">
        <f>I112*0.034</f>
        <v>649.40000000000009</v>
      </c>
      <c r="O112" s="307">
        <f>H112</f>
        <v>19100</v>
      </c>
      <c r="P112" s="842">
        <v>910</v>
      </c>
      <c r="R112" s="746">
        <v>7</v>
      </c>
      <c r="S112" s="849"/>
      <c r="T112" s="1998"/>
      <c r="U112" s="1998"/>
      <c r="V112" s="850"/>
      <c r="W112" s="850"/>
      <c r="X112" s="851"/>
      <c r="Y112" s="746">
        <v>7</v>
      </c>
      <c r="Z112" s="845" t="s">
        <v>1170</v>
      </c>
      <c r="AA112" s="855"/>
      <c r="AB112" s="850" t="s">
        <v>1130</v>
      </c>
      <c r="AC112" s="850" t="s">
        <v>680</v>
      </c>
      <c r="AD112" s="853">
        <v>40575</v>
      </c>
      <c r="AH112"/>
      <c r="AI112"/>
      <c r="AJ112"/>
      <c r="AK112"/>
      <c r="AL112"/>
      <c r="AM112"/>
      <c r="AN112"/>
      <c r="AO112"/>
      <c r="AP112"/>
      <c r="AQ112"/>
      <c r="AR112"/>
    </row>
    <row r="113" spans="1:44" ht="12" customHeight="1">
      <c r="A113" s="843">
        <v>10</v>
      </c>
      <c r="B113" s="73"/>
      <c r="C113" s="1966" t="s">
        <v>1156</v>
      </c>
      <c r="D113" s="1967"/>
      <c r="E113" s="847" t="s">
        <v>679</v>
      </c>
      <c r="F113" s="305">
        <v>1</v>
      </c>
      <c r="G113" s="305">
        <v>22</v>
      </c>
      <c r="H113" s="305">
        <v>19100</v>
      </c>
      <c r="I113" s="305">
        <f>H113</f>
        <v>19100</v>
      </c>
      <c r="J113" s="307">
        <f>K113+L113</f>
        <v>4679.5</v>
      </c>
      <c r="K113" s="307">
        <f>I113*0.15</f>
        <v>2865</v>
      </c>
      <c r="L113" s="307">
        <f>I113*0.095</f>
        <v>1814.5</v>
      </c>
      <c r="M113" s="307">
        <v>0</v>
      </c>
      <c r="N113" s="307">
        <f>I113*0.034</f>
        <v>649.40000000000009</v>
      </c>
      <c r="O113" s="307">
        <f>H113</f>
        <v>19100</v>
      </c>
      <c r="P113" s="842">
        <v>910</v>
      </c>
      <c r="R113" s="848">
        <v>8</v>
      </c>
      <c r="S113" s="849"/>
      <c r="T113" s="1998"/>
      <c r="U113" s="1998"/>
      <c r="V113" s="850"/>
      <c r="W113" s="850"/>
      <c r="X113" s="851"/>
      <c r="Y113" s="746">
        <v>8</v>
      </c>
      <c r="Z113" s="849" t="s">
        <v>1171</v>
      </c>
      <c r="AA113" s="855"/>
      <c r="AB113" s="850" t="s">
        <v>1130</v>
      </c>
      <c r="AC113" s="850" t="s">
        <v>680</v>
      </c>
      <c r="AD113" s="853">
        <v>40575</v>
      </c>
      <c r="AH113"/>
      <c r="AI113"/>
      <c r="AJ113"/>
      <c r="AK113"/>
      <c r="AL113"/>
      <c r="AM113"/>
      <c r="AN113"/>
      <c r="AO113"/>
      <c r="AP113"/>
      <c r="AQ113"/>
      <c r="AR113"/>
    </row>
    <row r="114" spans="1:44" ht="12" customHeight="1">
      <c r="A114" s="843">
        <v>11</v>
      </c>
      <c r="B114" s="73"/>
      <c r="C114" s="1966"/>
      <c r="D114" s="1967"/>
      <c r="E114" s="847"/>
      <c r="F114" s="305"/>
      <c r="G114" s="305"/>
      <c r="H114" s="305"/>
      <c r="I114" s="305"/>
      <c r="J114" s="307"/>
      <c r="K114" s="307"/>
      <c r="L114" s="307"/>
      <c r="M114" s="307"/>
      <c r="N114" s="307"/>
      <c r="O114" s="307"/>
      <c r="P114" s="842"/>
      <c r="R114" s="848">
        <v>9</v>
      </c>
      <c r="S114" s="849"/>
      <c r="T114" s="1998"/>
      <c r="U114" s="1998"/>
      <c r="V114" s="850"/>
      <c r="W114" s="850"/>
      <c r="X114" s="851"/>
      <c r="Y114" s="746">
        <v>9</v>
      </c>
      <c r="Z114" s="849" t="s">
        <v>1172</v>
      </c>
      <c r="AA114" s="855"/>
      <c r="AB114" s="850" t="s">
        <v>1130</v>
      </c>
      <c r="AC114" s="850" t="s">
        <v>680</v>
      </c>
      <c r="AD114" s="853">
        <v>40575</v>
      </c>
      <c r="AH114"/>
      <c r="AI114"/>
      <c r="AJ114"/>
      <c r="AK114"/>
      <c r="AL114"/>
      <c r="AM114"/>
      <c r="AN114"/>
      <c r="AO114"/>
      <c r="AP114"/>
      <c r="AQ114"/>
      <c r="AR114"/>
    </row>
    <row r="115" spans="1:44" ht="12" customHeight="1">
      <c r="A115" s="843">
        <v>12</v>
      </c>
      <c r="B115" s="73"/>
      <c r="C115" s="1966"/>
      <c r="D115" s="1967"/>
      <c r="E115" s="847"/>
      <c r="F115" s="305"/>
      <c r="G115" s="305"/>
      <c r="H115" s="305"/>
      <c r="I115" s="305"/>
      <c r="J115" s="307"/>
      <c r="K115" s="307"/>
      <c r="L115" s="307"/>
      <c r="M115" s="307"/>
      <c r="N115" s="307"/>
      <c r="O115" s="307"/>
      <c r="P115" s="842"/>
      <c r="R115" s="746">
        <v>10</v>
      </c>
      <c r="S115" s="849"/>
      <c r="T115" s="1998"/>
      <c r="U115" s="1998"/>
      <c r="V115" s="850"/>
      <c r="W115" s="850"/>
      <c r="X115" s="851"/>
      <c r="Y115" s="746">
        <v>10</v>
      </c>
      <c r="Z115" s="849" t="s">
        <v>1129</v>
      </c>
      <c r="AA115" s="855"/>
      <c r="AB115" s="850" t="s">
        <v>1130</v>
      </c>
      <c r="AC115" s="850" t="s">
        <v>680</v>
      </c>
      <c r="AD115" s="853">
        <v>40575</v>
      </c>
      <c r="AH115"/>
      <c r="AI115"/>
      <c r="AJ115"/>
      <c r="AK115"/>
      <c r="AL115"/>
      <c r="AM115"/>
      <c r="AN115"/>
      <c r="AO115"/>
      <c r="AP115"/>
      <c r="AQ115"/>
      <c r="AR115"/>
    </row>
    <row r="116" spans="1:44" ht="12" customHeight="1">
      <c r="A116" s="837">
        <v>13</v>
      </c>
      <c r="B116" s="73"/>
      <c r="C116" s="1966"/>
      <c r="D116" s="1967"/>
      <c r="E116" s="847"/>
      <c r="F116" s="305"/>
      <c r="G116" s="305"/>
      <c r="H116" s="305"/>
      <c r="I116" s="305"/>
      <c r="J116" s="307"/>
      <c r="K116" s="307"/>
      <c r="L116" s="307"/>
      <c r="M116" s="307"/>
      <c r="N116" s="307"/>
      <c r="O116" s="307"/>
      <c r="P116" s="842"/>
      <c r="R116" s="746">
        <v>11</v>
      </c>
      <c r="S116" s="849"/>
      <c r="T116" s="1998"/>
      <c r="U116" s="1998"/>
      <c r="V116" s="850"/>
      <c r="W116" s="850"/>
      <c r="X116" s="851"/>
      <c r="Y116" s="746">
        <v>11</v>
      </c>
      <c r="Z116" s="84"/>
      <c r="AA116" s="855"/>
      <c r="AB116" s="84"/>
      <c r="AC116" s="84"/>
      <c r="AD116" s="111"/>
      <c r="AH116"/>
      <c r="AI116"/>
      <c r="AJ116"/>
      <c r="AK116"/>
      <c r="AL116"/>
      <c r="AM116"/>
      <c r="AN116"/>
      <c r="AO116"/>
      <c r="AP116"/>
      <c r="AQ116"/>
      <c r="AR116"/>
    </row>
    <row r="117" spans="1:44" ht="12" customHeight="1">
      <c r="A117" s="843">
        <v>14</v>
      </c>
      <c r="B117" s="73"/>
      <c r="C117" s="1966"/>
      <c r="D117" s="1967"/>
      <c r="E117" s="847"/>
      <c r="F117" s="305"/>
      <c r="G117" s="305"/>
      <c r="H117" s="305"/>
      <c r="I117" s="305"/>
      <c r="J117" s="307"/>
      <c r="K117" s="307"/>
      <c r="L117" s="307"/>
      <c r="M117" s="307"/>
      <c r="N117" s="307"/>
      <c r="O117" s="307"/>
      <c r="P117" s="842"/>
      <c r="R117" s="848">
        <v>12</v>
      </c>
      <c r="S117" s="849"/>
      <c r="T117" s="1998"/>
      <c r="U117" s="1998"/>
      <c r="V117" s="850"/>
      <c r="W117" s="850"/>
      <c r="X117" s="851"/>
      <c r="Y117" s="848">
        <v>12</v>
      </c>
      <c r="Z117" s="84"/>
      <c r="AA117" s="855"/>
      <c r="AB117" s="84"/>
      <c r="AC117" s="84"/>
      <c r="AD117" s="111"/>
      <c r="AH117"/>
      <c r="AI117"/>
      <c r="AJ117"/>
      <c r="AK117"/>
      <c r="AL117"/>
      <c r="AM117"/>
      <c r="AN117"/>
      <c r="AO117"/>
      <c r="AP117"/>
      <c r="AQ117"/>
      <c r="AR117"/>
    </row>
    <row r="118" spans="1:44" ht="12" customHeight="1">
      <c r="A118" s="843">
        <v>15</v>
      </c>
      <c r="B118" s="73"/>
      <c r="C118" s="1966"/>
      <c r="D118" s="1967"/>
      <c r="E118" s="847"/>
      <c r="F118" s="305"/>
      <c r="G118" s="305"/>
      <c r="H118" s="305"/>
      <c r="I118" s="305"/>
      <c r="J118" s="307"/>
      <c r="K118" s="307"/>
      <c r="L118" s="307"/>
      <c r="M118" s="307"/>
      <c r="N118" s="307"/>
      <c r="O118" s="307"/>
      <c r="P118" s="842"/>
      <c r="R118" s="848">
        <v>13</v>
      </c>
      <c r="S118" s="84"/>
      <c r="T118" s="1998"/>
      <c r="U118" s="1998"/>
      <c r="V118" s="850"/>
      <c r="W118" s="850"/>
      <c r="X118" s="851"/>
      <c r="Y118" s="848">
        <v>13</v>
      </c>
      <c r="Z118" s="84"/>
      <c r="AA118" s="855"/>
      <c r="AB118" s="84"/>
      <c r="AC118" s="84"/>
      <c r="AD118" s="111"/>
      <c r="AH118"/>
      <c r="AI118"/>
      <c r="AJ118"/>
      <c r="AK118"/>
      <c r="AL118"/>
      <c r="AM118"/>
      <c r="AN118"/>
      <c r="AO118"/>
      <c r="AP118"/>
      <c r="AQ118"/>
      <c r="AR118"/>
    </row>
    <row r="119" spans="1:44" ht="12" customHeight="1">
      <c r="A119" s="837">
        <v>16</v>
      </c>
      <c r="B119" s="73"/>
      <c r="C119" s="1966"/>
      <c r="D119" s="1967"/>
      <c r="E119" s="847"/>
      <c r="F119" s="305"/>
      <c r="G119" s="305"/>
      <c r="H119" s="305"/>
      <c r="I119" s="305"/>
      <c r="J119" s="307"/>
      <c r="K119" s="307"/>
      <c r="L119" s="307"/>
      <c r="M119" s="307"/>
      <c r="N119" s="307"/>
      <c r="O119" s="307"/>
      <c r="P119" s="842"/>
      <c r="R119" s="746">
        <v>14</v>
      </c>
      <c r="S119" s="84"/>
      <c r="T119" s="1998"/>
      <c r="U119" s="1998"/>
      <c r="V119" s="84"/>
      <c r="W119" s="84"/>
      <c r="X119" s="84"/>
      <c r="Y119" s="746">
        <v>14</v>
      </c>
      <c r="Z119" s="84"/>
      <c r="AA119" s="855"/>
      <c r="AB119" s="84"/>
      <c r="AC119" s="84"/>
      <c r="AD119" s="111"/>
      <c r="AH119"/>
      <c r="AI119"/>
      <c r="AJ119"/>
      <c r="AK119"/>
      <c r="AL119"/>
      <c r="AM119"/>
      <c r="AN119"/>
      <c r="AO119"/>
      <c r="AP119"/>
      <c r="AQ119"/>
      <c r="AR119"/>
    </row>
    <row r="120" spans="1:44" ht="12" customHeight="1">
      <c r="A120" s="843">
        <v>17</v>
      </c>
      <c r="B120" s="73"/>
      <c r="C120" s="1966"/>
      <c r="D120" s="1967"/>
      <c r="E120" s="847"/>
      <c r="F120" s="305"/>
      <c r="G120" s="305"/>
      <c r="H120" s="305"/>
      <c r="I120" s="305"/>
      <c r="J120" s="307"/>
      <c r="K120" s="307"/>
      <c r="L120" s="307"/>
      <c r="M120" s="307"/>
      <c r="N120" s="307"/>
      <c r="O120" s="307"/>
      <c r="P120" s="842"/>
      <c r="R120" s="746">
        <v>15</v>
      </c>
      <c r="S120" s="84"/>
      <c r="T120" s="1998"/>
      <c r="U120" s="1998"/>
      <c r="V120" s="84"/>
      <c r="W120" s="84"/>
      <c r="X120" s="84"/>
      <c r="Y120" s="746">
        <v>15</v>
      </c>
      <c r="Z120" s="84"/>
      <c r="AA120" s="855"/>
      <c r="AB120" s="84"/>
      <c r="AC120" s="84"/>
      <c r="AD120" s="111"/>
      <c r="AH120"/>
      <c r="AI120"/>
      <c r="AJ120"/>
      <c r="AK120"/>
      <c r="AL120"/>
      <c r="AM120"/>
      <c r="AN120"/>
      <c r="AO120"/>
      <c r="AP120"/>
      <c r="AQ120"/>
      <c r="AR120"/>
    </row>
    <row r="121" spans="1:44" ht="12" customHeight="1">
      <c r="A121" s="843">
        <v>18</v>
      </c>
      <c r="B121" s="73"/>
      <c r="C121" s="1966"/>
      <c r="D121" s="1967"/>
      <c r="E121" s="847"/>
      <c r="F121" s="305"/>
      <c r="G121" s="305"/>
      <c r="H121" s="305"/>
      <c r="I121" s="305"/>
      <c r="J121" s="307"/>
      <c r="K121" s="307"/>
      <c r="L121" s="307"/>
      <c r="M121" s="307"/>
      <c r="N121" s="307"/>
      <c r="O121" s="307"/>
      <c r="P121" s="842"/>
      <c r="R121" s="848">
        <v>16</v>
      </c>
      <c r="S121" s="84"/>
      <c r="T121" s="1998"/>
      <c r="U121" s="1998"/>
      <c r="V121" s="84"/>
      <c r="W121" s="84"/>
      <c r="X121" s="84"/>
      <c r="Y121" s="848">
        <v>16</v>
      </c>
      <c r="Z121" s="84"/>
      <c r="AA121" s="855"/>
      <c r="AB121" s="84"/>
      <c r="AC121" s="84"/>
      <c r="AD121" s="111"/>
      <c r="AH121"/>
      <c r="AI121"/>
      <c r="AJ121"/>
      <c r="AK121"/>
      <c r="AL121"/>
      <c r="AM121"/>
      <c r="AN121"/>
      <c r="AO121"/>
      <c r="AP121"/>
      <c r="AQ121"/>
      <c r="AR121"/>
    </row>
    <row r="122" spans="1:44" ht="12" customHeight="1">
      <c r="A122" s="837">
        <v>19</v>
      </c>
      <c r="B122" s="73"/>
      <c r="C122" s="1966"/>
      <c r="D122" s="1967"/>
      <c r="E122" s="847"/>
      <c r="F122" s="305"/>
      <c r="G122" s="305"/>
      <c r="H122" s="305"/>
      <c r="I122" s="305"/>
      <c r="J122" s="307"/>
      <c r="K122" s="307"/>
      <c r="L122" s="307"/>
      <c r="M122" s="307"/>
      <c r="N122" s="307"/>
      <c r="O122" s="307"/>
      <c r="P122" s="842"/>
      <c r="R122" s="848">
        <v>17</v>
      </c>
      <c r="S122" s="84"/>
      <c r="T122" s="1998"/>
      <c r="U122" s="1998"/>
      <c r="V122" s="84"/>
      <c r="W122" s="84"/>
      <c r="X122" s="84"/>
      <c r="Y122" s="848">
        <v>17</v>
      </c>
      <c r="Z122" s="84"/>
      <c r="AA122" s="855"/>
      <c r="AB122" s="84"/>
      <c r="AC122" s="84"/>
      <c r="AD122" s="111"/>
      <c r="AE122" s="2"/>
      <c r="AF122" s="2"/>
      <c r="AG122" s="2"/>
      <c r="AH122"/>
      <c r="AI122"/>
      <c r="AJ122"/>
      <c r="AK122"/>
      <c r="AL122"/>
      <c r="AM122"/>
      <c r="AN122"/>
      <c r="AO122"/>
      <c r="AP122"/>
      <c r="AQ122"/>
      <c r="AR122"/>
    </row>
    <row r="123" spans="1:44" ht="12" customHeight="1">
      <c r="A123" s="843">
        <v>20</v>
      </c>
      <c r="B123" s="73"/>
      <c r="C123" s="1966"/>
      <c r="D123" s="1967"/>
      <c r="E123" s="847"/>
      <c r="F123" s="305"/>
      <c r="G123" s="305"/>
      <c r="H123" s="305"/>
      <c r="I123" s="305"/>
      <c r="J123" s="307"/>
      <c r="K123" s="307"/>
      <c r="L123" s="307"/>
      <c r="M123" s="307"/>
      <c r="N123" s="307"/>
      <c r="O123" s="307"/>
      <c r="P123" s="842"/>
      <c r="R123" s="746">
        <v>18</v>
      </c>
      <c r="S123" s="84"/>
      <c r="T123" s="1998"/>
      <c r="U123" s="1998"/>
      <c r="V123" s="84"/>
      <c r="W123" s="84"/>
      <c r="X123" s="84"/>
      <c r="Y123" s="746">
        <v>18</v>
      </c>
      <c r="Z123" s="84"/>
      <c r="AA123" s="855"/>
      <c r="AB123" s="84"/>
      <c r="AC123" s="84"/>
      <c r="AD123" s="111"/>
      <c r="AE123" s="2"/>
      <c r="AF123" s="2"/>
      <c r="AG123" s="2"/>
      <c r="AH123"/>
      <c r="AI123"/>
      <c r="AJ123"/>
      <c r="AK123"/>
      <c r="AL123"/>
      <c r="AM123"/>
      <c r="AN123"/>
      <c r="AO123"/>
      <c r="AP123"/>
      <c r="AQ123"/>
      <c r="AR123"/>
    </row>
    <row r="124" spans="1:44" ht="12" customHeight="1" thickBot="1">
      <c r="A124" s="843">
        <v>21</v>
      </c>
      <c r="B124" s="73"/>
      <c r="C124" s="1966"/>
      <c r="D124" s="1967"/>
      <c r="E124" s="847"/>
      <c r="F124" s="305"/>
      <c r="G124" s="305"/>
      <c r="H124" s="305"/>
      <c r="I124" s="305"/>
      <c r="J124" s="307"/>
      <c r="K124" s="307"/>
      <c r="L124" s="307"/>
      <c r="M124" s="307"/>
      <c r="N124" s="307"/>
      <c r="O124" s="307"/>
      <c r="P124" s="842"/>
      <c r="R124" s="858">
        <v>19</v>
      </c>
      <c r="S124" s="269"/>
      <c r="T124" s="1999"/>
      <c r="U124" s="1999"/>
      <c r="V124" s="269"/>
      <c r="W124" s="269"/>
      <c r="X124" s="269"/>
      <c r="Y124" s="858">
        <v>19</v>
      </c>
      <c r="Z124" s="269"/>
      <c r="AA124" s="859"/>
      <c r="AB124" s="269"/>
      <c r="AC124" s="269"/>
      <c r="AD124" s="743"/>
      <c r="AE124" s="2"/>
      <c r="AF124" s="2"/>
      <c r="AG124" s="2"/>
      <c r="AH124"/>
      <c r="AI124"/>
      <c r="AJ124"/>
      <c r="AK124"/>
      <c r="AL124"/>
      <c r="AM124"/>
      <c r="AN124"/>
      <c r="AO124"/>
      <c r="AP124"/>
      <c r="AQ124"/>
      <c r="AR124"/>
    </row>
    <row r="125" spans="1:44" ht="12" customHeight="1" thickBot="1">
      <c r="A125" s="837">
        <v>22</v>
      </c>
      <c r="B125" s="73"/>
      <c r="C125" s="1966"/>
      <c r="D125" s="1967"/>
      <c r="E125" s="847"/>
      <c r="F125" s="305"/>
      <c r="G125" s="305"/>
      <c r="H125" s="305"/>
      <c r="I125" s="305"/>
      <c r="J125" s="307"/>
      <c r="K125" s="307"/>
      <c r="L125" s="307"/>
      <c r="M125" s="307"/>
      <c r="N125" s="307"/>
      <c r="O125" s="307"/>
      <c r="P125" s="842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2"/>
      <c r="AF125" s="2"/>
      <c r="AG125" s="2"/>
      <c r="AH125"/>
      <c r="AI125"/>
      <c r="AJ125"/>
      <c r="AK125"/>
      <c r="AL125"/>
      <c r="AM125"/>
      <c r="AN125"/>
      <c r="AO125"/>
      <c r="AP125"/>
      <c r="AQ125"/>
      <c r="AR125"/>
    </row>
    <row r="126" spans="1:44" ht="12" customHeight="1">
      <c r="A126" s="843">
        <v>23</v>
      </c>
      <c r="B126" s="73"/>
      <c r="C126" s="1966"/>
      <c r="D126" s="1967"/>
      <c r="E126" s="847"/>
      <c r="F126" s="305"/>
      <c r="G126" s="305"/>
      <c r="H126" s="305"/>
      <c r="I126" s="305"/>
      <c r="J126" s="307"/>
      <c r="K126" s="307"/>
      <c r="L126" s="307"/>
      <c r="M126" s="307"/>
      <c r="N126" s="307"/>
      <c r="O126" s="307"/>
      <c r="P126" s="842"/>
      <c r="R126" s="860" t="s">
        <v>681</v>
      </c>
      <c r="S126" s="775"/>
      <c r="T126" s="775"/>
      <c r="U126" s="775"/>
      <c r="V126" s="775"/>
      <c r="W126" s="775"/>
      <c r="X126" s="776"/>
      <c r="Y126" s="351" t="s">
        <v>682</v>
      </c>
      <c r="Z126" s="352"/>
      <c r="AA126" s="352"/>
      <c r="AB126" s="352"/>
      <c r="AC126" s="352"/>
      <c r="AD126" s="353"/>
      <c r="AE126" s="2"/>
      <c r="AF126" s="2"/>
      <c r="AG126" s="2"/>
      <c r="AH126"/>
      <c r="AI126"/>
      <c r="AJ126"/>
      <c r="AK126"/>
      <c r="AL126"/>
      <c r="AM126"/>
      <c r="AN126"/>
      <c r="AO126"/>
      <c r="AP126"/>
      <c r="AQ126"/>
      <c r="AR126"/>
    </row>
    <row r="127" spans="1:44" ht="12" customHeight="1" thickBot="1">
      <c r="A127" s="843">
        <v>24</v>
      </c>
      <c r="B127" s="73"/>
      <c r="C127" s="1968"/>
      <c r="D127" s="1969"/>
      <c r="E127" s="305"/>
      <c r="F127" s="305"/>
      <c r="G127" s="305"/>
      <c r="H127" s="305"/>
      <c r="I127" s="305"/>
      <c r="J127" s="307"/>
      <c r="K127" s="307"/>
      <c r="L127" s="307"/>
      <c r="M127" s="307"/>
      <c r="N127" s="307"/>
      <c r="O127" s="305"/>
      <c r="P127" s="742"/>
      <c r="R127" s="772" t="s">
        <v>683</v>
      </c>
      <c r="S127" s="773"/>
      <c r="T127" s="773"/>
      <c r="U127" s="773"/>
      <c r="V127" s="773"/>
      <c r="W127" s="773"/>
      <c r="X127" s="774"/>
      <c r="Y127" s="354" t="s">
        <v>684</v>
      </c>
      <c r="Z127" s="90"/>
      <c r="AA127" s="90"/>
      <c r="AB127" s="90"/>
      <c r="AC127" s="90"/>
      <c r="AD127" s="355"/>
      <c r="AE127" s="2"/>
      <c r="AF127" s="2"/>
      <c r="AG127" s="2"/>
      <c r="AH127"/>
      <c r="AI127"/>
      <c r="AJ127"/>
      <c r="AK127"/>
      <c r="AL127"/>
      <c r="AM127"/>
      <c r="AN127"/>
      <c r="AO127"/>
      <c r="AP127"/>
      <c r="AQ127"/>
      <c r="AR127"/>
    </row>
    <row r="128" spans="1:44" ht="12" customHeight="1" thickBot="1">
      <c r="A128" s="1970" t="s">
        <v>687</v>
      </c>
      <c r="B128" s="1971"/>
      <c r="C128" s="1971"/>
      <c r="D128" s="1971"/>
      <c r="E128" s="1971"/>
      <c r="F128" s="1971"/>
      <c r="G128" s="1972"/>
      <c r="H128" s="861">
        <f t="shared" ref="H128:P128" si="39">SUM(H104:H127)</f>
        <v>316600</v>
      </c>
      <c r="I128" s="861">
        <f t="shared" si="39"/>
        <v>300700</v>
      </c>
      <c r="J128" s="861">
        <f t="shared" si="39"/>
        <v>73671.5</v>
      </c>
      <c r="K128" s="861">
        <f t="shared" si="39"/>
        <v>45105</v>
      </c>
      <c r="L128" s="861">
        <f t="shared" si="39"/>
        <v>28566.5</v>
      </c>
      <c r="M128" s="861">
        <f t="shared" si="39"/>
        <v>0</v>
      </c>
      <c r="N128" s="861">
        <f t="shared" si="39"/>
        <v>10223.799999999997</v>
      </c>
      <c r="O128" s="861">
        <f t="shared" si="39"/>
        <v>316600</v>
      </c>
      <c r="P128" s="861">
        <f t="shared" si="39"/>
        <v>24660</v>
      </c>
      <c r="R128" s="772" t="s">
        <v>685</v>
      </c>
      <c r="S128" s="773"/>
      <c r="T128" s="773"/>
      <c r="U128" s="773"/>
      <c r="V128" s="773"/>
      <c r="W128" s="773"/>
      <c r="X128" s="774"/>
      <c r="Y128" s="354" t="s">
        <v>686</v>
      </c>
      <c r="Z128" s="90"/>
      <c r="AA128" s="90"/>
      <c r="AB128" s="90"/>
      <c r="AC128" s="90"/>
      <c r="AD128" s="355"/>
      <c r="AE128" s="2"/>
      <c r="AF128" s="2"/>
      <c r="AG128" s="2"/>
      <c r="AH128"/>
      <c r="AI128"/>
      <c r="AJ128"/>
      <c r="AK128"/>
      <c r="AL128"/>
      <c r="AM128"/>
      <c r="AN128"/>
      <c r="AO128"/>
      <c r="AP128"/>
      <c r="AQ128"/>
      <c r="AR128"/>
    </row>
    <row r="129" spans="1:44" ht="12" customHeight="1" thickBot="1">
      <c r="A129" s="1973" t="s">
        <v>690</v>
      </c>
      <c r="B129" s="1974"/>
      <c r="C129" s="1974"/>
      <c r="D129" s="1974"/>
      <c r="E129" s="1974"/>
      <c r="F129" s="1974"/>
      <c r="G129" s="1975"/>
      <c r="H129" s="862"/>
      <c r="I129" s="863"/>
      <c r="J129" s="863"/>
      <c r="K129" s="863"/>
      <c r="L129" s="863"/>
      <c r="M129" s="863"/>
      <c r="N129" s="863"/>
      <c r="O129" s="863"/>
      <c r="P129" s="864"/>
      <c r="R129" s="1992" t="s">
        <v>688</v>
      </c>
      <c r="S129" s="1993"/>
      <c r="T129" s="1993"/>
      <c r="U129" s="1993"/>
      <c r="V129" s="1993"/>
      <c r="W129" s="1993"/>
      <c r="X129" s="1994"/>
      <c r="Y129" s="354" t="s">
        <v>689</v>
      </c>
      <c r="Z129" s="90"/>
      <c r="AA129" s="90"/>
      <c r="AB129" s="90"/>
      <c r="AC129" s="90"/>
      <c r="AD129" s="355"/>
      <c r="AE129" s="2"/>
      <c r="AF129" s="2"/>
      <c r="AG129" s="2"/>
      <c r="AH129"/>
      <c r="AI129"/>
      <c r="AJ129"/>
      <c r="AK129"/>
      <c r="AL129"/>
      <c r="AM129"/>
      <c r="AN129"/>
      <c r="AO129"/>
      <c r="AP129"/>
      <c r="AQ129"/>
      <c r="AR129"/>
    </row>
    <row r="130" spans="1:44" ht="12" customHeight="1" thickBot="1">
      <c r="A130" s="1976" t="s">
        <v>693</v>
      </c>
      <c r="B130" s="1977"/>
      <c r="C130" s="1977"/>
      <c r="D130" s="1977"/>
      <c r="E130" s="1977"/>
      <c r="F130" s="1977"/>
      <c r="G130" s="1978"/>
      <c r="H130" s="861">
        <f t="shared" ref="H130:P130" si="40">SUM(H128:H129)</f>
        <v>316600</v>
      </c>
      <c r="I130" s="861">
        <f t="shared" si="40"/>
        <v>300700</v>
      </c>
      <c r="J130" s="861">
        <f t="shared" si="40"/>
        <v>73671.5</v>
      </c>
      <c r="K130" s="861">
        <f t="shared" si="40"/>
        <v>45105</v>
      </c>
      <c r="L130" s="861">
        <f t="shared" si="40"/>
        <v>28566.5</v>
      </c>
      <c r="M130" s="861">
        <f t="shared" si="40"/>
        <v>0</v>
      </c>
      <c r="N130" s="861">
        <f t="shared" si="40"/>
        <v>10223.799999999997</v>
      </c>
      <c r="O130" s="861">
        <f t="shared" si="40"/>
        <v>316600</v>
      </c>
      <c r="P130" s="861">
        <f t="shared" si="40"/>
        <v>24660</v>
      </c>
      <c r="R130" s="1995" t="s">
        <v>691</v>
      </c>
      <c r="S130" s="1996"/>
      <c r="T130" s="1996"/>
      <c r="U130" s="1996"/>
      <c r="V130" s="1996"/>
      <c r="W130" s="1996"/>
      <c r="X130" s="1997"/>
      <c r="Y130" s="354"/>
      <c r="Z130" s="90"/>
      <c r="AA130" s="89" t="s">
        <v>692</v>
      </c>
      <c r="AB130" s="90"/>
      <c r="AC130" s="90"/>
      <c r="AD130" s="355"/>
      <c r="AE130" s="2"/>
      <c r="AF130" s="2"/>
      <c r="AG130" s="2"/>
      <c r="AH130"/>
      <c r="AI130"/>
      <c r="AJ130"/>
      <c r="AK130"/>
      <c r="AL130"/>
      <c r="AM130"/>
      <c r="AN130"/>
      <c r="AO130"/>
      <c r="AP130"/>
      <c r="AQ130"/>
      <c r="AR130"/>
    </row>
    <row r="131" spans="1:44" ht="12" customHeight="1" thickBot="1">
      <c r="A131" s="865"/>
      <c r="B131" s="866"/>
      <c r="C131" s="866"/>
      <c r="D131" s="866"/>
      <c r="E131" s="866"/>
      <c r="F131" s="866"/>
      <c r="G131" s="866"/>
      <c r="H131" s="867"/>
      <c r="I131" s="867"/>
      <c r="J131" s="867"/>
      <c r="K131" s="867"/>
      <c r="L131" s="867"/>
      <c r="M131" s="867"/>
      <c r="N131" s="867"/>
      <c r="O131" s="867"/>
      <c r="P131" s="868"/>
      <c r="R131" s="1992" t="s">
        <v>1173</v>
      </c>
      <c r="S131" s="1993"/>
      <c r="T131" s="1993"/>
      <c r="U131" s="1993"/>
      <c r="V131" s="1993"/>
      <c r="W131" s="1993"/>
      <c r="X131" s="1994"/>
      <c r="Y131" s="354" t="s">
        <v>695</v>
      </c>
      <c r="Z131" s="90"/>
      <c r="AA131" s="90"/>
      <c r="AB131" s="90"/>
      <c r="AC131" s="90"/>
      <c r="AD131" s="355"/>
      <c r="AE131" s="2"/>
      <c r="AF131" s="2"/>
      <c r="AG131" s="2"/>
      <c r="AH131"/>
      <c r="AI131"/>
      <c r="AJ131"/>
      <c r="AK131"/>
      <c r="AL131"/>
      <c r="AM131"/>
      <c r="AN131"/>
      <c r="AO131"/>
      <c r="AP131"/>
      <c r="AQ131"/>
      <c r="AR131"/>
    </row>
    <row r="132" spans="1:44" ht="12" customHeight="1">
      <c r="A132" s="869"/>
      <c r="B132" s="870" t="s">
        <v>698</v>
      </c>
      <c r="C132" s="871"/>
      <c r="D132" s="871"/>
      <c r="E132" s="871"/>
      <c r="F132" s="871"/>
      <c r="G132" s="871"/>
      <c r="H132" s="872" t="s">
        <v>699</v>
      </c>
      <c r="I132" s="871"/>
      <c r="J132" s="871"/>
      <c r="K132" s="871"/>
      <c r="L132" s="871"/>
      <c r="M132" s="871"/>
      <c r="N132" s="871"/>
      <c r="O132" s="871"/>
      <c r="P132" s="873"/>
      <c r="R132" s="1992" t="s">
        <v>696</v>
      </c>
      <c r="S132" s="1993"/>
      <c r="T132" s="1993"/>
      <c r="U132" s="1993"/>
      <c r="V132" s="1993"/>
      <c r="W132" s="1993"/>
      <c r="X132" s="1994"/>
      <c r="Y132" s="354" t="s">
        <v>697</v>
      </c>
      <c r="Z132" s="90"/>
      <c r="AA132" s="90"/>
      <c r="AB132" s="90"/>
      <c r="AC132" s="90"/>
      <c r="AD132" s="355"/>
      <c r="AH132"/>
      <c r="AI132"/>
      <c r="AJ132"/>
      <c r="AK132"/>
      <c r="AL132"/>
      <c r="AM132"/>
      <c r="AN132"/>
      <c r="AO132"/>
      <c r="AP132"/>
      <c r="AQ132"/>
      <c r="AR132"/>
    </row>
    <row r="133" spans="1:44" ht="12" customHeight="1">
      <c r="A133" s="874" t="s">
        <v>1157</v>
      </c>
      <c r="B133" s="875"/>
      <c r="C133" s="875"/>
      <c r="D133" s="875"/>
      <c r="E133" s="875"/>
      <c r="F133" s="875"/>
      <c r="G133" s="875"/>
      <c r="H133" s="876" t="s">
        <v>700</v>
      </c>
      <c r="I133" s="875"/>
      <c r="J133" s="875"/>
      <c r="K133" s="875"/>
      <c r="L133" s="875"/>
      <c r="M133" s="875"/>
      <c r="N133" s="875"/>
      <c r="O133" s="875"/>
      <c r="P133" s="877"/>
      <c r="R133" s="1992"/>
      <c r="S133" s="1993"/>
      <c r="T133" s="1993"/>
      <c r="U133" s="1993"/>
      <c r="V133" s="1993"/>
      <c r="W133" s="1993"/>
      <c r="X133" s="1994"/>
      <c r="Y133" s="354"/>
      <c r="Z133" s="90" t="s">
        <v>694</v>
      </c>
      <c r="AA133" s="90"/>
      <c r="AB133" s="90"/>
      <c r="AC133" s="90"/>
      <c r="AD133" s="355"/>
      <c r="AH133"/>
      <c r="AI133"/>
      <c r="AJ133"/>
      <c r="AK133"/>
      <c r="AL133"/>
      <c r="AM133"/>
      <c r="AN133"/>
      <c r="AO133"/>
      <c r="AP133"/>
      <c r="AQ133"/>
      <c r="AR133"/>
    </row>
    <row r="134" spans="1:44" ht="12" customHeight="1" thickBot="1">
      <c r="A134" s="874" t="s">
        <v>1158</v>
      </c>
      <c r="B134" s="875"/>
      <c r="C134" s="875"/>
      <c r="D134" s="875"/>
      <c r="E134" s="875"/>
      <c r="F134" s="875"/>
      <c r="G134" s="875"/>
      <c r="H134" s="45" t="s">
        <v>701</v>
      </c>
      <c r="I134" s="875"/>
      <c r="J134" s="875"/>
      <c r="K134" s="875"/>
      <c r="L134" s="875"/>
      <c r="M134" s="875"/>
      <c r="N134" s="875"/>
      <c r="O134" s="875"/>
      <c r="P134" s="877"/>
      <c r="R134" s="2000"/>
      <c r="S134" s="2001"/>
      <c r="T134" s="2001"/>
      <c r="U134" s="2001"/>
      <c r="V134" s="2001"/>
      <c r="W134" s="2001"/>
      <c r="X134" s="2002"/>
      <c r="Y134" s="357"/>
      <c r="Z134" s="358"/>
      <c r="AA134" s="358"/>
      <c r="AB134" s="358"/>
      <c r="AC134" s="358"/>
      <c r="AD134" s="359"/>
      <c r="AH134"/>
      <c r="AI134"/>
      <c r="AJ134"/>
      <c r="AK134"/>
      <c r="AL134"/>
      <c r="AM134"/>
      <c r="AN134"/>
      <c r="AO134"/>
      <c r="AP134"/>
      <c r="AQ134"/>
      <c r="AR134"/>
    </row>
    <row r="135" spans="1:44" ht="12" customHeight="1">
      <c r="A135" s="874" t="s">
        <v>702</v>
      </c>
      <c r="B135" s="875"/>
      <c r="C135" s="1"/>
      <c r="D135" s="875"/>
      <c r="E135" s="875"/>
      <c r="F135" s="875"/>
      <c r="G135" s="875"/>
      <c r="H135" s="876" t="s">
        <v>703</v>
      </c>
      <c r="I135" s="875"/>
      <c r="J135" s="875"/>
      <c r="K135" s="875"/>
      <c r="L135" s="875"/>
      <c r="M135" s="875"/>
      <c r="N135" s="875"/>
      <c r="O135" s="875"/>
      <c r="P135" s="877"/>
      <c r="AH135"/>
      <c r="AI135"/>
      <c r="AJ135"/>
      <c r="AK135"/>
      <c r="AL135"/>
      <c r="AM135"/>
      <c r="AN135"/>
      <c r="AO135"/>
      <c r="AP135"/>
      <c r="AQ135"/>
      <c r="AR135"/>
    </row>
    <row r="136" spans="1:44" ht="12" customHeight="1">
      <c r="A136" s="874"/>
      <c r="B136" s="875"/>
      <c r="C136" s="875"/>
      <c r="D136" s="875"/>
      <c r="E136" s="875"/>
      <c r="F136" s="875"/>
      <c r="G136" s="875"/>
      <c r="H136" s="876" t="s">
        <v>704</v>
      </c>
      <c r="I136" s="875"/>
      <c r="J136" s="875"/>
      <c r="K136" s="875"/>
      <c r="L136" s="875"/>
      <c r="M136" s="875"/>
      <c r="N136" s="875"/>
      <c r="O136" s="875"/>
      <c r="P136" s="877"/>
      <c r="AH136"/>
      <c r="AI136"/>
      <c r="AJ136"/>
      <c r="AK136"/>
      <c r="AL136"/>
      <c r="AM136"/>
      <c r="AN136"/>
      <c r="AO136"/>
      <c r="AP136"/>
      <c r="AQ136"/>
      <c r="AR136"/>
    </row>
    <row r="137" spans="1:44" ht="12" customHeight="1">
      <c r="A137" s="874"/>
      <c r="B137" s="878" t="s">
        <v>705</v>
      </c>
      <c r="C137" s="875"/>
      <c r="D137" s="875"/>
      <c r="E137" s="875"/>
      <c r="F137" s="875"/>
      <c r="G137" s="875"/>
      <c r="H137" s="45" t="s">
        <v>706</v>
      </c>
      <c r="I137" s="875"/>
      <c r="J137" s="875"/>
      <c r="K137" s="875"/>
      <c r="L137" s="875"/>
      <c r="M137" s="875"/>
      <c r="N137" s="875"/>
      <c r="O137" s="875"/>
      <c r="P137" s="877"/>
      <c r="AH137"/>
      <c r="AI137"/>
      <c r="AJ137"/>
      <c r="AK137"/>
      <c r="AL137"/>
      <c r="AM137"/>
      <c r="AN137"/>
      <c r="AO137"/>
      <c r="AP137"/>
      <c r="AQ137"/>
      <c r="AR137"/>
    </row>
    <row r="138" spans="1:44" ht="12" customHeight="1">
      <c r="A138" s="874"/>
      <c r="B138" s="875" t="s">
        <v>1159</v>
      </c>
      <c r="C138" s="875"/>
      <c r="D138" s="875"/>
      <c r="E138" s="875"/>
      <c r="F138" s="875"/>
      <c r="G138" s="875"/>
      <c r="H138" s="45"/>
      <c r="I138" s="875"/>
      <c r="J138" s="875"/>
      <c r="K138" s="879" t="s">
        <v>707</v>
      </c>
      <c r="L138" s="875"/>
      <c r="M138" s="875"/>
      <c r="N138" s="875"/>
      <c r="O138" s="875"/>
      <c r="P138" s="877"/>
      <c r="AH138"/>
      <c r="AI138"/>
      <c r="AJ138"/>
      <c r="AK138"/>
      <c r="AL138"/>
      <c r="AM138"/>
      <c r="AN138"/>
      <c r="AO138"/>
      <c r="AP138"/>
      <c r="AQ138"/>
      <c r="AR138"/>
    </row>
    <row r="139" spans="1:44" ht="12" customHeight="1">
      <c r="A139" s="874"/>
      <c r="B139" s="875"/>
      <c r="C139" s="875"/>
      <c r="D139" s="875" t="s">
        <v>708</v>
      </c>
      <c r="E139" s="875"/>
      <c r="F139" s="875"/>
      <c r="G139" s="875"/>
      <c r="H139" s="876" t="s">
        <v>709</v>
      </c>
      <c r="I139" s="875"/>
      <c r="J139" s="875"/>
      <c r="K139" s="875"/>
      <c r="L139" s="875"/>
      <c r="M139" s="875"/>
      <c r="N139" s="875"/>
      <c r="O139" s="875"/>
      <c r="P139" s="877"/>
      <c r="AH139"/>
      <c r="AI139"/>
      <c r="AJ139"/>
      <c r="AK139"/>
      <c r="AL139"/>
      <c r="AM139"/>
      <c r="AN139"/>
      <c r="AO139"/>
      <c r="AP139"/>
      <c r="AQ139"/>
      <c r="AR139"/>
    </row>
    <row r="140" spans="1:44" ht="12" customHeight="1">
      <c r="A140" s="874"/>
      <c r="B140" s="875"/>
      <c r="C140" s="875"/>
      <c r="D140" s="875"/>
      <c r="E140" s="875"/>
      <c r="F140" s="875"/>
      <c r="G140" s="875"/>
      <c r="H140" s="876"/>
      <c r="I140" s="875" t="s">
        <v>710</v>
      </c>
      <c r="J140" s="875"/>
      <c r="K140" s="875"/>
      <c r="L140" s="875"/>
      <c r="M140" s="875"/>
      <c r="N140" s="875"/>
      <c r="O140" s="875"/>
      <c r="P140" s="877"/>
      <c r="AH140"/>
      <c r="AI140"/>
      <c r="AJ140"/>
      <c r="AK140"/>
      <c r="AL140"/>
      <c r="AM140"/>
      <c r="AN140"/>
      <c r="AO140"/>
      <c r="AP140"/>
      <c r="AQ140"/>
      <c r="AR140"/>
    </row>
    <row r="141" spans="1:44" ht="12" customHeight="1" thickBot="1">
      <c r="A141" s="880"/>
      <c r="B141" s="881"/>
      <c r="C141" s="881"/>
      <c r="D141" s="881"/>
      <c r="E141" s="881"/>
      <c r="F141" s="881"/>
      <c r="G141" s="881"/>
      <c r="H141" s="882"/>
      <c r="I141" s="883" t="s">
        <v>711</v>
      </c>
      <c r="J141" s="881"/>
      <c r="K141" s="881"/>
      <c r="L141" s="881"/>
      <c r="M141" s="881"/>
      <c r="N141" s="881"/>
      <c r="O141" s="881"/>
      <c r="P141" s="884"/>
      <c r="AH141"/>
      <c r="AI141"/>
      <c r="AJ141"/>
      <c r="AK141"/>
      <c r="AL141"/>
      <c r="AM141"/>
      <c r="AN141"/>
      <c r="AO141"/>
      <c r="AP141"/>
      <c r="AQ141"/>
      <c r="AR141"/>
    </row>
    <row r="142" spans="1:44" ht="12" customHeight="1">
      <c r="A142" s="875"/>
      <c r="B142" s="875"/>
      <c r="C142" s="875"/>
      <c r="D142" s="875"/>
      <c r="E142" s="875"/>
      <c r="F142" s="875"/>
      <c r="G142" s="875"/>
      <c r="H142" s="875"/>
      <c r="I142" s="43"/>
      <c r="J142" s="875"/>
      <c r="K142" s="875"/>
      <c r="L142" s="875"/>
      <c r="M142" s="875"/>
      <c r="N142" s="875"/>
      <c r="O142" s="875"/>
      <c r="P142" s="875"/>
      <c r="AH142"/>
      <c r="AI142"/>
      <c r="AJ142"/>
      <c r="AK142"/>
      <c r="AL142"/>
      <c r="AM142"/>
      <c r="AN142"/>
      <c r="AO142"/>
      <c r="AP142"/>
      <c r="AQ142"/>
      <c r="AR142"/>
    </row>
    <row r="143" spans="1:44" ht="12" customHeight="1">
      <c r="A143" s="875"/>
      <c r="B143" s="875"/>
      <c r="C143" s="875"/>
      <c r="D143" s="875"/>
      <c r="E143" s="875"/>
      <c r="F143" s="875"/>
      <c r="G143" s="875"/>
      <c r="H143" s="875"/>
      <c r="I143" s="43"/>
      <c r="J143" s="875"/>
      <c r="K143" s="875"/>
      <c r="L143" s="875"/>
      <c r="M143" s="875"/>
      <c r="N143" s="875"/>
      <c r="O143" s="875"/>
      <c r="P143" s="875"/>
      <c r="AH143"/>
      <c r="AI143"/>
      <c r="AJ143"/>
      <c r="AK143"/>
      <c r="AL143"/>
      <c r="AM143"/>
      <c r="AN143"/>
      <c r="AO143"/>
      <c r="AP143"/>
      <c r="AQ143"/>
      <c r="AR143"/>
    </row>
    <row r="144" spans="1:44" ht="12" customHeight="1">
      <c r="A144" s="875"/>
      <c r="B144" s="875"/>
      <c r="C144" s="875"/>
      <c r="D144" s="875"/>
      <c r="E144" s="875"/>
      <c r="F144" s="875"/>
      <c r="G144" s="875"/>
      <c r="H144" s="875"/>
      <c r="I144" s="43"/>
      <c r="J144" s="875"/>
      <c r="K144" s="875"/>
      <c r="L144" s="875"/>
      <c r="M144" s="875"/>
      <c r="N144" s="875"/>
      <c r="O144" s="875"/>
      <c r="P144" s="875"/>
      <c r="AH144"/>
      <c r="AI144"/>
      <c r="AJ144"/>
      <c r="AK144"/>
      <c r="AL144"/>
      <c r="AM144"/>
      <c r="AN144"/>
      <c r="AO144"/>
      <c r="AP144"/>
      <c r="AQ144"/>
      <c r="AR144"/>
    </row>
    <row r="145" spans="1:44" ht="12" customHeight="1">
      <c r="A145" s="875"/>
      <c r="B145" s="875"/>
      <c r="C145" s="875"/>
      <c r="D145" s="875"/>
      <c r="E145" s="875"/>
      <c r="F145" s="875"/>
      <c r="G145" s="875"/>
      <c r="H145" s="875"/>
      <c r="I145" s="43"/>
      <c r="J145" s="875"/>
      <c r="K145" s="875"/>
      <c r="L145" s="875"/>
      <c r="M145" s="875"/>
      <c r="N145" s="875"/>
      <c r="O145" s="875"/>
      <c r="P145" s="875"/>
      <c r="AH145"/>
      <c r="AI145"/>
      <c r="AJ145"/>
      <c r="AK145"/>
      <c r="AL145"/>
      <c r="AM145"/>
      <c r="AN145"/>
      <c r="AO145"/>
      <c r="AP145"/>
      <c r="AQ145"/>
      <c r="AR145"/>
    </row>
    <row r="146" spans="1:44" ht="12" customHeight="1">
      <c r="A146" s="349" t="s">
        <v>664</v>
      </c>
      <c r="B146" s="349"/>
      <c r="C146" s="349"/>
      <c r="D146" s="349"/>
      <c r="E146" s="349"/>
      <c r="F146" s="349"/>
      <c r="G146" s="349"/>
      <c r="H146" s="349"/>
      <c r="I146" s="349"/>
      <c r="J146" s="349"/>
      <c r="K146" s="349"/>
      <c r="L146" s="349"/>
      <c r="M146" s="349"/>
      <c r="N146" s="349"/>
      <c r="O146" s="349"/>
      <c r="P146" s="349"/>
      <c r="AH146"/>
      <c r="AI146"/>
      <c r="AJ146"/>
      <c r="AK146"/>
      <c r="AL146"/>
      <c r="AM146"/>
      <c r="AN146"/>
      <c r="AO146"/>
      <c r="AP146"/>
      <c r="AQ146"/>
      <c r="AR146"/>
    </row>
    <row r="147" spans="1:44" ht="12" customHeight="1">
      <c r="A147" s="349" t="s">
        <v>1099</v>
      </c>
      <c r="B147" s="349"/>
      <c r="C147" s="349"/>
      <c r="D147" s="349" t="s">
        <v>1100</v>
      </c>
      <c r="E147" s="349"/>
      <c r="F147" s="349"/>
      <c r="G147" s="349"/>
      <c r="H147" s="349"/>
      <c r="I147" s="349" t="s">
        <v>1174</v>
      </c>
      <c r="J147" s="349"/>
      <c r="K147" s="349"/>
      <c r="L147" s="349"/>
      <c r="M147" s="349"/>
      <c r="N147" s="349" t="s">
        <v>1102</v>
      </c>
      <c r="O147" s="349"/>
      <c r="P147" s="349"/>
      <c r="R147" s="349" t="s">
        <v>1103</v>
      </c>
      <c r="S147" s="349"/>
      <c r="T147" s="349"/>
      <c r="U147" s="349"/>
      <c r="V147" s="349"/>
      <c r="W147" s="349"/>
      <c r="X147" s="349"/>
      <c r="Y147" s="349"/>
      <c r="Z147" s="349"/>
      <c r="AA147" s="349"/>
      <c r="AB147" s="349"/>
      <c r="AC147" s="349"/>
      <c r="AD147" s="349"/>
      <c r="AH147"/>
      <c r="AI147"/>
      <c r="AJ147"/>
      <c r="AK147"/>
      <c r="AL147"/>
      <c r="AM147"/>
      <c r="AN147"/>
      <c r="AO147"/>
      <c r="AP147"/>
      <c r="AQ147"/>
      <c r="AR147"/>
    </row>
    <row r="148" spans="1:44" ht="12" customHeight="1" thickBot="1">
      <c r="A148" s="349" t="s">
        <v>665</v>
      </c>
      <c r="B148" s="349"/>
      <c r="C148" s="349"/>
      <c r="D148" s="349"/>
      <c r="E148" s="1979"/>
      <c r="F148" s="1979"/>
      <c r="G148" s="1979"/>
      <c r="H148" s="1979" t="s">
        <v>1104</v>
      </c>
      <c r="I148" s="1979"/>
      <c r="J148" s="1979"/>
      <c r="K148" s="1979"/>
      <c r="L148" s="349"/>
      <c r="M148" s="1979" t="s">
        <v>666</v>
      </c>
      <c r="N148" s="1979"/>
      <c r="O148" s="1979"/>
      <c r="P148" s="1979"/>
      <c r="R148" s="349" t="s">
        <v>1099</v>
      </c>
      <c r="S148" s="349"/>
      <c r="T148" s="349"/>
      <c r="U148" s="349" t="s">
        <v>1100</v>
      </c>
      <c r="V148" s="349"/>
      <c r="W148" s="349"/>
      <c r="X148" s="349"/>
      <c r="Y148" s="349"/>
      <c r="Z148" s="349" t="s">
        <v>1164</v>
      </c>
      <c r="AA148" s="349"/>
      <c r="AB148" s="349"/>
      <c r="AC148" s="349"/>
      <c r="AD148" s="349" t="s">
        <v>1102</v>
      </c>
      <c r="AH148"/>
      <c r="AI148"/>
      <c r="AJ148"/>
      <c r="AK148"/>
      <c r="AL148"/>
      <c r="AM148"/>
      <c r="AN148"/>
      <c r="AO148"/>
      <c r="AP148"/>
      <c r="AQ148"/>
      <c r="AR148"/>
    </row>
    <row r="149" spans="1:44" ht="12" customHeight="1" thickBot="1">
      <c r="A149" s="1980" t="s">
        <v>187</v>
      </c>
      <c r="B149" s="826" t="s">
        <v>667</v>
      </c>
      <c r="C149" s="1980" t="s">
        <v>1106</v>
      </c>
      <c r="D149" s="1983"/>
      <c r="E149" s="1980" t="s">
        <v>1107</v>
      </c>
      <c r="F149" s="1986" t="s">
        <v>1108</v>
      </c>
      <c r="G149" s="1986" t="s">
        <v>1109</v>
      </c>
      <c r="H149" s="827" t="s">
        <v>1110</v>
      </c>
      <c r="I149" s="828"/>
      <c r="J149" s="827" t="s">
        <v>188</v>
      </c>
      <c r="K149" s="829"/>
      <c r="L149" s="829"/>
      <c r="M149" s="829"/>
      <c r="N149" s="826" t="s">
        <v>189</v>
      </c>
      <c r="O149" s="826" t="s">
        <v>1111</v>
      </c>
      <c r="P149" s="1989" t="s">
        <v>1112</v>
      </c>
      <c r="R149" s="349" t="s">
        <v>665</v>
      </c>
      <c r="S149" s="349"/>
      <c r="T149" s="349"/>
      <c r="U149" s="349"/>
      <c r="V149" s="830"/>
      <c r="W149" s="830"/>
      <c r="X149" s="830"/>
      <c r="Y149" s="830" t="s">
        <v>1104</v>
      </c>
      <c r="Z149" s="830"/>
      <c r="AA149" s="830"/>
      <c r="AB149" s="349"/>
      <c r="AC149" s="831" t="s">
        <v>666</v>
      </c>
      <c r="AD149" s="831"/>
      <c r="AH149"/>
      <c r="AI149"/>
      <c r="AJ149"/>
      <c r="AK149"/>
      <c r="AL149"/>
      <c r="AM149"/>
      <c r="AN149"/>
      <c r="AO149"/>
      <c r="AP149"/>
      <c r="AQ149"/>
      <c r="AR149"/>
    </row>
    <row r="150" spans="1:44" ht="12" customHeight="1" thickBot="1">
      <c r="A150" s="1981"/>
      <c r="B150" s="832" t="s">
        <v>668</v>
      </c>
      <c r="C150" s="1981"/>
      <c r="D150" s="1984"/>
      <c r="E150" s="1981"/>
      <c r="F150" s="1987"/>
      <c r="G150" s="1987"/>
      <c r="H150" s="1989" t="s">
        <v>193</v>
      </c>
      <c r="I150" s="1989" t="s">
        <v>1113</v>
      </c>
      <c r="J150" s="1989" t="s">
        <v>1114</v>
      </c>
      <c r="K150" s="833" t="s">
        <v>194</v>
      </c>
      <c r="L150" s="834"/>
      <c r="M150" s="826" t="s">
        <v>669</v>
      </c>
      <c r="N150" s="832" t="s">
        <v>670</v>
      </c>
      <c r="O150" s="832" t="s">
        <v>195</v>
      </c>
      <c r="P150" s="1990"/>
      <c r="R150" s="2028" t="s">
        <v>1115</v>
      </c>
      <c r="S150" s="2029"/>
      <c r="T150" s="2029"/>
      <c r="U150" s="2029"/>
      <c r="V150" s="2029"/>
      <c r="W150" s="2029"/>
      <c r="X150" s="2030"/>
      <c r="Y150" s="2003" t="s">
        <v>1116</v>
      </c>
      <c r="Z150" s="2004"/>
      <c r="AA150" s="2004"/>
      <c r="AB150" s="2004"/>
      <c r="AC150" s="2004"/>
      <c r="AD150" s="2005"/>
      <c r="AH150"/>
      <c r="AI150"/>
      <c r="AJ150"/>
      <c r="AK150"/>
      <c r="AL150"/>
      <c r="AM150"/>
      <c r="AN150"/>
      <c r="AO150"/>
      <c r="AP150"/>
      <c r="AQ150"/>
      <c r="AR150"/>
    </row>
    <row r="151" spans="1:44" ht="12" customHeight="1" thickBot="1">
      <c r="A151" s="1982"/>
      <c r="B151" s="835" t="s">
        <v>671</v>
      </c>
      <c r="C151" s="1982"/>
      <c r="D151" s="1985"/>
      <c r="E151" s="1982"/>
      <c r="F151" s="1988"/>
      <c r="G151" s="1988"/>
      <c r="H151" s="1991"/>
      <c r="I151" s="1991"/>
      <c r="J151" s="1991"/>
      <c r="K151" s="836" t="s">
        <v>672</v>
      </c>
      <c r="L151" s="836" t="s">
        <v>673</v>
      </c>
      <c r="M151" s="835" t="s">
        <v>674</v>
      </c>
      <c r="N151" s="835" t="s">
        <v>675</v>
      </c>
      <c r="O151" s="835" t="s">
        <v>676</v>
      </c>
      <c r="P151" s="1991"/>
      <c r="R151" s="2006" t="s">
        <v>1</v>
      </c>
      <c r="S151" s="2006" t="s">
        <v>677</v>
      </c>
      <c r="T151" s="2009" t="s">
        <v>1117</v>
      </c>
      <c r="U151" s="2010"/>
      <c r="V151" s="2017" t="s">
        <v>1118</v>
      </c>
      <c r="W151" s="2017" t="s">
        <v>1119</v>
      </c>
      <c r="X151" s="2017" t="s">
        <v>1120</v>
      </c>
      <c r="Y151" s="2006" t="s">
        <v>1</v>
      </c>
      <c r="Z151" s="2006" t="s">
        <v>677</v>
      </c>
      <c r="AA151" s="2009" t="s">
        <v>1117</v>
      </c>
      <c r="AB151" s="2017" t="s">
        <v>1118</v>
      </c>
      <c r="AC151" s="2017" t="s">
        <v>1119</v>
      </c>
      <c r="AD151" s="2017" t="s">
        <v>1121</v>
      </c>
      <c r="AH151"/>
      <c r="AI151"/>
      <c r="AJ151"/>
      <c r="AK151"/>
      <c r="AL151"/>
      <c r="AM151"/>
      <c r="AN151"/>
      <c r="AO151"/>
      <c r="AP151"/>
      <c r="AQ151"/>
      <c r="AR151"/>
    </row>
    <row r="152" spans="1:44" ht="12" customHeight="1">
      <c r="A152" s="837">
        <v>1</v>
      </c>
      <c r="B152" s="838" t="s">
        <v>1122</v>
      </c>
      <c r="C152" s="839" t="s">
        <v>1123</v>
      </c>
      <c r="D152" s="840"/>
      <c r="E152" s="306" t="s">
        <v>1124</v>
      </c>
      <c r="F152" s="841">
        <v>1</v>
      </c>
      <c r="G152" s="841">
        <v>22</v>
      </c>
      <c r="H152" s="307">
        <v>100000</v>
      </c>
      <c r="I152" s="307">
        <v>84100</v>
      </c>
      <c r="J152" s="307">
        <f>K152+L152</f>
        <v>20604.5</v>
      </c>
      <c r="K152" s="307">
        <f>I152*0.15</f>
        <v>12615</v>
      </c>
      <c r="L152" s="307">
        <f>I152*0.095</f>
        <v>7989.5</v>
      </c>
      <c r="M152" s="307">
        <v>0</v>
      </c>
      <c r="N152" s="307">
        <f>I152*0.034</f>
        <v>2859.4</v>
      </c>
      <c r="O152" s="307">
        <f>H152</f>
        <v>100000</v>
      </c>
      <c r="P152" s="842">
        <f>H152*0.1</f>
        <v>10000</v>
      </c>
      <c r="R152" s="2007"/>
      <c r="S152" s="2007"/>
      <c r="T152" s="2011"/>
      <c r="U152" s="2012"/>
      <c r="V152" s="2018"/>
      <c r="W152" s="2018"/>
      <c r="X152" s="2018"/>
      <c r="Y152" s="2007"/>
      <c r="Z152" s="2007"/>
      <c r="AA152" s="2011"/>
      <c r="AB152" s="2018"/>
      <c r="AC152" s="2018"/>
      <c r="AD152" s="2018"/>
      <c r="AH152"/>
      <c r="AI152"/>
      <c r="AJ152"/>
      <c r="AK152"/>
      <c r="AL152"/>
      <c r="AM152"/>
      <c r="AN152"/>
      <c r="AO152"/>
      <c r="AP152"/>
      <c r="AQ152"/>
      <c r="AR152"/>
    </row>
    <row r="153" spans="1:44" ht="12" customHeight="1" thickBot="1">
      <c r="A153" s="843">
        <v>2</v>
      </c>
      <c r="B153" s="844" t="s">
        <v>1125</v>
      </c>
      <c r="C153" s="845" t="s">
        <v>1126</v>
      </c>
      <c r="D153" s="846"/>
      <c r="E153" s="305" t="s">
        <v>678</v>
      </c>
      <c r="F153" s="305">
        <v>1</v>
      </c>
      <c r="G153" s="305">
        <v>22</v>
      </c>
      <c r="H153" s="305">
        <v>40000</v>
      </c>
      <c r="I153" s="305">
        <f t="shared" ref="I153:I158" si="41">H153</f>
        <v>40000</v>
      </c>
      <c r="J153" s="307">
        <f t="shared" ref="J153:J159" si="42">K153+L153</f>
        <v>9800</v>
      </c>
      <c r="K153" s="307">
        <f t="shared" ref="K153:K159" si="43">I153*0.15</f>
        <v>6000</v>
      </c>
      <c r="L153" s="307">
        <f t="shared" ref="L153:L159" si="44">I153*0.095</f>
        <v>3800</v>
      </c>
      <c r="M153" s="307">
        <v>0</v>
      </c>
      <c r="N153" s="307">
        <f t="shared" ref="N153:N159" si="45">I153*0.034</f>
        <v>1360</v>
      </c>
      <c r="O153" s="307">
        <f t="shared" ref="O153:O158" si="46">H153</f>
        <v>40000</v>
      </c>
      <c r="P153" s="842">
        <v>4000</v>
      </c>
      <c r="R153" s="2008"/>
      <c r="S153" s="2008"/>
      <c r="T153" s="2013"/>
      <c r="U153" s="2014"/>
      <c r="V153" s="2019"/>
      <c r="W153" s="2019"/>
      <c r="X153" s="2019"/>
      <c r="Y153" s="2008"/>
      <c r="Z153" s="2008"/>
      <c r="AA153" s="2013"/>
      <c r="AB153" s="2019"/>
      <c r="AC153" s="2019"/>
      <c r="AD153" s="2019"/>
      <c r="AH153"/>
      <c r="AI153"/>
      <c r="AJ153"/>
      <c r="AK153"/>
      <c r="AL153"/>
      <c r="AM153"/>
      <c r="AN153"/>
      <c r="AO153"/>
      <c r="AP153"/>
      <c r="AQ153"/>
      <c r="AR153"/>
    </row>
    <row r="154" spans="1:44" ht="12" customHeight="1">
      <c r="A154" s="843">
        <v>3</v>
      </c>
      <c r="B154" s="844" t="s">
        <v>1127</v>
      </c>
      <c r="C154" s="845" t="s">
        <v>1128</v>
      </c>
      <c r="D154" s="846"/>
      <c r="E154" s="847" t="s">
        <v>679</v>
      </c>
      <c r="F154" s="305">
        <v>1</v>
      </c>
      <c r="G154" s="305">
        <v>22</v>
      </c>
      <c r="H154" s="305">
        <v>19100</v>
      </c>
      <c r="I154" s="305">
        <f t="shared" si="41"/>
        <v>19100</v>
      </c>
      <c r="J154" s="307">
        <f t="shared" si="42"/>
        <v>4679.5</v>
      </c>
      <c r="K154" s="307">
        <f t="shared" si="43"/>
        <v>2865</v>
      </c>
      <c r="L154" s="307">
        <f t="shared" si="44"/>
        <v>1814.5</v>
      </c>
      <c r="M154" s="307">
        <v>0</v>
      </c>
      <c r="N154" s="307">
        <f t="shared" si="45"/>
        <v>649.40000000000009</v>
      </c>
      <c r="O154" s="307">
        <f t="shared" si="46"/>
        <v>19100</v>
      </c>
      <c r="P154" s="842">
        <v>910</v>
      </c>
      <c r="R154" s="848">
        <v>1</v>
      </c>
      <c r="S154" s="885"/>
      <c r="T154" s="2026"/>
      <c r="U154" s="2027"/>
      <c r="V154" s="850"/>
      <c r="W154" s="850"/>
      <c r="X154" s="851"/>
      <c r="Y154" s="848">
        <v>1</v>
      </c>
      <c r="Z154" s="849" t="s">
        <v>1165</v>
      </c>
      <c r="AA154" s="852"/>
      <c r="AB154" s="850" t="s">
        <v>1130</v>
      </c>
      <c r="AC154" s="850" t="s">
        <v>680</v>
      </c>
      <c r="AD154" s="853">
        <v>40575</v>
      </c>
      <c r="AH154"/>
      <c r="AI154"/>
      <c r="AJ154"/>
      <c r="AK154"/>
      <c r="AL154"/>
      <c r="AM154"/>
      <c r="AN154"/>
      <c r="AO154"/>
      <c r="AP154"/>
      <c r="AQ154"/>
      <c r="AR154"/>
    </row>
    <row r="155" spans="1:44" ht="12" customHeight="1">
      <c r="A155" s="843">
        <v>4</v>
      </c>
      <c r="B155" s="844" t="s">
        <v>1132</v>
      </c>
      <c r="C155" s="845" t="s">
        <v>1133</v>
      </c>
      <c r="D155" s="846"/>
      <c r="E155" s="847" t="s">
        <v>1134</v>
      </c>
      <c r="F155" s="305">
        <v>1</v>
      </c>
      <c r="G155" s="305">
        <v>22</v>
      </c>
      <c r="H155" s="305">
        <v>27000</v>
      </c>
      <c r="I155" s="305">
        <f t="shared" si="41"/>
        <v>27000</v>
      </c>
      <c r="J155" s="307">
        <f t="shared" si="42"/>
        <v>6615</v>
      </c>
      <c r="K155" s="307">
        <f t="shared" si="43"/>
        <v>4050</v>
      </c>
      <c r="L155" s="307">
        <f t="shared" si="44"/>
        <v>2565</v>
      </c>
      <c r="M155" s="307">
        <v>0</v>
      </c>
      <c r="N155" s="307">
        <f t="shared" si="45"/>
        <v>918.00000000000011</v>
      </c>
      <c r="O155" s="307">
        <f t="shared" si="46"/>
        <v>27000</v>
      </c>
      <c r="P155" s="842">
        <v>1700</v>
      </c>
      <c r="R155" s="746">
        <v>2</v>
      </c>
      <c r="S155" s="849"/>
      <c r="T155" s="1998"/>
      <c r="U155" s="1998"/>
      <c r="V155" s="850"/>
      <c r="W155" s="850"/>
      <c r="X155" s="851"/>
      <c r="Y155" s="746">
        <v>2</v>
      </c>
      <c r="Z155" s="849" t="s">
        <v>1131</v>
      </c>
      <c r="AA155" s="852"/>
      <c r="AB155" s="850" t="s">
        <v>1130</v>
      </c>
      <c r="AC155" s="850" t="s">
        <v>680</v>
      </c>
      <c r="AD155" s="853">
        <v>40575</v>
      </c>
      <c r="AH155"/>
      <c r="AI155"/>
      <c r="AJ155"/>
      <c r="AK155"/>
      <c r="AL155"/>
      <c r="AM155"/>
      <c r="AN155"/>
      <c r="AO155"/>
      <c r="AP155"/>
      <c r="AQ155"/>
      <c r="AR155"/>
    </row>
    <row r="156" spans="1:44" ht="12" customHeight="1">
      <c r="A156" s="843">
        <v>5</v>
      </c>
      <c r="B156" s="844"/>
      <c r="C156" s="845" t="s">
        <v>1137</v>
      </c>
      <c r="D156" s="846"/>
      <c r="E156" s="847" t="s">
        <v>679</v>
      </c>
      <c r="F156" s="305">
        <v>1</v>
      </c>
      <c r="G156" s="305">
        <v>22</v>
      </c>
      <c r="H156" s="305">
        <v>19100</v>
      </c>
      <c r="I156" s="305">
        <f t="shared" si="41"/>
        <v>19100</v>
      </c>
      <c r="J156" s="307">
        <f t="shared" si="42"/>
        <v>4679.5</v>
      </c>
      <c r="K156" s="307">
        <f t="shared" si="43"/>
        <v>2865</v>
      </c>
      <c r="L156" s="307">
        <f t="shared" si="44"/>
        <v>1814.5</v>
      </c>
      <c r="M156" s="307">
        <v>0</v>
      </c>
      <c r="N156" s="307">
        <f t="shared" si="45"/>
        <v>649.40000000000009</v>
      </c>
      <c r="O156" s="307">
        <f t="shared" si="46"/>
        <v>19100</v>
      </c>
      <c r="P156" s="842">
        <v>910</v>
      </c>
      <c r="R156" s="746">
        <v>3</v>
      </c>
      <c r="S156" s="849"/>
      <c r="T156" s="1998"/>
      <c r="U156" s="1998"/>
      <c r="V156" s="850"/>
      <c r="W156" s="850"/>
      <c r="X156" s="851"/>
      <c r="Y156" s="746">
        <v>3</v>
      </c>
      <c r="Z156" s="849" t="s">
        <v>1166</v>
      </c>
      <c r="AA156" s="852"/>
      <c r="AB156" s="850" t="s">
        <v>1130</v>
      </c>
      <c r="AC156" s="850" t="s">
        <v>680</v>
      </c>
      <c r="AD156" s="853">
        <v>40575</v>
      </c>
      <c r="AH156"/>
      <c r="AI156"/>
      <c r="AJ156"/>
      <c r="AK156"/>
      <c r="AL156"/>
      <c r="AM156"/>
      <c r="AN156"/>
      <c r="AO156"/>
      <c r="AP156"/>
      <c r="AQ156"/>
      <c r="AR156"/>
    </row>
    <row r="157" spans="1:44" ht="12" customHeight="1">
      <c r="A157" s="843">
        <v>6</v>
      </c>
      <c r="B157" s="844"/>
      <c r="C157" s="845" t="s">
        <v>1139</v>
      </c>
      <c r="D157" s="846"/>
      <c r="E157" s="305" t="s">
        <v>679</v>
      </c>
      <c r="F157" s="305">
        <v>1</v>
      </c>
      <c r="G157" s="305">
        <v>22</v>
      </c>
      <c r="H157" s="305">
        <v>19100</v>
      </c>
      <c r="I157" s="305">
        <f t="shared" si="41"/>
        <v>19100</v>
      </c>
      <c r="J157" s="307">
        <f t="shared" si="42"/>
        <v>4679.5</v>
      </c>
      <c r="K157" s="307">
        <f t="shared" si="43"/>
        <v>2865</v>
      </c>
      <c r="L157" s="307">
        <f t="shared" si="44"/>
        <v>1814.5</v>
      </c>
      <c r="M157" s="307">
        <v>0</v>
      </c>
      <c r="N157" s="307">
        <f t="shared" si="45"/>
        <v>649.40000000000009</v>
      </c>
      <c r="O157" s="307">
        <f t="shared" si="46"/>
        <v>19100</v>
      </c>
      <c r="P157" s="742">
        <v>910</v>
      </c>
      <c r="R157" s="848">
        <v>4</v>
      </c>
      <c r="S157" s="849"/>
      <c r="T157" s="1998"/>
      <c r="U157" s="1998"/>
      <c r="V157" s="850"/>
      <c r="W157" s="850"/>
      <c r="X157" s="851"/>
      <c r="Y157" s="746">
        <v>4</v>
      </c>
      <c r="Z157" s="849" t="s">
        <v>1167</v>
      </c>
      <c r="AA157" s="852"/>
      <c r="AB157" s="850" t="s">
        <v>1130</v>
      </c>
      <c r="AC157" s="850" t="s">
        <v>680</v>
      </c>
      <c r="AD157" s="853">
        <v>40575</v>
      </c>
      <c r="AH157"/>
      <c r="AI157"/>
      <c r="AJ157"/>
      <c r="AK157"/>
      <c r="AL157"/>
      <c r="AM157"/>
      <c r="AN157"/>
      <c r="AO157"/>
      <c r="AP157"/>
      <c r="AQ157"/>
      <c r="AR157"/>
    </row>
    <row r="158" spans="1:44" ht="12" customHeight="1">
      <c r="A158" s="843">
        <v>7</v>
      </c>
      <c r="B158" s="844"/>
      <c r="C158" s="845" t="s">
        <v>1141</v>
      </c>
      <c r="D158" s="846"/>
      <c r="E158" s="847" t="s">
        <v>1142</v>
      </c>
      <c r="F158" s="305">
        <v>1</v>
      </c>
      <c r="G158" s="305">
        <v>22</v>
      </c>
      <c r="H158" s="305">
        <v>35000</v>
      </c>
      <c r="I158" s="305">
        <f t="shared" si="41"/>
        <v>35000</v>
      </c>
      <c r="J158" s="307">
        <f t="shared" si="42"/>
        <v>8575</v>
      </c>
      <c r="K158" s="307">
        <f t="shared" si="43"/>
        <v>5250</v>
      </c>
      <c r="L158" s="307">
        <f t="shared" si="44"/>
        <v>3325</v>
      </c>
      <c r="M158" s="307">
        <v>0</v>
      </c>
      <c r="N158" s="307">
        <f t="shared" si="45"/>
        <v>1190</v>
      </c>
      <c r="O158" s="307">
        <f t="shared" si="46"/>
        <v>35000</v>
      </c>
      <c r="P158" s="742">
        <v>3500</v>
      </c>
      <c r="R158" s="848">
        <v>5</v>
      </c>
      <c r="S158" s="849"/>
      <c r="T158" s="1998"/>
      <c r="U158" s="1998"/>
      <c r="V158" s="850"/>
      <c r="W158" s="850"/>
      <c r="X158" s="851"/>
      <c r="Y158" s="746">
        <v>5</v>
      </c>
      <c r="Z158" s="845" t="s">
        <v>1168</v>
      </c>
      <c r="AA158" s="855"/>
      <c r="AB158" s="850" t="s">
        <v>1130</v>
      </c>
      <c r="AC158" s="850" t="s">
        <v>680</v>
      </c>
      <c r="AD158" s="853">
        <v>40575</v>
      </c>
      <c r="AH158"/>
      <c r="AI158"/>
      <c r="AJ158"/>
      <c r="AK158"/>
      <c r="AL158"/>
      <c r="AM158"/>
      <c r="AN158"/>
      <c r="AO158"/>
      <c r="AP158"/>
      <c r="AQ158"/>
      <c r="AR158"/>
    </row>
    <row r="159" spans="1:44" ht="12" customHeight="1">
      <c r="A159" s="843">
        <v>8</v>
      </c>
      <c r="B159" s="844" t="s">
        <v>1144</v>
      </c>
      <c r="C159" s="845" t="s">
        <v>1145</v>
      </c>
      <c r="D159" s="846"/>
      <c r="E159" s="847" t="s">
        <v>679</v>
      </c>
      <c r="F159" s="305">
        <v>1</v>
      </c>
      <c r="G159" s="305">
        <v>22</v>
      </c>
      <c r="H159" s="305">
        <v>19100</v>
      </c>
      <c r="I159" s="305">
        <f>H159</f>
        <v>19100</v>
      </c>
      <c r="J159" s="307">
        <f t="shared" si="42"/>
        <v>4679.5</v>
      </c>
      <c r="K159" s="307">
        <f t="shared" si="43"/>
        <v>2865</v>
      </c>
      <c r="L159" s="307">
        <f t="shared" si="44"/>
        <v>1814.5</v>
      </c>
      <c r="M159" s="307">
        <v>0</v>
      </c>
      <c r="N159" s="307">
        <f t="shared" si="45"/>
        <v>649.40000000000009</v>
      </c>
      <c r="O159" s="307">
        <f>H159</f>
        <v>19100</v>
      </c>
      <c r="P159" s="842">
        <v>910</v>
      </c>
      <c r="R159" s="746">
        <v>6</v>
      </c>
      <c r="S159" s="849"/>
      <c r="T159" s="1998"/>
      <c r="U159" s="1998"/>
      <c r="V159" s="850"/>
      <c r="W159" s="850"/>
      <c r="X159" s="851"/>
      <c r="Y159" s="746">
        <v>6</v>
      </c>
      <c r="Z159" s="845" t="s">
        <v>1169</v>
      </c>
      <c r="AA159" s="855"/>
      <c r="AB159" s="850" t="s">
        <v>1130</v>
      </c>
      <c r="AC159" s="850" t="s">
        <v>680</v>
      </c>
      <c r="AD159" s="853">
        <v>40575</v>
      </c>
      <c r="AH159"/>
      <c r="AI159"/>
      <c r="AJ159"/>
      <c r="AK159"/>
      <c r="AL159"/>
      <c r="AM159"/>
      <c r="AN159"/>
      <c r="AO159"/>
      <c r="AP159"/>
      <c r="AQ159"/>
      <c r="AR159"/>
    </row>
    <row r="160" spans="1:44" ht="12" customHeight="1">
      <c r="A160" s="843">
        <v>9</v>
      </c>
      <c r="B160" s="844"/>
      <c r="C160" s="849" t="s">
        <v>1135</v>
      </c>
      <c r="D160" s="849"/>
      <c r="E160" s="847" t="s">
        <v>679</v>
      </c>
      <c r="F160" s="305">
        <v>1</v>
      </c>
      <c r="G160" s="305">
        <v>22</v>
      </c>
      <c r="H160" s="305">
        <v>19100</v>
      </c>
      <c r="I160" s="305">
        <f>H160</f>
        <v>19100</v>
      </c>
      <c r="J160" s="307">
        <f>K160+L160</f>
        <v>4679.5</v>
      </c>
      <c r="K160" s="307">
        <f>I160*0.15</f>
        <v>2865</v>
      </c>
      <c r="L160" s="307">
        <f>I160*0.095</f>
        <v>1814.5</v>
      </c>
      <c r="M160" s="307">
        <v>0</v>
      </c>
      <c r="N160" s="307">
        <f>I160*0.034</f>
        <v>649.40000000000009</v>
      </c>
      <c r="O160" s="307">
        <f>H160</f>
        <v>19100</v>
      </c>
      <c r="P160" s="842">
        <v>910</v>
      </c>
      <c r="R160" s="746">
        <v>7</v>
      </c>
      <c r="S160" s="849"/>
      <c r="T160" s="1998"/>
      <c r="U160" s="1998"/>
      <c r="V160" s="850"/>
      <c r="W160" s="850"/>
      <c r="X160" s="851"/>
      <c r="Y160" s="746">
        <v>7</v>
      </c>
      <c r="Z160" s="845" t="s">
        <v>1170</v>
      </c>
      <c r="AA160" s="855"/>
      <c r="AB160" s="850" t="s">
        <v>1130</v>
      </c>
      <c r="AC160" s="850" t="s">
        <v>680</v>
      </c>
      <c r="AD160" s="853">
        <v>40575</v>
      </c>
      <c r="AH160"/>
      <c r="AI160"/>
      <c r="AJ160"/>
      <c r="AK160"/>
      <c r="AL160"/>
      <c r="AM160"/>
      <c r="AN160"/>
      <c r="AO160"/>
      <c r="AP160"/>
      <c r="AQ160"/>
      <c r="AR160"/>
    </row>
    <row r="161" spans="1:44" ht="12" customHeight="1">
      <c r="A161" s="843">
        <v>10</v>
      </c>
      <c r="B161" s="73"/>
      <c r="C161" s="1966"/>
      <c r="D161" s="1967"/>
      <c r="E161" s="847"/>
      <c r="F161" s="305"/>
      <c r="G161" s="305"/>
      <c r="H161" s="305"/>
      <c r="I161" s="305"/>
      <c r="J161" s="307"/>
      <c r="K161" s="307"/>
      <c r="L161" s="307"/>
      <c r="M161" s="307"/>
      <c r="N161" s="307"/>
      <c r="O161" s="307"/>
      <c r="P161" s="842"/>
      <c r="R161" s="848">
        <v>8</v>
      </c>
      <c r="S161" s="849"/>
      <c r="T161" s="1998"/>
      <c r="U161" s="1998"/>
      <c r="V161" s="850"/>
      <c r="W161" s="850"/>
      <c r="X161" s="851"/>
      <c r="Y161" s="746">
        <v>8</v>
      </c>
      <c r="Z161" s="849" t="s">
        <v>1171</v>
      </c>
      <c r="AA161" s="855"/>
      <c r="AB161" s="850" t="s">
        <v>1130</v>
      </c>
      <c r="AC161" s="850" t="s">
        <v>680</v>
      </c>
      <c r="AD161" s="853">
        <v>40575</v>
      </c>
      <c r="AH161"/>
      <c r="AI161"/>
      <c r="AJ161"/>
      <c r="AK161"/>
      <c r="AL161"/>
      <c r="AM161"/>
      <c r="AN161"/>
      <c r="AO161"/>
      <c r="AP161"/>
      <c r="AQ161"/>
      <c r="AR161"/>
    </row>
    <row r="162" spans="1:44" ht="12" customHeight="1">
      <c r="A162" s="843">
        <v>11</v>
      </c>
      <c r="B162" s="73"/>
      <c r="C162" s="1966"/>
      <c r="D162" s="1967"/>
      <c r="E162" s="847"/>
      <c r="F162" s="305"/>
      <c r="G162" s="305"/>
      <c r="H162" s="305"/>
      <c r="I162" s="305"/>
      <c r="J162" s="307"/>
      <c r="K162" s="307"/>
      <c r="L162" s="307"/>
      <c r="M162" s="307"/>
      <c r="N162" s="307"/>
      <c r="O162" s="307"/>
      <c r="P162" s="842"/>
      <c r="R162" s="848">
        <v>9</v>
      </c>
      <c r="S162" s="849"/>
      <c r="T162" s="1998"/>
      <c r="U162" s="1998"/>
      <c r="V162" s="850"/>
      <c r="W162" s="850"/>
      <c r="X162" s="851"/>
      <c r="Y162" s="746">
        <v>9</v>
      </c>
      <c r="Z162" s="849" t="s">
        <v>1172</v>
      </c>
      <c r="AA162" s="855"/>
      <c r="AB162" s="850" t="s">
        <v>1130</v>
      </c>
      <c r="AC162" s="850" t="s">
        <v>680</v>
      </c>
      <c r="AD162" s="853">
        <v>40575</v>
      </c>
      <c r="AH162"/>
      <c r="AI162"/>
      <c r="AJ162"/>
      <c r="AK162"/>
      <c r="AL162"/>
      <c r="AM162"/>
      <c r="AN162"/>
      <c r="AO162"/>
      <c r="AP162"/>
      <c r="AQ162"/>
      <c r="AR162"/>
    </row>
    <row r="163" spans="1:44" ht="12" customHeight="1">
      <c r="A163" s="843">
        <v>12</v>
      </c>
      <c r="B163" s="73"/>
      <c r="C163" s="1966"/>
      <c r="D163" s="1967"/>
      <c r="E163" s="847"/>
      <c r="F163" s="305"/>
      <c r="G163" s="305"/>
      <c r="H163" s="305"/>
      <c r="I163" s="305"/>
      <c r="J163" s="307"/>
      <c r="K163" s="307"/>
      <c r="L163" s="307"/>
      <c r="M163" s="307"/>
      <c r="N163" s="307"/>
      <c r="O163" s="307"/>
      <c r="P163" s="842"/>
      <c r="R163" s="746">
        <v>10</v>
      </c>
      <c r="S163" s="849"/>
      <c r="T163" s="1998"/>
      <c r="U163" s="1998"/>
      <c r="V163" s="850"/>
      <c r="W163" s="850"/>
      <c r="X163" s="851"/>
      <c r="Y163" s="746">
        <v>10</v>
      </c>
      <c r="Z163" s="849" t="s">
        <v>1129</v>
      </c>
      <c r="AA163" s="855"/>
      <c r="AB163" s="850" t="s">
        <v>1130</v>
      </c>
      <c r="AC163" s="850" t="s">
        <v>680</v>
      </c>
      <c r="AD163" s="853">
        <v>40575</v>
      </c>
      <c r="AH163"/>
      <c r="AI163"/>
      <c r="AJ163"/>
      <c r="AK163"/>
      <c r="AL163"/>
      <c r="AM163"/>
      <c r="AN163"/>
      <c r="AO163"/>
      <c r="AP163"/>
      <c r="AQ163"/>
      <c r="AR163"/>
    </row>
    <row r="164" spans="1:44" ht="12" customHeight="1">
      <c r="A164" s="837">
        <v>13</v>
      </c>
      <c r="B164" s="73"/>
      <c r="C164" s="1966"/>
      <c r="D164" s="1967"/>
      <c r="E164" s="847"/>
      <c r="F164" s="305"/>
      <c r="G164" s="305"/>
      <c r="H164" s="305"/>
      <c r="I164" s="305"/>
      <c r="J164" s="307"/>
      <c r="K164" s="307"/>
      <c r="L164" s="307"/>
      <c r="M164" s="307"/>
      <c r="N164" s="307"/>
      <c r="O164" s="307"/>
      <c r="P164" s="842"/>
      <c r="R164" s="746">
        <v>11</v>
      </c>
      <c r="S164" s="849"/>
      <c r="T164" s="1998"/>
      <c r="U164" s="1998"/>
      <c r="V164" s="850"/>
      <c r="W164" s="850"/>
      <c r="X164" s="851"/>
      <c r="Y164" s="746">
        <v>11</v>
      </c>
      <c r="Z164" s="84"/>
      <c r="AA164" s="855"/>
      <c r="AB164" s="84"/>
      <c r="AC164" s="84"/>
      <c r="AD164" s="111"/>
      <c r="AH164"/>
      <c r="AI164"/>
      <c r="AJ164"/>
      <c r="AK164"/>
      <c r="AL164"/>
      <c r="AM164"/>
      <c r="AN164"/>
      <c r="AO164"/>
      <c r="AP164"/>
      <c r="AQ164"/>
      <c r="AR164"/>
    </row>
    <row r="165" spans="1:44" ht="12" customHeight="1">
      <c r="A165" s="843">
        <v>14</v>
      </c>
      <c r="B165" s="73"/>
      <c r="C165" s="1966"/>
      <c r="D165" s="1967"/>
      <c r="E165" s="847"/>
      <c r="F165" s="305"/>
      <c r="G165" s="305"/>
      <c r="H165" s="305"/>
      <c r="I165" s="305"/>
      <c r="J165" s="307"/>
      <c r="K165" s="307"/>
      <c r="L165" s="307"/>
      <c r="M165" s="307"/>
      <c r="N165" s="307"/>
      <c r="O165" s="307"/>
      <c r="P165" s="842"/>
      <c r="R165" s="848">
        <v>12</v>
      </c>
      <c r="S165" s="849"/>
      <c r="T165" s="1998"/>
      <c r="U165" s="1998"/>
      <c r="V165" s="850"/>
      <c r="W165" s="850"/>
      <c r="X165" s="851"/>
      <c r="Y165" s="848">
        <v>12</v>
      </c>
      <c r="Z165" s="84"/>
      <c r="AA165" s="855"/>
      <c r="AB165" s="84"/>
      <c r="AC165" s="84"/>
      <c r="AD165" s="111"/>
      <c r="AH165"/>
      <c r="AI165"/>
      <c r="AJ165"/>
      <c r="AK165"/>
      <c r="AL165"/>
      <c r="AM165"/>
      <c r="AN165"/>
      <c r="AO165"/>
      <c r="AP165"/>
      <c r="AQ165"/>
      <c r="AR165"/>
    </row>
    <row r="166" spans="1:44" ht="12" customHeight="1">
      <c r="A166" s="843">
        <v>15</v>
      </c>
      <c r="B166" s="73"/>
      <c r="C166" s="1966"/>
      <c r="D166" s="1967"/>
      <c r="E166" s="847"/>
      <c r="F166" s="305"/>
      <c r="G166" s="305"/>
      <c r="H166" s="305"/>
      <c r="I166" s="305"/>
      <c r="J166" s="307"/>
      <c r="K166" s="307"/>
      <c r="L166" s="307"/>
      <c r="M166" s="307"/>
      <c r="N166" s="307"/>
      <c r="O166" s="307"/>
      <c r="P166" s="842"/>
      <c r="R166" s="848">
        <v>13</v>
      </c>
      <c r="S166" s="84"/>
      <c r="T166" s="1998"/>
      <c r="U166" s="1998"/>
      <c r="V166" s="850"/>
      <c r="W166" s="850"/>
      <c r="X166" s="851"/>
      <c r="Y166" s="848">
        <v>13</v>
      </c>
      <c r="Z166" s="84"/>
      <c r="AA166" s="855"/>
      <c r="AB166" s="84"/>
      <c r="AC166" s="84"/>
      <c r="AD166" s="111"/>
      <c r="AH166"/>
      <c r="AI166"/>
      <c r="AJ166"/>
      <c r="AK166"/>
      <c r="AL166"/>
      <c r="AM166"/>
      <c r="AN166"/>
      <c r="AO166"/>
      <c r="AP166"/>
      <c r="AQ166"/>
      <c r="AR166"/>
    </row>
    <row r="167" spans="1:44" ht="12" customHeight="1">
      <c r="A167" s="837">
        <v>16</v>
      </c>
      <c r="B167" s="73"/>
      <c r="C167" s="1966"/>
      <c r="D167" s="1967"/>
      <c r="E167" s="847"/>
      <c r="F167" s="305"/>
      <c r="G167" s="305"/>
      <c r="H167" s="305"/>
      <c r="I167" s="305"/>
      <c r="J167" s="307"/>
      <c r="K167" s="307"/>
      <c r="L167" s="307"/>
      <c r="M167" s="307"/>
      <c r="N167" s="307"/>
      <c r="O167" s="307"/>
      <c r="P167" s="842"/>
      <c r="R167" s="746">
        <v>14</v>
      </c>
      <c r="S167" s="84"/>
      <c r="T167" s="1998"/>
      <c r="U167" s="1998"/>
      <c r="V167" s="84"/>
      <c r="W167" s="84"/>
      <c r="X167" s="84"/>
      <c r="Y167" s="746">
        <v>14</v>
      </c>
      <c r="Z167" s="84"/>
      <c r="AA167" s="855"/>
      <c r="AB167" s="84"/>
      <c r="AC167" s="84"/>
      <c r="AD167" s="111"/>
      <c r="AH167"/>
      <c r="AI167"/>
      <c r="AJ167"/>
      <c r="AK167"/>
      <c r="AL167"/>
      <c r="AM167"/>
      <c r="AN167"/>
      <c r="AO167"/>
      <c r="AP167"/>
      <c r="AQ167"/>
      <c r="AR167"/>
    </row>
    <row r="168" spans="1:44" ht="12" customHeight="1">
      <c r="A168" s="843">
        <v>17</v>
      </c>
      <c r="B168" s="73"/>
      <c r="C168" s="1966"/>
      <c r="D168" s="1967"/>
      <c r="E168" s="847"/>
      <c r="F168" s="305"/>
      <c r="G168" s="305"/>
      <c r="H168" s="305"/>
      <c r="I168" s="305"/>
      <c r="J168" s="307"/>
      <c r="K168" s="307"/>
      <c r="L168" s="307"/>
      <c r="M168" s="307"/>
      <c r="N168" s="307"/>
      <c r="O168" s="307"/>
      <c r="P168" s="842"/>
      <c r="R168" s="746">
        <v>15</v>
      </c>
      <c r="S168" s="84"/>
      <c r="T168" s="1998"/>
      <c r="U168" s="1998"/>
      <c r="V168" s="84"/>
      <c r="W168" s="84"/>
      <c r="X168" s="84"/>
      <c r="Y168" s="746">
        <v>15</v>
      </c>
      <c r="Z168" s="84"/>
      <c r="AA168" s="855"/>
      <c r="AB168" s="84"/>
      <c r="AC168" s="84"/>
      <c r="AD168" s="111"/>
      <c r="AH168"/>
      <c r="AI168"/>
      <c r="AJ168"/>
      <c r="AK168"/>
      <c r="AL168"/>
      <c r="AM168"/>
      <c r="AN168"/>
      <c r="AO168"/>
      <c r="AP168"/>
      <c r="AQ168"/>
      <c r="AR168"/>
    </row>
    <row r="169" spans="1:44" ht="12" customHeight="1">
      <c r="A169" s="843">
        <v>18</v>
      </c>
      <c r="B169" s="73"/>
      <c r="C169" s="1966"/>
      <c r="D169" s="1967"/>
      <c r="E169" s="847"/>
      <c r="F169" s="305"/>
      <c r="G169" s="305"/>
      <c r="H169" s="305"/>
      <c r="I169" s="305"/>
      <c r="J169" s="307"/>
      <c r="K169" s="307"/>
      <c r="L169" s="307"/>
      <c r="M169" s="307"/>
      <c r="N169" s="307"/>
      <c r="O169" s="307"/>
      <c r="P169" s="842"/>
      <c r="R169" s="848">
        <v>16</v>
      </c>
      <c r="S169" s="84"/>
      <c r="T169" s="1998"/>
      <c r="U169" s="1998"/>
      <c r="V169" s="84"/>
      <c r="W169" s="84"/>
      <c r="X169" s="84"/>
      <c r="Y169" s="848">
        <v>16</v>
      </c>
      <c r="Z169" s="84"/>
      <c r="AA169" s="855"/>
      <c r="AB169" s="84"/>
      <c r="AC169" s="84"/>
      <c r="AD169" s="111"/>
      <c r="AH169"/>
      <c r="AI169"/>
      <c r="AJ169"/>
      <c r="AK169"/>
      <c r="AL169"/>
      <c r="AM169"/>
      <c r="AN169"/>
      <c r="AO169"/>
      <c r="AP169"/>
      <c r="AQ169"/>
      <c r="AR169"/>
    </row>
    <row r="170" spans="1:44" ht="12" customHeight="1">
      <c r="A170" s="837">
        <v>19</v>
      </c>
      <c r="B170" s="73"/>
      <c r="C170" s="1966"/>
      <c r="D170" s="1967"/>
      <c r="E170" s="847"/>
      <c r="F170" s="305"/>
      <c r="G170" s="305"/>
      <c r="H170" s="305"/>
      <c r="I170" s="305"/>
      <c r="J170" s="307"/>
      <c r="K170" s="307"/>
      <c r="L170" s="307"/>
      <c r="M170" s="307"/>
      <c r="N170" s="307"/>
      <c r="O170" s="307"/>
      <c r="P170" s="842"/>
      <c r="R170" s="848">
        <v>17</v>
      </c>
      <c r="S170" s="84"/>
      <c r="T170" s="1998"/>
      <c r="U170" s="1998"/>
      <c r="V170" s="84"/>
      <c r="W170" s="84"/>
      <c r="X170" s="84"/>
      <c r="Y170" s="848">
        <v>17</v>
      </c>
      <c r="Z170" s="84"/>
      <c r="AA170" s="855"/>
      <c r="AB170" s="84"/>
      <c r="AC170" s="84"/>
      <c r="AD170" s="111"/>
      <c r="AH170"/>
      <c r="AI170"/>
      <c r="AJ170"/>
      <c r="AK170"/>
      <c r="AL170"/>
      <c r="AM170"/>
      <c r="AN170"/>
      <c r="AO170"/>
      <c r="AP170"/>
      <c r="AQ170"/>
      <c r="AR170"/>
    </row>
    <row r="171" spans="1:44" ht="12" customHeight="1">
      <c r="A171" s="843">
        <v>20</v>
      </c>
      <c r="B171" s="73"/>
      <c r="C171" s="1966"/>
      <c r="D171" s="1967"/>
      <c r="E171" s="847"/>
      <c r="F171" s="305"/>
      <c r="G171" s="305"/>
      <c r="H171" s="305"/>
      <c r="I171" s="305"/>
      <c r="J171" s="307"/>
      <c r="K171" s="307"/>
      <c r="L171" s="307"/>
      <c r="M171" s="307"/>
      <c r="N171" s="307"/>
      <c r="O171" s="307"/>
      <c r="P171" s="842"/>
      <c r="R171" s="746">
        <v>18</v>
      </c>
      <c r="S171" s="84"/>
      <c r="T171" s="1998"/>
      <c r="U171" s="1998"/>
      <c r="V171" s="84"/>
      <c r="W171" s="84"/>
      <c r="X171" s="84"/>
      <c r="Y171" s="746">
        <v>18</v>
      </c>
      <c r="Z171" s="84"/>
      <c r="AA171" s="855"/>
      <c r="AB171" s="84"/>
      <c r="AC171" s="84"/>
      <c r="AD171" s="111"/>
      <c r="AH171"/>
      <c r="AI171"/>
      <c r="AJ171"/>
      <c r="AK171"/>
      <c r="AL171"/>
      <c r="AM171"/>
      <c r="AN171"/>
      <c r="AO171"/>
      <c r="AP171"/>
      <c r="AQ171"/>
      <c r="AR171"/>
    </row>
    <row r="172" spans="1:44" ht="12" customHeight="1" thickBot="1">
      <c r="A172" s="843">
        <v>21</v>
      </c>
      <c r="B172" s="73"/>
      <c r="C172" s="1966"/>
      <c r="D172" s="1967"/>
      <c r="E172" s="847"/>
      <c r="F172" s="305"/>
      <c r="G172" s="305"/>
      <c r="H172" s="305"/>
      <c r="I172" s="305"/>
      <c r="J172" s="307"/>
      <c r="K172" s="307"/>
      <c r="L172" s="307"/>
      <c r="M172" s="307"/>
      <c r="N172" s="307"/>
      <c r="O172" s="307"/>
      <c r="P172" s="842"/>
      <c r="R172" s="858">
        <v>19</v>
      </c>
      <c r="S172" s="269"/>
      <c r="T172" s="1999"/>
      <c r="U172" s="1999"/>
      <c r="V172" s="269"/>
      <c r="W172" s="269"/>
      <c r="X172" s="269"/>
      <c r="Y172" s="858">
        <v>19</v>
      </c>
      <c r="Z172" s="269"/>
      <c r="AA172" s="859"/>
      <c r="AB172" s="269"/>
      <c r="AC172" s="269"/>
      <c r="AD172" s="743"/>
      <c r="AH172"/>
      <c r="AI172"/>
      <c r="AJ172"/>
      <c r="AK172"/>
      <c r="AL172"/>
      <c r="AM172"/>
      <c r="AN172"/>
      <c r="AO172"/>
      <c r="AP172"/>
      <c r="AQ172"/>
      <c r="AR172"/>
    </row>
    <row r="173" spans="1:44" ht="12" customHeight="1" thickBot="1">
      <c r="A173" s="837">
        <v>22</v>
      </c>
      <c r="B173" s="73"/>
      <c r="C173" s="1966"/>
      <c r="D173" s="1967"/>
      <c r="E173" s="847"/>
      <c r="F173" s="305"/>
      <c r="G173" s="305"/>
      <c r="H173" s="305"/>
      <c r="I173" s="305"/>
      <c r="J173" s="307"/>
      <c r="K173" s="307"/>
      <c r="L173" s="307"/>
      <c r="M173" s="307"/>
      <c r="N173" s="307"/>
      <c r="O173" s="307"/>
      <c r="P173" s="842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H173"/>
      <c r="AI173"/>
      <c r="AJ173"/>
      <c r="AK173"/>
      <c r="AL173"/>
      <c r="AM173"/>
      <c r="AN173"/>
      <c r="AO173"/>
      <c r="AP173"/>
      <c r="AQ173"/>
      <c r="AR173"/>
    </row>
    <row r="174" spans="1:44" ht="12" customHeight="1">
      <c r="A174" s="843">
        <v>23</v>
      </c>
      <c r="B174" s="73"/>
      <c r="C174" s="1966"/>
      <c r="D174" s="1967"/>
      <c r="E174" s="847"/>
      <c r="F174" s="305"/>
      <c r="G174" s="305"/>
      <c r="H174" s="305"/>
      <c r="I174" s="305"/>
      <c r="J174" s="307"/>
      <c r="K174" s="307"/>
      <c r="L174" s="307"/>
      <c r="M174" s="307"/>
      <c r="N174" s="307"/>
      <c r="O174" s="307"/>
      <c r="P174" s="842"/>
      <c r="R174" s="860" t="s">
        <v>681</v>
      </c>
      <c r="S174" s="775"/>
      <c r="T174" s="775"/>
      <c r="U174" s="775"/>
      <c r="V174" s="775"/>
      <c r="W174" s="775"/>
      <c r="X174" s="776"/>
      <c r="Y174" s="351" t="s">
        <v>682</v>
      </c>
      <c r="Z174" s="352"/>
      <c r="AA174" s="352"/>
      <c r="AB174" s="352"/>
      <c r="AC174" s="352"/>
      <c r="AD174" s="353"/>
      <c r="AH174"/>
      <c r="AI174"/>
      <c r="AJ174"/>
      <c r="AK174"/>
      <c r="AL174"/>
      <c r="AM174"/>
      <c r="AN174"/>
      <c r="AO174"/>
      <c r="AP174"/>
      <c r="AQ174"/>
      <c r="AR174"/>
    </row>
    <row r="175" spans="1:44" ht="12" customHeight="1" thickBot="1">
      <c r="A175" s="843">
        <v>24</v>
      </c>
      <c r="B175" s="73"/>
      <c r="C175" s="1968"/>
      <c r="D175" s="1969"/>
      <c r="E175" s="305"/>
      <c r="F175" s="305"/>
      <c r="G175" s="305"/>
      <c r="H175" s="305"/>
      <c r="I175" s="305"/>
      <c r="J175" s="307"/>
      <c r="K175" s="307"/>
      <c r="L175" s="307"/>
      <c r="M175" s="307"/>
      <c r="N175" s="307"/>
      <c r="O175" s="305"/>
      <c r="P175" s="742"/>
      <c r="R175" s="772" t="s">
        <v>683</v>
      </c>
      <c r="S175" s="773"/>
      <c r="T175" s="773"/>
      <c r="U175" s="773"/>
      <c r="V175" s="773"/>
      <c r="W175" s="773"/>
      <c r="X175" s="774"/>
      <c r="Y175" s="354" t="s">
        <v>684</v>
      </c>
      <c r="Z175" s="90"/>
      <c r="AA175" s="90"/>
      <c r="AB175" s="90"/>
      <c r="AC175" s="90"/>
      <c r="AD175" s="355"/>
      <c r="AH175"/>
      <c r="AI175"/>
      <c r="AJ175"/>
      <c r="AK175"/>
      <c r="AL175"/>
      <c r="AM175"/>
      <c r="AN175"/>
      <c r="AO175"/>
      <c r="AP175"/>
      <c r="AQ175"/>
      <c r="AR175"/>
    </row>
    <row r="176" spans="1:44" ht="12" customHeight="1" thickBot="1">
      <c r="A176" s="1970" t="s">
        <v>687</v>
      </c>
      <c r="B176" s="1971"/>
      <c r="C176" s="1971"/>
      <c r="D176" s="1971"/>
      <c r="E176" s="1971"/>
      <c r="F176" s="1971"/>
      <c r="G176" s="1972"/>
      <c r="H176" s="861">
        <f t="shared" ref="H176:P176" si="47">SUM(H152:H175)</f>
        <v>297500</v>
      </c>
      <c r="I176" s="861">
        <f t="shared" si="47"/>
        <v>281600</v>
      </c>
      <c r="J176" s="861">
        <f t="shared" si="47"/>
        <v>68992</v>
      </c>
      <c r="K176" s="861">
        <f t="shared" si="47"/>
        <v>42240</v>
      </c>
      <c r="L176" s="861">
        <f t="shared" si="47"/>
        <v>26752</v>
      </c>
      <c r="M176" s="861">
        <f t="shared" si="47"/>
        <v>0</v>
      </c>
      <c r="N176" s="861">
        <f t="shared" si="47"/>
        <v>9574.3999999999978</v>
      </c>
      <c r="O176" s="861">
        <f t="shared" si="47"/>
        <v>297500</v>
      </c>
      <c r="P176" s="861">
        <f t="shared" si="47"/>
        <v>23750</v>
      </c>
      <c r="R176" s="772" t="s">
        <v>685</v>
      </c>
      <c r="S176" s="773"/>
      <c r="T176" s="773"/>
      <c r="U176" s="773"/>
      <c r="V176" s="773"/>
      <c r="W176" s="773"/>
      <c r="X176" s="774"/>
      <c r="Y176" s="354" t="s">
        <v>686</v>
      </c>
      <c r="Z176" s="90"/>
      <c r="AA176" s="90"/>
      <c r="AB176" s="90"/>
      <c r="AC176" s="90"/>
      <c r="AD176" s="355"/>
      <c r="AH176"/>
      <c r="AI176"/>
      <c r="AJ176"/>
      <c r="AK176"/>
      <c r="AL176"/>
      <c r="AM176"/>
      <c r="AN176"/>
      <c r="AO176"/>
      <c r="AP176"/>
      <c r="AQ176"/>
      <c r="AR176"/>
    </row>
    <row r="177" spans="1:44" ht="12" customHeight="1" thickBot="1">
      <c r="A177" s="1973" t="s">
        <v>690</v>
      </c>
      <c r="B177" s="1974"/>
      <c r="C177" s="1974"/>
      <c r="D177" s="1974"/>
      <c r="E177" s="1974"/>
      <c r="F177" s="1974"/>
      <c r="G177" s="1975"/>
      <c r="H177" s="862"/>
      <c r="I177" s="863"/>
      <c r="J177" s="863"/>
      <c r="K177" s="863"/>
      <c r="L177" s="863"/>
      <c r="M177" s="863"/>
      <c r="N177" s="863"/>
      <c r="O177" s="863"/>
      <c r="P177" s="864"/>
      <c r="R177" s="1992" t="s">
        <v>688</v>
      </c>
      <c r="S177" s="1993"/>
      <c r="T177" s="1993"/>
      <c r="U177" s="1993"/>
      <c r="V177" s="1993"/>
      <c r="W177" s="1993"/>
      <c r="X177" s="1994"/>
      <c r="Y177" s="354" t="s">
        <v>689</v>
      </c>
      <c r="Z177" s="90"/>
      <c r="AA177" s="90"/>
      <c r="AB177" s="90"/>
      <c r="AC177" s="90"/>
      <c r="AD177" s="355"/>
      <c r="AH177"/>
      <c r="AI177"/>
      <c r="AJ177"/>
      <c r="AK177"/>
      <c r="AL177"/>
      <c r="AM177"/>
      <c r="AN177"/>
      <c r="AO177"/>
      <c r="AP177"/>
      <c r="AQ177"/>
      <c r="AR177"/>
    </row>
    <row r="178" spans="1:44" ht="12" customHeight="1" thickBot="1">
      <c r="A178" s="1976" t="s">
        <v>693</v>
      </c>
      <c r="B178" s="1977"/>
      <c r="C178" s="1977"/>
      <c r="D178" s="1977"/>
      <c r="E178" s="1977"/>
      <c r="F178" s="1977"/>
      <c r="G178" s="1978"/>
      <c r="H178" s="861">
        <f t="shared" ref="H178:P178" si="48">SUM(H176:H177)</f>
        <v>297500</v>
      </c>
      <c r="I178" s="861">
        <f t="shared" si="48"/>
        <v>281600</v>
      </c>
      <c r="J178" s="861">
        <f t="shared" si="48"/>
        <v>68992</v>
      </c>
      <c r="K178" s="861">
        <f t="shared" si="48"/>
        <v>42240</v>
      </c>
      <c r="L178" s="861">
        <f t="shared" si="48"/>
        <v>26752</v>
      </c>
      <c r="M178" s="861">
        <f t="shared" si="48"/>
        <v>0</v>
      </c>
      <c r="N178" s="861">
        <f t="shared" si="48"/>
        <v>9574.3999999999978</v>
      </c>
      <c r="O178" s="861">
        <f t="shared" si="48"/>
        <v>297500</v>
      </c>
      <c r="P178" s="861">
        <f t="shared" si="48"/>
        <v>23750</v>
      </c>
      <c r="R178" s="1995" t="s">
        <v>691</v>
      </c>
      <c r="S178" s="1996"/>
      <c r="T178" s="1996"/>
      <c r="U178" s="1996"/>
      <c r="V178" s="1996"/>
      <c r="W178" s="1996"/>
      <c r="X178" s="1997"/>
      <c r="Y178" s="354"/>
      <c r="Z178" s="90"/>
      <c r="AA178" s="89" t="s">
        <v>692</v>
      </c>
      <c r="AB178" s="90"/>
      <c r="AC178" s="90"/>
      <c r="AD178" s="355"/>
      <c r="AH178"/>
      <c r="AI178"/>
      <c r="AJ178"/>
      <c r="AK178"/>
      <c r="AL178"/>
      <c r="AM178"/>
      <c r="AN178"/>
      <c r="AO178"/>
      <c r="AP178"/>
      <c r="AQ178"/>
      <c r="AR178"/>
    </row>
    <row r="179" spans="1:44" ht="12" customHeight="1" thickBot="1">
      <c r="A179" s="865"/>
      <c r="B179" s="866"/>
      <c r="C179" s="866"/>
      <c r="D179" s="866"/>
      <c r="E179" s="866"/>
      <c r="F179" s="866"/>
      <c r="G179" s="866"/>
      <c r="H179" s="867"/>
      <c r="I179" s="867"/>
      <c r="J179" s="867"/>
      <c r="K179" s="867"/>
      <c r="L179" s="867"/>
      <c r="M179" s="867"/>
      <c r="N179" s="867"/>
      <c r="O179" s="867"/>
      <c r="P179" s="868"/>
      <c r="R179" s="1992" t="s">
        <v>1173</v>
      </c>
      <c r="S179" s="1993"/>
      <c r="T179" s="1993"/>
      <c r="U179" s="1993"/>
      <c r="V179" s="1993"/>
      <c r="W179" s="1993"/>
      <c r="X179" s="1994"/>
      <c r="Y179" s="354" t="s">
        <v>695</v>
      </c>
      <c r="Z179" s="90"/>
      <c r="AA179" s="90"/>
      <c r="AB179" s="90"/>
      <c r="AC179" s="90"/>
      <c r="AD179" s="355"/>
      <c r="AH179"/>
      <c r="AI179"/>
      <c r="AJ179"/>
      <c r="AK179"/>
      <c r="AL179"/>
      <c r="AM179"/>
      <c r="AN179"/>
      <c r="AO179"/>
      <c r="AP179"/>
      <c r="AQ179"/>
      <c r="AR179"/>
    </row>
    <row r="180" spans="1:44" ht="12" customHeight="1">
      <c r="A180" s="869"/>
      <c r="B180" s="870" t="s">
        <v>698</v>
      </c>
      <c r="C180" s="871"/>
      <c r="D180" s="871"/>
      <c r="E180" s="871"/>
      <c r="F180" s="871"/>
      <c r="G180" s="871"/>
      <c r="H180" s="872" t="s">
        <v>699</v>
      </c>
      <c r="I180" s="871"/>
      <c r="J180" s="871"/>
      <c r="K180" s="871"/>
      <c r="L180" s="871"/>
      <c r="M180" s="871"/>
      <c r="N180" s="871"/>
      <c r="O180" s="871"/>
      <c r="P180" s="873"/>
      <c r="R180" s="1992" t="s">
        <v>696</v>
      </c>
      <c r="S180" s="1993"/>
      <c r="T180" s="1993"/>
      <c r="U180" s="1993"/>
      <c r="V180" s="1993"/>
      <c r="W180" s="1993"/>
      <c r="X180" s="1994"/>
      <c r="Y180" s="354" t="s">
        <v>697</v>
      </c>
      <c r="Z180" s="90"/>
      <c r="AA180" s="90"/>
      <c r="AB180" s="90"/>
      <c r="AC180" s="90"/>
      <c r="AD180" s="355"/>
      <c r="AH180"/>
      <c r="AI180"/>
      <c r="AJ180"/>
      <c r="AK180"/>
      <c r="AL180"/>
      <c r="AM180"/>
      <c r="AN180"/>
      <c r="AO180"/>
      <c r="AP180"/>
      <c r="AQ180"/>
      <c r="AR180"/>
    </row>
    <row r="181" spans="1:44" ht="12" customHeight="1">
      <c r="A181" s="874" t="s">
        <v>1157</v>
      </c>
      <c r="B181" s="875"/>
      <c r="C181" s="875"/>
      <c r="D181" s="875"/>
      <c r="E181" s="875"/>
      <c r="F181" s="875"/>
      <c r="G181" s="875"/>
      <c r="H181" s="876" t="s">
        <v>700</v>
      </c>
      <c r="I181" s="875"/>
      <c r="J181" s="875"/>
      <c r="K181" s="875"/>
      <c r="L181" s="875"/>
      <c r="M181" s="875"/>
      <c r="N181" s="875"/>
      <c r="O181" s="875"/>
      <c r="P181" s="877"/>
      <c r="R181" s="1992"/>
      <c r="S181" s="1993"/>
      <c r="T181" s="1993"/>
      <c r="U181" s="1993"/>
      <c r="V181" s="1993"/>
      <c r="W181" s="1993"/>
      <c r="X181" s="1994"/>
      <c r="Y181" s="354"/>
      <c r="Z181" s="90" t="s">
        <v>694</v>
      </c>
      <c r="AA181" s="90"/>
      <c r="AB181" s="90"/>
      <c r="AC181" s="90"/>
      <c r="AD181" s="355"/>
      <c r="AH181"/>
      <c r="AI181"/>
      <c r="AJ181"/>
      <c r="AK181"/>
      <c r="AL181"/>
      <c r="AM181"/>
      <c r="AN181"/>
      <c r="AO181"/>
      <c r="AP181"/>
      <c r="AQ181"/>
      <c r="AR181"/>
    </row>
    <row r="182" spans="1:44" ht="12" customHeight="1" thickBot="1">
      <c r="A182" s="874" t="s">
        <v>1158</v>
      </c>
      <c r="B182" s="875"/>
      <c r="C182" s="875"/>
      <c r="D182" s="875"/>
      <c r="E182" s="875"/>
      <c r="F182" s="875"/>
      <c r="G182" s="875"/>
      <c r="H182" s="45" t="s">
        <v>701</v>
      </c>
      <c r="I182" s="875"/>
      <c r="J182" s="875"/>
      <c r="K182" s="875"/>
      <c r="L182" s="875"/>
      <c r="M182" s="875"/>
      <c r="N182" s="875"/>
      <c r="O182" s="875"/>
      <c r="P182" s="877"/>
      <c r="R182" s="2000"/>
      <c r="S182" s="2001"/>
      <c r="T182" s="2001"/>
      <c r="U182" s="2001"/>
      <c r="V182" s="2001"/>
      <c r="W182" s="2001"/>
      <c r="X182" s="2002"/>
      <c r="Y182" s="357"/>
      <c r="Z182" s="358"/>
      <c r="AA182" s="358"/>
      <c r="AB182" s="358"/>
      <c r="AC182" s="358"/>
      <c r="AD182" s="359"/>
      <c r="AH182"/>
      <c r="AI182"/>
      <c r="AJ182"/>
      <c r="AK182"/>
      <c r="AL182"/>
      <c r="AM182"/>
      <c r="AN182"/>
      <c r="AO182"/>
      <c r="AP182"/>
      <c r="AQ182"/>
      <c r="AR182"/>
    </row>
    <row r="183" spans="1:44" ht="12" customHeight="1">
      <c r="A183" s="874" t="s">
        <v>702</v>
      </c>
      <c r="B183" s="875"/>
      <c r="C183" s="1"/>
      <c r="D183" s="875"/>
      <c r="E183" s="875"/>
      <c r="F183" s="875"/>
      <c r="G183" s="875"/>
      <c r="H183" s="876" t="s">
        <v>703</v>
      </c>
      <c r="I183" s="875"/>
      <c r="J183" s="875"/>
      <c r="K183" s="875"/>
      <c r="L183" s="875"/>
      <c r="M183" s="875"/>
      <c r="N183" s="875"/>
      <c r="O183" s="875"/>
      <c r="P183" s="877"/>
      <c r="AH183"/>
      <c r="AI183"/>
      <c r="AJ183"/>
      <c r="AK183"/>
      <c r="AL183"/>
      <c r="AM183"/>
      <c r="AN183"/>
      <c r="AO183"/>
      <c r="AP183"/>
      <c r="AQ183"/>
      <c r="AR183"/>
    </row>
    <row r="184" spans="1:44" ht="12" customHeight="1">
      <c r="A184" s="874"/>
      <c r="B184" s="875"/>
      <c r="C184" s="875"/>
      <c r="D184" s="875"/>
      <c r="E184" s="875"/>
      <c r="F184" s="875"/>
      <c r="G184" s="875"/>
      <c r="H184" s="876" t="s">
        <v>704</v>
      </c>
      <c r="I184" s="875"/>
      <c r="J184" s="875"/>
      <c r="K184" s="875"/>
      <c r="L184" s="875"/>
      <c r="M184" s="875"/>
      <c r="N184" s="875"/>
      <c r="O184" s="875"/>
      <c r="P184" s="877"/>
      <c r="AH184"/>
      <c r="AI184"/>
      <c r="AJ184"/>
      <c r="AK184"/>
      <c r="AL184"/>
      <c r="AM184"/>
      <c r="AN184"/>
      <c r="AO184"/>
      <c r="AP184"/>
      <c r="AQ184"/>
      <c r="AR184"/>
    </row>
    <row r="185" spans="1:44" ht="12" customHeight="1">
      <c r="A185" s="874"/>
      <c r="B185" s="878" t="s">
        <v>705</v>
      </c>
      <c r="C185" s="875"/>
      <c r="D185" s="875"/>
      <c r="E185" s="875"/>
      <c r="F185" s="875"/>
      <c r="G185" s="875"/>
      <c r="H185" s="45" t="s">
        <v>706</v>
      </c>
      <c r="I185" s="875"/>
      <c r="J185" s="875"/>
      <c r="K185" s="875"/>
      <c r="L185" s="875"/>
      <c r="M185" s="875"/>
      <c r="N185" s="875"/>
      <c r="O185" s="875"/>
      <c r="P185" s="877"/>
      <c r="AH185"/>
      <c r="AI185"/>
      <c r="AJ185"/>
      <c r="AK185"/>
      <c r="AL185"/>
      <c r="AM185"/>
      <c r="AN185"/>
      <c r="AO185"/>
      <c r="AP185"/>
      <c r="AQ185"/>
      <c r="AR185"/>
    </row>
    <row r="186" spans="1:44" ht="12" customHeight="1">
      <c r="A186" s="874"/>
      <c r="B186" s="875" t="s">
        <v>1159</v>
      </c>
      <c r="C186" s="875"/>
      <c r="D186" s="875"/>
      <c r="E186" s="875"/>
      <c r="F186" s="875"/>
      <c r="G186" s="875"/>
      <c r="H186" s="45"/>
      <c r="I186" s="875"/>
      <c r="J186" s="875"/>
      <c r="K186" s="879" t="s">
        <v>707</v>
      </c>
      <c r="L186" s="875"/>
      <c r="M186" s="875"/>
      <c r="N186" s="875"/>
      <c r="O186" s="875"/>
      <c r="P186" s="877"/>
      <c r="AH186"/>
      <c r="AI186"/>
      <c r="AJ186"/>
      <c r="AK186"/>
      <c r="AL186"/>
      <c r="AM186"/>
      <c r="AN186"/>
      <c r="AO186"/>
      <c r="AP186"/>
      <c r="AQ186"/>
      <c r="AR186"/>
    </row>
    <row r="187" spans="1:44" ht="12" customHeight="1">
      <c r="A187" s="874"/>
      <c r="B187" s="875"/>
      <c r="C187" s="875"/>
      <c r="D187" s="875" t="s">
        <v>708</v>
      </c>
      <c r="E187" s="875"/>
      <c r="F187" s="875"/>
      <c r="G187" s="875"/>
      <c r="H187" s="876" t="s">
        <v>709</v>
      </c>
      <c r="I187" s="875"/>
      <c r="J187" s="875"/>
      <c r="K187" s="875"/>
      <c r="L187" s="875"/>
      <c r="M187" s="875"/>
      <c r="N187" s="875"/>
      <c r="O187" s="875"/>
      <c r="P187" s="877"/>
      <c r="AH187"/>
      <c r="AI187"/>
      <c r="AJ187"/>
      <c r="AK187"/>
      <c r="AL187"/>
      <c r="AM187"/>
      <c r="AN187"/>
      <c r="AO187"/>
      <c r="AP187"/>
      <c r="AQ187"/>
      <c r="AR187"/>
    </row>
    <row r="188" spans="1:44" ht="12" customHeight="1">
      <c r="A188" s="874"/>
      <c r="B188" s="875"/>
      <c r="C188" s="875"/>
      <c r="D188" s="875"/>
      <c r="E188" s="875"/>
      <c r="F188" s="875"/>
      <c r="G188" s="875"/>
      <c r="H188" s="876"/>
      <c r="I188" s="875" t="s">
        <v>710</v>
      </c>
      <c r="J188" s="875"/>
      <c r="K188" s="875"/>
      <c r="L188" s="875"/>
      <c r="M188" s="875"/>
      <c r="N188" s="875"/>
      <c r="O188" s="875"/>
      <c r="P188" s="877"/>
      <c r="AH188"/>
      <c r="AI188"/>
      <c r="AJ188"/>
      <c r="AK188"/>
      <c r="AL188"/>
      <c r="AM188"/>
      <c r="AN188"/>
      <c r="AO188"/>
      <c r="AP188"/>
      <c r="AQ188"/>
      <c r="AR188"/>
    </row>
    <row r="189" spans="1:44" ht="12" customHeight="1" thickBot="1">
      <c r="A189" s="880"/>
      <c r="B189" s="881"/>
      <c r="C189" s="881"/>
      <c r="D189" s="881"/>
      <c r="E189" s="881"/>
      <c r="F189" s="881"/>
      <c r="G189" s="881"/>
      <c r="H189" s="882"/>
      <c r="I189" s="883" t="s">
        <v>711</v>
      </c>
      <c r="J189" s="881"/>
      <c r="K189" s="881"/>
      <c r="L189" s="881"/>
      <c r="M189" s="881"/>
      <c r="N189" s="881"/>
      <c r="O189" s="881"/>
      <c r="P189" s="884"/>
      <c r="AH189"/>
      <c r="AI189"/>
      <c r="AJ189"/>
      <c r="AK189"/>
      <c r="AL189"/>
      <c r="AM189"/>
      <c r="AN189"/>
      <c r="AO189"/>
      <c r="AP189"/>
      <c r="AQ189"/>
      <c r="AR189"/>
    </row>
    <row r="190" spans="1:44" ht="12" customHeight="1">
      <c r="AH190"/>
      <c r="AI190"/>
      <c r="AJ190"/>
      <c r="AK190"/>
      <c r="AL190"/>
      <c r="AM190"/>
      <c r="AN190"/>
      <c r="AO190"/>
      <c r="AP190"/>
      <c r="AQ190"/>
      <c r="AR190"/>
    </row>
    <row r="191" spans="1:44" ht="12" customHeight="1">
      <c r="AH191"/>
      <c r="AI191"/>
      <c r="AJ191"/>
      <c r="AK191"/>
      <c r="AL191"/>
      <c r="AM191"/>
      <c r="AN191"/>
      <c r="AO191"/>
      <c r="AP191"/>
      <c r="AQ191"/>
      <c r="AR191"/>
    </row>
    <row r="192" spans="1:44" ht="12" customHeight="1">
      <c r="AH192"/>
      <c r="AI192"/>
      <c r="AJ192"/>
      <c r="AK192"/>
      <c r="AL192"/>
      <c r="AM192"/>
      <c r="AN192"/>
      <c r="AO192"/>
      <c r="AP192"/>
      <c r="AQ192"/>
      <c r="AR192"/>
    </row>
    <row r="193" spans="1:44" ht="12" customHeight="1">
      <c r="AH193"/>
      <c r="AI193"/>
      <c r="AJ193"/>
      <c r="AK193"/>
      <c r="AL193"/>
      <c r="AM193"/>
      <c r="AN193"/>
      <c r="AO193"/>
      <c r="AP193"/>
      <c r="AQ193"/>
      <c r="AR193"/>
    </row>
    <row r="194" spans="1:44" ht="12" customHeight="1">
      <c r="A194" s="349" t="s">
        <v>664</v>
      </c>
      <c r="B194" s="349"/>
      <c r="C194" s="349"/>
      <c r="D194" s="349"/>
      <c r="E194" s="349"/>
      <c r="F194" s="349"/>
      <c r="G194" s="349"/>
      <c r="H194" s="349"/>
      <c r="I194" s="349"/>
      <c r="J194" s="349"/>
      <c r="K194" s="349"/>
      <c r="L194" s="349"/>
      <c r="M194" s="349"/>
      <c r="N194" s="349"/>
      <c r="O194" s="349"/>
      <c r="P194" s="349"/>
      <c r="AH194"/>
      <c r="AI194"/>
      <c r="AJ194"/>
      <c r="AK194"/>
      <c r="AL194"/>
      <c r="AM194"/>
      <c r="AN194"/>
      <c r="AO194"/>
      <c r="AP194"/>
      <c r="AQ194"/>
      <c r="AR194"/>
    </row>
    <row r="195" spans="1:44" ht="12" customHeight="1">
      <c r="A195" s="349" t="s">
        <v>1099</v>
      </c>
      <c r="B195" s="349"/>
      <c r="C195" s="349"/>
      <c r="D195" s="349" t="s">
        <v>1100</v>
      </c>
      <c r="E195" s="349"/>
      <c r="F195" s="349"/>
      <c r="G195" s="349"/>
      <c r="H195" s="349"/>
      <c r="I195" s="349" t="s">
        <v>1175</v>
      </c>
      <c r="J195" s="349"/>
      <c r="K195" s="349"/>
      <c r="L195" s="349"/>
      <c r="M195" s="349"/>
      <c r="N195" s="349" t="s">
        <v>1102</v>
      </c>
      <c r="O195" s="349"/>
      <c r="P195" s="349"/>
      <c r="R195" s="349" t="s">
        <v>1103</v>
      </c>
      <c r="S195" s="349"/>
      <c r="T195" s="349"/>
      <c r="U195" s="349"/>
      <c r="V195" s="349"/>
      <c r="W195" s="349"/>
      <c r="X195" s="349"/>
      <c r="Y195" s="349"/>
      <c r="Z195" s="349"/>
      <c r="AA195" s="349"/>
      <c r="AB195" s="349"/>
      <c r="AC195" s="349"/>
      <c r="AD195" s="349"/>
      <c r="AH195"/>
      <c r="AI195"/>
      <c r="AJ195"/>
      <c r="AK195"/>
      <c r="AL195"/>
      <c r="AM195"/>
      <c r="AN195"/>
      <c r="AO195"/>
      <c r="AP195"/>
      <c r="AQ195"/>
      <c r="AR195"/>
    </row>
    <row r="196" spans="1:44" ht="12" customHeight="1" thickBot="1">
      <c r="A196" s="349" t="s">
        <v>665</v>
      </c>
      <c r="B196" s="349"/>
      <c r="C196" s="349"/>
      <c r="D196" s="349"/>
      <c r="E196" s="1979"/>
      <c r="F196" s="1979"/>
      <c r="G196" s="1979"/>
      <c r="H196" s="1979" t="s">
        <v>1104</v>
      </c>
      <c r="I196" s="1979"/>
      <c r="J196" s="1979"/>
      <c r="K196" s="1979"/>
      <c r="L196" s="349"/>
      <c r="M196" s="1979" t="s">
        <v>666</v>
      </c>
      <c r="N196" s="1979"/>
      <c r="O196" s="1979"/>
      <c r="P196" s="1979"/>
      <c r="R196" s="349" t="s">
        <v>1099</v>
      </c>
      <c r="S196" s="349"/>
      <c r="T196" s="349"/>
      <c r="U196" s="349" t="s">
        <v>1100</v>
      </c>
      <c r="V196" s="349"/>
      <c r="W196" s="349"/>
      <c r="X196" s="349"/>
      <c r="Y196" s="349"/>
      <c r="Z196" s="349" t="s">
        <v>1176</v>
      </c>
      <c r="AA196" s="349"/>
      <c r="AB196" s="349"/>
      <c r="AC196" s="349"/>
      <c r="AD196" s="349" t="s">
        <v>1102</v>
      </c>
      <c r="AH196"/>
      <c r="AI196"/>
      <c r="AJ196"/>
      <c r="AK196"/>
      <c r="AL196"/>
      <c r="AM196"/>
      <c r="AN196"/>
      <c r="AO196"/>
      <c r="AP196"/>
      <c r="AQ196"/>
      <c r="AR196"/>
    </row>
    <row r="197" spans="1:44" ht="12" customHeight="1" thickBot="1">
      <c r="A197" s="1980" t="s">
        <v>187</v>
      </c>
      <c r="B197" s="826" t="s">
        <v>667</v>
      </c>
      <c r="C197" s="1980" t="s">
        <v>1106</v>
      </c>
      <c r="D197" s="1983"/>
      <c r="E197" s="1980" t="s">
        <v>1107</v>
      </c>
      <c r="F197" s="1986" t="s">
        <v>1108</v>
      </c>
      <c r="G197" s="1986" t="s">
        <v>1109</v>
      </c>
      <c r="H197" s="827" t="s">
        <v>1110</v>
      </c>
      <c r="I197" s="828"/>
      <c r="J197" s="827" t="s">
        <v>188</v>
      </c>
      <c r="K197" s="829"/>
      <c r="L197" s="829"/>
      <c r="M197" s="829"/>
      <c r="N197" s="826" t="s">
        <v>189</v>
      </c>
      <c r="O197" s="826" t="s">
        <v>1111</v>
      </c>
      <c r="P197" s="1989" t="s">
        <v>1112</v>
      </c>
      <c r="R197" s="349" t="s">
        <v>665</v>
      </c>
      <c r="S197" s="349"/>
      <c r="T197" s="349"/>
      <c r="U197" s="349"/>
      <c r="V197" s="830"/>
      <c r="W197" s="830"/>
      <c r="X197" s="830"/>
      <c r="Y197" s="830" t="s">
        <v>1104</v>
      </c>
      <c r="Z197" s="830"/>
      <c r="AA197" s="830"/>
      <c r="AB197" s="349"/>
      <c r="AC197" s="831" t="s">
        <v>666</v>
      </c>
      <c r="AD197" s="831"/>
      <c r="AH197"/>
      <c r="AI197"/>
      <c r="AJ197"/>
      <c r="AK197"/>
      <c r="AL197"/>
      <c r="AM197"/>
      <c r="AN197"/>
      <c r="AO197"/>
      <c r="AP197"/>
      <c r="AQ197"/>
      <c r="AR197"/>
    </row>
    <row r="198" spans="1:44" ht="12" customHeight="1" thickBot="1">
      <c r="A198" s="1981"/>
      <c r="B198" s="832" t="s">
        <v>668</v>
      </c>
      <c r="C198" s="1981"/>
      <c r="D198" s="1984"/>
      <c r="E198" s="1981"/>
      <c r="F198" s="1987"/>
      <c r="G198" s="1987"/>
      <c r="H198" s="1989" t="s">
        <v>193</v>
      </c>
      <c r="I198" s="1989" t="s">
        <v>1113</v>
      </c>
      <c r="J198" s="1989" t="s">
        <v>1114</v>
      </c>
      <c r="K198" s="833" t="s">
        <v>194</v>
      </c>
      <c r="L198" s="834"/>
      <c r="M198" s="826" t="s">
        <v>669</v>
      </c>
      <c r="N198" s="832" t="s">
        <v>670</v>
      </c>
      <c r="O198" s="832" t="s">
        <v>195</v>
      </c>
      <c r="P198" s="1990"/>
      <c r="R198" s="2028" t="s">
        <v>1115</v>
      </c>
      <c r="S198" s="2029"/>
      <c r="T198" s="2029"/>
      <c r="U198" s="2029"/>
      <c r="V198" s="2029"/>
      <c r="W198" s="2029"/>
      <c r="X198" s="2030"/>
      <c r="Y198" s="2003" t="s">
        <v>1116</v>
      </c>
      <c r="Z198" s="2004"/>
      <c r="AA198" s="2004"/>
      <c r="AB198" s="2004"/>
      <c r="AC198" s="2004"/>
      <c r="AD198" s="2005"/>
      <c r="AH198"/>
      <c r="AI198"/>
      <c r="AJ198"/>
      <c r="AK198"/>
      <c r="AL198"/>
      <c r="AM198"/>
      <c r="AN198"/>
      <c r="AO198"/>
      <c r="AP198"/>
      <c r="AQ198"/>
      <c r="AR198"/>
    </row>
    <row r="199" spans="1:44" ht="12" customHeight="1" thickBot="1">
      <c r="A199" s="1982"/>
      <c r="B199" s="835" t="s">
        <v>671</v>
      </c>
      <c r="C199" s="1982"/>
      <c r="D199" s="1985"/>
      <c r="E199" s="1982"/>
      <c r="F199" s="1988"/>
      <c r="G199" s="1988"/>
      <c r="H199" s="1991"/>
      <c r="I199" s="1991"/>
      <c r="J199" s="1991"/>
      <c r="K199" s="836" t="s">
        <v>672</v>
      </c>
      <c r="L199" s="836" t="s">
        <v>673</v>
      </c>
      <c r="M199" s="835" t="s">
        <v>674</v>
      </c>
      <c r="N199" s="835" t="s">
        <v>675</v>
      </c>
      <c r="O199" s="835" t="s">
        <v>676</v>
      </c>
      <c r="P199" s="1991"/>
      <c r="R199" s="2006" t="s">
        <v>1</v>
      </c>
      <c r="S199" s="2006" t="s">
        <v>677</v>
      </c>
      <c r="T199" s="2009" t="s">
        <v>1117</v>
      </c>
      <c r="U199" s="2010"/>
      <c r="V199" s="2017" t="s">
        <v>1118</v>
      </c>
      <c r="W199" s="2017" t="s">
        <v>1119</v>
      </c>
      <c r="X199" s="2017" t="s">
        <v>1120</v>
      </c>
      <c r="Y199" s="2006" t="s">
        <v>1</v>
      </c>
      <c r="Z199" s="2006" t="s">
        <v>677</v>
      </c>
      <c r="AA199" s="2009" t="s">
        <v>1117</v>
      </c>
      <c r="AB199" s="2017" t="s">
        <v>1118</v>
      </c>
      <c r="AC199" s="2017" t="s">
        <v>1119</v>
      </c>
      <c r="AD199" s="2017" t="s">
        <v>1121</v>
      </c>
      <c r="AH199"/>
      <c r="AI199"/>
      <c r="AJ199"/>
      <c r="AK199"/>
      <c r="AL199"/>
      <c r="AM199"/>
      <c r="AN199"/>
      <c r="AO199"/>
      <c r="AP199"/>
      <c r="AQ199"/>
      <c r="AR199"/>
    </row>
    <row r="200" spans="1:44" ht="12" customHeight="1">
      <c r="A200" s="837">
        <v>1</v>
      </c>
      <c r="B200" s="838" t="s">
        <v>1122</v>
      </c>
      <c r="C200" s="839" t="s">
        <v>1123</v>
      </c>
      <c r="D200" s="840"/>
      <c r="E200" s="306" t="s">
        <v>1124</v>
      </c>
      <c r="F200" s="841">
        <v>1</v>
      </c>
      <c r="G200" s="841">
        <v>22</v>
      </c>
      <c r="H200" s="307">
        <v>100000</v>
      </c>
      <c r="I200" s="307">
        <v>84100</v>
      </c>
      <c r="J200" s="307">
        <f>K200+L200</f>
        <v>20604.5</v>
      </c>
      <c r="K200" s="307">
        <f>I200*0.15</f>
        <v>12615</v>
      </c>
      <c r="L200" s="307">
        <f>I200*0.095</f>
        <v>7989.5</v>
      </c>
      <c r="M200" s="307">
        <v>0</v>
      </c>
      <c r="N200" s="307">
        <f>I200*0.034</f>
        <v>2859.4</v>
      </c>
      <c r="O200" s="307">
        <f>H200</f>
        <v>100000</v>
      </c>
      <c r="P200" s="842">
        <f>H200*0.1</f>
        <v>10000</v>
      </c>
      <c r="R200" s="2007"/>
      <c r="S200" s="2007"/>
      <c r="T200" s="2011"/>
      <c r="U200" s="2012"/>
      <c r="V200" s="2018"/>
      <c r="W200" s="2018"/>
      <c r="X200" s="2018"/>
      <c r="Y200" s="2007"/>
      <c r="Z200" s="2007"/>
      <c r="AA200" s="2011"/>
      <c r="AB200" s="2018"/>
      <c r="AC200" s="2018"/>
      <c r="AD200" s="2018"/>
      <c r="AH200"/>
      <c r="AI200"/>
      <c r="AJ200"/>
      <c r="AK200"/>
      <c r="AL200"/>
      <c r="AM200"/>
      <c r="AN200"/>
      <c r="AO200"/>
      <c r="AP200"/>
      <c r="AQ200"/>
      <c r="AR200"/>
    </row>
    <row r="201" spans="1:44" ht="12" customHeight="1" thickBot="1">
      <c r="A201" s="843">
        <v>2</v>
      </c>
      <c r="B201" s="844" t="s">
        <v>1125</v>
      </c>
      <c r="C201" s="845" t="s">
        <v>1126</v>
      </c>
      <c r="D201" s="846"/>
      <c r="E201" s="305" t="s">
        <v>678</v>
      </c>
      <c r="F201" s="305">
        <v>1</v>
      </c>
      <c r="G201" s="305">
        <v>22</v>
      </c>
      <c r="H201" s="305">
        <v>40000</v>
      </c>
      <c r="I201" s="305">
        <f t="shared" ref="I201:I206" si="49">H201</f>
        <v>40000</v>
      </c>
      <c r="J201" s="307">
        <f t="shared" ref="J201:J207" si="50">K201+L201</f>
        <v>9800</v>
      </c>
      <c r="K201" s="307">
        <f t="shared" ref="K201:K207" si="51">I201*0.15</f>
        <v>6000</v>
      </c>
      <c r="L201" s="307">
        <f t="shared" ref="L201:L207" si="52">I201*0.095</f>
        <v>3800</v>
      </c>
      <c r="M201" s="307">
        <v>0</v>
      </c>
      <c r="N201" s="307">
        <f t="shared" ref="N201:N207" si="53">I201*0.034</f>
        <v>1360</v>
      </c>
      <c r="O201" s="307">
        <f t="shared" ref="O201:O206" si="54">H201</f>
        <v>40000</v>
      </c>
      <c r="P201" s="842">
        <v>4000</v>
      </c>
      <c r="R201" s="2008"/>
      <c r="S201" s="2008"/>
      <c r="T201" s="2013"/>
      <c r="U201" s="2014"/>
      <c r="V201" s="2019"/>
      <c r="W201" s="2019"/>
      <c r="X201" s="2019"/>
      <c r="Y201" s="2008"/>
      <c r="Z201" s="2008"/>
      <c r="AA201" s="2013"/>
      <c r="AB201" s="2019"/>
      <c r="AC201" s="2019"/>
      <c r="AD201" s="2019"/>
      <c r="AH201"/>
      <c r="AI201"/>
      <c r="AJ201"/>
      <c r="AK201"/>
      <c r="AL201"/>
      <c r="AM201"/>
      <c r="AN201"/>
      <c r="AO201"/>
      <c r="AP201"/>
      <c r="AQ201"/>
      <c r="AR201"/>
    </row>
    <row r="202" spans="1:44" ht="12" customHeight="1">
      <c r="A202" s="843">
        <v>3</v>
      </c>
      <c r="B202" s="844" t="s">
        <v>1127</v>
      </c>
      <c r="C202" s="845" t="s">
        <v>1128</v>
      </c>
      <c r="D202" s="846"/>
      <c r="E202" s="847" t="s">
        <v>679</v>
      </c>
      <c r="F202" s="305">
        <v>1</v>
      </c>
      <c r="G202" s="305">
        <v>22</v>
      </c>
      <c r="H202" s="305">
        <v>19100</v>
      </c>
      <c r="I202" s="305">
        <f t="shared" si="49"/>
        <v>19100</v>
      </c>
      <c r="J202" s="307">
        <f t="shared" si="50"/>
        <v>4679.5</v>
      </c>
      <c r="K202" s="307">
        <f t="shared" si="51"/>
        <v>2865</v>
      </c>
      <c r="L202" s="307">
        <f t="shared" si="52"/>
        <v>1814.5</v>
      </c>
      <c r="M202" s="307">
        <v>0</v>
      </c>
      <c r="N202" s="307">
        <f t="shared" si="53"/>
        <v>649.40000000000009</v>
      </c>
      <c r="O202" s="307">
        <f t="shared" si="54"/>
        <v>19100</v>
      </c>
      <c r="P202" s="842">
        <v>910</v>
      </c>
      <c r="R202" s="848">
        <v>1</v>
      </c>
      <c r="S202" s="885"/>
      <c r="T202" s="2026"/>
      <c r="U202" s="2027"/>
      <c r="V202" s="850"/>
      <c r="W202" s="850"/>
      <c r="X202" s="851"/>
      <c r="Y202" s="848">
        <v>1</v>
      </c>
      <c r="Z202" s="849" t="s">
        <v>1156</v>
      </c>
      <c r="AA202" s="852"/>
      <c r="AB202" s="850" t="s">
        <v>1177</v>
      </c>
      <c r="AC202" s="850" t="s">
        <v>1178</v>
      </c>
      <c r="AD202" s="853" t="s">
        <v>1179</v>
      </c>
      <c r="AH202"/>
      <c r="AI202"/>
      <c r="AJ202"/>
      <c r="AK202"/>
      <c r="AL202"/>
      <c r="AM202"/>
      <c r="AN202"/>
      <c r="AO202"/>
      <c r="AP202"/>
      <c r="AQ202"/>
      <c r="AR202"/>
    </row>
    <row r="203" spans="1:44" ht="12" customHeight="1">
      <c r="A203" s="843">
        <v>4</v>
      </c>
      <c r="B203" s="844" t="s">
        <v>1132</v>
      </c>
      <c r="C203" s="845" t="s">
        <v>1133</v>
      </c>
      <c r="D203" s="846"/>
      <c r="E203" s="847" t="s">
        <v>1134</v>
      </c>
      <c r="F203" s="305">
        <v>1</v>
      </c>
      <c r="G203" s="305">
        <v>22</v>
      </c>
      <c r="H203" s="305">
        <v>27000</v>
      </c>
      <c r="I203" s="305">
        <f t="shared" si="49"/>
        <v>27000</v>
      </c>
      <c r="J203" s="307">
        <f t="shared" si="50"/>
        <v>6615</v>
      </c>
      <c r="K203" s="307">
        <f t="shared" si="51"/>
        <v>4050</v>
      </c>
      <c r="L203" s="307">
        <f t="shared" si="52"/>
        <v>2565</v>
      </c>
      <c r="M203" s="307">
        <v>0</v>
      </c>
      <c r="N203" s="307">
        <f t="shared" si="53"/>
        <v>918.00000000000011</v>
      </c>
      <c r="O203" s="307">
        <f t="shared" si="54"/>
        <v>27000</v>
      </c>
      <c r="P203" s="842">
        <v>1700</v>
      </c>
      <c r="R203" s="746">
        <v>2</v>
      </c>
      <c r="S203" s="849"/>
      <c r="T203" s="1998"/>
      <c r="U203" s="1998"/>
      <c r="V203" s="850"/>
      <c r="W203" s="850"/>
      <c r="X203" s="851"/>
      <c r="Y203" s="746">
        <v>2</v>
      </c>
      <c r="Z203" s="849"/>
      <c r="AA203" s="852"/>
      <c r="AB203" s="850"/>
      <c r="AC203" s="850"/>
      <c r="AD203" s="853"/>
      <c r="AH203"/>
      <c r="AI203"/>
      <c r="AJ203"/>
      <c r="AK203"/>
      <c r="AL203"/>
      <c r="AM203"/>
      <c r="AN203"/>
      <c r="AO203"/>
      <c r="AP203"/>
      <c r="AQ203"/>
      <c r="AR203"/>
    </row>
    <row r="204" spans="1:44" ht="12" customHeight="1">
      <c r="A204" s="843">
        <v>5</v>
      </c>
      <c r="B204" s="844"/>
      <c r="C204" s="845" t="s">
        <v>1137</v>
      </c>
      <c r="D204" s="846"/>
      <c r="E204" s="847" t="s">
        <v>679</v>
      </c>
      <c r="F204" s="305">
        <v>1</v>
      </c>
      <c r="G204" s="305">
        <v>22</v>
      </c>
      <c r="H204" s="305">
        <v>19100</v>
      </c>
      <c r="I204" s="305">
        <f t="shared" si="49"/>
        <v>19100</v>
      </c>
      <c r="J204" s="307">
        <f t="shared" si="50"/>
        <v>4679.5</v>
      </c>
      <c r="K204" s="307">
        <f t="shared" si="51"/>
        <v>2865</v>
      </c>
      <c r="L204" s="307">
        <f t="shared" si="52"/>
        <v>1814.5</v>
      </c>
      <c r="M204" s="307">
        <v>0</v>
      </c>
      <c r="N204" s="307">
        <f t="shared" si="53"/>
        <v>649.40000000000009</v>
      </c>
      <c r="O204" s="307">
        <f t="shared" si="54"/>
        <v>19100</v>
      </c>
      <c r="P204" s="842">
        <v>910</v>
      </c>
      <c r="R204" s="746">
        <v>3</v>
      </c>
      <c r="S204" s="849"/>
      <c r="T204" s="1998"/>
      <c r="U204" s="1998"/>
      <c r="V204" s="850"/>
      <c r="W204" s="850"/>
      <c r="X204" s="851"/>
      <c r="Y204" s="746">
        <v>3</v>
      </c>
      <c r="Z204" s="849"/>
      <c r="AA204" s="852"/>
      <c r="AB204" s="850"/>
      <c r="AC204" s="850"/>
      <c r="AD204" s="853"/>
      <c r="AH204"/>
      <c r="AI204"/>
      <c r="AJ204"/>
      <c r="AK204"/>
      <c r="AL204"/>
      <c r="AM204"/>
      <c r="AN204"/>
      <c r="AO204"/>
      <c r="AP204"/>
      <c r="AQ204"/>
      <c r="AR204"/>
    </row>
    <row r="205" spans="1:44" ht="12" customHeight="1">
      <c r="A205" s="843">
        <v>6</v>
      </c>
      <c r="B205" s="844"/>
      <c r="C205" s="845" t="s">
        <v>1139</v>
      </c>
      <c r="D205" s="846"/>
      <c r="E205" s="305" t="s">
        <v>679</v>
      </c>
      <c r="F205" s="305">
        <v>1</v>
      </c>
      <c r="G205" s="305">
        <v>22</v>
      </c>
      <c r="H205" s="305">
        <v>19100</v>
      </c>
      <c r="I205" s="305">
        <f t="shared" si="49"/>
        <v>19100</v>
      </c>
      <c r="J205" s="307">
        <f t="shared" si="50"/>
        <v>4679.5</v>
      </c>
      <c r="K205" s="307">
        <f t="shared" si="51"/>
        <v>2865</v>
      </c>
      <c r="L205" s="307">
        <f t="shared" si="52"/>
        <v>1814.5</v>
      </c>
      <c r="M205" s="307">
        <v>0</v>
      </c>
      <c r="N205" s="307">
        <f t="shared" si="53"/>
        <v>649.40000000000009</v>
      </c>
      <c r="O205" s="307">
        <f t="shared" si="54"/>
        <v>19100</v>
      </c>
      <c r="P205" s="742">
        <v>910</v>
      </c>
      <c r="R205" s="848">
        <v>4</v>
      </c>
      <c r="S205" s="849"/>
      <c r="T205" s="1998"/>
      <c r="U205" s="1998"/>
      <c r="V205" s="850"/>
      <c r="W205" s="850"/>
      <c r="X205" s="851"/>
      <c r="Y205" s="746">
        <v>4</v>
      </c>
      <c r="Z205" s="849"/>
      <c r="AA205" s="852"/>
      <c r="AB205" s="850"/>
      <c r="AC205" s="850"/>
      <c r="AD205" s="853"/>
      <c r="AH205"/>
      <c r="AI205"/>
      <c r="AJ205"/>
      <c r="AK205"/>
      <c r="AL205"/>
      <c r="AM205"/>
      <c r="AN205"/>
      <c r="AO205"/>
      <c r="AP205"/>
      <c r="AQ205"/>
      <c r="AR205"/>
    </row>
    <row r="206" spans="1:44" ht="12" customHeight="1">
      <c r="A206" s="843">
        <v>7</v>
      </c>
      <c r="B206" s="844"/>
      <c r="C206" s="845" t="s">
        <v>1141</v>
      </c>
      <c r="D206" s="846"/>
      <c r="E206" s="847" t="s">
        <v>1142</v>
      </c>
      <c r="F206" s="305">
        <v>1</v>
      </c>
      <c r="G206" s="305">
        <v>22</v>
      </c>
      <c r="H206" s="305">
        <v>35000</v>
      </c>
      <c r="I206" s="305">
        <f t="shared" si="49"/>
        <v>35000</v>
      </c>
      <c r="J206" s="307">
        <f t="shared" si="50"/>
        <v>8575</v>
      </c>
      <c r="K206" s="307">
        <f t="shared" si="51"/>
        <v>5250</v>
      </c>
      <c r="L206" s="307">
        <f t="shared" si="52"/>
        <v>3325</v>
      </c>
      <c r="M206" s="307">
        <v>0</v>
      </c>
      <c r="N206" s="307">
        <f t="shared" si="53"/>
        <v>1190</v>
      </c>
      <c r="O206" s="307">
        <f t="shared" si="54"/>
        <v>35000</v>
      </c>
      <c r="P206" s="742">
        <v>3500</v>
      </c>
      <c r="R206" s="848">
        <v>5</v>
      </c>
      <c r="S206" s="849"/>
      <c r="T206" s="1998"/>
      <c r="U206" s="1998"/>
      <c r="V206" s="850"/>
      <c r="W206" s="850"/>
      <c r="X206" s="851"/>
      <c r="Y206" s="746">
        <v>5</v>
      </c>
      <c r="Z206" s="845"/>
      <c r="AA206" s="855"/>
      <c r="AB206" s="850"/>
      <c r="AC206" s="850"/>
      <c r="AD206" s="853"/>
      <c r="AH206"/>
      <c r="AI206"/>
      <c r="AJ206"/>
      <c r="AK206"/>
      <c r="AL206"/>
      <c r="AM206"/>
      <c r="AN206"/>
      <c r="AO206"/>
      <c r="AP206"/>
      <c r="AQ206"/>
      <c r="AR206"/>
    </row>
    <row r="207" spans="1:44" ht="12" customHeight="1">
      <c r="A207" s="843">
        <v>8</v>
      </c>
      <c r="B207" s="844" t="s">
        <v>1144</v>
      </c>
      <c r="C207" s="845" t="s">
        <v>1145</v>
      </c>
      <c r="D207" s="846"/>
      <c r="E207" s="847" t="s">
        <v>679</v>
      </c>
      <c r="F207" s="305">
        <v>1</v>
      </c>
      <c r="G207" s="305">
        <v>22</v>
      </c>
      <c r="H207" s="305">
        <v>19100</v>
      </c>
      <c r="I207" s="305">
        <f>H207</f>
        <v>19100</v>
      </c>
      <c r="J207" s="307">
        <f t="shared" si="50"/>
        <v>4679.5</v>
      </c>
      <c r="K207" s="307">
        <f t="shared" si="51"/>
        <v>2865</v>
      </c>
      <c r="L207" s="307">
        <f t="shared" si="52"/>
        <v>1814.5</v>
      </c>
      <c r="M207" s="307">
        <v>0</v>
      </c>
      <c r="N207" s="307">
        <f t="shared" si="53"/>
        <v>649.40000000000009</v>
      </c>
      <c r="O207" s="307">
        <f>H207</f>
        <v>19100</v>
      </c>
      <c r="P207" s="842">
        <v>910</v>
      </c>
      <c r="R207" s="746">
        <v>6</v>
      </c>
      <c r="S207" s="849"/>
      <c r="T207" s="1998"/>
      <c r="U207" s="1998"/>
      <c r="V207" s="850"/>
      <c r="W207" s="850"/>
      <c r="X207" s="851"/>
      <c r="Y207" s="746">
        <v>6</v>
      </c>
      <c r="Z207" s="845"/>
      <c r="AA207" s="855"/>
      <c r="AB207" s="850"/>
      <c r="AC207" s="850"/>
      <c r="AD207" s="853"/>
      <c r="AH207"/>
      <c r="AI207"/>
      <c r="AJ207"/>
      <c r="AK207"/>
      <c r="AL207"/>
      <c r="AM207"/>
      <c r="AN207"/>
      <c r="AO207"/>
      <c r="AP207"/>
      <c r="AQ207"/>
      <c r="AR207"/>
    </row>
    <row r="208" spans="1:44" ht="12" customHeight="1">
      <c r="A208" s="843">
        <v>9</v>
      </c>
      <c r="B208" s="844"/>
      <c r="C208" s="849" t="s">
        <v>1135</v>
      </c>
      <c r="D208" s="849"/>
      <c r="E208" s="847" t="s">
        <v>679</v>
      </c>
      <c r="F208" s="305">
        <v>1</v>
      </c>
      <c r="G208" s="305">
        <v>22</v>
      </c>
      <c r="H208" s="305">
        <v>19100</v>
      </c>
      <c r="I208" s="305">
        <f>H208</f>
        <v>19100</v>
      </c>
      <c r="J208" s="307">
        <f>K208+L208</f>
        <v>4679.5</v>
      </c>
      <c r="K208" s="307">
        <f>I208*0.15</f>
        <v>2865</v>
      </c>
      <c r="L208" s="307">
        <f>I208*0.095</f>
        <v>1814.5</v>
      </c>
      <c r="M208" s="307">
        <v>0</v>
      </c>
      <c r="N208" s="307">
        <f>I208*0.034</f>
        <v>649.40000000000009</v>
      </c>
      <c r="O208" s="307">
        <f>H208</f>
        <v>19100</v>
      </c>
      <c r="P208" s="842">
        <v>910</v>
      </c>
      <c r="R208" s="746">
        <v>7</v>
      </c>
      <c r="S208" s="849"/>
      <c r="T208" s="1998"/>
      <c r="U208" s="1998"/>
      <c r="V208" s="850"/>
      <c r="W208" s="850"/>
      <c r="X208" s="851"/>
      <c r="Y208" s="746">
        <v>7</v>
      </c>
      <c r="Z208" s="845"/>
      <c r="AA208" s="855"/>
      <c r="AB208" s="850"/>
      <c r="AC208" s="850"/>
      <c r="AD208" s="853"/>
      <c r="AH208"/>
      <c r="AI208"/>
      <c r="AJ208"/>
      <c r="AK208"/>
      <c r="AL208"/>
      <c r="AM208"/>
      <c r="AN208"/>
      <c r="AO208"/>
      <c r="AP208"/>
      <c r="AQ208"/>
      <c r="AR208"/>
    </row>
    <row r="209" spans="1:44" ht="12" customHeight="1">
      <c r="A209" s="843">
        <v>10</v>
      </c>
      <c r="B209" s="73"/>
      <c r="C209" s="1966"/>
      <c r="D209" s="1967"/>
      <c r="E209" s="847"/>
      <c r="F209" s="305"/>
      <c r="G209" s="305"/>
      <c r="H209" s="305"/>
      <c r="I209" s="305"/>
      <c r="J209" s="307"/>
      <c r="K209" s="307"/>
      <c r="L209" s="307"/>
      <c r="M209" s="307"/>
      <c r="N209" s="307"/>
      <c r="O209" s="307"/>
      <c r="P209" s="842"/>
      <c r="R209" s="848">
        <v>8</v>
      </c>
      <c r="S209" s="849"/>
      <c r="T209" s="1998"/>
      <c r="U209" s="1998"/>
      <c r="V209" s="850"/>
      <c r="W209" s="850"/>
      <c r="X209" s="851"/>
      <c r="Y209" s="746">
        <v>8</v>
      </c>
      <c r="Z209" s="849"/>
      <c r="AA209" s="855"/>
      <c r="AB209" s="850"/>
      <c r="AC209" s="850"/>
      <c r="AD209" s="853"/>
      <c r="AH209"/>
      <c r="AI209"/>
      <c r="AJ209"/>
      <c r="AK209"/>
      <c r="AL209"/>
      <c r="AM209"/>
      <c r="AN209"/>
      <c r="AO209"/>
      <c r="AP209"/>
      <c r="AQ209"/>
      <c r="AR209"/>
    </row>
    <row r="210" spans="1:44" ht="12" customHeight="1">
      <c r="A210" s="843">
        <v>11</v>
      </c>
      <c r="B210" s="73"/>
      <c r="C210" s="1966"/>
      <c r="D210" s="1967"/>
      <c r="E210" s="847"/>
      <c r="F210" s="305"/>
      <c r="G210" s="305"/>
      <c r="H210" s="305"/>
      <c r="I210" s="305"/>
      <c r="J210" s="307"/>
      <c r="K210" s="307"/>
      <c r="L210" s="307"/>
      <c r="M210" s="307"/>
      <c r="N210" s="307"/>
      <c r="O210" s="307"/>
      <c r="P210" s="842"/>
      <c r="R210" s="848">
        <v>9</v>
      </c>
      <c r="S210" s="849"/>
      <c r="T210" s="1998"/>
      <c r="U210" s="1998"/>
      <c r="V210" s="850"/>
      <c r="W210" s="850"/>
      <c r="X210" s="851"/>
      <c r="Y210" s="746">
        <v>9</v>
      </c>
      <c r="Z210" s="849"/>
      <c r="AA210" s="855"/>
      <c r="AB210" s="850"/>
      <c r="AC210" s="850"/>
      <c r="AD210" s="853"/>
      <c r="AH210"/>
      <c r="AI210"/>
      <c r="AJ210"/>
      <c r="AK210"/>
      <c r="AL210"/>
      <c r="AM210"/>
      <c r="AN210"/>
      <c r="AO210"/>
      <c r="AP210"/>
      <c r="AQ210"/>
      <c r="AR210"/>
    </row>
    <row r="211" spans="1:44" ht="12" customHeight="1">
      <c r="A211" s="843">
        <v>12</v>
      </c>
      <c r="B211" s="73"/>
      <c r="C211" s="1966"/>
      <c r="D211" s="1967"/>
      <c r="E211" s="847"/>
      <c r="F211" s="305"/>
      <c r="G211" s="305"/>
      <c r="H211" s="305"/>
      <c r="I211" s="305"/>
      <c r="J211" s="307"/>
      <c r="K211" s="307"/>
      <c r="L211" s="307"/>
      <c r="M211" s="307"/>
      <c r="N211" s="307"/>
      <c r="O211" s="307"/>
      <c r="P211" s="842"/>
      <c r="R211" s="746">
        <v>10</v>
      </c>
      <c r="S211" s="849"/>
      <c r="T211" s="1998"/>
      <c r="U211" s="1998"/>
      <c r="V211" s="850"/>
      <c r="W211" s="850"/>
      <c r="X211" s="851"/>
      <c r="Y211" s="746">
        <v>10</v>
      </c>
      <c r="Z211" s="849"/>
      <c r="AA211" s="855"/>
      <c r="AB211" s="850"/>
      <c r="AC211" s="850"/>
      <c r="AD211" s="853"/>
      <c r="AH211"/>
      <c r="AI211"/>
      <c r="AJ211"/>
      <c r="AK211"/>
      <c r="AL211"/>
      <c r="AM211"/>
      <c r="AN211"/>
      <c r="AO211"/>
      <c r="AP211"/>
      <c r="AQ211"/>
      <c r="AR211"/>
    </row>
    <row r="212" spans="1:44" ht="12" customHeight="1">
      <c r="A212" s="837">
        <v>13</v>
      </c>
      <c r="B212" s="73"/>
      <c r="C212" s="1966"/>
      <c r="D212" s="1967"/>
      <c r="E212" s="847"/>
      <c r="F212" s="305"/>
      <c r="G212" s="305"/>
      <c r="H212" s="305"/>
      <c r="I212" s="305"/>
      <c r="J212" s="307"/>
      <c r="K212" s="307"/>
      <c r="L212" s="307"/>
      <c r="M212" s="307"/>
      <c r="N212" s="307"/>
      <c r="O212" s="307"/>
      <c r="P212" s="842"/>
      <c r="R212" s="746">
        <v>11</v>
      </c>
      <c r="S212" s="849"/>
      <c r="T212" s="1998"/>
      <c r="U212" s="1998"/>
      <c r="V212" s="850"/>
      <c r="W212" s="850"/>
      <c r="X212" s="851"/>
      <c r="Y212" s="746">
        <v>11</v>
      </c>
      <c r="Z212" s="84"/>
      <c r="AA212" s="855"/>
      <c r="AB212" s="84"/>
      <c r="AC212" s="84"/>
      <c r="AD212" s="111"/>
      <c r="AH212"/>
      <c r="AI212"/>
      <c r="AJ212"/>
      <c r="AK212"/>
      <c r="AL212"/>
      <c r="AM212"/>
      <c r="AN212"/>
      <c r="AO212"/>
      <c r="AP212"/>
      <c r="AQ212"/>
      <c r="AR212"/>
    </row>
    <row r="213" spans="1:44" ht="12" customHeight="1">
      <c r="A213" s="843">
        <v>14</v>
      </c>
      <c r="B213" s="73"/>
      <c r="C213" s="1966"/>
      <c r="D213" s="1967"/>
      <c r="E213" s="847"/>
      <c r="F213" s="305"/>
      <c r="G213" s="305"/>
      <c r="H213" s="305"/>
      <c r="I213" s="305"/>
      <c r="J213" s="307"/>
      <c r="K213" s="307"/>
      <c r="L213" s="307"/>
      <c r="M213" s="307"/>
      <c r="N213" s="307"/>
      <c r="O213" s="307"/>
      <c r="P213" s="842"/>
      <c r="R213" s="848">
        <v>12</v>
      </c>
      <c r="S213" s="849"/>
      <c r="T213" s="1998"/>
      <c r="U213" s="1998"/>
      <c r="V213" s="850"/>
      <c r="W213" s="850"/>
      <c r="X213" s="851"/>
      <c r="Y213" s="848">
        <v>12</v>
      </c>
      <c r="Z213" s="84"/>
      <c r="AA213" s="855"/>
      <c r="AB213" s="84"/>
      <c r="AC213" s="84"/>
      <c r="AD213" s="111"/>
      <c r="AH213"/>
      <c r="AI213"/>
      <c r="AJ213"/>
      <c r="AK213"/>
      <c r="AL213"/>
      <c r="AM213"/>
      <c r="AN213"/>
      <c r="AO213"/>
      <c r="AP213"/>
      <c r="AQ213"/>
      <c r="AR213"/>
    </row>
    <row r="214" spans="1:44" ht="12" customHeight="1">
      <c r="A214" s="843">
        <v>15</v>
      </c>
      <c r="B214" s="73"/>
      <c r="C214" s="1966"/>
      <c r="D214" s="1967"/>
      <c r="E214" s="847"/>
      <c r="F214" s="305"/>
      <c r="G214" s="305"/>
      <c r="H214" s="305"/>
      <c r="I214" s="305"/>
      <c r="J214" s="307"/>
      <c r="K214" s="307"/>
      <c r="L214" s="307"/>
      <c r="M214" s="307"/>
      <c r="N214" s="307"/>
      <c r="O214" s="307"/>
      <c r="P214" s="842"/>
      <c r="R214" s="848">
        <v>13</v>
      </c>
      <c r="S214" s="84"/>
      <c r="T214" s="1998"/>
      <c r="U214" s="1998"/>
      <c r="V214" s="850"/>
      <c r="W214" s="850"/>
      <c r="X214" s="851"/>
      <c r="Y214" s="848">
        <v>13</v>
      </c>
      <c r="Z214" s="84"/>
      <c r="AA214" s="855"/>
      <c r="AB214" s="84"/>
      <c r="AC214" s="84"/>
      <c r="AD214" s="111"/>
      <c r="AH214"/>
      <c r="AI214"/>
      <c r="AJ214"/>
      <c r="AK214"/>
      <c r="AL214"/>
      <c r="AM214"/>
      <c r="AN214"/>
      <c r="AO214"/>
      <c r="AP214"/>
      <c r="AQ214"/>
      <c r="AR214"/>
    </row>
    <row r="215" spans="1:44" ht="12" customHeight="1">
      <c r="A215" s="837">
        <v>16</v>
      </c>
      <c r="B215" s="73"/>
      <c r="C215" s="1966"/>
      <c r="D215" s="1967"/>
      <c r="E215" s="847"/>
      <c r="F215" s="305"/>
      <c r="G215" s="305"/>
      <c r="H215" s="305"/>
      <c r="I215" s="305"/>
      <c r="J215" s="307"/>
      <c r="K215" s="307"/>
      <c r="L215" s="307"/>
      <c r="M215" s="307"/>
      <c r="N215" s="307"/>
      <c r="O215" s="307"/>
      <c r="P215" s="842"/>
      <c r="R215" s="746">
        <v>14</v>
      </c>
      <c r="S215" s="84"/>
      <c r="T215" s="1998"/>
      <c r="U215" s="1998"/>
      <c r="V215" s="84"/>
      <c r="W215" s="84"/>
      <c r="X215" s="84"/>
      <c r="Y215" s="746">
        <v>14</v>
      </c>
      <c r="Z215" s="84"/>
      <c r="AA215" s="855"/>
      <c r="AB215" s="84"/>
      <c r="AC215" s="84"/>
      <c r="AD215" s="111"/>
      <c r="AH215"/>
      <c r="AI215"/>
      <c r="AJ215"/>
      <c r="AK215"/>
      <c r="AL215"/>
      <c r="AM215"/>
      <c r="AN215"/>
      <c r="AO215"/>
      <c r="AP215"/>
      <c r="AQ215"/>
      <c r="AR215"/>
    </row>
    <row r="216" spans="1:44" ht="12" customHeight="1">
      <c r="A216" s="843">
        <v>17</v>
      </c>
      <c r="B216" s="73"/>
      <c r="C216" s="1966"/>
      <c r="D216" s="1967"/>
      <c r="E216" s="847"/>
      <c r="F216" s="305"/>
      <c r="G216" s="305"/>
      <c r="H216" s="305"/>
      <c r="I216" s="305"/>
      <c r="J216" s="307"/>
      <c r="K216" s="307"/>
      <c r="L216" s="307"/>
      <c r="M216" s="307"/>
      <c r="N216" s="307"/>
      <c r="O216" s="307"/>
      <c r="P216" s="842"/>
      <c r="R216" s="746">
        <v>15</v>
      </c>
      <c r="S216" s="84"/>
      <c r="T216" s="1998"/>
      <c r="U216" s="1998"/>
      <c r="V216" s="84"/>
      <c r="W216" s="84"/>
      <c r="X216" s="84"/>
      <c r="Y216" s="746">
        <v>15</v>
      </c>
      <c r="Z216" s="84"/>
      <c r="AA216" s="855"/>
      <c r="AB216" s="84"/>
      <c r="AC216" s="84"/>
      <c r="AD216" s="111"/>
      <c r="AH216"/>
      <c r="AI216"/>
      <c r="AJ216"/>
      <c r="AK216"/>
      <c r="AL216"/>
      <c r="AM216"/>
      <c r="AN216"/>
      <c r="AO216"/>
      <c r="AP216"/>
      <c r="AQ216"/>
      <c r="AR216"/>
    </row>
    <row r="217" spans="1:44" ht="12" customHeight="1">
      <c r="A217" s="843">
        <v>18</v>
      </c>
      <c r="B217" s="73"/>
      <c r="C217" s="1966"/>
      <c r="D217" s="1967"/>
      <c r="E217" s="847"/>
      <c r="F217" s="305"/>
      <c r="G217" s="305"/>
      <c r="H217" s="305"/>
      <c r="I217" s="305"/>
      <c r="J217" s="307"/>
      <c r="K217" s="307"/>
      <c r="L217" s="307"/>
      <c r="M217" s="307"/>
      <c r="N217" s="307"/>
      <c r="O217" s="307"/>
      <c r="P217" s="842"/>
      <c r="R217" s="848">
        <v>16</v>
      </c>
      <c r="S217" s="84"/>
      <c r="T217" s="1998"/>
      <c r="U217" s="1998"/>
      <c r="V217" s="84"/>
      <c r="W217" s="84"/>
      <c r="X217" s="84"/>
      <c r="Y217" s="848">
        <v>16</v>
      </c>
      <c r="Z217" s="84"/>
      <c r="AA217" s="855"/>
      <c r="AB217" s="84"/>
      <c r="AC217" s="84"/>
      <c r="AD217" s="111"/>
      <c r="AH217"/>
      <c r="AI217"/>
      <c r="AJ217"/>
      <c r="AK217"/>
      <c r="AL217"/>
      <c r="AM217"/>
      <c r="AN217"/>
      <c r="AO217"/>
      <c r="AP217"/>
      <c r="AQ217"/>
      <c r="AR217"/>
    </row>
    <row r="218" spans="1:44" ht="12" customHeight="1">
      <c r="A218" s="837">
        <v>19</v>
      </c>
      <c r="B218" s="73"/>
      <c r="C218" s="1966"/>
      <c r="D218" s="1967"/>
      <c r="E218" s="847"/>
      <c r="F218" s="305"/>
      <c r="G218" s="305"/>
      <c r="H218" s="305"/>
      <c r="I218" s="305"/>
      <c r="J218" s="307"/>
      <c r="K218" s="307"/>
      <c r="L218" s="307"/>
      <c r="M218" s="307"/>
      <c r="N218" s="307"/>
      <c r="O218" s="307"/>
      <c r="P218" s="842"/>
      <c r="R218" s="848">
        <v>17</v>
      </c>
      <c r="S218" s="84"/>
      <c r="T218" s="1998"/>
      <c r="U218" s="1998"/>
      <c r="V218" s="84"/>
      <c r="W218" s="84"/>
      <c r="X218" s="84"/>
      <c r="Y218" s="848">
        <v>17</v>
      </c>
      <c r="Z218" s="84"/>
      <c r="AA218" s="855"/>
      <c r="AB218" s="84"/>
      <c r="AC218" s="84"/>
      <c r="AD218" s="111"/>
      <c r="AH218"/>
      <c r="AI218"/>
      <c r="AJ218"/>
      <c r="AK218"/>
      <c r="AL218"/>
      <c r="AM218"/>
      <c r="AN218"/>
      <c r="AO218"/>
      <c r="AP218"/>
      <c r="AQ218"/>
      <c r="AR218"/>
    </row>
    <row r="219" spans="1:44" ht="12" customHeight="1">
      <c r="A219" s="843">
        <v>20</v>
      </c>
      <c r="B219" s="73"/>
      <c r="C219" s="1966"/>
      <c r="D219" s="1967"/>
      <c r="E219" s="847"/>
      <c r="F219" s="305"/>
      <c r="G219" s="305"/>
      <c r="H219" s="305"/>
      <c r="I219" s="305"/>
      <c r="J219" s="307"/>
      <c r="K219" s="307"/>
      <c r="L219" s="307"/>
      <c r="M219" s="307"/>
      <c r="N219" s="307"/>
      <c r="O219" s="307"/>
      <c r="P219" s="842"/>
      <c r="R219" s="746">
        <v>18</v>
      </c>
      <c r="S219" s="84"/>
      <c r="T219" s="1998"/>
      <c r="U219" s="1998"/>
      <c r="V219" s="84"/>
      <c r="W219" s="84"/>
      <c r="X219" s="84"/>
      <c r="Y219" s="746">
        <v>18</v>
      </c>
      <c r="Z219" s="84"/>
      <c r="AA219" s="855"/>
      <c r="AB219" s="84"/>
      <c r="AC219" s="84"/>
      <c r="AD219" s="111"/>
      <c r="AH219"/>
      <c r="AI219"/>
      <c r="AJ219"/>
      <c r="AK219"/>
      <c r="AL219"/>
      <c r="AM219"/>
      <c r="AN219"/>
      <c r="AO219"/>
      <c r="AP219"/>
      <c r="AQ219"/>
      <c r="AR219"/>
    </row>
    <row r="220" spans="1:44" ht="12" customHeight="1" thickBot="1">
      <c r="A220" s="843">
        <v>21</v>
      </c>
      <c r="B220" s="73"/>
      <c r="C220" s="1966"/>
      <c r="D220" s="1967"/>
      <c r="E220" s="847"/>
      <c r="F220" s="305"/>
      <c r="G220" s="305"/>
      <c r="H220" s="305"/>
      <c r="I220" s="305"/>
      <c r="J220" s="307"/>
      <c r="K220" s="307"/>
      <c r="L220" s="307"/>
      <c r="M220" s="307"/>
      <c r="N220" s="307"/>
      <c r="O220" s="307"/>
      <c r="P220" s="842"/>
      <c r="R220" s="858">
        <v>19</v>
      </c>
      <c r="S220" s="269"/>
      <c r="T220" s="1999"/>
      <c r="U220" s="1999"/>
      <c r="V220" s="269"/>
      <c r="W220" s="269"/>
      <c r="X220" s="269"/>
      <c r="Y220" s="858">
        <v>19</v>
      </c>
      <c r="Z220" s="269"/>
      <c r="AA220" s="859"/>
      <c r="AB220" s="269"/>
      <c r="AC220" s="269"/>
      <c r="AD220" s="743"/>
      <c r="AH220"/>
      <c r="AI220"/>
      <c r="AJ220"/>
      <c r="AK220"/>
      <c r="AL220"/>
      <c r="AM220"/>
      <c r="AN220"/>
      <c r="AO220"/>
      <c r="AP220"/>
      <c r="AQ220"/>
      <c r="AR220"/>
    </row>
    <row r="221" spans="1:44" ht="12" customHeight="1" thickBot="1">
      <c r="A221" s="837">
        <v>22</v>
      </c>
      <c r="B221" s="73"/>
      <c r="C221" s="1966"/>
      <c r="D221" s="1967"/>
      <c r="E221" s="847"/>
      <c r="F221" s="305"/>
      <c r="G221" s="305"/>
      <c r="H221" s="305"/>
      <c r="I221" s="305"/>
      <c r="J221" s="307"/>
      <c r="K221" s="307"/>
      <c r="L221" s="307"/>
      <c r="M221" s="307"/>
      <c r="N221" s="307"/>
      <c r="O221" s="307"/>
      <c r="P221" s="842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H221"/>
      <c r="AI221"/>
      <c r="AJ221"/>
      <c r="AK221"/>
      <c r="AL221"/>
      <c r="AM221"/>
      <c r="AN221"/>
      <c r="AO221"/>
      <c r="AP221"/>
      <c r="AQ221"/>
      <c r="AR221"/>
    </row>
    <row r="222" spans="1:44" ht="12" customHeight="1">
      <c r="A222" s="843">
        <v>23</v>
      </c>
      <c r="B222" s="73"/>
      <c r="C222" s="1966"/>
      <c r="D222" s="1967"/>
      <c r="E222" s="847"/>
      <c r="F222" s="305"/>
      <c r="G222" s="305"/>
      <c r="H222" s="305"/>
      <c r="I222" s="305"/>
      <c r="J222" s="307"/>
      <c r="K222" s="307"/>
      <c r="L222" s="307"/>
      <c r="M222" s="307"/>
      <c r="N222" s="307"/>
      <c r="O222" s="307"/>
      <c r="P222" s="842"/>
      <c r="R222" s="860" t="s">
        <v>681</v>
      </c>
      <c r="S222" s="775"/>
      <c r="T222" s="775"/>
      <c r="U222" s="775"/>
      <c r="V222" s="775"/>
      <c r="W222" s="775"/>
      <c r="X222" s="776"/>
      <c r="Y222" s="351" t="s">
        <v>682</v>
      </c>
      <c r="Z222" s="352"/>
      <c r="AA222" s="352"/>
      <c r="AB222" s="352"/>
      <c r="AC222" s="352"/>
      <c r="AD222" s="353"/>
      <c r="AH222"/>
      <c r="AI222"/>
      <c r="AJ222"/>
      <c r="AK222"/>
      <c r="AL222"/>
      <c r="AM222"/>
      <c r="AN222"/>
      <c r="AO222"/>
      <c r="AP222"/>
      <c r="AQ222"/>
      <c r="AR222"/>
    </row>
    <row r="223" spans="1:44" ht="12" customHeight="1" thickBot="1">
      <c r="A223" s="843">
        <v>24</v>
      </c>
      <c r="B223" s="73"/>
      <c r="C223" s="1968"/>
      <c r="D223" s="1969"/>
      <c r="E223" s="305"/>
      <c r="F223" s="305"/>
      <c r="G223" s="305"/>
      <c r="H223" s="305"/>
      <c r="I223" s="305"/>
      <c r="J223" s="307"/>
      <c r="K223" s="307"/>
      <c r="L223" s="307"/>
      <c r="M223" s="307"/>
      <c r="N223" s="307"/>
      <c r="O223" s="305"/>
      <c r="P223" s="742"/>
      <c r="R223" s="772" t="s">
        <v>683</v>
      </c>
      <c r="S223" s="773"/>
      <c r="T223" s="773"/>
      <c r="U223" s="773"/>
      <c r="V223" s="773"/>
      <c r="W223" s="773"/>
      <c r="X223" s="774"/>
      <c r="Y223" s="354" t="s">
        <v>684</v>
      </c>
      <c r="Z223" s="90"/>
      <c r="AA223" s="90"/>
      <c r="AB223" s="90"/>
      <c r="AC223" s="90"/>
      <c r="AD223" s="355"/>
      <c r="AH223"/>
      <c r="AI223"/>
      <c r="AJ223"/>
      <c r="AK223"/>
      <c r="AL223"/>
      <c r="AM223"/>
      <c r="AN223"/>
      <c r="AO223"/>
      <c r="AP223"/>
      <c r="AQ223"/>
      <c r="AR223"/>
    </row>
    <row r="224" spans="1:44" ht="12" customHeight="1" thickBot="1">
      <c r="A224" s="1970" t="s">
        <v>687</v>
      </c>
      <c r="B224" s="1971"/>
      <c r="C224" s="1971"/>
      <c r="D224" s="1971"/>
      <c r="E224" s="1971"/>
      <c r="F224" s="1971"/>
      <c r="G224" s="1972"/>
      <c r="H224" s="861">
        <f t="shared" ref="H224:P224" si="55">SUM(H200:H223)</f>
        <v>297500</v>
      </c>
      <c r="I224" s="861">
        <f t="shared" si="55"/>
        <v>281600</v>
      </c>
      <c r="J224" s="861">
        <f t="shared" si="55"/>
        <v>68992</v>
      </c>
      <c r="K224" s="861">
        <f t="shared" si="55"/>
        <v>42240</v>
      </c>
      <c r="L224" s="861">
        <f t="shared" si="55"/>
        <v>26752</v>
      </c>
      <c r="M224" s="861">
        <f t="shared" si="55"/>
        <v>0</v>
      </c>
      <c r="N224" s="861">
        <f t="shared" si="55"/>
        <v>9574.3999999999978</v>
      </c>
      <c r="O224" s="861">
        <f t="shared" si="55"/>
        <v>297500</v>
      </c>
      <c r="P224" s="861">
        <f t="shared" si="55"/>
        <v>23750</v>
      </c>
      <c r="R224" s="772" t="s">
        <v>685</v>
      </c>
      <c r="S224" s="773"/>
      <c r="T224" s="773"/>
      <c r="U224" s="773"/>
      <c r="V224" s="773"/>
      <c r="W224" s="773"/>
      <c r="X224" s="774"/>
      <c r="Y224" s="354" t="s">
        <v>686</v>
      </c>
      <c r="Z224" s="90"/>
      <c r="AA224" s="90"/>
      <c r="AB224" s="90"/>
      <c r="AC224" s="90"/>
      <c r="AD224" s="355"/>
      <c r="AH224"/>
      <c r="AI224"/>
      <c r="AJ224"/>
      <c r="AK224"/>
      <c r="AL224"/>
      <c r="AM224"/>
      <c r="AN224"/>
      <c r="AO224"/>
      <c r="AP224"/>
      <c r="AQ224"/>
      <c r="AR224"/>
    </row>
    <row r="225" spans="1:44" ht="12" customHeight="1" thickBot="1">
      <c r="A225" s="1973" t="s">
        <v>690</v>
      </c>
      <c r="B225" s="1974"/>
      <c r="C225" s="1974"/>
      <c r="D225" s="1974"/>
      <c r="E225" s="1974"/>
      <c r="F225" s="1974"/>
      <c r="G225" s="1975"/>
      <c r="H225" s="862"/>
      <c r="I225" s="863"/>
      <c r="J225" s="863"/>
      <c r="K225" s="863"/>
      <c r="L225" s="863"/>
      <c r="M225" s="863"/>
      <c r="N225" s="863"/>
      <c r="O225" s="863"/>
      <c r="P225" s="864"/>
      <c r="R225" s="1992" t="s">
        <v>688</v>
      </c>
      <c r="S225" s="1993"/>
      <c r="T225" s="1993"/>
      <c r="U225" s="1993"/>
      <c r="V225" s="1993"/>
      <c r="W225" s="1993"/>
      <c r="X225" s="1994"/>
      <c r="Y225" s="354" t="s">
        <v>689</v>
      </c>
      <c r="Z225" s="90"/>
      <c r="AA225" s="90"/>
      <c r="AB225" s="90"/>
      <c r="AC225" s="90"/>
      <c r="AD225" s="355"/>
      <c r="AH225"/>
      <c r="AI225"/>
      <c r="AJ225"/>
      <c r="AK225"/>
      <c r="AL225"/>
      <c r="AM225"/>
      <c r="AN225"/>
      <c r="AO225"/>
      <c r="AP225"/>
      <c r="AQ225"/>
      <c r="AR225"/>
    </row>
    <row r="226" spans="1:44" ht="12" customHeight="1" thickBot="1">
      <c r="A226" s="1976" t="s">
        <v>693</v>
      </c>
      <c r="B226" s="1977"/>
      <c r="C226" s="1977"/>
      <c r="D226" s="1977"/>
      <c r="E226" s="1977"/>
      <c r="F226" s="1977"/>
      <c r="G226" s="1978"/>
      <c r="H226" s="861">
        <f t="shared" ref="H226:P226" si="56">SUM(H224:H225)</f>
        <v>297500</v>
      </c>
      <c r="I226" s="861">
        <f t="shared" si="56"/>
        <v>281600</v>
      </c>
      <c r="J226" s="861">
        <f t="shared" si="56"/>
        <v>68992</v>
      </c>
      <c r="K226" s="861">
        <f t="shared" si="56"/>
        <v>42240</v>
      </c>
      <c r="L226" s="861">
        <f t="shared" si="56"/>
        <v>26752</v>
      </c>
      <c r="M226" s="861">
        <f t="shared" si="56"/>
        <v>0</v>
      </c>
      <c r="N226" s="861">
        <f t="shared" si="56"/>
        <v>9574.3999999999978</v>
      </c>
      <c r="O226" s="861">
        <f t="shared" si="56"/>
        <v>297500</v>
      </c>
      <c r="P226" s="861">
        <f t="shared" si="56"/>
        <v>23750</v>
      </c>
      <c r="R226" s="1995" t="s">
        <v>691</v>
      </c>
      <c r="S226" s="1996"/>
      <c r="T226" s="1996"/>
      <c r="U226" s="1996"/>
      <c r="V226" s="1996"/>
      <c r="W226" s="1996"/>
      <c r="X226" s="1997"/>
      <c r="Y226" s="354"/>
      <c r="Z226" s="90"/>
      <c r="AA226" s="89" t="s">
        <v>692</v>
      </c>
      <c r="AB226" s="90"/>
      <c r="AC226" s="90"/>
      <c r="AD226" s="355"/>
      <c r="AH226"/>
      <c r="AI226"/>
      <c r="AJ226"/>
      <c r="AK226"/>
      <c r="AL226"/>
      <c r="AM226"/>
      <c r="AN226"/>
      <c r="AO226"/>
      <c r="AP226"/>
      <c r="AQ226"/>
      <c r="AR226"/>
    </row>
    <row r="227" spans="1:44" ht="12" customHeight="1" thickBot="1">
      <c r="A227" s="865"/>
      <c r="B227" s="866"/>
      <c r="C227" s="866"/>
      <c r="D227" s="866"/>
      <c r="E227" s="866"/>
      <c r="F227" s="866"/>
      <c r="G227" s="866"/>
      <c r="H227" s="867"/>
      <c r="I227" s="867"/>
      <c r="J227" s="867"/>
      <c r="K227" s="867"/>
      <c r="L227" s="867"/>
      <c r="M227" s="867"/>
      <c r="N227" s="867"/>
      <c r="O227" s="867"/>
      <c r="P227" s="868"/>
      <c r="R227" s="1992" t="s">
        <v>1173</v>
      </c>
      <c r="S227" s="1993"/>
      <c r="T227" s="1993"/>
      <c r="U227" s="1993"/>
      <c r="V227" s="1993"/>
      <c r="W227" s="1993"/>
      <c r="X227" s="1994"/>
      <c r="Y227" s="354" t="s">
        <v>695</v>
      </c>
      <c r="Z227" s="90"/>
      <c r="AA227" s="90"/>
      <c r="AB227" s="90"/>
      <c r="AC227" s="90"/>
      <c r="AD227" s="355"/>
      <c r="AH227"/>
      <c r="AI227"/>
      <c r="AJ227"/>
      <c r="AK227"/>
      <c r="AL227"/>
      <c r="AM227"/>
      <c r="AN227"/>
      <c r="AO227"/>
      <c r="AP227"/>
      <c r="AQ227"/>
      <c r="AR227"/>
    </row>
    <row r="228" spans="1:44" ht="12" customHeight="1">
      <c r="A228" s="869"/>
      <c r="B228" s="870" t="s">
        <v>698</v>
      </c>
      <c r="C228" s="871"/>
      <c r="D228" s="871"/>
      <c r="E228" s="871"/>
      <c r="F228" s="871"/>
      <c r="G228" s="871"/>
      <c r="H228" s="872" t="s">
        <v>699</v>
      </c>
      <c r="I228" s="871"/>
      <c r="J228" s="871"/>
      <c r="K228" s="871"/>
      <c r="L228" s="871"/>
      <c r="M228" s="871"/>
      <c r="N228" s="871"/>
      <c r="O228" s="871"/>
      <c r="P228" s="873"/>
      <c r="R228" s="1992" t="s">
        <v>696</v>
      </c>
      <c r="S228" s="1993"/>
      <c r="T228" s="1993"/>
      <c r="U228" s="1993"/>
      <c r="V228" s="1993"/>
      <c r="W228" s="1993"/>
      <c r="X228" s="1994"/>
      <c r="Y228" s="354" t="s">
        <v>697</v>
      </c>
      <c r="Z228" s="90"/>
      <c r="AA228" s="90"/>
      <c r="AB228" s="90"/>
      <c r="AC228" s="90"/>
      <c r="AD228" s="355"/>
      <c r="AH228"/>
      <c r="AI228"/>
      <c r="AJ228"/>
      <c r="AK228"/>
      <c r="AL228"/>
      <c r="AM228"/>
      <c r="AN228"/>
      <c r="AO228"/>
      <c r="AP228"/>
      <c r="AQ228"/>
      <c r="AR228"/>
    </row>
    <row r="229" spans="1:44" ht="12" customHeight="1">
      <c r="A229" s="874" t="s">
        <v>1157</v>
      </c>
      <c r="B229" s="875"/>
      <c r="C229" s="875"/>
      <c r="D229" s="875"/>
      <c r="E229" s="875"/>
      <c r="F229" s="875"/>
      <c r="G229" s="875"/>
      <c r="H229" s="876" t="s">
        <v>700</v>
      </c>
      <c r="I229" s="875"/>
      <c r="J229" s="875"/>
      <c r="K229" s="875"/>
      <c r="L229" s="875"/>
      <c r="M229" s="875"/>
      <c r="N229" s="875"/>
      <c r="O229" s="875"/>
      <c r="P229" s="877"/>
      <c r="R229" s="1992"/>
      <c r="S229" s="1993"/>
      <c r="T229" s="1993"/>
      <c r="U229" s="1993"/>
      <c r="V229" s="1993"/>
      <c r="W229" s="1993"/>
      <c r="X229" s="1994"/>
      <c r="Y229" s="354"/>
      <c r="Z229" s="90" t="s">
        <v>694</v>
      </c>
      <c r="AA229" s="90"/>
      <c r="AB229" s="90"/>
      <c r="AC229" s="90"/>
      <c r="AD229" s="355"/>
      <c r="AH229"/>
      <c r="AI229"/>
      <c r="AJ229"/>
      <c r="AK229"/>
      <c r="AL229"/>
      <c r="AM229"/>
      <c r="AN229"/>
      <c r="AO229"/>
      <c r="AP229"/>
      <c r="AQ229"/>
      <c r="AR229"/>
    </row>
    <row r="230" spans="1:44" ht="12" customHeight="1" thickBot="1">
      <c r="A230" s="874" t="s">
        <v>1158</v>
      </c>
      <c r="B230" s="875"/>
      <c r="C230" s="875"/>
      <c r="D230" s="875"/>
      <c r="E230" s="875"/>
      <c r="F230" s="875"/>
      <c r="G230" s="875"/>
      <c r="H230" s="45" t="s">
        <v>701</v>
      </c>
      <c r="I230" s="875"/>
      <c r="J230" s="875"/>
      <c r="K230" s="875"/>
      <c r="L230" s="875"/>
      <c r="M230" s="875"/>
      <c r="N230" s="875"/>
      <c r="O230" s="875"/>
      <c r="P230" s="877"/>
      <c r="R230" s="2000"/>
      <c r="S230" s="2001"/>
      <c r="T230" s="2001"/>
      <c r="U230" s="2001"/>
      <c r="V230" s="2001"/>
      <c r="W230" s="2001"/>
      <c r="X230" s="2002"/>
      <c r="Y230" s="357"/>
      <c r="Z230" s="358"/>
      <c r="AA230" s="358"/>
      <c r="AB230" s="358"/>
      <c r="AC230" s="358"/>
      <c r="AD230" s="359"/>
      <c r="AH230"/>
      <c r="AI230"/>
      <c r="AJ230"/>
      <c r="AK230"/>
      <c r="AL230"/>
      <c r="AM230"/>
      <c r="AN230"/>
      <c r="AO230"/>
      <c r="AP230"/>
      <c r="AQ230"/>
      <c r="AR230"/>
    </row>
    <row r="231" spans="1:44" ht="12" customHeight="1">
      <c r="A231" s="874" t="s">
        <v>702</v>
      </c>
      <c r="B231" s="875"/>
      <c r="C231" s="1"/>
      <c r="D231" s="875"/>
      <c r="E231" s="875"/>
      <c r="F231" s="875"/>
      <c r="G231" s="875"/>
      <c r="H231" s="876" t="s">
        <v>703</v>
      </c>
      <c r="I231" s="875"/>
      <c r="J231" s="875"/>
      <c r="K231" s="875"/>
      <c r="L231" s="875"/>
      <c r="M231" s="875"/>
      <c r="N231" s="875"/>
      <c r="O231" s="875"/>
      <c r="P231" s="877"/>
      <c r="AH231"/>
      <c r="AI231"/>
      <c r="AJ231"/>
      <c r="AK231"/>
      <c r="AL231"/>
      <c r="AM231"/>
      <c r="AN231"/>
      <c r="AO231"/>
      <c r="AP231"/>
      <c r="AQ231"/>
      <c r="AR231"/>
    </row>
    <row r="232" spans="1:44" ht="12" customHeight="1">
      <c r="A232" s="874"/>
      <c r="B232" s="875"/>
      <c r="C232" s="875"/>
      <c r="D232" s="875"/>
      <c r="E232" s="875"/>
      <c r="F232" s="875"/>
      <c r="G232" s="875"/>
      <c r="H232" s="876" t="s">
        <v>704</v>
      </c>
      <c r="I232" s="875"/>
      <c r="J232" s="875"/>
      <c r="K232" s="875"/>
      <c r="L232" s="875"/>
      <c r="M232" s="875"/>
      <c r="N232" s="875"/>
      <c r="O232" s="875"/>
      <c r="P232" s="877"/>
      <c r="AH232" s="350"/>
      <c r="AI232"/>
      <c r="AJ232"/>
      <c r="AK232"/>
      <c r="AL232"/>
      <c r="AM232"/>
      <c r="AN232"/>
      <c r="AO232"/>
      <c r="AP232"/>
      <c r="AQ232"/>
      <c r="AR232"/>
    </row>
    <row r="233" spans="1:44" ht="12" customHeight="1">
      <c r="A233" s="874"/>
      <c r="B233" s="878" t="s">
        <v>705</v>
      </c>
      <c r="C233" s="875"/>
      <c r="D233" s="875"/>
      <c r="E233" s="875"/>
      <c r="F233" s="875"/>
      <c r="G233" s="875"/>
      <c r="H233" s="45" t="s">
        <v>706</v>
      </c>
      <c r="I233" s="875"/>
      <c r="J233" s="875"/>
      <c r="K233" s="875"/>
      <c r="L233" s="875"/>
      <c r="M233" s="875"/>
      <c r="N233" s="875"/>
      <c r="O233" s="875"/>
      <c r="P233" s="877"/>
      <c r="AH233"/>
      <c r="AI233" s="350"/>
      <c r="AJ233" s="350"/>
      <c r="AK233" s="350"/>
      <c r="AL233" s="350"/>
      <c r="AM233" s="350"/>
      <c r="AN233" s="350"/>
      <c r="AO233" s="350"/>
      <c r="AP233" s="350"/>
      <c r="AQ233" s="350"/>
      <c r="AR233" s="350"/>
    </row>
    <row r="234" spans="1:44" ht="12" customHeight="1">
      <c r="A234" s="874"/>
      <c r="B234" s="875" t="s">
        <v>1159</v>
      </c>
      <c r="C234" s="875"/>
      <c r="D234" s="875"/>
      <c r="E234" s="875"/>
      <c r="F234" s="875"/>
      <c r="G234" s="875"/>
      <c r="H234" s="45"/>
      <c r="I234" s="875"/>
      <c r="J234" s="875"/>
      <c r="K234" s="879" t="s">
        <v>707</v>
      </c>
      <c r="L234" s="875"/>
      <c r="M234" s="875"/>
      <c r="N234" s="875"/>
      <c r="O234" s="875"/>
      <c r="P234" s="877"/>
      <c r="AH234"/>
      <c r="AI234"/>
      <c r="AJ234"/>
      <c r="AK234"/>
      <c r="AL234"/>
      <c r="AM234"/>
      <c r="AN234"/>
      <c r="AO234"/>
      <c r="AP234"/>
      <c r="AQ234"/>
      <c r="AR234"/>
    </row>
    <row r="235" spans="1:44" ht="12" customHeight="1">
      <c r="A235" s="874"/>
      <c r="B235" s="875"/>
      <c r="C235" s="875"/>
      <c r="D235" s="875" t="s">
        <v>708</v>
      </c>
      <c r="E235" s="875"/>
      <c r="F235" s="875"/>
      <c r="G235" s="875"/>
      <c r="H235" s="876" t="s">
        <v>709</v>
      </c>
      <c r="I235" s="875"/>
      <c r="J235" s="875"/>
      <c r="K235" s="875"/>
      <c r="L235" s="875"/>
      <c r="M235" s="875"/>
      <c r="N235" s="875"/>
      <c r="O235" s="875"/>
      <c r="P235" s="877"/>
      <c r="AH235"/>
      <c r="AI235"/>
      <c r="AJ235"/>
      <c r="AK235"/>
      <c r="AL235"/>
      <c r="AM235"/>
      <c r="AN235"/>
      <c r="AO235"/>
      <c r="AP235"/>
      <c r="AQ235"/>
      <c r="AR235"/>
    </row>
    <row r="236" spans="1:44" ht="12" customHeight="1">
      <c r="A236" s="874"/>
      <c r="B236" s="875"/>
      <c r="C236" s="875"/>
      <c r="D236" s="875"/>
      <c r="E236" s="875"/>
      <c r="F236" s="875"/>
      <c r="G236" s="875"/>
      <c r="H236" s="876"/>
      <c r="I236" s="875" t="s">
        <v>710</v>
      </c>
      <c r="J236" s="875"/>
      <c r="K236" s="875"/>
      <c r="L236" s="875"/>
      <c r="M236" s="875"/>
      <c r="N236" s="875"/>
      <c r="O236" s="875"/>
      <c r="P236" s="877"/>
      <c r="AH236"/>
      <c r="AI236"/>
      <c r="AJ236"/>
      <c r="AK236"/>
      <c r="AL236"/>
      <c r="AM236"/>
      <c r="AN236"/>
      <c r="AO236"/>
      <c r="AP236"/>
      <c r="AQ236"/>
      <c r="AR236"/>
    </row>
    <row r="237" spans="1:44" ht="12" customHeight="1" thickBot="1">
      <c r="A237" s="880"/>
      <c r="B237" s="881"/>
      <c r="C237" s="881"/>
      <c r="D237" s="881"/>
      <c r="E237" s="881"/>
      <c r="F237" s="881"/>
      <c r="G237" s="881"/>
      <c r="H237" s="882"/>
      <c r="I237" s="883" t="s">
        <v>711</v>
      </c>
      <c r="J237" s="881"/>
      <c r="K237" s="881"/>
      <c r="L237" s="881"/>
      <c r="M237" s="881"/>
      <c r="N237" s="881"/>
      <c r="O237" s="881"/>
      <c r="P237" s="884"/>
      <c r="AH237"/>
      <c r="AI237"/>
      <c r="AJ237"/>
      <c r="AK237"/>
      <c r="AL237"/>
      <c r="AM237"/>
      <c r="AN237"/>
      <c r="AO237"/>
      <c r="AP237"/>
      <c r="AQ237"/>
      <c r="AR237"/>
    </row>
    <row r="238" spans="1:44" ht="12" customHeight="1">
      <c r="A238" s="875"/>
      <c r="B238" s="875"/>
      <c r="C238" s="875"/>
      <c r="D238" s="875"/>
      <c r="E238" s="875"/>
      <c r="F238" s="875"/>
      <c r="G238" s="875"/>
      <c r="H238" s="875"/>
      <c r="I238" s="43"/>
      <c r="J238" s="875"/>
      <c r="K238" s="875"/>
      <c r="L238" s="875"/>
      <c r="M238" s="875"/>
      <c r="N238" s="875"/>
      <c r="O238" s="875"/>
      <c r="P238" s="875"/>
      <c r="AH238"/>
      <c r="AI238"/>
      <c r="AJ238"/>
      <c r="AK238"/>
      <c r="AL238"/>
      <c r="AM238"/>
      <c r="AN238"/>
      <c r="AO238"/>
      <c r="AP238"/>
      <c r="AQ238"/>
      <c r="AR238"/>
    </row>
    <row r="239" spans="1:44" ht="12" customHeight="1">
      <c r="A239" s="875"/>
      <c r="B239" s="875"/>
      <c r="C239" s="875"/>
      <c r="D239" s="875"/>
      <c r="E239" s="875"/>
      <c r="F239" s="875"/>
      <c r="G239" s="875"/>
      <c r="H239" s="875"/>
      <c r="I239" s="43"/>
      <c r="J239" s="875"/>
      <c r="K239" s="875"/>
      <c r="L239" s="875"/>
      <c r="M239" s="875"/>
      <c r="N239" s="875"/>
      <c r="O239" s="875"/>
      <c r="P239" s="875"/>
      <c r="AH239"/>
      <c r="AI239"/>
      <c r="AJ239"/>
      <c r="AK239"/>
      <c r="AL239"/>
      <c r="AM239"/>
      <c r="AN239"/>
      <c r="AO239"/>
      <c r="AP239"/>
      <c r="AQ239"/>
      <c r="AR239"/>
    </row>
    <row r="240" spans="1:44" ht="12" customHeight="1">
      <c r="A240" s="875"/>
      <c r="B240" s="875"/>
      <c r="C240" s="875"/>
      <c r="D240" s="875"/>
      <c r="E240" s="875"/>
      <c r="F240" s="875"/>
      <c r="G240" s="875"/>
      <c r="H240" s="875"/>
      <c r="I240" s="43"/>
      <c r="J240" s="875"/>
      <c r="K240" s="875"/>
      <c r="L240" s="875"/>
      <c r="M240" s="875"/>
      <c r="N240" s="875"/>
      <c r="O240" s="875"/>
      <c r="P240" s="875"/>
      <c r="AH240"/>
      <c r="AI240"/>
      <c r="AJ240"/>
      <c r="AK240"/>
      <c r="AL240"/>
      <c r="AM240"/>
      <c r="AN240"/>
      <c r="AO240"/>
      <c r="AP240"/>
      <c r="AQ240"/>
      <c r="AR240"/>
    </row>
    <row r="241" spans="1:44" ht="12" customHeight="1">
      <c r="A241" s="875"/>
      <c r="B241" s="875"/>
      <c r="C241" s="875"/>
      <c r="D241" s="875"/>
      <c r="E241" s="875"/>
      <c r="F241" s="875"/>
      <c r="G241" s="875"/>
      <c r="H241" s="875"/>
      <c r="I241" s="43"/>
      <c r="J241" s="875"/>
      <c r="K241" s="875"/>
      <c r="L241" s="875"/>
      <c r="M241" s="875"/>
      <c r="N241" s="875"/>
      <c r="O241" s="875"/>
      <c r="P241" s="875"/>
      <c r="AH241"/>
      <c r="AI241"/>
      <c r="AJ241"/>
      <c r="AK241"/>
      <c r="AL241"/>
      <c r="AM241"/>
      <c r="AN241"/>
      <c r="AO241"/>
      <c r="AP241"/>
      <c r="AQ241"/>
      <c r="AR241"/>
    </row>
    <row r="242" spans="1:44" ht="12" customHeight="1">
      <c r="A242" s="875"/>
      <c r="B242" s="875"/>
      <c r="C242" s="875"/>
      <c r="D242" s="875"/>
      <c r="E242" s="875"/>
      <c r="F242" s="875"/>
      <c r="G242" s="875"/>
      <c r="H242" s="875"/>
      <c r="I242" s="43"/>
      <c r="J242" s="875"/>
      <c r="K242" s="875"/>
      <c r="L242" s="875"/>
      <c r="M242" s="875"/>
      <c r="N242" s="875"/>
      <c r="O242" s="875"/>
      <c r="P242" s="875"/>
      <c r="AH242"/>
      <c r="AI242"/>
      <c r="AJ242"/>
      <c r="AK242"/>
      <c r="AL242"/>
      <c r="AM242"/>
      <c r="AN242"/>
      <c r="AO242"/>
      <c r="AP242"/>
      <c r="AQ242"/>
      <c r="AR242"/>
    </row>
    <row r="243" spans="1:44" ht="12" customHeight="1">
      <c r="A243" s="349" t="s">
        <v>664</v>
      </c>
      <c r="B243" s="349"/>
      <c r="C243" s="349"/>
      <c r="D243" s="349"/>
      <c r="E243" s="349"/>
      <c r="F243" s="349"/>
      <c r="G243" s="349"/>
      <c r="H243" s="349"/>
      <c r="I243" s="349"/>
      <c r="J243" s="349"/>
      <c r="K243" s="349"/>
      <c r="L243" s="349"/>
      <c r="M243" s="349"/>
      <c r="N243" s="349"/>
      <c r="O243" s="349"/>
      <c r="P243" s="349"/>
      <c r="AH243"/>
      <c r="AI243"/>
      <c r="AJ243"/>
      <c r="AK243"/>
      <c r="AL243"/>
      <c r="AM243"/>
      <c r="AN243"/>
      <c r="AO243"/>
      <c r="AP243"/>
      <c r="AQ243"/>
      <c r="AR243"/>
    </row>
    <row r="244" spans="1:44" ht="12" customHeight="1">
      <c r="A244" s="349" t="s">
        <v>1099</v>
      </c>
      <c r="B244" s="349"/>
      <c r="C244" s="349"/>
      <c r="D244" s="349" t="s">
        <v>1100</v>
      </c>
      <c r="E244" s="349"/>
      <c r="F244" s="349"/>
      <c r="G244" s="349"/>
      <c r="H244" s="349"/>
      <c r="I244" s="349" t="s">
        <v>1411</v>
      </c>
      <c r="J244" s="349"/>
      <c r="K244" s="349"/>
      <c r="L244" s="349"/>
      <c r="M244" s="349"/>
      <c r="N244" s="349" t="s">
        <v>1102</v>
      </c>
      <c r="O244" s="349"/>
      <c r="P244" s="349"/>
      <c r="AH244"/>
      <c r="AI244"/>
      <c r="AJ244"/>
      <c r="AK244"/>
      <c r="AL244"/>
      <c r="AM244"/>
      <c r="AN244"/>
      <c r="AO244"/>
      <c r="AP244"/>
      <c r="AQ244"/>
      <c r="AR244"/>
    </row>
    <row r="245" spans="1:44" ht="12" customHeight="1" thickBot="1">
      <c r="A245" s="349" t="s">
        <v>665</v>
      </c>
      <c r="B245" s="349"/>
      <c r="C245" s="349"/>
      <c r="D245" s="349"/>
      <c r="E245" s="1979"/>
      <c r="F245" s="1979"/>
      <c r="G245" s="1979"/>
      <c r="H245" s="1979" t="s">
        <v>1104</v>
      </c>
      <c r="I245" s="1979"/>
      <c r="J245" s="1979"/>
      <c r="K245" s="1979"/>
      <c r="L245" s="349"/>
      <c r="M245" s="1979" t="s">
        <v>666</v>
      </c>
      <c r="N245" s="1979"/>
      <c r="O245" s="1979"/>
      <c r="P245" s="1979"/>
      <c r="AH245"/>
      <c r="AI245"/>
      <c r="AJ245"/>
      <c r="AK245"/>
      <c r="AL245"/>
      <c r="AM245"/>
      <c r="AN245"/>
      <c r="AO245"/>
      <c r="AP245"/>
      <c r="AQ245"/>
      <c r="AR245"/>
    </row>
    <row r="246" spans="1:44" ht="12" customHeight="1" thickBot="1">
      <c r="A246" s="1980" t="s">
        <v>187</v>
      </c>
      <c r="B246" s="826" t="s">
        <v>667</v>
      </c>
      <c r="C246" s="1980" t="s">
        <v>1106</v>
      </c>
      <c r="D246" s="1983"/>
      <c r="E246" s="1980" t="s">
        <v>1107</v>
      </c>
      <c r="F246" s="1986" t="s">
        <v>1108</v>
      </c>
      <c r="G246" s="1986" t="s">
        <v>1109</v>
      </c>
      <c r="H246" s="827" t="s">
        <v>1110</v>
      </c>
      <c r="I246" s="828"/>
      <c r="J246" s="827" t="s">
        <v>188</v>
      </c>
      <c r="K246" s="829"/>
      <c r="L246" s="829"/>
      <c r="M246" s="829"/>
      <c r="N246" s="826" t="s">
        <v>189</v>
      </c>
      <c r="O246" s="826" t="s">
        <v>1111</v>
      </c>
      <c r="P246" s="1989" t="s">
        <v>1112</v>
      </c>
      <c r="AH246"/>
      <c r="AI246"/>
      <c r="AJ246"/>
      <c r="AK246"/>
      <c r="AL246"/>
      <c r="AM246"/>
      <c r="AN246"/>
      <c r="AO246"/>
      <c r="AP246"/>
      <c r="AQ246"/>
      <c r="AR246"/>
    </row>
    <row r="247" spans="1:44" ht="12" customHeight="1" thickBot="1">
      <c r="A247" s="1981"/>
      <c r="B247" s="832" t="s">
        <v>668</v>
      </c>
      <c r="C247" s="1981"/>
      <c r="D247" s="1984"/>
      <c r="E247" s="1981"/>
      <c r="F247" s="1987"/>
      <c r="G247" s="1987"/>
      <c r="H247" s="1989" t="s">
        <v>193</v>
      </c>
      <c r="I247" s="1989" t="s">
        <v>1113</v>
      </c>
      <c r="J247" s="1989" t="s">
        <v>1114</v>
      </c>
      <c r="K247" s="946" t="s">
        <v>194</v>
      </c>
      <c r="L247" s="834"/>
      <c r="M247" s="826" t="s">
        <v>669</v>
      </c>
      <c r="N247" s="832" t="s">
        <v>670</v>
      </c>
      <c r="O247" s="832" t="s">
        <v>195</v>
      </c>
      <c r="P247" s="1990"/>
      <c r="AH247"/>
      <c r="AI247"/>
      <c r="AJ247"/>
      <c r="AK247"/>
      <c r="AL247"/>
      <c r="AM247"/>
      <c r="AN247"/>
      <c r="AO247"/>
      <c r="AP247"/>
      <c r="AQ247"/>
      <c r="AR247"/>
    </row>
    <row r="248" spans="1:44" ht="12" customHeight="1" thickBot="1">
      <c r="A248" s="1982"/>
      <c r="B248" s="835" t="s">
        <v>671</v>
      </c>
      <c r="C248" s="1982"/>
      <c r="D248" s="1985"/>
      <c r="E248" s="1982"/>
      <c r="F248" s="1988"/>
      <c r="G248" s="1988"/>
      <c r="H248" s="1991"/>
      <c r="I248" s="1991"/>
      <c r="J248" s="1991"/>
      <c r="K248" s="836" t="s">
        <v>672</v>
      </c>
      <c r="L248" s="836" t="s">
        <v>673</v>
      </c>
      <c r="M248" s="835" t="s">
        <v>674</v>
      </c>
      <c r="N248" s="835" t="s">
        <v>675</v>
      </c>
      <c r="O248" s="835" t="s">
        <v>676</v>
      </c>
      <c r="P248" s="1991"/>
      <c r="AH248"/>
      <c r="AI248"/>
      <c r="AJ248"/>
      <c r="AK248"/>
      <c r="AL248"/>
      <c r="AM248"/>
      <c r="AN248"/>
      <c r="AO248"/>
      <c r="AP248"/>
      <c r="AQ248"/>
      <c r="AR248"/>
    </row>
    <row r="249" spans="1:44" ht="12" customHeight="1">
      <c r="A249" s="837">
        <v>1</v>
      </c>
      <c r="B249" s="949" t="s">
        <v>1122</v>
      </c>
      <c r="C249" s="839" t="s">
        <v>1123</v>
      </c>
      <c r="D249" s="840"/>
      <c r="E249" s="306" t="s">
        <v>1124</v>
      </c>
      <c r="F249" s="841">
        <v>1</v>
      </c>
      <c r="G249" s="841">
        <v>22</v>
      </c>
      <c r="H249" s="307">
        <v>100000</v>
      </c>
      <c r="I249" s="307">
        <v>84100</v>
      </c>
      <c r="J249" s="307">
        <f>K249+L249</f>
        <v>20604.5</v>
      </c>
      <c r="K249" s="307">
        <f>I249*0.15</f>
        <v>12615</v>
      </c>
      <c r="L249" s="307">
        <f>I249*0.095</f>
        <v>7989.5</v>
      </c>
      <c r="M249" s="307">
        <v>0</v>
      </c>
      <c r="N249" s="307">
        <f>I249*0.034</f>
        <v>2859.4</v>
      </c>
      <c r="O249" s="307">
        <f>H249</f>
        <v>100000</v>
      </c>
      <c r="P249" s="842">
        <f>H249*0.1</f>
        <v>10000</v>
      </c>
      <c r="AH249"/>
      <c r="AI249"/>
      <c r="AJ249"/>
      <c r="AK249"/>
      <c r="AL249"/>
      <c r="AM249"/>
      <c r="AN249"/>
      <c r="AO249"/>
      <c r="AP249"/>
      <c r="AQ249"/>
      <c r="AR249"/>
    </row>
    <row r="250" spans="1:44" ht="12" customHeight="1">
      <c r="A250" s="843">
        <v>2</v>
      </c>
      <c r="B250" s="950" t="s">
        <v>1125</v>
      </c>
      <c r="C250" s="845" t="s">
        <v>1126</v>
      </c>
      <c r="D250" s="846"/>
      <c r="E250" s="305" t="s">
        <v>678</v>
      </c>
      <c r="F250" s="305">
        <v>1</v>
      </c>
      <c r="G250" s="305">
        <v>22</v>
      </c>
      <c r="H250" s="305">
        <v>40000</v>
      </c>
      <c r="I250" s="305">
        <f t="shared" ref="I250:I255" si="57">H250</f>
        <v>40000</v>
      </c>
      <c r="J250" s="307">
        <f t="shared" ref="J250:J256" si="58">K250+L250</f>
        <v>9800</v>
      </c>
      <c r="K250" s="307">
        <f t="shared" ref="K250:K256" si="59">I250*0.15</f>
        <v>6000</v>
      </c>
      <c r="L250" s="307">
        <f t="shared" ref="L250:L256" si="60">I250*0.095</f>
        <v>3800</v>
      </c>
      <c r="M250" s="307">
        <v>0</v>
      </c>
      <c r="N250" s="307">
        <f t="shared" ref="N250:N256" si="61">I250*0.034</f>
        <v>1360</v>
      </c>
      <c r="O250" s="307">
        <f t="shared" ref="O250:O255" si="62">H250</f>
        <v>40000</v>
      </c>
      <c r="P250" s="842">
        <v>4000</v>
      </c>
      <c r="AH250"/>
      <c r="AI250"/>
      <c r="AJ250"/>
      <c r="AK250"/>
      <c r="AL250"/>
      <c r="AM250"/>
      <c r="AN250"/>
      <c r="AO250"/>
      <c r="AP250"/>
      <c r="AQ250"/>
      <c r="AR250"/>
    </row>
    <row r="251" spans="1:44" ht="12" customHeight="1">
      <c r="A251" s="843">
        <v>3</v>
      </c>
      <c r="B251" s="950" t="s">
        <v>1127</v>
      </c>
      <c r="C251" s="845" t="s">
        <v>1128</v>
      </c>
      <c r="D251" s="846"/>
      <c r="E251" s="847" t="s">
        <v>679</v>
      </c>
      <c r="F251" s="305">
        <v>1</v>
      </c>
      <c r="G251" s="305">
        <v>22</v>
      </c>
      <c r="H251" s="305">
        <v>19100</v>
      </c>
      <c r="I251" s="305">
        <f t="shared" si="57"/>
        <v>19100</v>
      </c>
      <c r="J251" s="307">
        <f t="shared" si="58"/>
        <v>4679.5</v>
      </c>
      <c r="K251" s="307">
        <f t="shared" si="59"/>
        <v>2865</v>
      </c>
      <c r="L251" s="307">
        <f t="shared" si="60"/>
        <v>1814.5</v>
      </c>
      <c r="M251" s="307">
        <v>0</v>
      </c>
      <c r="N251" s="307">
        <f t="shared" si="61"/>
        <v>649.40000000000009</v>
      </c>
      <c r="O251" s="307">
        <f t="shared" si="62"/>
        <v>19100</v>
      </c>
      <c r="P251" s="842">
        <v>910</v>
      </c>
      <c r="AH251"/>
      <c r="AI251"/>
      <c r="AJ251"/>
      <c r="AK251"/>
      <c r="AL251"/>
      <c r="AM251"/>
      <c r="AN251"/>
      <c r="AO251"/>
      <c r="AP251"/>
      <c r="AQ251"/>
      <c r="AR251"/>
    </row>
    <row r="252" spans="1:44" ht="12" customHeight="1">
      <c r="A252" s="843">
        <v>4</v>
      </c>
      <c r="B252" s="950" t="s">
        <v>1132</v>
      </c>
      <c r="C252" s="845" t="s">
        <v>1133</v>
      </c>
      <c r="D252" s="846"/>
      <c r="E252" s="847" t="s">
        <v>1134</v>
      </c>
      <c r="F252" s="305">
        <v>1</v>
      </c>
      <c r="G252" s="305">
        <v>22</v>
      </c>
      <c r="H252" s="305">
        <v>27000</v>
      </c>
      <c r="I252" s="305">
        <f t="shared" si="57"/>
        <v>27000</v>
      </c>
      <c r="J252" s="307">
        <f t="shared" si="58"/>
        <v>6615</v>
      </c>
      <c r="K252" s="307">
        <f t="shared" si="59"/>
        <v>4050</v>
      </c>
      <c r="L252" s="307">
        <f t="shared" si="60"/>
        <v>2565</v>
      </c>
      <c r="M252" s="307">
        <v>0</v>
      </c>
      <c r="N252" s="307">
        <f t="shared" si="61"/>
        <v>918.00000000000011</v>
      </c>
      <c r="O252" s="307">
        <f t="shared" si="62"/>
        <v>27000</v>
      </c>
      <c r="P252" s="842">
        <v>1700</v>
      </c>
      <c r="AH252"/>
      <c r="AI252"/>
      <c r="AJ252"/>
      <c r="AK252"/>
      <c r="AL252"/>
      <c r="AM252"/>
      <c r="AN252"/>
      <c r="AO252"/>
      <c r="AP252"/>
      <c r="AQ252"/>
      <c r="AR252"/>
    </row>
    <row r="253" spans="1:44" ht="12" customHeight="1">
      <c r="A253" s="843">
        <v>5</v>
      </c>
      <c r="B253" s="950"/>
      <c r="C253" s="845" t="s">
        <v>1137</v>
      </c>
      <c r="D253" s="846"/>
      <c r="E253" s="847" t="s">
        <v>679</v>
      </c>
      <c r="F253" s="305">
        <v>1</v>
      </c>
      <c r="G253" s="305">
        <v>22</v>
      </c>
      <c r="H253" s="305">
        <v>19100</v>
      </c>
      <c r="I253" s="305">
        <f t="shared" si="57"/>
        <v>19100</v>
      </c>
      <c r="J253" s="307">
        <f t="shared" si="58"/>
        <v>4679.5</v>
      </c>
      <c r="K253" s="307">
        <f t="shared" si="59"/>
        <v>2865</v>
      </c>
      <c r="L253" s="307">
        <f t="shared" si="60"/>
        <v>1814.5</v>
      </c>
      <c r="M253" s="307">
        <v>0</v>
      </c>
      <c r="N253" s="307">
        <f t="shared" si="61"/>
        <v>649.40000000000009</v>
      </c>
      <c r="O253" s="307">
        <f t="shared" si="62"/>
        <v>19100</v>
      </c>
      <c r="P253" s="842">
        <v>910</v>
      </c>
      <c r="AH253"/>
      <c r="AI253"/>
      <c r="AJ253"/>
      <c r="AK253"/>
      <c r="AL253"/>
      <c r="AM253"/>
      <c r="AN253"/>
      <c r="AO253"/>
      <c r="AP253"/>
      <c r="AQ253"/>
      <c r="AR253"/>
    </row>
    <row r="254" spans="1:44" ht="12" customHeight="1">
      <c r="A254" s="843">
        <v>6</v>
      </c>
      <c r="B254" s="950"/>
      <c r="C254" s="845" t="s">
        <v>1139</v>
      </c>
      <c r="D254" s="846"/>
      <c r="E254" s="305" t="s">
        <v>679</v>
      </c>
      <c r="F254" s="305">
        <v>1</v>
      </c>
      <c r="G254" s="305">
        <v>22</v>
      </c>
      <c r="H254" s="305">
        <v>19100</v>
      </c>
      <c r="I254" s="305">
        <f t="shared" si="57"/>
        <v>19100</v>
      </c>
      <c r="J254" s="307">
        <f t="shared" si="58"/>
        <v>4679.5</v>
      </c>
      <c r="K254" s="307">
        <f t="shared" si="59"/>
        <v>2865</v>
      </c>
      <c r="L254" s="307">
        <f t="shared" si="60"/>
        <v>1814.5</v>
      </c>
      <c r="M254" s="307">
        <v>0</v>
      </c>
      <c r="N254" s="307">
        <f t="shared" si="61"/>
        <v>649.40000000000009</v>
      </c>
      <c r="O254" s="307">
        <f t="shared" si="62"/>
        <v>19100</v>
      </c>
      <c r="P254" s="742">
        <v>910</v>
      </c>
      <c r="AH254"/>
      <c r="AI254"/>
      <c r="AJ254"/>
      <c r="AK254"/>
      <c r="AL254"/>
      <c r="AM254"/>
      <c r="AN254"/>
      <c r="AO254"/>
      <c r="AP254"/>
      <c r="AQ254"/>
      <c r="AR254"/>
    </row>
    <row r="255" spans="1:44" ht="12" customHeight="1">
      <c r="A255" s="843">
        <v>7</v>
      </c>
      <c r="B255" s="950"/>
      <c r="C255" s="845" t="s">
        <v>1141</v>
      </c>
      <c r="D255" s="846"/>
      <c r="E255" s="847" t="s">
        <v>1142</v>
      </c>
      <c r="F255" s="305">
        <v>1</v>
      </c>
      <c r="G255" s="305">
        <v>22</v>
      </c>
      <c r="H255" s="305">
        <v>35000</v>
      </c>
      <c r="I255" s="305">
        <f t="shared" si="57"/>
        <v>35000</v>
      </c>
      <c r="J255" s="307">
        <f t="shared" si="58"/>
        <v>8575</v>
      </c>
      <c r="K255" s="307">
        <f t="shared" si="59"/>
        <v>5250</v>
      </c>
      <c r="L255" s="307">
        <f t="shared" si="60"/>
        <v>3325</v>
      </c>
      <c r="M255" s="307">
        <v>0</v>
      </c>
      <c r="N255" s="307">
        <f t="shared" si="61"/>
        <v>1190</v>
      </c>
      <c r="O255" s="307">
        <f t="shared" si="62"/>
        <v>35000</v>
      </c>
      <c r="P255" s="742">
        <v>3500</v>
      </c>
      <c r="AH255"/>
      <c r="AI255"/>
      <c r="AJ255"/>
      <c r="AK255"/>
      <c r="AL255"/>
      <c r="AM255"/>
      <c r="AN255"/>
      <c r="AO255"/>
      <c r="AP255"/>
      <c r="AQ255"/>
      <c r="AR255"/>
    </row>
    <row r="256" spans="1:44" ht="12" customHeight="1">
      <c r="A256" s="843">
        <v>8</v>
      </c>
      <c r="B256" s="950" t="s">
        <v>1144</v>
      </c>
      <c r="C256" s="845" t="s">
        <v>1145</v>
      </c>
      <c r="D256" s="846"/>
      <c r="E256" s="847" t="s">
        <v>679</v>
      </c>
      <c r="F256" s="305">
        <v>1</v>
      </c>
      <c r="G256" s="305">
        <v>22</v>
      </c>
      <c r="H256" s="305">
        <v>19100</v>
      </c>
      <c r="I256" s="305">
        <f>H256</f>
        <v>19100</v>
      </c>
      <c r="J256" s="307">
        <f t="shared" si="58"/>
        <v>4679.5</v>
      </c>
      <c r="K256" s="307">
        <f t="shared" si="59"/>
        <v>2865</v>
      </c>
      <c r="L256" s="307">
        <f t="shared" si="60"/>
        <v>1814.5</v>
      </c>
      <c r="M256" s="307">
        <v>0</v>
      </c>
      <c r="N256" s="307">
        <f t="shared" si="61"/>
        <v>649.40000000000009</v>
      </c>
      <c r="O256" s="307">
        <f>H256</f>
        <v>19100</v>
      </c>
      <c r="P256" s="842">
        <v>910</v>
      </c>
      <c r="AH256"/>
      <c r="AI256"/>
      <c r="AJ256"/>
      <c r="AK256"/>
      <c r="AL256"/>
      <c r="AM256"/>
      <c r="AN256"/>
      <c r="AO256"/>
      <c r="AP256"/>
      <c r="AQ256"/>
      <c r="AR256"/>
    </row>
    <row r="257" spans="1:44" ht="12" customHeight="1">
      <c r="A257" s="843">
        <v>9</v>
      </c>
      <c r="B257" s="950"/>
      <c r="C257" s="849" t="s">
        <v>1135</v>
      </c>
      <c r="D257" s="849"/>
      <c r="E257" s="847" t="s">
        <v>679</v>
      </c>
      <c r="F257" s="305">
        <v>1</v>
      </c>
      <c r="G257" s="305">
        <v>22</v>
      </c>
      <c r="H257" s="305">
        <v>19100</v>
      </c>
      <c r="I257" s="305">
        <f>H257</f>
        <v>19100</v>
      </c>
      <c r="J257" s="307">
        <f>K257+L257</f>
        <v>4679.5</v>
      </c>
      <c r="K257" s="307">
        <f>I257*0.15</f>
        <v>2865</v>
      </c>
      <c r="L257" s="307">
        <f>I257*0.095</f>
        <v>1814.5</v>
      </c>
      <c r="M257" s="307">
        <v>0</v>
      </c>
      <c r="N257" s="307">
        <f>I257*0.034</f>
        <v>649.40000000000009</v>
      </c>
      <c r="O257" s="307">
        <f>H257</f>
        <v>19100</v>
      </c>
      <c r="P257" s="842">
        <v>910</v>
      </c>
      <c r="AH257"/>
      <c r="AI257"/>
      <c r="AJ257"/>
      <c r="AK257"/>
      <c r="AL257"/>
      <c r="AM257"/>
      <c r="AN257"/>
      <c r="AO257"/>
      <c r="AP257"/>
      <c r="AQ257"/>
      <c r="AR257"/>
    </row>
    <row r="258" spans="1:44" ht="12" customHeight="1">
      <c r="A258" s="843">
        <v>10</v>
      </c>
      <c r="B258" s="73"/>
      <c r="C258" s="1966"/>
      <c r="D258" s="1967"/>
      <c r="E258" s="847"/>
      <c r="F258" s="305"/>
      <c r="G258" s="305"/>
      <c r="H258" s="305"/>
      <c r="I258" s="305"/>
      <c r="J258" s="307"/>
      <c r="K258" s="307"/>
      <c r="L258" s="307"/>
      <c r="M258" s="307"/>
      <c r="N258" s="307"/>
      <c r="O258" s="307"/>
      <c r="P258" s="842"/>
      <c r="AH258"/>
      <c r="AI258"/>
      <c r="AJ258"/>
      <c r="AK258"/>
      <c r="AL258"/>
      <c r="AM258"/>
      <c r="AN258"/>
      <c r="AO258"/>
      <c r="AP258"/>
      <c r="AQ258"/>
      <c r="AR258"/>
    </row>
    <row r="259" spans="1:44" ht="12" customHeight="1">
      <c r="A259" s="843">
        <v>11</v>
      </c>
      <c r="B259" s="73"/>
      <c r="C259" s="1966"/>
      <c r="D259" s="1967"/>
      <c r="E259" s="847"/>
      <c r="F259" s="305"/>
      <c r="G259" s="305"/>
      <c r="H259" s="305"/>
      <c r="I259" s="305"/>
      <c r="J259" s="307"/>
      <c r="K259" s="307"/>
      <c r="L259" s="307"/>
      <c r="M259" s="307"/>
      <c r="N259" s="307"/>
      <c r="O259" s="307"/>
      <c r="P259" s="842"/>
      <c r="AH259"/>
      <c r="AI259"/>
      <c r="AJ259"/>
      <c r="AK259"/>
      <c r="AL259"/>
      <c r="AM259"/>
      <c r="AN259"/>
      <c r="AO259"/>
      <c r="AP259"/>
      <c r="AQ259"/>
      <c r="AR259"/>
    </row>
    <row r="260" spans="1:44" ht="12" customHeight="1">
      <c r="A260" s="843">
        <v>12</v>
      </c>
      <c r="B260" s="73"/>
      <c r="C260" s="1966"/>
      <c r="D260" s="1967"/>
      <c r="E260" s="847"/>
      <c r="F260" s="305"/>
      <c r="G260" s="305"/>
      <c r="H260" s="305"/>
      <c r="I260" s="305"/>
      <c r="J260" s="307"/>
      <c r="K260" s="307"/>
      <c r="L260" s="307"/>
      <c r="M260" s="307"/>
      <c r="N260" s="307"/>
      <c r="O260" s="307"/>
      <c r="P260" s="842"/>
      <c r="AH260"/>
      <c r="AI260"/>
      <c r="AJ260"/>
      <c r="AK260"/>
      <c r="AL260"/>
      <c r="AM260"/>
      <c r="AN260"/>
      <c r="AO260"/>
      <c r="AP260"/>
      <c r="AQ260"/>
      <c r="AR260"/>
    </row>
    <row r="261" spans="1:44" ht="12" customHeight="1">
      <c r="A261" s="837">
        <v>13</v>
      </c>
      <c r="B261" s="73"/>
      <c r="C261" s="1966"/>
      <c r="D261" s="1967"/>
      <c r="E261" s="847"/>
      <c r="F261" s="305"/>
      <c r="G261" s="305"/>
      <c r="H261" s="305"/>
      <c r="I261" s="305"/>
      <c r="J261" s="307"/>
      <c r="K261" s="307"/>
      <c r="L261" s="307"/>
      <c r="M261" s="307"/>
      <c r="N261" s="307"/>
      <c r="O261" s="307"/>
      <c r="P261" s="842"/>
      <c r="AH261"/>
      <c r="AI261"/>
      <c r="AJ261"/>
      <c r="AK261"/>
      <c r="AL261"/>
      <c r="AM261"/>
      <c r="AN261"/>
      <c r="AO261"/>
      <c r="AP261"/>
      <c r="AQ261"/>
      <c r="AR261"/>
    </row>
    <row r="262" spans="1:44" ht="12" customHeight="1">
      <c r="A262" s="843">
        <v>14</v>
      </c>
      <c r="B262" s="73"/>
      <c r="C262" s="1966"/>
      <c r="D262" s="1967"/>
      <c r="E262" s="847"/>
      <c r="F262" s="305"/>
      <c r="G262" s="305"/>
      <c r="H262" s="305"/>
      <c r="I262" s="305"/>
      <c r="J262" s="307"/>
      <c r="K262" s="307"/>
      <c r="L262" s="307"/>
      <c r="M262" s="307"/>
      <c r="N262" s="307"/>
      <c r="O262" s="307"/>
      <c r="P262" s="842"/>
      <c r="AH262"/>
      <c r="AI262"/>
      <c r="AJ262"/>
      <c r="AK262"/>
      <c r="AL262"/>
      <c r="AM262"/>
      <c r="AN262"/>
      <c r="AO262"/>
      <c r="AP262"/>
      <c r="AQ262"/>
      <c r="AR262"/>
    </row>
    <row r="263" spans="1:44" ht="12" customHeight="1">
      <c r="A263" s="843">
        <v>15</v>
      </c>
      <c r="B263" s="73"/>
      <c r="C263" s="1966"/>
      <c r="D263" s="1967"/>
      <c r="E263" s="847"/>
      <c r="F263" s="305"/>
      <c r="G263" s="305"/>
      <c r="H263" s="305"/>
      <c r="I263" s="305"/>
      <c r="J263" s="307"/>
      <c r="K263" s="307"/>
      <c r="L263" s="307"/>
      <c r="M263" s="307"/>
      <c r="N263" s="307"/>
      <c r="O263" s="307"/>
      <c r="P263" s="842"/>
      <c r="AH263"/>
      <c r="AI263"/>
      <c r="AJ263"/>
      <c r="AK263"/>
      <c r="AL263"/>
      <c r="AM263"/>
      <c r="AN263"/>
      <c r="AO263"/>
      <c r="AP263"/>
      <c r="AQ263"/>
      <c r="AR263"/>
    </row>
    <row r="264" spans="1:44" ht="12" customHeight="1">
      <c r="A264" s="837">
        <v>16</v>
      </c>
      <c r="B264" s="73"/>
      <c r="C264" s="1966"/>
      <c r="D264" s="1967"/>
      <c r="E264" s="847"/>
      <c r="F264" s="305"/>
      <c r="G264" s="305"/>
      <c r="H264" s="305"/>
      <c r="I264" s="305"/>
      <c r="J264" s="307"/>
      <c r="K264" s="307"/>
      <c r="L264" s="307"/>
      <c r="M264" s="307"/>
      <c r="N264" s="307"/>
      <c r="O264" s="307"/>
      <c r="P264" s="842"/>
      <c r="AH264"/>
      <c r="AI264"/>
      <c r="AJ264"/>
      <c r="AK264"/>
      <c r="AL264"/>
      <c r="AM264"/>
      <c r="AN264"/>
      <c r="AO264"/>
      <c r="AP264"/>
      <c r="AQ264"/>
      <c r="AR264"/>
    </row>
    <row r="265" spans="1:44" ht="12" customHeight="1">
      <c r="A265" s="843">
        <v>17</v>
      </c>
      <c r="B265" s="73"/>
      <c r="C265" s="1966"/>
      <c r="D265" s="1967"/>
      <c r="E265" s="847"/>
      <c r="F265" s="305"/>
      <c r="G265" s="305"/>
      <c r="H265" s="305"/>
      <c r="I265" s="305"/>
      <c r="J265" s="307"/>
      <c r="K265" s="307"/>
      <c r="L265" s="307"/>
      <c r="M265" s="307"/>
      <c r="N265" s="307"/>
      <c r="O265" s="307"/>
      <c r="P265" s="842"/>
      <c r="AH265"/>
      <c r="AI265"/>
      <c r="AJ265"/>
      <c r="AK265"/>
      <c r="AL265"/>
      <c r="AM265"/>
      <c r="AN265"/>
      <c r="AO265"/>
      <c r="AP265"/>
      <c r="AQ265"/>
      <c r="AR265"/>
    </row>
    <row r="266" spans="1:44" ht="12" customHeight="1">
      <c r="A266" s="843">
        <v>18</v>
      </c>
      <c r="B266" s="73"/>
      <c r="C266" s="1966"/>
      <c r="D266" s="1967"/>
      <c r="E266" s="847"/>
      <c r="F266" s="305"/>
      <c r="G266" s="305"/>
      <c r="H266" s="305"/>
      <c r="I266" s="305"/>
      <c r="J266" s="307"/>
      <c r="K266" s="307"/>
      <c r="L266" s="307"/>
      <c r="M266" s="307"/>
      <c r="N266" s="307"/>
      <c r="O266" s="307"/>
      <c r="P266" s="842"/>
      <c r="AH266"/>
      <c r="AI266"/>
      <c r="AJ266"/>
      <c r="AK266"/>
      <c r="AL266"/>
      <c r="AM266"/>
      <c r="AN266"/>
      <c r="AO266"/>
      <c r="AP266"/>
      <c r="AQ266"/>
      <c r="AR266"/>
    </row>
    <row r="267" spans="1:44" ht="12" customHeight="1">
      <c r="A267" s="837">
        <v>19</v>
      </c>
      <c r="B267" s="73"/>
      <c r="C267" s="1966"/>
      <c r="D267" s="1967"/>
      <c r="E267" s="847"/>
      <c r="F267" s="305"/>
      <c r="G267" s="305"/>
      <c r="H267" s="305"/>
      <c r="I267" s="305"/>
      <c r="J267" s="307"/>
      <c r="K267" s="307"/>
      <c r="L267" s="307"/>
      <c r="M267" s="307"/>
      <c r="N267" s="307"/>
      <c r="O267" s="307"/>
      <c r="P267" s="842"/>
      <c r="AH267"/>
      <c r="AI267"/>
      <c r="AJ267"/>
      <c r="AK267"/>
      <c r="AL267"/>
      <c r="AM267"/>
      <c r="AN267"/>
      <c r="AO267"/>
      <c r="AP267"/>
      <c r="AQ267"/>
      <c r="AR267"/>
    </row>
    <row r="268" spans="1:44" ht="12" customHeight="1">
      <c r="A268" s="843">
        <v>20</v>
      </c>
      <c r="B268" s="73"/>
      <c r="C268" s="1966"/>
      <c r="D268" s="1967"/>
      <c r="E268" s="847"/>
      <c r="F268" s="305"/>
      <c r="G268" s="305"/>
      <c r="H268" s="305"/>
      <c r="I268" s="305"/>
      <c r="J268" s="307"/>
      <c r="K268" s="307"/>
      <c r="L268" s="307"/>
      <c r="M268" s="307"/>
      <c r="N268" s="307"/>
      <c r="O268" s="307"/>
      <c r="P268" s="842"/>
      <c r="AH268"/>
      <c r="AI268"/>
      <c r="AJ268"/>
      <c r="AK268"/>
      <c r="AL268"/>
      <c r="AM268"/>
      <c r="AN268"/>
      <c r="AO268"/>
      <c r="AP268"/>
      <c r="AQ268"/>
      <c r="AR268"/>
    </row>
    <row r="269" spans="1:44" ht="12" customHeight="1">
      <c r="A269" s="843">
        <v>21</v>
      </c>
      <c r="B269" s="73"/>
      <c r="C269" s="1966"/>
      <c r="D269" s="1967"/>
      <c r="E269" s="847"/>
      <c r="F269" s="305"/>
      <c r="G269" s="305"/>
      <c r="H269" s="305"/>
      <c r="I269" s="305"/>
      <c r="J269" s="307"/>
      <c r="K269" s="307"/>
      <c r="L269" s="307"/>
      <c r="M269" s="307"/>
      <c r="N269" s="307"/>
      <c r="O269" s="307"/>
      <c r="P269" s="842"/>
      <c r="AH269"/>
      <c r="AI269"/>
      <c r="AJ269"/>
      <c r="AK269"/>
      <c r="AL269"/>
      <c r="AM269"/>
      <c r="AN269"/>
      <c r="AO269"/>
      <c r="AP269"/>
      <c r="AQ269"/>
      <c r="AR269"/>
    </row>
    <row r="270" spans="1:44" ht="12" customHeight="1">
      <c r="A270" s="837">
        <v>22</v>
      </c>
      <c r="B270" s="73"/>
      <c r="C270" s="1966"/>
      <c r="D270" s="1967"/>
      <c r="E270" s="847"/>
      <c r="F270" s="305"/>
      <c r="G270" s="305"/>
      <c r="H270" s="305"/>
      <c r="I270" s="305"/>
      <c r="J270" s="307"/>
      <c r="K270" s="307"/>
      <c r="L270" s="307"/>
      <c r="M270" s="307"/>
      <c r="N270" s="307"/>
      <c r="O270" s="307"/>
      <c r="P270" s="842"/>
      <c r="AH270"/>
      <c r="AI270"/>
      <c r="AJ270"/>
      <c r="AK270"/>
      <c r="AL270"/>
      <c r="AM270"/>
      <c r="AN270"/>
      <c r="AO270"/>
      <c r="AP270"/>
      <c r="AQ270"/>
      <c r="AR270"/>
    </row>
    <row r="271" spans="1:44" ht="12" customHeight="1">
      <c r="A271" s="843">
        <v>23</v>
      </c>
      <c r="B271" s="73"/>
      <c r="C271" s="1966"/>
      <c r="D271" s="1967"/>
      <c r="E271" s="847"/>
      <c r="F271" s="305"/>
      <c r="G271" s="305"/>
      <c r="H271" s="305"/>
      <c r="I271" s="305"/>
      <c r="J271" s="307"/>
      <c r="K271" s="307"/>
      <c r="L271" s="307"/>
      <c r="M271" s="307"/>
      <c r="N271" s="307"/>
      <c r="O271" s="307"/>
      <c r="P271" s="842"/>
      <c r="AH271"/>
      <c r="AI271"/>
      <c r="AJ271"/>
      <c r="AK271"/>
      <c r="AL271"/>
      <c r="AM271"/>
      <c r="AN271"/>
      <c r="AO271"/>
      <c r="AP271"/>
      <c r="AQ271"/>
      <c r="AR271"/>
    </row>
    <row r="272" spans="1:44" ht="12" customHeight="1" thickBot="1">
      <c r="A272" s="843">
        <v>24</v>
      </c>
      <c r="B272" s="73"/>
      <c r="C272" s="1968"/>
      <c r="D272" s="1969"/>
      <c r="E272" s="305"/>
      <c r="F272" s="305"/>
      <c r="G272" s="305"/>
      <c r="H272" s="305"/>
      <c r="I272" s="305"/>
      <c r="J272" s="307"/>
      <c r="K272" s="307"/>
      <c r="L272" s="307"/>
      <c r="M272" s="307"/>
      <c r="N272" s="307"/>
      <c r="O272" s="305"/>
      <c r="P272" s="742"/>
      <c r="AH272"/>
      <c r="AI272"/>
      <c r="AJ272"/>
      <c r="AK272"/>
      <c r="AL272"/>
      <c r="AM272"/>
      <c r="AN272"/>
      <c r="AO272"/>
      <c r="AP272"/>
      <c r="AQ272"/>
      <c r="AR272"/>
    </row>
    <row r="273" spans="1:44" ht="12" customHeight="1" thickBot="1">
      <c r="A273" s="1970" t="s">
        <v>687</v>
      </c>
      <c r="B273" s="1971"/>
      <c r="C273" s="1971"/>
      <c r="D273" s="1971"/>
      <c r="E273" s="1971"/>
      <c r="F273" s="1971"/>
      <c r="G273" s="1972"/>
      <c r="H273" s="861">
        <f t="shared" ref="H273:P273" si="63">SUM(H249:H272)</f>
        <v>297500</v>
      </c>
      <c r="I273" s="861">
        <f t="shared" si="63"/>
        <v>281600</v>
      </c>
      <c r="J273" s="861">
        <f t="shared" si="63"/>
        <v>68992</v>
      </c>
      <c r="K273" s="861">
        <f t="shared" si="63"/>
        <v>42240</v>
      </c>
      <c r="L273" s="861">
        <f t="shared" si="63"/>
        <v>26752</v>
      </c>
      <c r="M273" s="861">
        <f t="shared" si="63"/>
        <v>0</v>
      </c>
      <c r="N273" s="861">
        <f t="shared" si="63"/>
        <v>9574.3999999999978</v>
      </c>
      <c r="O273" s="861">
        <f t="shared" si="63"/>
        <v>297500</v>
      </c>
      <c r="P273" s="861">
        <f t="shared" si="63"/>
        <v>23750</v>
      </c>
      <c r="AH273"/>
      <c r="AI273"/>
      <c r="AJ273"/>
      <c r="AK273"/>
      <c r="AL273"/>
      <c r="AM273"/>
      <c r="AN273"/>
      <c r="AO273"/>
      <c r="AP273"/>
      <c r="AQ273"/>
      <c r="AR273"/>
    </row>
    <row r="274" spans="1:44" ht="12" customHeight="1" thickBot="1">
      <c r="A274" s="1973" t="s">
        <v>690</v>
      </c>
      <c r="B274" s="1974"/>
      <c r="C274" s="1974"/>
      <c r="D274" s="1974"/>
      <c r="E274" s="1974"/>
      <c r="F274" s="1974"/>
      <c r="G274" s="1975"/>
      <c r="H274" s="862"/>
      <c r="I274" s="863"/>
      <c r="J274" s="863"/>
      <c r="K274" s="863"/>
      <c r="L274" s="863"/>
      <c r="M274" s="863"/>
      <c r="N274" s="863"/>
      <c r="O274" s="863"/>
      <c r="P274" s="864"/>
      <c r="AH274"/>
      <c r="AI274"/>
      <c r="AJ274"/>
      <c r="AK274"/>
      <c r="AL274"/>
      <c r="AM274"/>
      <c r="AN274"/>
      <c r="AO274"/>
      <c r="AP274"/>
      <c r="AQ274"/>
      <c r="AR274"/>
    </row>
    <row r="275" spans="1:44" ht="12" customHeight="1" thickBot="1">
      <c r="A275" s="1976" t="s">
        <v>693</v>
      </c>
      <c r="B275" s="1977"/>
      <c r="C275" s="1977"/>
      <c r="D275" s="1977"/>
      <c r="E275" s="1977"/>
      <c r="F275" s="1977"/>
      <c r="G275" s="1978"/>
      <c r="H275" s="861">
        <f t="shared" ref="H275:P275" si="64">SUM(H273:H274)</f>
        <v>297500</v>
      </c>
      <c r="I275" s="861">
        <f t="shared" si="64"/>
        <v>281600</v>
      </c>
      <c r="J275" s="861">
        <f t="shared" si="64"/>
        <v>68992</v>
      </c>
      <c r="K275" s="861">
        <f t="shared" si="64"/>
        <v>42240</v>
      </c>
      <c r="L275" s="861">
        <f t="shared" si="64"/>
        <v>26752</v>
      </c>
      <c r="M275" s="861">
        <f t="shared" si="64"/>
        <v>0</v>
      </c>
      <c r="N275" s="861">
        <f t="shared" si="64"/>
        <v>9574.3999999999978</v>
      </c>
      <c r="O275" s="861">
        <f t="shared" si="64"/>
        <v>297500</v>
      </c>
      <c r="P275" s="861">
        <f t="shared" si="64"/>
        <v>23750</v>
      </c>
      <c r="AH275"/>
      <c r="AI275"/>
      <c r="AJ275"/>
      <c r="AK275"/>
      <c r="AL275"/>
      <c r="AM275"/>
      <c r="AN275"/>
      <c r="AO275"/>
      <c r="AP275"/>
      <c r="AQ275"/>
      <c r="AR275"/>
    </row>
    <row r="276" spans="1:44" ht="12" customHeight="1" thickBot="1">
      <c r="A276" s="865"/>
      <c r="B276" s="866"/>
      <c r="C276" s="866"/>
      <c r="D276" s="866"/>
      <c r="E276" s="866"/>
      <c r="F276" s="866"/>
      <c r="G276" s="866"/>
      <c r="H276" s="867"/>
      <c r="I276" s="867"/>
      <c r="J276" s="867"/>
      <c r="K276" s="867"/>
      <c r="L276" s="867"/>
      <c r="M276" s="867"/>
      <c r="N276" s="867"/>
      <c r="O276" s="867"/>
      <c r="P276" s="868"/>
      <c r="AH276"/>
      <c r="AI276"/>
      <c r="AJ276"/>
      <c r="AK276"/>
      <c r="AL276"/>
      <c r="AM276"/>
      <c r="AN276"/>
      <c r="AO276"/>
      <c r="AP276"/>
      <c r="AQ276"/>
      <c r="AR276"/>
    </row>
    <row r="277" spans="1:44" ht="12" customHeight="1">
      <c r="A277" s="869"/>
      <c r="B277" s="870" t="s">
        <v>698</v>
      </c>
      <c r="C277" s="871"/>
      <c r="D277" s="871"/>
      <c r="E277" s="871"/>
      <c r="F277" s="871"/>
      <c r="G277" s="871"/>
      <c r="H277" s="872" t="s">
        <v>699</v>
      </c>
      <c r="I277" s="871"/>
      <c r="J277" s="871"/>
      <c r="K277" s="871"/>
      <c r="L277" s="871"/>
      <c r="M277" s="871"/>
      <c r="N277" s="871"/>
      <c r="O277" s="871"/>
      <c r="P277" s="873"/>
      <c r="AH277"/>
      <c r="AI277"/>
      <c r="AJ277"/>
      <c r="AK277"/>
      <c r="AL277"/>
      <c r="AM277"/>
      <c r="AN277"/>
      <c r="AO277"/>
      <c r="AP277"/>
      <c r="AQ277"/>
      <c r="AR277"/>
    </row>
    <row r="278" spans="1:44" ht="12" customHeight="1">
      <c r="A278" s="874" t="s">
        <v>1157</v>
      </c>
      <c r="B278" s="875"/>
      <c r="C278" s="875"/>
      <c r="D278" s="875"/>
      <c r="E278" s="875"/>
      <c r="F278" s="875"/>
      <c r="G278" s="875"/>
      <c r="H278" s="876" t="s">
        <v>700</v>
      </c>
      <c r="I278" s="875"/>
      <c r="J278" s="875"/>
      <c r="K278" s="875"/>
      <c r="L278" s="875"/>
      <c r="M278" s="875"/>
      <c r="N278" s="875"/>
      <c r="O278" s="875"/>
      <c r="P278" s="877"/>
      <c r="AH278"/>
      <c r="AI278"/>
      <c r="AJ278"/>
      <c r="AK278"/>
      <c r="AL278"/>
      <c r="AM278"/>
      <c r="AN278"/>
      <c r="AO278"/>
      <c r="AP278"/>
      <c r="AQ278"/>
      <c r="AR278"/>
    </row>
    <row r="279" spans="1:44" ht="12" customHeight="1">
      <c r="A279" s="874" t="s">
        <v>1158</v>
      </c>
      <c r="B279" s="875"/>
      <c r="C279" s="875"/>
      <c r="D279" s="875"/>
      <c r="E279" s="875"/>
      <c r="F279" s="875"/>
      <c r="G279" s="875"/>
      <c r="H279" s="45" t="s">
        <v>701</v>
      </c>
      <c r="I279" s="875"/>
      <c r="J279" s="875"/>
      <c r="K279" s="875"/>
      <c r="L279" s="875"/>
      <c r="M279" s="875"/>
      <c r="N279" s="875"/>
      <c r="O279" s="875"/>
      <c r="P279" s="877"/>
      <c r="AH279"/>
      <c r="AI279"/>
      <c r="AJ279"/>
      <c r="AK279"/>
      <c r="AL279"/>
      <c r="AM279"/>
      <c r="AN279"/>
      <c r="AO279"/>
      <c r="AP279"/>
      <c r="AQ279"/>
      <c r="AR279"/>
    </row>
    <row r="280" spans="1:44" ht="12" customHeight="1">
      <c r="A280" s="874" t="s">
        <v>702</v>
      </c>
      <c r="B280" s="875"/>
      <c r="C280" s="1"/>
      <c r="D280" s="875"/>
      <c r="E280" s="875"/>
      <c r="F280" s="875"/>
      <c r="G280" s="875"/>
      <c r="H280" s="876" t="s">
        <v>703</v>
      </c>
      <c r="I280" s="875"/>
      <c r="J280" s="875"/>
      <c r="K280" s="875"/>
      <c r="L280" s="875"/>
      <c r="M280" s="875"/>
      <c r="N280" s="875"/>
      <c r="O280" s="875"/>
      <c r="P280" s="877"/>
      <c r="AH280"/>
      <c r="AI280"/>
      <c r="AJ280"/>
      <c r="AK280"/>
      <c r="AL280"/>
      <c r="AM280"/>
      <c r="AN280"/>
      <c r="AO280"/>
      <c r="AP280"/>
      <c r="AQ280"/>
      <c r="AR280"/>
    </row>
    <row r="281" spans="1:44" ht="12" customHeight="1">
      <c r="A281" s="874"/>
      <c r="B281" s="875"/>
      <c r="C281" s="875"/>
      <c r="D281" s="875"/>
      <c r="E281" s="875"/>
      <c r="F281" s="875"/>
      <c r="G281" s="875"/>
      <c r="H281" s="876" t="s">
        <v>704</v>
      </c>
      <c r="I281" s="875"/>
      <c r="J281" s="875"/>
      <c r="K281" s="875"/>
      <c r="L281" s="875"/>
      <c r="M281" s="875"/>
      <c r="N281" s="875"/>
      <c r="O281" s="875"/>
      <c r="P281" s="877"/>
      <c r="AH281"/>
      <c r="AI281"/>
      <c r="AJ281"/>
      <c r="AK281"/>
      <c r="AL281"/>
      <c r="AM281"/>
      <c r="AN281"/>
      <c r="AO281"/>
      <c r="AP281"/>
      <c r="AQ281"/>
      <c r="AR281"/>
    </row>
    <row r="282" spans="1:44" ht="12" customHeight="1">
      <c r="A282" s="874"/>
      <c r="B282" s="878" t="s">
        <v>705</v>
      </c>
      <c r="C282" s="875"/>
      <c r="D282" s="875"/>
      <c r="E282" s="875"/>
      <c r="F282" s="875"/>
      <c r="G282" s="875"/>
      <c r="H282" s="45" t="s">
        <v>706</v>
      </c>
      <c r="I282" s="875"/>
      <c r="J282" s="875"/>
      <c r="K282" s="875"/>
      <c r="L282" s="875"/>
      <c r="M282" s="875"/>
      <c r="N282" s="875"/>
      <c r="O282" s="875"/>
      <c r="P282" s="877"/>
      <c r="AH282"/>
      <c r="AI282"/>
      <c r="AJ282"/>
      <c r="AK282"/>
      <c r="AL282"/>
      <c r="AM282"/>
      <c r="AN282"/>
      <c r="AO282"/>
      <c r="AP282"/>
      <c r="AQ282"/>
      <c r="AR282"/>
    </row>
    <row r="283" spans="1:44" ht="12" customHeight="1">
      <c r="A283" s="874"/>
      <c r="B283" s="875" t="s">
        <v>1159</v>
      </c>
      <c r="C283" s="875"/>
      <c r="D283" s="875"/>
      <c r="E283" s="875"/>
      <c r="F283" s="875"/>
      <c r="G283" s="875"/>
      <c r="H283" s="45"/>
      <c r="I283" s="875"/>
      <c r="J283" s="875"/>
      <c r="K283" s="879" t="s">
        <v>707</v>
      </c>
      <c r="L283" s="875"/>
      <c r="M283" s="875"/>
      <c r="N283" s="875"/>
      <c r="O283" s="875"/>
      <c r="P283" s="877"/>
      <c r="AH283"/>
      <c r="AI283"/>
      <c r="AJ283"/>
      <c r="AK283"/>
      <c r="AL283"/>
      <c r="AM283"/>
      <c r="AN283"/>
      <c r="AO283"/>
      <c r="AP283"/>
      <c r="AQ283"/>
      <c r="AR283"/>
    </row>
    <row r="284" spans="1:44" ht="12" customHeight="1">
      <c r="A284" s="874"/>
      <c r="B284" s="875"/>
      <c r="C284" s="875"/>
      <c r="D284" s="875" t="s">
        <v>708</v>
      </c>
      <c r="E284" s="875"/>
      <c r="F284" s="875"/>
      <c r="G284" s="875"/>
      <c r="H284" s="876" t="s">
        <v>709</v>
      </c>
      <c r="I284" s="875"/>
      <c r="J284" s="875"/>
      <c r="K284" s="875"/>
      <c r="L284" s="875"/>
      <c r="M284" s="875"/>
      <c r="N284" s="875"/>
      <c r="O284" s="875"/>
      <c r="P284" s="877"/>
      <c r="AH284"/>
      <c r="AI284"/>
      <c r="AJ284"/>
      <c r="AK284"/>
      <c r="AL284"/>
      <c r="AM284"/>
      <c r="AN284"/>
      <c r="AO284"/>
      <c r="AP284"/>
      <c r="AQ284"/>
      <c r="AR284"/>
    </row>
    <row r="285" spans="1:44" ht="12" customHeight="1">
      <c r="A285" s="874"/>
      <c r="B285" s="875"/>
      <c r="C285" s="875"/>
      <c r="D285" s="875"/>
      <c r="E285" s="875"/>
      <c r="F285" s="875"/>
      <c r="G285" s="875"/>
      <c r="H285" s="876"/>
      <c r="I285" s="875" t="s">
        <v>710</v>
      </c>
      <c r="J285" s="875"/>
      <c r="K285" s="875"/>
      <c r="L285" s="875"/>
      <c r="M285" s="875"/>
      <c r="N285" s="875"/>
      <c r="O285" s="875"/>
      <c r="P285" s="877"/>
      <c r="AH285"/>
      <c r="AI285"/>
      <c r="AJ285"/>
      <c r="AK285"/>
      <c r="AL285"/>
      <c r="AM285"/>
      <c r="AN285"/>
      <c r="AO285"/>
      <c r="AP285"/>
      <c r="AQ285"/>
      <c r="AR285"/>
    </row>
    <row r="286" spans="1:44" ht="12" customHeight="1" thickBot="1">
      <c r="A286" s="880"/>
      <c r="B286" s="881"/>
      <c r="C286" s="881"/>
      <c r="D286" s="881"/>
      <c r="E286" s="881"/>
      <c r="F286" s="881"/>
      <c r="G286" s="881"/>
      <c r="H286" s="882"/>
      <c r="I286" s="883" t="s">
        <v>711</v>
      </c>
      <c r="J286" s="881"/>
      <c r="K286" s="881"/>
      <c r="L286" s="881"/>
      <c r="M286" s="881"/>
      <c r="N286" s="881"/>
      <c r="O286" s="881"/>
      <c r="P286" s="884"/>
      <c r="AH286"/>
      <c r="AI286"/>
      <c r="AJ286"/>
      <c r="AK286"/>
      <c r="AL286"/>
      <c r="AM286"/>
      <c r="AN286"/>
      <c r="AO286"/>
      <c r="AP286"/>
      <c r="AQ286"/>
      <c r="AR286"/>
    </row>
    <row r="287" spans="1:44" ht="12" customHeight="1">
      <c r="A287" s="875"/>
      <c r="B287" s="875"/>
      <c r="C287" s="875"/>
      <c r="D287" s="875"/>
      <c r="E287" s="875"/>
      <c r="F287" s="875"/>
      <c r="G287" s="875"/>
      <c r="H287" s="875"/>
      <c r="I287" s="43"/>
      <c r="J287" s="875"/>
      <c r="K287" s="875"/>
      <c r="L287" s="875"/>
      <c r="M287" s="875"/>
      <c r="N287" s="875"/>
      <c r="O287" s="875"/>
      <c r="P287" s="875"/>
      <c r="AH287"/>
      <c r="AI287"/>
      <c r="AJ287"/>
      <c r="AK287"/>
      <c r="AL287"/>
      <c r="AM287"/>
      <c r="AN287"/>
      <c r="AO287"/>
      <c r="AP287"/>
      <c r="AQ287"/>
      <c r="AR287"/>
    </row>
    <row r="288" spans="1:44" ht="12" customHeight="1">
      <c r="A288" s="875"/>
      <c r="B288" s="875"/>
      <c r="C288" s="875"/>
      <c r="D288" s="875"/>
      <c r="E288" s="875"/>
      <c r="F288" s="875"/>
      <c r="G288" s="875"/>
      <c r="H288" s="875"/>
      <c r="I288" s="43"/>
      <c r="J288" s="875"/>
      <c r="K288" s="875"/>
      <c r="L288" s="875"/>
      <c r="M288" s="875"/>
      <c r="N288" s="875"/>
      <c r="O288" s="875"/>
      <c r="P288" s="875"/>
      <c r="AH288"/>
      <c r="AI288"/>
      <c r="AJ288"/>
      <c r="AK288"/>
      <c r="AL288"/>
      <c r="AM288"/>
      <c r="AN288"/>
      <c r="AO288"/>
      <c r="AP288"/>
      <c r="AQ288"/>
      <c r="AR288"/>
    </row>
    <row r="289" spans="1:44" ht="12" customHeight="1">
      <c r="A289" s="875"/>
      <c r="B289" s="875"/>
      <c r="C289" s="875"/>
      <c r="D289" s="875"/>
      <c r="E289" s="875"/>
      <c r="F289" s="875"/>
      <c r="G289" s="875"/>
      <c r="H289" s="875"/>
      <c r="I289" s="43"/>
      <c r="J289" s="875"/>
      <c r="K289" s="875"/>
      <c r="L289" s="875"/>
      <c r="M289" s="875"/>
      <c r="N289" s="875"/>
      <c r="O289" s="875"/>
      <c r="P289" s="875"/>
      <c r="AH289"/>
      <c r="AI289"/>
      <c r="AJ289"/>
      <c r="AK289"/>
      <c r="AL289"/>
      <c r="AM289"/>
      <c r="AN289"/>
      <c r="AO289"/>
      <c r="AP289"/>
      <c r="AQ289"/>
      <c r="AR289"/>
    </row>
    <row r="290" spans="1:44" ht="12" customHeight="1">
      <c r="A290" s="875"/>
      <c r="B290" s="875"/>
      <c r="C290" s="875"/>
      <c r="D290" s="875"/>
      <c r="E290" s="875"/>
      <c r="F290" s="875"/>
      <c r="G290" s="875"/>
      <c r="H290" s="875"/>
      <c r="I290" s="43"/>
      <c r="J290" s="875"/>
      <c r="K290" s="875"/>
      <c r="L290" s="875"/>
      <c r="M290" s="875"/>
      <c r="N290" s="875"/>
      <c r="O290" s="875"/>
      <c r="P290" s="875"/>
      <c r="AH290"/>
      <c r="AI290"/>
      <c r="AJ290"/>
      <c r="AK290"/>
      <c r="AL290"/>
      <c r="AM290"/>
      <c r="AN290"/>
      <c r="AO290"/>
      <c r="AP290"/>
      <c r="AQ290"/>
      <c r="AR290"/>
    </row>
    <row r="291" spans="1:44" ht="12" customHeight="1">
      <c r="AH291"/>
      <c r="AI291"/>
      <c r="AJ291"/>
      <c r="AK291"/>
      <c r="AL291"/>
      <c r="AM291"/>
      <c r="AN291"/>
      <c r="AO291"/>
      <c r="AP291"/>
      <c r="AQ291"/>
      <c r="AR291"/>
    </row>
    <row r="292" spans="1:44" ht="12" customHeight="1">
      <c r="A292" s="349" t="s">
        <v>664</v>
      </c>
      <c r="B292" s="349"/>
      <c r="C292" s="349"/>
      <c r="D292" s="349"/>
      <c r="E292" s="349"/>
      <c r="F292" s="349"/>
      <c r="G292" s="349"/>
      <c r="H292" s="349"/>
      <c r="I292" s="349"/>
      <c r="J292" s="349"/>
      <c r="K292" s="349"/>
      <c r="L292" s="349"/>
      <c r="M292" s="349"/>
      <c r="N292" s="349"/>
      <c r="O292" s="349"/>
      <c r="P292" s="349"/>
      <c r="AH292"/>
      <c r="AI292"/>
      <c r="AJ292"/>
      <c r="AK292"/>
      <c r="AL292"/>
      <c r="AM292"/>
      <c r="AN292"/>
      <c r="AO292"/>
      <c r="AP292"/>
      <c r="AQ292"/>
      <c r="AR292"/>
    </row>
    <row r="293" spans="1:44" ht="12" customHeight="1">
      <c r="A293" s="349" t="s">
        <v>1099</v>
      </c>
      <c r="B293" s="349"/>
      <c r="C293" s="349"/>
      <c r="D293" s="349" t="s">
        <v>1100</v>
      </c>
      <c r="E293" s="349"/>
      <c r="F293" s="349"/>
      <c r="G293" s="349"/>
      <c r="H293" s="349"/>
      <c r="I293" s="349" t="s">
        <v>1412</v>
      </c>
      <c r="J293" s="349"/>
      <c r="K293" s="349"/>
      <c r="L293" s="349"/>
      <c r="M293" s="349"/>
      <c r="N293" s="349" t="s">
        <v>1102</v>
      </c>
      <c r="O293" s="349"/>
      <c r="P293" s="349"/>
      <c r="AH293"/>
      <c r="AI293"/>
      <c r="AJ293"/>
      <c r="AK293"/>
      <c r="AL293"/>
      <c r="AM293"/>
      <c r="AN293"/>
      <c r="AO293"/>
      <c r="AP293"/>
      <c r="AQ293"/>
      <c r="AR293"/>
    </row>
    <row r="294" spans="1:44" ht="12" customHeight="1" thickBot="1">
      <c r="A294" s="349" t="s">
        <v>665</v>
      </c>
      <c r="B294" s="349"/>
      <c r="C294" s="349"/>
      <c r="D294" s="349"/>
      <c r="E294" s="1979"/>
      <c r="F294" s="1979"/>
      <c r="G294" s="1979"/>
      <c r="H294" s="1979" t="s">
        <v>1104</v>
      </c>
      <c r="I294" s="1979"/>
      <c r="J294" s="1979"/>
      <c r="K294" s="1979"/>
      <c r="L294" s="349"/>
      <c r="M294" s="1979" t="s">
        <v>666</v>
      </c>
      <c r="N294" s="1979"/>
      <c r="O294" s="1979"/>
      <c r="P294" s="1979"/>
      <c r="AH294"/>
      <c r="AI294"/>
      <c r="AJ294"/>
      <c r="AK294"/>
      <c r="AL294"/>
      <c r="AM294"/>
      <c r="AN294"/>
      <c r="AO294"/>
      <c r="AP294"/>
      <c r="AQ294"/>
      <c r="AR294"/>
    </row>
    <row r="295" spans="1:44" ht="12" customHeight="1" thickBot="1">
      <c r="A295" s="1980" t="s">
        <v>187</v>
      </c>
      <c r="B295" s="826" t="s">
        <v>667</v>
      </c>
      <c r="C295" s="1980" t="s">
        <v>1106</v>
      </c>
      <c r="D295" s="1983"/>
      <c r="E295" s="1980" t="s">
        <v>1107</v>
      </c>
      <c r="F295" s="1986" t="s">
        <v>1108</v>
      </c>
      <c r="G295" s="1986" t="s">
        <v>1109</v>
      </c>
      <c r="H295" s="827" t="s">
        <v>1110</v>
      </c>
      <c r="I295" s="828"/>
      <c r="J295" s="827" t="s">
        <v>188</v>
      </c>
      <c r="K295" s="829"/>
      <c r="L295" s="829"/>
      <c r="M295" s="829"/>
      <c r="N295" s="826" t="s">
        <v>189</v>
      </c>
      <c r="O295" s="826" t="s">
        <v>1111</v>
      </c>
      <c r="P295" s="1989" t="s">
        <v>1112</v>
      </c>
      <c r="AH295"/>
      <c r="AI295"/>
      <c r="AJ295"/>
      <c r="AK295"/>
      <c r="AL295"/>
      <c r="AM295"/>
      <c r="AN295"/>
      <c r="AO295"/>
      <c r="AP295"/>
      <c r="AQ295"/>
      <c r="AR295"/>
    </row>
    <row r="296" spans="1:44" ht="12" customHeight="1" thickBot="1">
      <c r="A296" s="1981"/>
      <c r="B296" s="832" t="s">
        <v>668</v>
      </c>
      <c r="C296" s="1981"/>
      <c r="D296" s="1984"/>
      <c r="E296" s="1981"/>
      <c r="F296" s="1987"/>
      <c r="G296" s="1987"/>
      <c r="H296" s="1989" t="s">
        <v>193</v>
      </c>
      <c r="I296" s="1989" t="s">
        <v>1113</v>
      </c>
      <c r="J296" s="1989" t="s">
        <v>1114</v>
      </c>
      <c r="K296" s="947" t="s">
        <v>194</v>
      </c>
      <c r="L296" s="834"/>
      <c r="M296" s="826" t="s">
        <v>669</v>
      </c>
      <c r="N296" s="832" t="s">
        <v>670</v>
      </c>
      <c r="O296" s="832" t="s">
        <v>195</v>
      </c>
      <c r="P296" s="1990"/>
      <c r="AH296"/>
      <c r="AI296"/>
      <c r="AJ296"/>
      <c r="AK296"/>
      <c r="AL296"/>
      <c r="AM296"/>
      <c r="AN296"/>
      <c r="AO296"/>
      <c r="AP296"/>
      <c r="AQ296"/>
      <c r="AR296"/>
    </row>
    <row r="297" spans="1:44" ht="12" customHeight="1" thickBot="1">
      <c r="A297" s="1982"/>
      <c r="B297" s="835" t="s">
        <v>671</v>
      </c>
      <c r="C297" s="1982"/>
      <c r="D297" s="1985"/>
      <c r="E297" s="1982"/>
      <c r="F297" s="1988"/>
      <c r="G297" s="1988"/>
      <c r="H297" s="1991"/>
      <c r="I297" s="1991"/>
      <c r="J297" s="1991"/>
      <c r="K297" s="836" t="s">
        <v>672</v>
      </c>
      <c r="L297" s="836" t="s">
        <v>673</v>
      </c>
      <c r="M297" s="835" t="s">
        <v>674</v>
      </c>
      <c r="N297" s="835" t="s">
        <v>675</v>
      </c>
      <c r="O297" s="835" t="s">
        <v>676</v>
      </c>
      <c r="P297" s="1991"/>
      <c r="AH297"/>
      <c r="AI297"/>
      <c r="AJ297"/>
      <c r="AK297"/>
      <c r="AL297"/>
      <c r="AM297"/>
      <c r="AN297"/>
      <c r="AO297"/>
      <c r="AP297"/>
      <c r="AQ297"/>
      <c r="AR297"/>
    </row>
    <row r="298" spans="1:44" ht="12" customHeight="1">
      <c r="A298" s="837">
        <v>1</v>
      </c>
      <c r="B298" s="949" t="s">
        <v>1122</v>
      </c>
      <c r="C298" s="839" t="s">
        <v>1123</v>
      </c>
      <c r="D298" s="840"/>
      <c r="E298" s="306" t="s">
        <v>1124</v>
      </c>
      <c r="F298" s="841">
        <v>1</v>
      </c>
      <c r="G298" s="841">
        <v>22</v>
      </c>
      <c r="H298" s="307">
        <v>100000</v>
      </c>
      <c r="I298" s="307">
        <v>87700</v>
      </c>
      <c r="J298" s="307">
        <f>K298+L298</f>
        <v>21486.5</v>
      </c>
      <c r="K298" s="307">
        <f>I298*0.15</f>
        <v>13155</v>
      </c>
      <c r="L298" s="307">
        <f>I298*0.095</f>
        <v>8331.5</v>
      </c>
      <c r="M298" s="307">
        <v>0</v>
      </c>
      <c r="N298" s="307">
        <f>I298*0.034</f>
        <v>2981.8</v>
      </c>
      <c r="O298" s="307">
        <f>H298</f>
        <v>100000</v>
      </c>
      <c r="P298" s="842">
        <f>H298*0.1</f>
        <v>10000</v>
      </c>
      <c r="AH298"/>
      <c r="AI298"/>
      <c r="AJ298"/>
      <c r="AK298"/>
      <c r="AL298"/>
      <c r="AM298"/>
      <c r="AN298"/>
      <c r="AO298"/>
      <c r="AP298"/>
      <c r="AQ298"/>
      <c r="AR298"/>
    </row>
    <row r="299" spans="1:44" ht="12" customHeight="1">
      <c r="A299" s="843">
        <v>2</v>
      </c>
      <c r="B299" s="950" t="s">
        <v>1125</v>
      </c>
      <c r="C299" s="845" t="s">
        <v>1126</v>
      </c>
      <c r="D299" s="846"/>
      <c r="E299" s="305" t="s">
        <v>678</v>
      </c>
      <c r="F299" s="305">
        <v>1</v>
      </c>
      <c r="G299" s="305">
        <v>22</v>
      </c>
      <c r="H299" s="305">
        <v>40000</v>
      </c>
      <c r="I299" s="305">
        <f t="shared" ref="I299:I304" si="65">H299</f>
        <v>40000</v>
      </c>
      <c r="J299" s="307">
        <f t="shared" ref="J299:J305" si="66">K299+L299</f>
        <v>9800</v>
      </c>
      <c r="K299" s="307">
        <f t="shared" ref="K299:K305" si="67">I299*0.15</f>
        <v>6000</v>
      </c>
      <c r="L299" s="307">
        <f t="shared" ref="L299:L305" si="68">I299*0.095</f>
        <v>3800</v>
      </c>
      <c r="M299" s="307">
        <v>0</v>
      </c>
      <c r="N299" s="307">
        <f t="shared" ref="N299:N305" si="69">I299*0.034</f>
        <v>1360</v>
      </c>
      <c r="O299" s="307">
        <f t="shared" ref="O299:O304" si="70">H299</f>
        <v>40000</v>
      </c>
      <c r="P299" s="842">
        <v>4000</v>
      </c>
      <c r="AH299"/>
      <c r="AI299"/>
      <c r="AJ299"/>
      <c r="AK299"/>
      <c r="AL299"/>
      <c r="AM299"/>
      <c r="AN299"/>
      <c r="AO299"/>
      <c r="AP299"/>
      <c r="AQ299"/>
      <c r="AR299"/>
    </row>
    <row r="300" spans="1:44" ht="12" customHeight="1">
      <c r="A300" s="843">
        <v>3</v>
      </c>
      <c r="B300" s="950" t="s">
        <v>1127</v>
      </c>
      <c r="C300" s="845" t="s">
        <v>1128</v>
      </c>
      <c r="D300" s="846"/>
      <c r="E300" s="847" t="s">
        <v>679</v>
      </c>
      <c r="F300" s="305">
        <v>1</v>
      </c>
      <c r="G300" s="305">
        <v>22</v>
      </c>
      <c r="H300" s="305">
        <v>20000</v>
      </c>
      <c r="I300" s="305">
        <f t="shared" si="65"/>
        <v>20000</v>
      </c>
      <c r="J300" s="307">
        <f t="shared" si="66"/>
        <v>4900</v>
      </c>
      <c r="K300" s="307">
        <f t="shared" si="67"/>
        <v>3000</v>
      </c>
      <c r="L300" s="307">
        <f t="shared" si="68"/>
        <v>1900</v>
      </c>
      <c r="M300" s="307">
        <v>0</v>
      </c>
      <c r="N300" s="307">
        <f t="shared" si="69"/>
        <v>680</v>
      </c>
      <c r="O300" s="307">
        <f t="shared" si="70"/>
        <v>20000</v>
      </c>
      <c r="P300" s="842">
        <v>1000</v>
      </c>
      <c r="AH300"/>
      <c r="AI300"/>
      <c r="AJ300"/>
      <c r="AK300"/>
      <c r="AL300"/>
      <c r="AM300"/>
      <c r="AN300"/>
      <c r="AO300"/>
      <c r="AP300"/>
      <c r="AQ300"/>
      <c r="AR300"/>
    </row>
    <row r="301" spans="1:44" ht="12" customHeight="1">
      <c r="A301" s="843">
        <v>4</v>
      </c>
      <c r="B301" s="950" t="s">
        <v>1132</v>
      </c>
      <c r="C301" s="845" t="s">
        <v>1133</v>
      </c>
      <c r="D301" s="846"/>
      <c r="E301" s="847" t="s">
        <v>1134</v>
      </c>
      <c r="F301" s="305">
        <v>1</v>
      </c>
      <c r="G301" s="305">
        <v>22</v>
      </c>
      <c r="H301" s="305">
        <v>27000</v>
      </c>
      <c r="I301" s="305">
        <f t="shared" si="65"/>
        <v>27000</v>
      </c>
      <c r="J301" s="307">
        <f t="shared" si="66"/>
        <v>6615</v>
      </c>
      <c r="K301" s="307">
        <f t="shared" si="67"/>
        <v>4050</v>
      </c>
      <c r="L301" s="307">
        <f t="shared" si="68"/>
        <v>2565</v>
      </c>
      <c r="M301" s="307">
        <v>0</v>
      </c>
      <c r="N301" s="307">
        <f t="shared" si="69"/>
        <v>918.00000000000011</v>
      </c>
      <c r="O301" s="307">
        <f t="shared" si="70"/>
        <v>27000</v>
      </c>
      <c r="P301" s="842">
        <v>1700</v>
      </c>
      <c r="AH301"/>
      <c r="AI301"/>
      <c r="AJ301"/>
      <c r="AK301"/>
      <c r="AL301"/>
      <c r="AM301"/>
      <c r="AN301"/>
      <c r="AO301"/>
      <c r="AP301"/>
      <c r="AQ301"/>
      <c r="AR301"/>
    </row>
    <row r="302" spans="1:44" ht="12" customHeight="1">
      <c r="A302" s="843">
        <v>5</v>
      </c>
      <c r="B302" s="950"/>
      <c r="C302" s="845" t="s">
        <v>1137</v>
      </c>
      <c r="D302" s="846"/>
      <c r="E302" s="847" t="s">
        <v>679</v>
      </c>
      <c r="F302" s="305">
        <v>1</v>
      </c>
      <c r="G302" s="305">
        <v>22</v>
      </c>
      <c r="H302" s="305">
        <v>20000</v>
      </c>
      <c r="I302" s="305">
        <f t="shared" si="65"/>
        <v>20000</v>
      </c>
      <c r="J302" s="307">
        <f t="shared" si="66"/>
        <v>4900</v>
      </c>
      <c r="K302" s="307">
        <f t="shared" si="67"/>
        <v>3000</v>
      </c>
      <c r="L302" s="307">
        <f t="shared" si="68"/>
        <v>1900</v>
      </c>
      <c r="M302" s="307">
        <v>0</v>
      </c>
      <c r="N302" s="307">
        <f t="shared" si="69"/>
        <v>680</v>
      </c>
      <c r="O302" s="307">
        <f t="shared" si="70"/>
        <v>20000</v>
      </c>
      <c r="P302" s="842">
        <v>1000</v>
      </c>
      <c r="AH302"/>
      <c r="AI302"/>
      <c r="AJ302"/>
      <c r="AK302"/>
      <c r="AL302"/>
      <c r="AM302"/>
      <c r="AN302"/>
      <c r="AO302"/>
      <c r="AP302"/>
      <c r="AQ302"/>
      <c r="AR302"/>
    </row>
    <row r="303" spans="1:44" ht="12" customHeight="1">
      <c r="A303" s="843">
        <v>6</v>
      </c>
      <c r="B303" s="950"/>
      <c r="C303" s="845" t="s">
        <v>1139</v>
      </c>
      <c r="D303" s="846"/>
      <c r="E303" s="305" t="s">
        <v>679</v>
      </c>
      <c r="F303" s="305">
        <v>1</v>
      </c>
      <c r="G303" s="305">
        <v>22</v>
      </c>
      <c r="H303" s="305">
        <v>20000</v>
      </c>
      <c r="I303" s="305">
        <f t="shared" si="65"/>
        <v>20000</v>
      </c>
      <c r="J303" s="307">
        <f t="shared" si="66"/>
        <v>4900</v>
      </c>
      <c r="K303" s="307">
        <f t="shared" si="67"/>
        <v>3000</v>
      </c>
      <c r="L303" s="307">
        <f t="shared" si="68"/>
        <v>1900</v>
      </c>
      <c r="M303" s="307">
        <v>0</v>
      </c>
      <c r="N303" s="307">
        <f t="shared" si="69"/>
        <v>680</v>
      </c>
      <c r="O303" s="307">
        <f t="shared" si="70"/>
        <v>20000</v>
      </c>
      <c r="P303" s="742">
        <v>1000</v>
      </c>
      <c r="AH303"/>
      <c r="AI303"/>
      <c r="AJ303"/>
      <c r="AK303"/>
      <c r="AL303"/>
      <c r="AM303"/>
      <c r="AN303"/>
      <c r="AO303"/>
      <c r="AP303"/>
      <c r="AQ303"/>
      <c r="AR303"/>
    </row>
    <row r="304" spans="1:44" ht="12" customHeight="1">
      <c r="A304" s="843">
        <v>7</v>
      </c>
      <c r="B304" s="950"/>
      <c r="C304" s="845" t="s">
        <v>1141</v>
      </c>
      <c r="D304" s="846"/>
      <c r="E304" s="847" t="s">
        <v>1142</v>
      </c>
      <c r="F304" s="305">
        <v>1</v>
      </c>
      <c r="G304" s="305">
        <v>22</v>
      </c>
      <c r="H304" s="305">
        <v>35000</v>
      </c>
      <c r="I304" s="305">
        <f t="shared" si="65"/>
        <v>35000</v>
      </c>
      <c r="J304" s="307">
        <f t="shared" si="66"/>
        <v>8575</v>
      </c>
      <c r="K304" s="307">
        <f t="shared" si="67"/>
        <v>5250</v>
      </c>
      <c r="L304" s="307">
        <f t="shared" si="68"/>
        <v>3325</v>
      </c>
      <c r="M304" s="307">
        <v>0</v>
      </c>
      <c r="N304" s="307">
        <f t="shared" si="69"/>
        <v>1190</v>
      </c>
      <c r="O304" s="307">
        <f t="shared" si="70"/>
        <v>35000</v>
      </c>
      <c r="P304" s="742">
        <v>3500</v>
      </c>
      <c r="AH304"/>
      <c r="AI304"/>
      <c r="AJ304"/>
      <c r="AK304"/>
      <c r="AL304"/>
      <c r="AM304"/>
      <c r="AN304"/>
      <c r="AO304"/>
      <c r="AP304"/>
      <c r="AQ304"/>
      <c r="AR304"/>
    </row>
    <row r="305" spans="1:44" ht="12" customHeight="1">
      <c r="A305" s="843">
        <v>8</v>
      </c>
      <c r="B305" s="950" t="s">
        <v>1144</v>
      </c>
      <c r="C305" s="845" t="s">
        <v>1145</v>
      </c>
      <c r="D305" s="846"/>
      <c r="E305" s="847" t="s">
        <v>679</v>
      </c>
      <c r="F305" s="305">
        <v>1</v>
      </c>
      <c r="G305" s="305">
        <v>22</v>
      </c>
      <c r="H305" s="305">
        <v>20000</v>
      </c>
      <c r="I305" s="305">
        <f>H305</f>
        <v>20000</v>
      </c>
      <c r="J305" s="307">
        <f t="shared" si="66"/>
        <v>4900</v>
      </c>
      <c r="K305" s="307">
        <f t="shared" si="67"/>
        <v>3000</v>
      </c>
      <c r="L305" s="307">
        <f t="shared" si="68"/>
        <v>1900</v>
      </c>
      <c r="M305" s="307">
        <v>0</v>
      </c>
      <c r="N305" s="307">
        <f t="shared" si="69"/>
        <v>680</v>
      </c>
      <c r="O305" s="307">
        <f>H305</f>
        <v>20000</v>
      </c>
      <c r="P305" s="842">
        <v>1000</v>
      </c>
      <c r="AH305"/>
      <c r="AI305"/>
      <c r="AJ305"/>
      <c r="AK305"/>
      <c r="AL305"/>
      <c r="AM305"/>
      <c r="AN305"/>
      <c r="AO305"/>
      <c r="AP305"/>
      <c r="AQ305"/>
      <c r="AR305"/>
    </row>
    <row r="306" spans="1:44" ht="12" customHeight="1">
      <c r="A306" s="843">
        <v>9</v>
      </c>
      <c r="B306" s="950"/>
      <c r="C306" s="849" t="s">
        <v>1135</v>
      </c>
      <c r="D306" s="849"/>
      <c r="E306" s="847" t="s">
        <v>679</v>
      </c>
      <c r="F306" s="305">
        <v>1</v>
      </c>
      <c r="G306" s="305">
        <v>22</v>
      </c>
      <c r="H306" s="305">
        <v>20000</v>
      </c>
      <c r="I306" s="305">
        <f>H306</f>
        <v>20000</v>
      </c>
      <c r="J306" s="307">
        <f>K306+L306</f>
        <v>4900</v>
      </c>
      <c r="K306" s="307">
        <f>I306*0.15</f>
        <v>3000</v>
      </c>
      <c r="L306" s="307">
        <f>I306*0.095</f>
        <v>1900</v>
      </c>
      <c r="M306" s="307">
        <v>0</v>
      </c>
      <c r="N306" s="307">
        <f>I306*0.034</f>
        <v>680</v>
      </c>
      <c r="O306" s="307">
        <f>H306</f>
        <v>20000</v>
      </c>
      <c r="P306" s="842">
        <v>1000</v>
      </c>
      <c r="AH306"/>
      <c r="AI306"/>
      <c r="AJ306"/>
      <c r="AK306"/>
      <c r="AL306"/>
      <c r="AM306"/>
      <c r="AN306"/>
      <c r="AO306"/>
      <c r="AP306"/>
      <c r="AQ306"/>
      <c r="AR306"/>
    </row>
    <row r="307" spans="1:44" ht="12" customHeight="1">
      <c r="A307" s="843">
        <v>10</v>
      </c>
      <c r="B307" s="73"/>
      <c r="C307" s="1966"/>
      <c r="D307" s="1967"/>
      <c r="E307" s="847"/>
      <c r="F307" s="305"/>
      <c r="G307" s="305"/>
      <c r="H307" s="305"/>
      <c r="I307" s="305"/>
      <c r="J307" s="307"/>
      <c r="K307" s="307"/>
      <c r="L307" s="307"/>
      <c r="M307" s="307"/>
      <c r="N307" s="307"/>
      <c r="O307" s="307"/>
      <c r="P307" s="842"/>
      <c r="AH307"/>
      <c r="AI307"/>
      <c r="AJ307"/>
      <c r="AK307"/>
      <c r="AL307"/>
      <c r="AM307"/>
      <c r="AN307"/>
      <c r="AO307"/>
      <c r="AP307"/>
      <c r="AQ307"/>
      <c r="AR307"/>
    </row>
    <row r="308" spans="1:44" ht="12" customHeight="1">
      <c r="A308" s="843">
        <v>11</v>
      </c>
      <c r="B308" s="73"/>
      <c r="C308" s="1966"/>
      <c r="D308" s="1967"/>
      <c r="E308" s="847"/>
      <c r="F308" s="305"/>
      <c r="G308" s="305"/>
      <c r="H308" s="305"/>
      <c r="I308" s="305"/>
      <c r="J308" s="307"/>
      <c r="K308" s="307"/>
      <c r="L308" s="307"/>
      <c r="M308" s="307"/>
      <c r="N308" s="307"/>
      <c r="O308" s="307"/>
      <c r="P308" s="842"/>
      <c r="AH308"/>
      <c r="AI308"/>
      <c r="AJ308"/>
      <c r="AK308"/>
      <c r="AL308"/>
      <c r="AM308"/>
      <c r="AN308"/>
      <c r="AO308"/>
      <c r="AP308"/>
      <c r="AQ308"/>
      <c r="AR308"/>
    </row>
    <row r="309" spans="1:44" ht="12" customHeight="1">
      <c r="A309" s="843">
        <v>12</v>
      </c>
      <c r="B309" s="73"/>
      <c r="C309" s="1966"/>
      <c r="D309" s="1967"/>
      <c r="E309" s="847"/>
      <c r="F309" s="305"/>
      <c r="G309" s="305"/>
      <c r="H309" s="305"/>
      <c r="I309" s="305"/>
      <c r="J309" s="307"/>
      <c r="K309" s="307"/>
      <c r="L309" s="307"/>
      <c r="M309" s="307"/>
      <c r="N309" s="307"/>
      <c r="O309" s="307"/>
      <c r="P309" s="842"/>
      <c r="AH309"/>
      <c r="AI309"/>
      <c r="AJ309"/>
      <c r="AK309"/>
      <c r="AL309"/>
      <c r="AM309"/>
      <c r="AN309"/>
      <c r="AO309"/>
      <c r="AP309"/>
      <c r="AQ309"/>
      <c r="AR309"/>
    </row>
    <row r="310" spans="1:44" ht="12" customHeight="1">
      <c r="A310" s="837">
        <v>13</v>
      </c>
      <c r="B310" s="73"/>
      <c r="C310" s="1966"/>
      <c r="D310" s="1967"/>
      <c r="E310" s="847"/>
      <c r="F310" s="305"/>
      <c r="G310" s="305"/>
      <c r="H310" s="305"/>
      <c r="I310" s="305"/>
      <c r="J310" s="307"/>
      <c r="K310" s="307"/>
      <c r="L310" s="307"/>
      <c r="M310" s="307"/>
      <c r="N310" s="307"/>
      <c r="O310" s="307"/>
      <c r="P310" s="842"/>
      <c r="AH310"/>
      <c r="AI310"/>
      <c r="AJ310"/>
      <c r="AK310"/>
      <c r="AL310"/>
      <c r="AM310"/>
      <c r="AN310"/>
      <c r="AO310"/>
      <c r="AP310"/>
      <c r="AQ310"/>
      <c r="AR310"/>
    </row>
    <row r="311" spans="1:44" ht="12" customHeight="1">
      <c r="A311" s="843">
        <v>14</v>
      </c>
      <c r="B311" s="73"/>
      <c r="C311" s="1966"/>
      <c r="D311" s="1967"/>
      <c r="E311" s="847"/>
      <c r="F311" s="305"/>
      <c r="G311" s="305"/>
      <c r="H311" s="305"/>
      <c r="I311" s="305"/>
      <c r="J311" s="307"/>
      <c r="K311" s="307"/>
      <c r="L311" s="307"/>
      <c r="M311" s="307"/>
      <c r="N311" s="307"/>
      <c r="O311" s="307"/>
      <c r="P311" s="842"/>
      <c r="AH311"/>
      <c r="AI311"/>
      <c r="AJ311"/>
      <c r="AK311"/>
      <c r="AL311"/>
      <c r="AM311"/>
      <c r="AN311"/>
      <c r="AO311"/>
      <c r="AP311"/>
      <c r="AQ311"/>
      <c r="AR311"/>
    </row>
    <row r="312" spans="1:44" ht="12" customHeight="1">
      <c r="A312" s="843">
        <v>15</v>
      </c>
      <c r="B312" s="73"/>
      <c r="C312" s="1966"/>
      <c r="D312" s="1967"/>
      <c r="E312" s="847"/>
      <c r="F312" s="305"/>
      <c r="G312" s="305"/>
      <c r="H312" s="305"/>
      <c r="I312" s="305"/>
      <c r="J312" s="307"/>
      <c r="K312" s="307"/>
      <c r="L312" s="307"/>
      <c r="M312" s="307"/>
      <c r="N312" s="307"/>
      <c r="O312" s="307"/>
      <c r="P312" s="842"/>
      <c r="AH312"/>
      <c r="AI312"/>
      <c r="AJ312"/>
      <c r="AK312"/>
      <c r="AL312"/>
      <c r="AM312"/>
      <c r="AN312"/>
      <c r="AO312"/>
      <c r="AP312"/>
      <c r="AQ312"/>
      <c r="AR312"/>
    </row>
    <row r="313" spans="1:44" ht="12" customHeight="1">
      <c r="A313" s="837">
        <v>16</v>
      </c>
      <c r="B313" s="73"/>
      <c r="C313" s="1966"/>
      <c r="D313" s="1967"/>
      <c r="E313" s="847"/>
      <c r="F313" s="305"/>
      <c r="G313" s="305"/>
      <c r="H313" s="305"/>
      <c r="I313" s="305"/>
      <c r="J313" s="307"/>
      <c r="K313" s="307"/>
      <c r="L313" s="307"/>
      <c r="M313" s="307"/>
      <c r="N313" s="307"/>
      <c r="O313" s="307"/>
      <c r="P313" s="842"/>
      <c r="AH313"/>
      <c r="AI313"/>
      <c r="AJ313"/>
      <c r="AK313"/>
      <c r="AL313"/>
      <c r="AM313"/>
      <c r="AN313"/>
      <c r="AO313"/>
      <c r="AP313"/>
      <c r="AQ313"/>
      <c r="AR313"/>
    </row>
    <row r="314" spans="1:44" ht="12" customHeight="1">
      <c r="A314" s="843">
        <v>17</v>
      </c>
      <c r="B314" s="73"/>
      <c r="C314" s="1966"/>
      <c r="D314" s="1967"/>
      <c r="E314" s="847"/>
      <c r="F314" s="305"/>
      <c r="G314" s="305"/>
      <c r="H314" s="305"/>
      <c r="I314" s="305"/>
      <c r="J314" s="307"/>
      <c r="K314" s="307"/>
      <c r="L314" s="307"/>
      <c r="M314" s="307"/>
      <c r="N314" s="307"/>
      <c r="O314" s="307"/>
      <c r="P314" s="842"/>
      <c r="AH314"/>
      <c r="AI314"/>
      <c r="AJ314"/>
      <c r="AK314"/>
      <c r="AL314"/>
      <c r="AM314"/>
      <c r="AN314"/>
      <c r="AO314"/>
      <c r="AP314"/>
      <c r="AQ314"/>
      <c r="AR314"/>
    </row>
    <row r="315" spans="1:44" ht="12" customHeight="1">
      <c r="A315" s="843">
        <v>18</v>
      </c>
      <c r="B315" s="73"/>
      <c r="C315" s="1966"/>
      <c r="D315" s="1967"/>
      <c r="E315" s="847"/>
      <c r="F315" s="305"/>
      <c r="G315" s="305"/>
      <c r="H315" s="305"/>
      <c r="I315" s="305"/>
      <c r="J315" s="307"/>
      <c r="K315" s="307"/>
      <c r="L315" s="307"/>
      <c r="M315" s="307"/>
      <c r="N315" s="307"/>
      <c r="O315" s="307"/>
      <c r="P315" s="842"/>
      <c r="AH315"/>
      <c r="AI315"/>
      <c r="AJ315"/>
      <c r="AK315"/>
      <c r="AL315"/>
      <c r="AM315"/>
      <c r="AN315"/>
      <c r="AO315"/>
      <c r="AP315"/>
      <c r="AQ315"/>
      <c r="AR315"/>
    </row>
    <row r="316" spans="1:44" ht="12" customHeight="1" thickBot="1">
      <c r="A316" s="837">
        <v>19</v>
      </c>
      <c r="B316" s="73"/>
      <c r="C316" s="1966"/>
      <c r="D316" s="1967"/>
      <c r="E316" s="847"/>
      <c r="F316" s="305"/>
      <c r="G316" s="305"/>
      <c r="H316" s="305"/>
      <c r="I316" s="305"/>
      <c r="J316" s="307"/>
      <c r="K316" s="307"/>
      <c r="L316" s="307"/>
      <c r="M316" s="307"/>
      <c r="N316" s="307"/>
      <c r="O316" s="307"/>
      <c r="P316" s="842"/>
      <c r="AH316"/>
      <c r="AI316"/>
      <c r="AJ316"/>
      <c r="AK316"/>
      <c r="AL316"/>
      <c r="AM316"/>
      <c r="AN316"/>
      <c r="AO316"/>
      <c r="AP316"/>
      <c r="AQ316"/>
      <c r="AR316"/>
    </row>
    <row r="317" spans="1:44" ht="12" customHeight="1" thickBot="1">
      <c r="A317" s="843">
        <v>20</v>
      </c>
      <c r="B317" s="73"/>
      <c r="C317" s="1966"/>
      <c r="D317" s="1967"/>
      <c r="E317" s="847"/>
      <c r="F317" s="305"/>
      <c r="G317" s="305"/>
      <c r="H317" s="305"/>
      <c r="I317" s="305"/>
      <c r="J317" s="307"/>
      <c r="K317" s="307"/>
      <c r="L317" s="307"/>
      <c r="M317" s="307"/>
      <c r="N317" s="307"/>
      <c r="O317" s="307"/>
      <c r="P317" s="842"/>
      <c r="Q317" s="861">
        <f>SUM(Q315:Q316)</f>
        <v>0</v>
      </c>
      <c r="AH317"/>
      <c r="AI317"/>
      <c r="AJ317"/>
      <c r="AK317"/>
      <c r="AL317"/>
      <c r="AM317"/>
      <c r="AN317"/>
      <c r="AO317"/>
      <c r="AP317"/>
      <c r="AQ317"/>
      <c r="AR317"/>
    </row>
    <row r="318" spans="1:44" ht="12" customHeight="1">
      <c r="A318" s="843">
        <v>21</v>
      </c>
      <c r="B318" s="73"/>
      <c r="C318" s="1966"/>
      <c r="D318" s="1967"/>
      <c r="E318" s="847"/>
      <c r="F318" s="305"/>
      <c r="G318" s="305"/>
      <c r="H318" s="305"/>
      <c r="I318" s="305"/>
      <c r="J318" s="307"/>
      <c r="K318" s="307"/>
      <c r="L318" s="307"/>
      <c r="M318" s="307"/>
      <c r="N318" s="307"/>
      <c r="O318" s="307"/>
      <c r="P318" s="842"/>
      <c r="AH318"/>
      <c r="AI318"/>
      <c r="AJ318"/>
      <c r="AK318"/>
      <c r="AL318"/>
      <c r="AM318"/>
      <c r="AN318"/>
      <c r="AO318"/>
      <c r="AP318"/>
      <c r="AQ318"/>
      <c r="AR318"/>
    </row>
    <row r="319" spans="1:44" ht="12" customHeight="1">
      <c r="A319" s="837">
        <v>22</v>
      </c>
      <c r="B319" s="73"/>
      <c r="C319" s="1966"/>
      <c r="D319" s="1967"/>
      <c r="E319" s="847"/>
      <c r="F319" s="305"/>
      <c r="G319" s="305"/>
      <c r="H319" s="305"/>
      <c r="I319" s="305"/>
      <c r="J319" s="307"/>
      <c r="K319" s="307"/>
      <c r="L319" s="307"/>
      <c r="M319" s="307"/>
      <c r="N319" s="307"/>
      <c r="O319" s="307"/>
      <c r="P319" s="842"/>
      <c r="AH319"/>
      <c r="AI319"/>
      <c r="AJ319"/>
      <c r="AK319"/>
      <c r="AL319"/>
      <c r="AM319"/>
      <c r="AN319"/>
      <c r="AO319"/>
      <c r="AP319"/>
      <c r="AQ319"/>
      <c r="AR319"/>
    </row>
    <row r="320" spans="1:44" ht="12" customHeight="1">
      <c r="A320" s="843">
        <v>23</v>
      </c>
      <c r="B320" s="73"/>
      <c r="C320" s="1966"/>
      <c r="D320" s="1967"/>
      <c r="E320" s="847"/>
      <c r="F320" s="305"/>
      <c r="G320" s="305"/>
      <c r="H320" s="305"/>
      <c r="I320" s="305"/>
      <c r="J320" s="307"/>
      <c r="K320" s="307"/>
      <c r="L320" s="307"/>
      <c r="M320" s="307"/>
      <c r="N320" s="307"/>
      <c r="O320" s="307"/>
      <c r="P320" s="842"/>
      <c r="AH320"/>
      <c r="AI320"/>
      <c r="AJ320"/>
      <c r="AK320"/>
      <c r="AL320"/>
      <c r="AM320"/>
      <c r="AN320"/>
      <c r="AO320"/>
      <c r="AP320"/>
      <c r="AQ320"/>
      <c r="AR320"/>
    </row>
    <row r="321" spans="1:44" ht="12" customHeight="1" thickBot="1">
      <c r="A321" s="843">
        <v>24</v>
      </c>
      <c r="B321" s="73"/>
      <c r="C321" s="1968"/>
      <c r="D321" s="1969"/>
      <c r="E321" s="305"/>
      <c r="F321" s="305"/>
      <c r="G321" s="305"/>
      <c r="H321" s="305"/>
      <c r="I321" s="305"/>
      <c r="J321" s="307"/>
      <c r="K321" s="307"/>
      <c r="L321" s="307"/>
      <c r="M321" s="307"/>
      <c r="N321" s="307"/>
      <c r="O321" s="305"/>
      <c r="P321" s="742"/>
      <c r="AH321"/>
      <c r="AI321"/>
      <c r="AJ321"/>
      <c r="AK321"/>
      <c r="AL321"/>
      <c r="AM321"/>
      <c r="AN321"/>
      <c r="AO321"/>
      <c r="AP321"/>
      <c r="AQ321"/>
      <c r="AR321"/>
    </row>
    <row r="322" spans="1:44" ht="12" customHeight="1" thickBot="1">
      <c r="A322" s="1970" t="s">
        <v>687</v>
      </c>
      <c r="B322" s="1971"/>
      <c r="C322" s="1971"/>
      <c r="D322" s="1971"/>
      <c r="E322" s="1971"/>
      <c r="F322" s="1971"/>
      <c r="G322" s="1972"/>
      <c r="H322" s="861">
        <f>SUM(H298:H321)</f>
        <v>302000</v>
      </c>
      <c r="I322" s="861">
        <f t="shared" ref="I322:Q322" si="71">SUM(I298:I321)</f>
        <v>289700</v>
      </c>
      <c r="J322" s="861">
        <f t="shared" si="71"/>
        <v>70976.5</v>
      </c>
      <c r="K322" s="861">
        <f t="shared" si="71"/>
        <v>43455</v>
      </c>
      <c r="L322" s="861">
        <f t="shared" si="71"/>
        <v>27521.5</v>
      </c>
      <c r="M322" s="861">
        <f t="shared" si="71"/>
        <v>0</v>
      </c>
      <c r="N322" s="861">
        <f t="shared" si="71"/>
        <v>9849.7999999999993</v>
      </c>
      <c r="O322" s="861">
        <f t="shared" si="71"/>
        <v>302000</v>
      </c>
      <c r="P322" s="891">
        <f t="shared" si="71"/>
        <v>24200</v>
      </c>
      <c r="Q322" s="954">
        <f t="shared" si="71"/>
        <v>0</v>
      </c>
      <c r="AH322"/>
      <c r="AI322"/>
      <c r="AJ322"/>
      <c r="AK322"/>
      <c r="AL322"/>
      <c r="AM322"/>
      <c r="AN322"/>
      <c r="AO322"/>
      <c r="AP322"/>
      <c r="AQ322"/>
      <c r="AR322"/>
    </row>
    <row r="323" spans="1:44" ht="12" customHeight="1" thickBot="1">
      <c r="A323" s="1973" t="s">
        <v>690</v>
      </c>
      <c r="B323" s="1974"/>
      <c r="C323" s="1974"/>
      <c r="D323" s="1974"/>
      <c r="E323" s="1974"/>
      <c r="F323" s="1974"/>
      <c r="G323" s="1975"/>
      <c r="H323" s="862"/>
      <c r="I323" s="863"/>
      <c r="J323" s="863"/>
      <c r="K323" s="863"/>
      <c r="L323" s="863"/>
      <c r="M323" s="863"/>
      <c r="N323" s="863"/>
      <c r="O323" s="863"/>
      <c r="P323" s="864"/>
      <c r="AH323"/>
      <c r="AI323"/>
      <c r="AJ323"/>
      <c r="AK323"/>
      <c r="AL323"/>
      <c r="AM323"/>
      <c r="AN323"/>
      <c r="AO323"/>
      <c r="AP323"/>
      <c r="AQ323"/>
      <c r="AR323"/>
    </row>
    <row r="324" spans="1:44" ht="12" customHeight="1" thickBot="1">
      <c r="A324" s="1976" t="s">
        <v>693</v>
      </c>
      <c r="B324" s="1977"/>
      <c r="C324" s="1977"/>
      <c r="D324" s="1977"/>
      <c r="E324" s="1977"/>
      <c r="F324" s="1977"/>
      <c r="G324" s="1978"/>
      <c r="H324" s="861">
        <f>SUM(H322:H323)</f>
        <v>302000</v>
      </c>
      <c r="I324" s="861">
        <f t="shared" ref="I324:P324" si="72">SUM(I322:I323)</f>
        <v>289700</v>
      </c>
      <c r="J324" s="861">
        <f t="shared" si="72"/>
        <v>70976.5</v>
      </c>
      <c r="K324" s="861">
        <f t="shared" si="72"/>
        <v>43455</v>
      </c>
      <c r="L324" s="861">
        <f t="shared" si="72"/>
        <v>27521.5</v>
      </c>
      <c r="M324" s="861">
        <f t="shared" si="72"/>
        <v>0</v>
      </c>
      <c r="N324" s="861">
        <f t="shared" si="72"/>
        <v>9849.7999999999993</v>
      </c>
      <c r="O324" s="861">
        <f t="shared" si="72"/>
        <v>302000</v>
      </c>
      <c r="P324" s="891">
        <f t="shared" si="72"/>
        <v>24200</v>
      </c>
      <c r="AH324"/>
      <c r="AI324"/>
      <c r="AJ324"/>
      <c r="AK324"/>
      <c r="AL324"/>
      <c r="AM324"/>
      <c r="AN324"/>
      <c r="AO324"/>
      <c r="AP324"/>
      <c r="AQ324"/>
      <c r="AR324"/>
    </row>
    <row r="325" spans="1:44" ht="12" customHeight="1" thickBot="1">
      <c r="A325" s="865"/>
      <c r="B325" s="866"/>
      <c r="C325" s="866"/>
      <c r="D325" s="866"/>
      <c r="E325" s="866"/>
      <c r="F325" s="866"/>
      <c r="G325" s="866"/>
      <c r="H325" s="867"/>
      <c r="I325" s="867"/>
      <c r="J325" s="867"/>
      <c r="K325" s="867"/>
      <c r="L325" s="867"/>
      <c r="M325" s="867"/>
      <c r="N325" s="867"/>
      <c r="O325" s="867"/>
      <c r="P325" s="868"/>
      <c r="AH325"/>
      <c r="AI325"/>
      <c r="AJ325"/>
      <c r="AK325"/>
      <c r="AL325"/>
      <c r="AM325"/>
      <c r="AN325"/>
      <c r="AO325"/>
      <c r="AP325"/>
      <c r="AQ325"/>
      <c r="AR325"/>
    </row>
    <row r="326" spans="1:44" ht="12" customHeight="1">
      <c r="A326" s="869"/>
      <c r="B326" s="870" t="s">
        <v>698</v>
      </c>
      <c r="C326" s="871"/>
      <c r="D326" s="871"/>
      <c r="E326" s="871"/>
      <c r="F326" s="871"/>
      <c r="G326" s="871"/>
      <c r="H326" s="872" t="s">
        <v>699</v>
      </c>
      <c r="I326" s="871"/>
      <c r="J326" s="871"/>
      <c r="K326" s="871"/>
      <c r="L326" s="871"/>
      <c r="M326" s="871"/>
      <c r="N326" s="871"/>
      <c r="O326" s="871"/>
      <c r="P326" s="873"/>
      <c r="AH326"/>
      <c r="AI326"/>
      <c r="AJ326"/>
      <c r="AK326"/>
      <c r="AL326"/>
      <c r="AM326"/>
      <c r="AN326"/>
      <c r="AO326"/>
      <c r="AP326"/>
      <c r="AQ326"/>
      <c r="AR326"/>
    </row>
    <row r="327" spans="1:44" ht="12" customHeight="1">
      <c r="A327" s="874" t="s">
        <v>1157</v>
      </c>
      <c r="B327" s="875"/>
      <c r="C327" s="875"/>
      <c r="D327" s="875"/>
      <c r="E327" s="875"/>
      <c r="F327" s="875"/>
      <c r="G327" s="875"/>
      <c r="H327" s="876" t="s">
        <v>700</v>
      </c>
      <c r="I327" s="875"/>
      <c r="J327" s="875"/>
      <c r="K327" s="875"/>
      <c r="L327" s="875"/>
      <c r="M327" s="875"/>
      <c r="N327" s="875"/>
      <c r="O327" s="875"/>
      <c r="P327" s="877"/>
      <c r="AH327"/>
      <c r="AI327"/>
      <c r="AJ327"/>
      <c r="AK327"/>
      <c r="AL327"/>
      <c r="AM327"/>
      <c r="AN327"/>
      <c r="AO327"/>
      <c r="AP327"/>
      <c r="AQ327"/>
      <c r="AR327"/>
    </row>
    <row r="328" spans="1:44" ht="12" customHeight="1">
      <c r="A328" s="874" t="s">
        <v>1158</v>
      </c>
      <c r="B328" s="875"/>
      <c r="C328" s="875"/>
      <c r="D328" s="875"/>
      <c r="E328" s="875"/>
      <c r="F328" s="875"/>
      <c r="G328" s="875"/>
      <c r="H328" s="45" t="s">
        <v>701</v>
      </c>
      <c r="I328" s="875"/>
      <c r="J328" s="875"/>
      <c r="K328" s="875"/>
      <c r="L328" s="875"/>
      <c r="M328" s="875"/>
      <c r="N328" s="875"/>
      <c r="O328" s="875"/>
      <c r="P328" s="877"/>
      <c r="AH328"/>
      <c r="AI328"/>
      <c r="AJ328"/>
      <c r="AK328"/>
      <c r="AL328"/>
      <c r="AM328"/>
      <c r="AN328"/>
      <c r="AO328"/>
      <c r="AP328"/>
      <c r="AQ328"/>
      <c r="AR328"/>
    </row>
    <row r="329" spans="1:44" ht="12" customHeight="1">
      <c r="A329" s="874" t="s">
        <v>702</v>
      </c>
      <c r="B329" s="875"/>
      <c r="C329" s="1"/>
      <c r="D329" s="875"/>
      <c r="E329" s="875"/>
      <c r="F329" s="875"/>
      <c r="G329" s="875"/>
      <c r="H329" s="876" t="s">
        <v>703</v>
      </c>
      <c r="I329" s="875"/>
      <c r="J329" s="875"/>
      <c r="K329" s="875"/>
      <c r="L329" s="875"/>
      <c r="M329" s="875"/>
      <c r="N329" s="875"/>
      <c r="O329" s="875"/>
      <c r="P329" s="877"/>
      <c r="AH329"/>
      <c r="AI329"/>
      <c r="AJ329"/>
      <c r="AK329"/>
      <c r="AL329"/>
      <c r="AM329"/>
      <c r="AN329"/>
      <c r="AO329"/>
      <c r="AP329"/>
      <c r="AQ329"/>
      <c r="AR329"/>
    </row>
    <row r="330" spans="1:44" ht="12" customHeight="1">
      <c r="A330" s="874"/>
      <c r="B330" s="875"/>
      <c r="C330" s="875"/>
      <c r="D330" s="875"/>
      <c r="E330" s="875"/>
      <c r="F330" s="875"/>
      <c r="G330" s="875"/>
      <c r="H330" s="876" t="s">
        <v>704</v>
      </c>
      <c r="I330" s="875"/>
      <c r="J330" s="875"/>
      <c r="K330" s="875"/>
      <c r="L330" s="875"/>
      <c r="M330" s="875"/>
      <c r="N330" s="875"/>
      <c r="O330" s="875"/>
      <c r="P330" s="877"/>
      <c r="AH330"/>
      <c r="AI330"/>
      <c r="AJ330"/>
      <c r="AK330"/>
      <c r="AL330"/>
      <c r="AM330"/>
      <c r="AN330"/>
      <c r="AO330"/>
      <c r="AP330"/>
      <c r="AQ330"/>
      <c r="AR330"/>
    </row>
    <row r="331" spans="1:44" ht="12" customHeight="1">
      <c r="A331" s="874"/>
      <c r="B331" s="878" t="s">
        <v>705</v>
      </c>
      <c r="C331" s="875"/>
      <c r="D331" s="875"/>
      <c r="E331" s="875"/>
      <c r="F331" s="875"/>
      <c r="G331" s="875"/>
      <c r="H331" s="45" t="s">
        <v>706</v>
      </c>
      <c r="I331" s="875"/>
      <c r="J331" s="875"/>
      <c r="K331" s="875"/>
      <c r="L331" s="875"/>
      <c r="M331" s="875"/>
      <c r="N331" s="875"/>
      <c r="O331" s="875"/>
      <c r="P331" s="877"/>
      <c r="AH331"/>
      <c r="AI331"/>
      <c r="AJ331"/>
      <c r="AK331"/>
      <c r="AL331"/>
      <c r="AM331"/>
      <c r="AN331"/>
      <c r="AO331"/>
      <c r="AP331"/>
      <c r="AQ331"/>
      <c r="AR331"/>
    </row>
    <row r="332" spans="1:44" ht="12" customHeight="1">
      <c r="A332" s="874"/>
      <c r="B332" s="875" t="s">
        <v>1159</v>
      </c>
      <c r="C332" s="875"/>
      <c r="D332" s="875"/>
      <c r="E332" s="875"/>
      <c r="F332" s="875"/>
      <c r="G332" s="875"/>
      <c r="H332" s="45"/>
      <c r="I332" s="875"/>
      <c r="J332" s="875"/>
      <c r="K332" s="879" t="s">
        <v>707</v>
      </c>
      <c r="L332" s="875"/>
      <c r="M332" s="875"/>
      <c r="N332" s="875"/>
      <c r="O332" s="875"/>
      <c r="P332" s="877"/>
      <c r="AH332"/>
      <c r="AI332"/>
      <c r="AJ332"/>
      <c r="AK332"/>
      <c r="AL332"/>
      <c r="AM332"/>
      <c r="AN332"/>
      <c r="AO332"/>
      <c r="AP332"/>
      <c r="AQ332"/>
      <c r="AR332"/>
    </row>
    <row r="333" spans="1:44" ht="12" customHeight="1">
      <c r="A333" s="874"/>
      <c r="B333" s="875"/>
      <c r="C333" s="875"/>
      <c r="D333" s="875" t="s">
        <v>708</v>
      </c>
      <c r="E333" s="875"/>
      <c r="F333" s="875"/>
      <c r="G333" s="875"/>
      <c r="H333" s="876" t="s">
        <v>709</v>
      </c>
      <c r="I333" s="875"/>
      <c r="J333" s="875"/>
      <c r="K333" s="875"/>
      <c r="L333" s="875"/>
      <c r="M333" s="875"/>
      <c r="N333" s="875"/>
      <c r="O333" s="875"/>
      <c r="P333" s="877"/>
      <c r="AH333"/>
      <c r="AI333"/>
      <c r="AJ333"/>
      <c r="AK333"/>
      <c r="AL333"/>
      <c r="AM333"/>
      <c r="AN333"/>
      <c r="AO333"/>
      <c r="AP333"/>
      <c r="AQ333"/>
      <c r="AR333"/>
    </row>
    <row r="334" spans="1:44" ht="12" customHeight="1">
      <c r="A334" s="874"/>
      <c r="B334" s="875"/>
      <c r="C334" s="875"/>
      <c r="D334" s="875"/>
      <c r="E334" s="875"/>
      <c r="F334" s="875"/>
      <c r="G334" s="875"/>
      <c r="H334" s="876"/>
      <c r="I334" s="875" t="s">
        <v>710</v>
      </c>
      <c r="J334" s="875"/>
      <c r="K334" s="875"/>
      <c r="L334" s="875"/>
      <c r="M334" s="875"/>
      <c r="N334" s="875"/>
      <c r="O334" s="875"/>
      <c r="P334" s="877"/>
      <c r="AH334"/>
      <c r="AI334"/>
      <c r="AJ334"/>
      <c r="AK334"/>
      <c r="AL334"/>
      <c r="AM334"/>
      <c r="AN334"/>
      <c r="AO334"/>
      <c r="AP334"/>
      <c r="AQ334"/>
      <c r="AR334"/>
    </row>
    <row r="335" spans="1:44" ht="12" customHeight="1" thickBot="1">
      <c r="A335" s="880"/>
      <c r="B335" s="881"/>
      <c r="C335" s="881"/>
      <c r="D335" s="881"/>
      <c r="E335" s="881"/>
      <c r="F335" s="881"/>
      <c r="G335" s="881"/>
      <c r="H335" s="882"/>
      <c r="I335" s="883" t="s">
        <v>711</v>
      </c>
      <c r="J335" s="881"/>
      <c r="K335" s="881"/>
      <c r="L335" s="881"/>
      <c r="M335" s="881"/>
      <c r="N335" s="881"/>
      <c r="O335" s="881"/>
      <c r="P335" s="884"/>
      <c r="AH335"/>
      <c r="AI335"/>
      <c r="AJ335"/>
      <c r="AK335"/>
      <c r="AL335"/>
      <c r="AM335"/>
      <c r="AN335"/>
      <c r="AO335"/>
      <c r="AP335"/>
      <c r="AQ335"/>
      <c r="AR335"/>
    </row>
    <row r="336" spans="1:44" ht="12" customHeight="1">
      <c r="AH336"/>
      <c r="AI336"/>
      <c r="AJ336"/>
      <c r="AK336"/>
      <c r="AL336"/>
      <c r="AM336"/>
      <c r="AN336"/>
      <c r="AO336"/>
      <c r="AP336"/>
      <c r="AQ336"/>
      <c r="AR336"/>
    </row>
    <row r="337" spans="1:44" ht="12" customHeight="1">
      <c r="AH337"/>
      <c r="AI337"/>
      <c r="AJ337"/>
      <c r="AK337"/>
      <c r="AL337"/>
      <c r="AM337"/>
      <c r="AN337"/>
      <c r="AO337"/>
      <c r="AP337"/>
      <c r="AQ337"/>
      <c r="AR337"/>
    </row>
    <row r="338" spans="1:44" ht="12" customHeight="1">
      <c r="A338" s="349" t="s">
        <v>664</v>
      </c>
      <c r="B338" s="349"/>
      <c r="C338" s="349"/>
      <c r="D338" s="349"/>
      <c r="E338" s="349"/>
      <c r="F338" s="349"/>
      <c r="G338" s="349"/>
      <c r="H338" s="349"/>
      <c r="I338" s="349"/>
      <c r="J338" s="349"/>
      <c r="K338" s="349"/>
      <c r="L338" s="349"/>
      <c r="M338" s="349"/>
      <c r="N338" s="349"/>
      <c r="O338" s="349"/>
      <c r="P338" s="349"/>
      <c r="AH338"/>
      <c r="AI338"/>
      <c r="AJ338"/>
      <c r="AK338"/>
      <c r="AL338"/>
      <c r="AM338"/>
      <c r="AN338"/>
      <c r="AO338"/>
      <c r="AP338"/>
      <c r="AQ338"/>
      <c r="AR338"/>
    </row>
    <row r="339" spans="1:44" ht="12" customHeight="1">
      <c r="A339" s="349" t="s">
        <v>1099</v>
      </c>
      <c r="B339" s="349"/>
      <c r="C339" s="349"/>
      <c r="D339" s="349" t="s">
        <v>1100</v>
      </c>
      <c r="E339" s="349"/>
      <c r="F339" s="349"/>
      <c r="G339" s="349"/>
      <c r="H339" s="349"/>
      <c r="I339" s="349" t="s">
        <v>1677</v>
      </c>
      <c r="J339" s="349"/>
      <c r="K339" s="349"/>
      <c r="L339" s="349"/>
      <c r="M339" s="349"/>
      <c r="N339" s="349" t="s">
        <v>1102</v>
      </c>
      <c r="O339" s="349"/>
      <c r="P339" s="349"/>
      <c r="AH339"/>
      <c r="AI339"/>
      <c r="AJ339"/>
      <c r="AK339"/>
      <c r="AL339"/>
      <c r="AM339"/>
      <c r="AN339"/>
      <c r="AO339"/>
      <c r="AP339"/>
      <c r="AQ339"/>
      <c r="AR339"/>
    </row>
    <row r="340" spans="1:44" ht="12" customHeight="1" thickBot="1">
      <c r="A340" s="349" t="s">
        <v>665</v>
      </c>
      <c r="B340" s="349"/>
      <c r="C340" s="349"/>
      <c r="D340" s="349"/>
      <c r="E340" s="1979"/>
      <c r="F340" s="1979"/>
      <c r="G340" s="1979"/>
      <c r="H340" s="1979" t="s">
        <v>1104</v>
      </c>
      <c r="I340" s="1979"/>
      <c r="J340" s="1979"/>
      <c r="K340" s="1979"/>
      <c r="L340" s="349"/>
      <c r="M340" s="1979" t="s">
        <v>666</v>
      </c>
      <c r="N340" s="1979"/>
      <c r="O340" s="1979"/>
      <c r="P340" s="1979"/>
      <c r="AH340"/>
      <c r="AI340"/>
      <c r="AJ340"/>
      <c r="AK340"/>
      <c r="AL340"/>
      <c r="AM340"/>
      <c r="AN340"/>
      <c r="AO340"/>
      <c r="AP340"/>
      <c r="AQ340"/>
      <c r="AR340"/>
    </row>
    <row r="341" spans="1:44" ht="12" customHeight="1" thickBot="1">
      <c r="A341" s="1980" t="s">
        <v>187</v>
      </c>
      <c r="B341" s="826" t="s">
        <v>667</v>
      </c>
      <c r="C341" s="1980" t="s">
        <v>1106</v>
      </c>
      <c r="D341" s="1983"/>
      <c r="E341" s="1980" t="s">
        <v>1107</v>
      </c>
      <c r="F341" s="1986" t="s">
        <v>1108</v>
      </c>
      <c r="G341" s="1986" t="s">
        <v>1109</v>
      </c>
      <c r="H341" s="827" t="s">
        <v>1110</v>
      </c>
      <c r="I341" s="828"/>
      <c r="J341" s="827" t="s">
        <v>188</v>
      </c>
      <c r="K341" s="829"/>
      <c r="L341" s="829"/>
      <c r="M341" s="829"/>
      <c r="N341" s="826" t="s">
        <v>189</v>
      </c>
      <c r="O341" s="826" t="s">
        <v>1111</v>
      </c>
      <c r="P341" s="1989" t="s">
        <v>1112</v>
      </c>
      <c r="AH341"/>
      <c r="AI341"/>
      <c r="AJ341"/>
      <c r="AK341"/>
      <c r="AL341"/>
      <c r="AM341"/>
      <c r="AN341"/>
      <c r="AO341"/>
      <c r="AP341"/>
      <c r="AQ341"/>
      <c r="AR341"/>
    </row>
    <row r="342" spans="1:44" ht="12" customHeight="1" thickBot="1">
      <c r="A342" s="1981"/>
      <c r="B342" s="832" t="s">
        <v>668</v>
      </c>
      <c r="C342" s="1981"/>
      <c r="D342" s="1984"/>
      <c r="E342" s="1981"/>
      <c r="F342" s="1987"/>
      <c r="G342" s="1987"/>
      <c r="H342" s="1989" t="s">
        <v>193</v>
      </c>
      <c r="I342" s="1989" t="s">
        <v>1113</v>
      </c>
      <c r="J342" s="1989" t="s">
        <v>1114</v>
      </c>
      <c r="K342" s="1106" t="s">
        <v>194</v>
      </c>
      <c r="L342" s="834"/>
      <c r="M342" s="826" t="s">
        <v>669</v>
      </c>
      <c r="N342" s="832" t="s">
        <v>670</v>
      </c>
      <c r="O342" s="832" t="s">
        <v>195</v>
      </c>
      <c r="P342" s="1990"/>
      <c r="AH342"/>
      <c r="AI342"/>
      <c r="AJ342"/>
      <c r="AK342"/>
      <c r="AL342"/>
      <c r="AM342"/>
      <c r="AN342"/>
      <c r="AO342"/>
      <c r="AP342"/>
      <c r="AQ342"/>
      <c r="AR342"/>
    </row>
    <row r="343" spans="1:44" ht="12" customHeight="1" thickBot="1">
      <c r="A343" s="1982"/>
      <c r="B343" s="835" t="s">
        <v>671</v>
      </c>
      <c r="C343" s="1982"/>
      <c r="D343" s="1985"/>
      <c r="E343" s="1982"/>
      <c r="F343" s="1988"/>
      <c r="G343" s="1988"/>
      <c r="H343" s="1991"/>
      <c r="I343" s="1991"/>
      <c r="J343" s="1991"/>
      <c r="K343" s="836" t="s">
        <v>672</v>
      </c>
      <c r="L343" s="836" t="s">
        <v>673</v>
      </c>
      <c r="M343" s="835" t="s">
        <v>674</v>
      </c>
      <c r="N343" s="835" t="s">
        <v>675</v>
      </c>
      <c r="O343" s="835" t="s">
        <v>676</v>
      </c>
      <c r="P343" s="1991"/>
      <c r="AH343"/>
      <c r="AI343"/>
      <c r="AJ343"/>
      <c r="AK343"/>
      <c r="AL343"/>
      <c r="AM343"/>
      <c r="AN343"/>
      <c r="AO343"/>
      <c r="AP343"/>
      <c r="AQ343"/>
      <c r="AR343"/>
    </row>
    <row r="344" spans="1:44" ht="12" customHeight="1">
      <c r="A344" s="837">
        <v>1</v>
      </c>
      <c r="B344" s="949" t="s">
        <v>1122</v>
      </c>
      <c r="C344" s="839" t="s">
        <v>1123</v>
      </c>
      <c r="D344" s="840"/>
      <c r="E344" s="306" t="s">
        <v>1124</v>
      </c>
      <c r="F344" s="841">
        <v>1</v>
      </c>
      <c r="G344" s="841">
        <v>22</v>
      </c>
      <c r="H344" s="307">
        <v>100000</v>
      </c>
      <c r="I344" s="307">
        <v>87700</v>
      </c>
      <c r="J344" s="307">
        <f>K344+L344</f>
        <v>21486.5</v>
      </c>
      <c r="K344" s="307">
        <f>I344*0.15</f>
        <v>13155</v>
      </c>
      <c r="L344" s="307">
        <f>I344*0.095</f>
        <v>8331.5</v>
      </c>
      <c r="M344" s="307">
        <v>0</v>
      </c>
      <c r="N344" s="307">
        <f>I344*0.034</f>
        <v>2981.8</v>
      </c>
      <c r="O344" s="307">
        <f>H344</f>
        <v>100000</v>
      </c>
      <c r="P344" s="842">
        <f>H344*0.1</f>
        <v>10000</v>
      </c>
      <c r="AH344"/>
      <c r="AI344"/>
      <c r="AJ344"/>
      <c r="AK344"/>
      <c r="AL344"/>
      <c r="AM344"/>
      <c r="AN344"/>
      <c r="AO344"/>
      <c r="AP344"/>
      <c r="AQ344"/>
      <c r="AR344"/>
    </row>
    <row r="345" spans="1:44" ht="12" customHeight="1">
      <c r="A345" s="843">
        <v>2</v>
      </c>
      <c r="B345" s="950" t="s">
        <v>1125</v>
      </c>
      <c r="C345" s="845" t="s">
        <v>1126</v>
      </c>
      <c r="D345" s="846"/>
      <c r="E345" s="305" t="s">
        <v>678</v>
      </c>
      <c r="F345" s="305">
        <v>1</v>
      </c>
      <c r="G345" s="305">
        <v>22</v>
      </c>
      <c r="H345" s="305">
        <v>40000</v>
      </c>
      <c r="I345" s="305">
        <f t="shared" ref="I345:I350" si="73">H345</f>
        <v>40000</v>
      </c>
      <c r="J345" s="307">
        <f t="shared" ref="J345:J351" si="74">K345+L345</f>
        <v>9800</v>
      </c>
      <c r="K345" s="307">
        <f t="shared" ref="K345:K351" si="75">I345*0.15</f>
        <v>6000</v>
      </c>
      <c r="L345" s="307">
        <f t="shared" ref="L345:L351" si="76">I345*0.095</f>
        <v>3800</v>
      </c>
      <c r="M345" s="307">
        <v>0</v>
      </c>
      <c r="N345" s="307">
        <f t="shared" ref="N345:N351" si="77">I345*0.034</f>
        <v>1360</v>
      </c>
      <c r="O345" s="307">
        <f t="shared" ref="O345:O350" si="78">H345</f>
        <v>40000</v>
      </c>
      <c r="P345" s="842">
        <v>4000</v>
      </c>
      <c r="AH345"/>
      <c r="AI345"/>
      <c r="AJ345"/>
      <c r="AK345"/>
      <c r="AL345"/>
      <c r="AM345"/>
      <c r="AN345"/>
      <c r="AO345"/>
      <c r="AP345"/>
      <c r="AQ345"/>
      <c r="AR345"/>
    </row>
    <row r="346" spans="1:44" ht="12" customHeight="1">
      <c r="A346" s="843">
        <v>3</v>
      </c>
      <c r="B346" s="950" t="s">
        <v>1127</v>
      </c>
      <c r="C346" s="845" t="s">
        <v>1128</v>
      </c>
      <c r="D346" s="846"/>
      <c r="E346" s="847" t="s">
        <v>679</v>
      </c>
      <c r="F346" s="305">
        <v>1</v>
      </c>
      <c r="G346" s="305">
        <v>22</v>
      </c>
      <c r="H346" s="305">
        <v>20100</v>
      </c>
      <c r="I346" s="305">
        <f t="shared" si="73"/>
        <v>20100</v>
      </c>
      <c r="J346" s="307">
        <f t="shared" si="74"/>
        <v>4924.5</v>
      </c>
      <c r="K346" s="307">
        <f t="shared" si="75"/>
        <v>3015</v>
      </c>
      <c r="L346" s="307">
        <f t="shared" si="76"/>
        <v>1909.5</v>
      </c>
      <c r="M346" s="307">
        <v>0</v>
      </c>
      <c r="N346" s="307">
        <f t="shared" si="77"/>
        <v>683.40000000000009</v>
      </c>
      <c r="O346" s="307">
        <f t="shared" si="78"/>
        <v>20100</v>
      </c>
      <c r="P346" s="842">
        <v>1010</v>
      </c>
      <c r="AH346"/>
      <c r="AI346"/>
      <c r="AJ346"/>
      <c r="AK346"/>
      <c r="AL346"/>
      <c r="AM346"/>
      <c r="AN346"/>
      <c r="AO346"/>
      <c r="AP346"/>
      <c r="AQ346"/>
      <c r="AR346"/>
    </row>
    <row r="347" spans="1:44" ht="12" customHeight="1">
      <c r="A347" s="843">
        <v>4</v>
      </c>
      <c r="B347" s="950" t="s">
        <v>1132</v>
      </c>
      <c r="C347" s="845" t="s">
        <v>1133</v>
      </c>
      <c r="D347" s="846"/>
      <c r="E347" s="847" t="s">
        <v>1134</v>
      </c>
      <c r="F347" s="305">
        <v>1</v>
      </c>
      <c r="G347" s="305">
        <v>22</v>
      </c>
      <c r="H347" s="305">
        <v>27000</v>
      </c>
      <c r="I347" s="305">
        <f t="shared" si="73"/>
        <v>27000</v>
      </c>
      <c r="J347" s="307">
        <f t="shared" si="74"/>
        <v>6615</v>
      </c>
      <c r="K347" s="307">
        <f t="shared" si="75"/>
        <v>4050</v>
      </c>
      <c r="L347" s="307">
        <f t="shared" si="76"/>
        <v>2565</v>
      </c>
      <c r="M347" s="307">
        <v>0</v>
      </c>
      <c r="N347" s="307">
        <f t="shared" si="77"/>
        <v>918.00000000000011</v>
      </c>
      <c r="O347" s="307">
        <f t="shared" si="78"/>
        <v>27000</v>
      </c>
      <c r="P347" s="842">
        <v>1700</v>
      </c>
      <c r="AH347"/>
      <c r="AI347"/>
      <c r="AJ347"/>
      <c r="AK347"/>
      <c r="AL347"/>
      <c r="AM347"/>
      <c r="AN347"/>
      <c r="AO347"/>
      <c r="AP347"/>
      <c r="AQ347"/>
      <c r="AR347"/>
    </row>
    <row r="348" spans="1:44" ht="12" customHeight="1">
      <c r="A348" s="843">
        <v>5</v>
      </c>
      <c r="B348" s="950"/>
      <c r="C348" s="845" t="s">
        <v>1137</v>
      </c>
      <c r="D348" s="846"/>
      <c r="E348" s="847" t="s">
        <v>679</v>
      </c>
      <c r="F348" s="305">
        <v>1</v>
      </c>
      <c r="G348" s="305">
        <v>22</v>
      </c>
      <c r="H348" s="305">
        <v>20100</v>
      </c>
      <c r="I348" s="305">
        <f t="shared" si="73"/>
        <v>20100</v>
      </c>
      <c r="J348" s="307">
        <f t="shared" si="74"/>
        <v>4924.5</v>
      </c>
      <c r="K348" s="307">
        <f t="shared" si="75"/>
        <v>3015</v>
      </c>
      <c r="L348" s="307">
        <f t="shared" si="76"/>
        <v>1909.5</v>
      </c>
      <c r="M348" s="307">
        <v>0</v>
      </c>
      <c r="N348" s="307">
        <f t="shared" si="77"/>
        <v>683.40000000000009</v>
      </c>
      <c r="O348" s="307">
        <f t="shared" si="78"/>
        <v>20100</v>
      </c>
      <c r="P348" s="842">
        <v>1010</v>
      </c>
      <c r="AH348"/>
      <c r="AI348"/>
      <c r="AJ348"/>
      <c r="AK348"/>
      <c r="AL348"/>
      <c r="AM348"/>
      <c r="AN348"/>
      <c r="AO348"/>
      <c r="AP348"/>
      <c r="AQ348"/>
      <c r="AR348"/>
    </row>
    <row r="349" spans="1:44" ht="12" customHeight="1">
      <c r="A349" s="843">
        <v>6</v>
      </c>
      <c r="B349" s="950"/>
      <c r="C349" s="845" t="s">
        <v>1139</v>
      </c>
      <c r="D349" s="846"/>
      <c r="E349" s="305" t="s">
        <v>679</v>
      </c>
      <c r="F349" s="305">
        <v>1</v>
      </c>
      <c r="G349" s="305">
        <v>22</v>
      </c>
      <c r="H349" s="305">
        <v>20100</v>
      </c>
      <c r="I349" s="305">
        <f t="shared" si="73"/>
        <v>20100</v>
      </c>
      <c r="J349" s="307">
        <f t="shared" si="74"/>
        <v>4924.5</v>
      </c>
      <c r="K349" s="307">
        <f t="shared" si="75"/>
        <v>3015</v>
      </c>
      <c r="L349" s="307">
        <f t="shared" si="76"/>
        <v>1909.5</v>
      </c>
      <c r="M349" s="307">
        <v>0</v>
      </c>
      <c r="N349" s="307">
        <f t="shared" si="77"/>
        <v>683.40000000000009</v>
      </c>
      <c r="O349" s="307">
        <f t="shared" si="78"/>
        <v>20100</v>
      </c>
      <c r="P349" s="742">
        <v>1010</v>
      </c>
      <c r="AH349"/>
      <c r="AI349"/>
      <c r="AJ349"/>
      <c r="AK349"/>
      <c r="AL349"/>
      <c r="AM349"/>
      <c r="AN349"/>
      <c r="AO349"/>
      <c r="AP349"/>
      <c r="AQ349"/>
      <c r="AR349"/>
    </row>
    <row r="350" spans="1:44" ht="12" customHeight="1">
      <c r="A350" s="843">
        <v>7</v>
      </c>
      <c r="B350" s="950"/>
      <c r="C350" s="845" t="s">
        <v>1141</v>
      </c>
      <c r="D350" s="846"/>
      <c r="E350" s="847" t="s">
        <v>1142</v>
      </c>
      <c r="F350" s="305">
        <v>1</v>
      </c>
      <c r="G350" s="305">
        <v>22</v>
      </c>
      <c r="H350" s="305">
        <v>35000</v>
      </c>
      <c r="I350" s="305">
        <f t="shared" si="73"/>
        <v>35000</v>
      </c>
      <c r="J350" s="307">
        <f t="shared" si="74"/>
        <v>8575</v>
      </c>
      <c r="K350" s="307">
        <f t="shared" si="75"/>
        <v>5250</v>
      </c>
      <c r="L350" s="307">
        <f t="shared" si="76"/>
        <v>3325</v>
      </c>
      <c r="M350" s="307">
        <v>0</v>
      </c>
      <c r="N350" s="307">
        <f t="shared" si="77"/>
        <v>1190</v>
      </c>
      <c r="O350" s="307">
        <f t="shared" si="78"/>
        <v>35000</v>
      </c>
      <c r="P350" s="742">
        <v>3500</v>
      </c>
      <c r="AH350"/>
      <c r="AI350"/>
      <c r="AJ350"/>
      <c r="AK350"/>
      <c r="AL350"/>
      <c r="AM350"/>
      <c r="AN350"/>
      <c r="AO350"/>
      <c r="AP350"/>
      <c r="AQ350"/>
      <c r="AR350"/>
    </row>
    <row r="351" spans="1:44" ht="12" customHeight="1">
      <c r="A351" s="843">
        <v>8</v>
      </c>
      <c r="B351" s="950" t="s">
        <v>1144</v>
      </c>
      <c r="C351" s="845" t="s">
        <v>1145</v>
      </c>
      <c r="D351" s="846"/>
      <c r="E351" s="847" t="s">
        <v>679</v>
      </c>
      <c r="F351" s="305">
        <v>1</v>
      </c>
      <c r="G351" s="305">
        <v>22</v>
      </c>
      <c r="H351" s="305">
        <v>20100</v>
      </c>
      <c r="I351" s="305">
        <f>H351</f>
        <v>20100</v>
      </c>
      <c r="J351" s="307">
        <f t="shared" si="74"/>
        <v>4924.5</v>
      </c>
      <c r="K351" s="307">
        <f t="shared" si="75"/>
        <v>3015</v>
      </c>
      <c r="L351" s="307">
        <f t="shared" si="76"/>
        <v>1909.5</v>
      </c>
      <c r="M351" s="307">
        <v>0</v>
      </c>
      <c r="N351" s="307">
        <f t="shared" si="77"/>
        <v>683.40000000000009</v>
      </c>
      <c r="O351" s="307">
        <f>H351</f>
        <v>20100</v>
      </c>
      <c r="P351" s="842">
        <v>1010</v>
      </c>
      <c r="AH351"/>
      <c r="AI351"/>
      <c r="AJ351"/>
      <c r="AK351"/>
      <c r="AL351"/>
      <c r="AM351"/>
      <c r="AN351"/>
      <c r="AO351"/>
      <c r="AP351"/>
      <c r="AQ351"/>
      <c r="AR351"/>
    </row>
    <row r="352" spans="1:44" ht="12" customHeight="1">
      <c r="A352" s="843">
        <v>9</v>
      </c>
      <c r="B352" s="950"/>
      <c r="C352" s="849" t="s">
        <v>1135</v>
      </c>
      <c r="D352" s="849"/>
      <c r="E352" s="847" t="s">
        <v>679</v>
      </c>
      <c r="F352" s="305">
        <v>1</v>
      </c>
      <c r="G352" s="305">
        <v>22</v>
      </c>
      <c r="H352" s="305">
        <v>20100</v>
      </c>
      <c r="I352" s="305">
        <f>H352</f>
        <v>20100</v>
      </c>
      <c r="J352" s="307">
        <f>K352+L352</f>
        <v>4924.5</v>
      </c>
      <c r="K352" s="307">
        <f>I352*0.15</f>
        <v>3015</v>
      </c>
      <c r="L352" s="307">
        <f>I352*0.095</f>
        <v>1909.5</v>
      </c>
      <c r="M352" s="307">
        <v>0</v>
      </c>
      <c r="N352" s="307">
        <f>I352*0.034</f>
        <v>683.40000000000009</v>
      </c>
      <c r="O352" s="307">
        <f>H352</f>
        <v>20100</v>
      </c>
      <c r="P352" s="842">
        <v>1010</v>
      </c>
      <c r="AH352"/>
      <c r="AI352"/>
      <c r="AJ352"/>
      <c r="AK352"/>
      <c r="AL352"/>
      <c r="AM352"/>
      <c r="AN352"/>
      <c r="AO352"/>
      <c r="AP352"/>
      <c r="AQ352"/>
      <c r="AR352"/>
    </row>
    <row r="353" spans="1:44" ht="12" customHeight="1">
      <c r="A353" s="843">
        <v>10</v>
      </c>
      <c r="B353" s="73"/>
      <c r="C353" s="1966"/>
      <c r="D353" s="1967"/>
      <c r="E353" s="847"/>
      <c r="F353" s="305"/>
      <c r="G353" s="305"/>
      <c r="H353" s="305"/>
      <c r="I353" s="305"/>
      <c r="J353" s="307"/>
      <c r="K353" s="307"/>
      <c r="L353" s="307"/>
      <c r="M353" s="307"/>
      <c r="N353" s="307"/>
      <c r="O353" s="307"/>
      <c r="P353" s="842"/>
      <c r="AH353"/>
      <c r="AI353"/>
      <c r="AJ353"/>
      <c r="AK353"/>
      <c r="AL353"/>
      <c r="AM353"/>
      <c r="AN353"/>
      <c r="AO353"/>
      <c r="AP353"/>
      <c r="AQ353"/>
      <c r="AR353"/>
    </row>
    <row r="354" spans="1:44" ht="12" customHeight="1">
      <c r="A354" s="843">
        <v>11</v>
      </c>
      <c r="B354" s="73"/>
      <c r="C354" s="1966"/>
      <c r="D354" s="1967"/>
      <c r="E354" s="847"/>
      <c r="F354" s="305"/>
      <c r="G354" s="305"/>
      <c r="H354" s="305"/>
      <c r="I354" s="305"/>
      <c r="J354" s="307"/>
      <c r="K354" s="307"/>
      <c r="L354" s="307"/>
      <c r="M354" s="307"/>
      <c r="N354" s="307"/>
      <c r="O354" s="307"/>
      <c r="P354" s="842"/>
      <c r="AH354"/>
      <c r="AI354"/>
      <c r="AJ354"/>
      <c r="AK354"/>
      <c r="AL354"/>
      <c r="AM354"/>
      <c r="AN354"/>
      <c r="AO354"/>
      <c r="AP354"/>
      <c r="AQ354"/>
      <c r="AR354"/>
    </row>
    <row r="355" spans="1:44" ht="12" customHeight="1">
      <c r="A355" s="843">
        <v>12</v>
      </c>
      <c r="B355" s="73"/>
      <c r="C355" s="1966"/>
      <c r="D355" s="1967"/>
      <c r="E355" s="847"/>
      <c r="F355" s="305"/>
      <c r="G355" s="305"/>
      <c r="H355" s="305"/>
      <c r="I355" s="305"/>
      <c r="J355" s="307"/>
      <c r="K355" s="307"/>
      <c r="L355" s="307"/>
      <c r="M355" s="307"/>
      <c r="N355" s="307"/>
      <c r="O355" s="307"/>
      <c r="P355" s="842"/>
      <c r="AH355"/>
      <c r="AI355"/>
      <c r="AJ355"/>
      <c r="AK355"/>
      <c r="AL355"/>
      <c r="AM355"/>
      <c r="AN355"/>
      <c r="AO355"/>
      <c r="AP355"/>
      <c r="AQ355"/>
      <c r="AR355"/>
    </row>
    <row r="356" spans="1:44" ht="12" customHeight="1">
      <c r="A356" s="837">
        <v>13</v>
      </c>
      <c r="B356" s="73"/>
      <c r="C356" s="1966"/>
      <c r="D356" s="1967"/>
      <c r="E356" s="847"/>
      <c r="F356" s="305"/>
      <c r="G356" s="305"/>
      <c r="H356" s="305"/>
      <c r="I356" s="305"/>
      <c r="J356" s="307"/>
      <c r="K356" s="307"/>
      <c r="L356" s="307"/>
      <c r="M356" s="307"/>
      <c r="N356" s="307"/>
      <c r="O356" s="307"/>
      <c r="P356" s="842"/>
      <c r="AH356"/>
      <c r="AI356"/>
      <c r="AJ356"/>
      <c r="AK356"/>
      <c r="AL356"/>
      <c r="AM356"/>
      <c r="AN356"/>
      <c r="AO356"/>
      <c r="AP356"/>
      <c r="AQ356"/>
      <c r="AR356"/>
    </row>
    <row r="357" spans="1:44" ht="12" customHeight="1">
      <c r="A357" s="843">
        <v>14</v>
      </c>
      <c r="B357" s="73"/>
      <c r="C357" s="1966"/>
      <c r="D357" s="1967"/>
      <c r="E357" s="847"/>
      <c r="F357" s="305"/>
      <c r="G357" s="305"/>
      <c r="H357" s="305"/>
      <c r="I357" s="305"/>
      <c r="J357" s="307"/>
      <c r="K357" s="307"/>
      <c r="L357" s="307"/>
      <c r="M357" s="307"/>
      <c r="N357" s="307"/>
      <c r="O357" s="307"/>
      <c r="P357" s="842"/>
      <c r="AH357"/>
      <c r="AI357"/>
      <c r="AJ357"/>
      <c r="AK357"/>
      <c r="AL357"/>
      <c r="AM357"/>
      <c r="AN357"/>
      <c r="AO357"/>
      <c r="AP357"/>
      <c r="AQ357"/>
      <c r="AR357"/>
    </row>
    <row r="358" spans="1:44" ht="12" customHeight="1">
      <c r="A358" s="843">
        <v>15</v>
      </c>
      <c r="B358" s="73"/>
      <c r="C358" s="1966"/>
      <c r="D358" s="1967"/>
      <c r="E358" s="847"/>
      <c r="F358" s="305"/>
      <c r="G358" s="305"/>
      <c r="H358" s="305"/>
      <c r="I358" s="305"/>
      <c r="J358" s="307"/>
      <c r="K358" s="307"/>
      <c r="L358" s="307"/>
      <c r="M358" s="307"/>
      <c r="N358" s="307"/>
      <c r="O358" s="307"/>
      <c r="P358" s="842"/>
      <c r="AH358"/>
      <c r="AI358"/>
      <c r="AJ358"/>
      <c r="AK358"/>
      <c r="AL358"/>
      <c r="AM358"/>
      <c r="AN358"/>
      <c r="AO358"/>
      <c r="AP358"/>
      <c r="AQ358"/>
      <c r="AR358"/>
    </row>
    <row r="359" spans="1:44" ht="12" customHeight="1">
      <c r="A359" s="837">
        <v>16</v>
      </c>
      <c r="B359" s="73"/>
      <c r="C359" s="1966"/>
      <c r="D359" s="1967"/>
      <c r="E359" s="847"/>
      <c r="F359" s="305"/>
      <c r="G359" s="305"/>
      <c r="H359" s="305"/>
      <c r="I359" s="305"/>
      <c r="J359" s="307"/>
      <c r="K359" s="307"/>
      <c r="L359" s="307"/>
      <c r="M359" s="307"/>
      <c r="N359" s="307"/>
      <c r="O359" s="307"/>
      <c r="P359" s="842"/>
      <c r="AH359"/>
      <c r="AI359"/>
      <c r="AJ359"/>
      <c r="AK359"/>
      <c r="AL359"/>
      <c r="AM359"/>
      <c r="AN359"/>
      <c r="AO359"/>
      <c r="AP359"/>
      <c r="AQ359"/>
      <c r="AR359"/>
    </row>
    <row r="360" spans="1:44" ht="12" customHeight="1">
      <c r="A360" s="843">
        <v>17</v>
      </c>
      <c r="B360" s="73"/>
      <c r="C360" s="1966"/>
      <c r="D360" s="1967"/>
      <c r="E360" s="847"/>
      <c r="F360" s="305"/>
      <c r="G360" s="305"/>
      <c r="H360" s="305"/>
      <c r="I360" s="305"/>
      <c r="J360" s="307"/>
      <c r="K360" s="307"/>
      <c r="L360" s="307"/>
      <c r="M360" s="307"/>
      <c r="N360" s="307"/>
      <c r="O360" s="307"/>
      <c r="P360" s="842"/>
      <c r="AH360"/>
      <c r="AI360"/>
      <c r="AJ360"/>
      <c r="AK360"/>
      <c r="AL360"/>
      <c r="AM360"/>
      <c r="AN360"/>
      <c r="AO360"/>
      <c r="AP360"/>
      <c r="AQ360"/>
      <c r="AR360"/>
    </row>
    <row r="361" spans="1:44" ht="12" customHeight="1">
      <c r="A361" s="843">
        <v>18</v>
      </c>
      <c r="B361" s="73"/>
      <c r="C361" s="1966"/>
      <c r="D361" s="1967"/>
      <c r="E361" s="847"/>
      <c r="F361" s="305"/>
      <c r="G361" s="305"/>
      <c r="H361" s="305"/>
      <c r="I361" s="305"/>
      <c r="J361" s="307"/>
      <c r="K361" s="307"/>
      <c r="L361" s="307"/>
      <c r="M361" s="307"/>
      <c r="N361" s="307"/>
      <c r="O361" s="307"/>
      <c r="P361" s="842"/>
      <c r="AH361"/>
      <c r="AI361"/>
      <c r="AJ361"/>
      <c r="AK361"/>
      <c r="AL361"/>
      <c r="AM361"/>
      <c r="AN361"/>
      <c r="AO361"/>
      <c r="AP361"/>
      <c r="AQ361"/>
      <c r="AR361"/>
    </row>
    <row r="362" spans="1:44" ht="12" customHeight="1">
      <c r="A362" s="837">
        <v>19</v>
      </c>
      <c r="B362" s="73"/>
      <c r="C362" s="1966"/>
      <c r="D362" s="1967"/>
      <c r="E362" s="847"/>
      <c r="F362" s="305"/>
      <c r="G362" s="305"/>
      <c r="H362" s="305"/>
      <c r="I362" s="305"/>
      <c r="J362" s="307"/>
      <c r="K362" s="307"/>
      <c r="L362" s="307"/>
      <c r="M362" s="307"/>
      <c r="N362" s="307"/>
      <c r="O362" s="307"/>
      <c r="P362" s="842"/>
      <c r="AH362"/>
      <c r="AI362"/>
      <c r="AJ362"/>
      <c r="AK362"/>
      <c r="AL362"/>
      <c r="AM362"/>
      <c r="AN362"/>
      <c r="AO362"/>
      <c r="AP362"/>
      <c r="AQ362"/>
      <c r="AR362"/>
    </row>
    <row r="363" spans="1:44" ht="12" customHeight="1">
      <c r="A363" s="843">
        <v>20</v>
      </c>
      <c r="B363" s="73"/>
      <c r="C363" s="1966"/>
      <c r="D363" s="1967"/>
      <c r="E363" s="847"/>
      <c r="F363" s="305"/>
      <c r="G363" s="305"/>
      <c r="H363" s="305"/>
      <c r="I363" s="305"/>
      <c r="J363" s="307"/>
      <c r="K363" s="307"/>
      <c r="L363" s="307"/>
      <c r="M363" s="307"/>
      <c r="N363" s="307"/>
      <c r="O363" s="307"/>
      <c r="P363" s="842"/>
      <c r="AH363"/>
      <c r="AI363"/>
      <c r="AJ363"/>
      <c r="AK363"/>
      <c r="AL363"/>
      <c r="AM363"/>
      <c r="AN363"/>
      <c r="AO363"/>
      <c r="AP363"/>
      <c r="AQ363"/>
      <c r="AR363"/>
    </row>
    <row r="364" spans="1:44" ht="12" customHeight="1">
      <c r="A364" s="843">
        <v>21</v>
      </c>
      <c r="B364" s="73"/>
      <c r="C364" s="1966"/>
      <c r="D364" s="1967"/>
      <c r="E364" s="847"/>
      <c r="F364" s="305"/>
      <c r="G364" s="305"/>
      <c r="H364" s="305"/>
      <c r="I364" s="305"/>
      <c r="J364" s="307"/>
      <c r="K364" s="307"/>
      <c r="L364" s="307"/>
      <c r="M364" s="307"/>
      <c r="N364" s="307"/>
      <c r="O364" s="307"/>
      <c r="P364" s="842"/>
      <c r="AH364"/>
      <c r="AI364"/>
      <c r="AJ364"/>
      <c r="AK364"/>
      <c r="AL364"/>
      <c r="AM364"/>
      <c r="AN364"/>
      <c r="AO364"/>
      <c r="AP364"/>
      <c r="AQ364"/>
      <c r="AR364"/>
    </row>
    <row r="365" spans="1:44" ht="12" customHeight="1">
      <c r="A365" s="837">
        <v>22</v>
      </c>
      <c r="B365" s="73"/>
      <c r="C365" s="1966"/>
      <c r="D365" s="1967"/>
      <c r="E365" s="847"/>
      <c r="F365" s="305"/>
      <c r="G365" s="305"/>
      <c r="H365" s="305"/>
      <c r="I365" s="305"/>
      <c r="J365" s="307"/>
      <c r="K365" s="307"/>
      <c r="L365" s="307"/>
      <c r="M365" s="307"/>
      <c r="N365" s="307"/>
      <c r="O365" s="307"/>
      <c r="P365" s="842"/>
      <c r="AH365"/>
      <c r="AI365"/>
      <c r="AJ365"/>
      <c r="AK365"/>
      <c r="AL365"/>
      <c r="AM365"/>
      <c r="AN365"/>
      <c r="AO365"/>
      <c r="AP365"/>
      <c r="AQ365"/>
      <c r="AR365"/>
    </row>
    <row r="366" spans="1:44" ht="12" customHeight="1">
      <c r="A366" s="843">
        <v>23</v>
      </c>
      <c r="B366" s="73"/>
      <c r="C366" s="1966"/>
      <c r="D366" s="1967"/>
      <c r="E366" s="847"/>
      <c r="F366" s="305"/>
      <c r="G366" s="305"/>
      <c r="H366" s="305"/>
      <c r="I366" s="305"/>
      <c r="J366" s="307"/>
      <c r="K366" s="307"/>
      <c r="L366" s="307"/>
      <c r="M366" s="307"/>
      <c r="N366" s="307"/>
      <c r="O366" s="307"/>
      <c r="P366" s="842"/>
      <c r="AH366"/>
      <c r="AI366"/>
      <c r="AJ366"/>
      <c r="AK366"/>
      <c r="AL366"/>
      <c r="AM366"/>
      <c r="AN366"/>
      <c r="AO366"/>
      <c r="AP366"/>
      <c r="AQ366"/>
      <c r="AR366"/>
    </row>
    <row r="367" spans="1:44" ht="12" customHeight="1" thickBot="1">
      <c r="A367" s="843">
        <v>24</v>
      </c>
      <c r="B367" s="73"/>
      <c r="C367" s="1968"/>
      <c r="D367" s="1969"/>
      <c r="E367" s="305"/>
      <c r="F367" s="305"/>
      <c r="G367" s="305"/>
      <c r="H367" s="305"/>
      <c r="I367" s="305"/>
      <c r="J367" s="307"/>
      <c r="K367" s="307"/>
      <c r="L367" s="307"/>
      <c r="M367" s="307"/>
      <c r="N367" s="307"/>
      <c r="O367" s="305"/>
      <c r="P367" s="742"/>
      <c r="AH367"/>
      <c r="AI367"/>
      <c r="AJ367"/>
      <c r="AK367"/>
      <c r="AL367"/>
      <c r="AM367"/>
      <c r="AN367"/>
      <c r="AO367"/>
      <c r="AP367"/>
      <c r="AQ367"/>
      <c r="AR367"/>
    </row>
    <row r="368" spans="1:44" ht="12" customHeight="1" thickBot="1">
      <c r="A368" s="1970" t="s">
        <v>687</v>
      </c>
      <c r="B368" s="1971"/>
      <c r="C368" s="1971"/>
      <c r="D368" s="1971"/>
      <c r="E368" s="1971"/>
      <c r="F368" s="1971"/>
      <c r="G368" s="1972"/>
      <c r="H368" s="861">
        <f>SUM(H344:H367)</f>
        <v>302500</v>
      </c>
      <c r="I368" s="861">
        <f t="shared" ref="I368:Q368" si="79">SUM(I344:I367)</f>
        <v>290200</v>
      </c>
      <c r="J368" s="861">
        <f t="shared" si="79"/>
        <v>71099</v>
      </c>
      <c r="K368" s="861">
        <f t="shared" si="79"/>
        <v>43530</v>
      </c>
      <c r="L368" s="861">
        <f t="shared" si="79"/>
        <v>27569</v>
      </c>
      <c r="M368" s="861">
        <f t="shared" si="79"/>
        <v>0</v>
      </c>
      <c r="N368" s="861">
        <f t="shared" si="79"/>
        <v>9866.7999999999993</v>
      </c>
      <c r="O368" s="861">
        <f t="shared" si="79"/>
        <v>302500</v>
      </c>
      <c r="P368" s="861">
        <f t="shared" si="79"/>
        <v>24250</v>
      </c>
      <c r="Q368" s="861">
        <f t="shared" si="79"/>
        <v>0</v>
      </c>
      <c r="AH368"/>
      <c r="AI368"/>
      <c r="AJ368"/>
      <c r="AK368"/>
      <c r="AL368"/>
      <c r="AM368"/>
      <c r="AN368"/>
      <c r="AO368"/>
      <c r="AP368"/>
      <c r="AQ368"/>
      <c r="AR368"/>
    </row>
    <row r="369" spans="1:44" ht="12" customHeight="1" thickBot="1">
      <c r="A369" s="1973" t="s">
        <v>690</v>
      </c>
      <c r="B369" s="1974"/>
      <c r="C369" s="1974"/>
      <c r="D369" s="1974"/>
      <c r="E369" s="1974"/>
      <c r="F369" s="1974"/>
      <c r="G369" s="1975"/>
      <c r="H369" s="862"/>
      <c r="I369" s="863"/>
      <c r="J369" s="863"/>
      <c r="K369" s="863"/>
      <c r="L369" s="863"/>
      <c r="M369" s="863"/>
      <c r="N369" s="863"/>
      <c r="O369" s="863"/>
      <c r="P369" s="864"/>
      <c r="AH369"/>
      <c r="AI369"/>
      <c r="AJ369"/>
      <c r="AK369"/>
      <c r="AL369"/>
      <c r="AM369"/>
      <c r="AN369"/>
      <c r="AO369"/>
      <c r="AP369"/>
      <c r="AQ369"/>
      <c r="AR369"/>
    </row>
    <row r="370" spans="1:44" ht="12" customHeight="1" thickBot="1">
      <c r="A370" s="1976" t="s">
        <v>693</v>
      </c>
      <c r="B370" s="1977"/>
      <c r="C370" s="1977"/>
      <c r="D370" s="1977"/>
      <c r="E370" s="1977"/>
      <c r="F370" s="1977"/>
      <c r="G370" s="1978"/>
      <c r="H370" s="861">
        <f>SUM(H368:H369)</f>
        <v>302500</v>
      </c>
      <c r="I370" s="861">
        <f t="shared" ref="I370:P370" si="80">SUM(I368:I369)</f>
        <v>290200</v>
      </c>
      <c r="J370" s="861">
        <f t="shared" si="80"/>
        <v>71099</v>
      </c>
      <c r="K370" s="861">
        <f t="shared" si="80"/>
        <v>43530</v>
      </c>
      <c r="L370" s="861">
        <f t="shared" si="80"/>
        <v>27569</v>
      </c>
      <c r="M370" s="861">
        <f t="shared" si="80"/>
        <v>0</v>
      </c>
      <c r="N370" s="861">
        <f t="shared" si="80"/>
        <v>9866.7999999999993</v>
      </c>
      <c r="O370" s="861">
        <f t="shared" si="80"/>
        <v>302500</v>
      </c>
      <c r="P370" s="861">
        <f t="shared" si="80"/>
        <v>24250</v>
      </c>
      <c r="AH370"/>
      <c r="AI370"/>
      <c r="AJ370"/>
      <c r="AK370"/>
      <c r="AL370"/>
      <c r="AM370"/>
      <c r="AN370"/>
      <c r="AO370"/>
      <c r="AP370"/>
      <c r="AQ370"/>
      <c r="AR370"/>
    </row>
    <row r="371" spans="1:44" ht="12" customHeight="1" thickBot="1">
      <c r="A371" s="865"/>
      <c r="B371" s="866"/>
      <c r="C371" s="866"/>
      <c r="D371" s="866"/>
      <c r="E371" s="866"/>
      <c r="F371" s="866"/>
      <c r="G371" s="866"/>
      <c r="H371" s="867"/>
      <c r="I371" s="867"/>
      <c r="J371" s="867"/>
      <c r="K371" s="867"/>
      <c r="L371" s="867"/>
      <c r="M371" s="867"/>
      <c r="N371" s="867"/>
      <c r="O371" s="867"/>
      <c r="P371" s="868"/>
      <c r="AH371"/>
      <c r="AI371"/>
      <c r="AJ371"/>
      <c r="AK371"/>
      <c r="AL371"/>
      <c r="AM371"/>
      <c r="AN371"/>
      <c r="AO371"/>
      <c r="AP371"/>
      <c r="AQ371"/>
      <c r="AR371"/>
    </row>
    <row r="372" spans="1:44" ht="12" customHeight="1">
      <c r="A372" s="869"/>
      <c r="B372" s="870" t="s">
        <v>698</v>
      </c>
      <c r="C372" s="871"/>
      <c r="D372" s="871"/>
      <c r="E372" s="871"/>
      <c r="F372" s="871"/>
      <c r="G372" s="871"/>
      <c r="H372" s="872" t="s">
        <v>699</v>
      </c>
      <c r="I372" s="871"/>
      <c r="J372" s="871"/>
      <c r="K372" s="871"/>
      <c r="L372" s="871"/>
      <c r="M372" s="871"/>
      <c r="N372" s="871"/>
      <c r="O372" s="871"/>
      <c r="P372" s="873"/>
      <c r="AH372"/>
      <c r="AI372"/>
      <c r="AJ372"/>
      <c r="AK372"/>
      <c r="AL372"/>
      <c r="AM372"/>
      <c r="AN372"/>
      <c r="AO372"/>
      <c r="AP372"/>
      <c r="AQ372"/>
      <c r="AR372"/>
    </row>
    <row r="373" spans="1:44" ht="12" customHeight="1">
      <c r="A373" s="874" t="s">
        <v>1157</v>
      </c>
      <c r="B373" s="875"/>
      <c r="C373" s="875"/>
      <c r="D373" s="875"/>
      <c r="E373" s="875"/>
      <c r="F373" s="875"/>
      <c r="G373" s="875"/>
      <c r="H373" s="876" t="s">
        <v>700</v>
      </c>
      <c r="I373" s="875"/>
      <c r="J373" s="875"/>
      <c r="K373" s="875"/>
      <c r="L373" s="875"/>
      <c r="M373" s="875"/>
      <c r="N373" s="875"/>
      <c r="O373" s="875"/>
      <c r="P373" s="877"/>
      <c r="AH373"/>
      <c r="AI373"/>
      <c r="AJ373"/>
      <c r="AK373"/>
      <c r="AL373"/>
      <c r="AM373"/>
      <c r="AN373"/>
      <c r="AO373"/>
      <c r="AP373"/>
      <c r="AQ373"/>
      <c r="AR373"/>
    </row>
    <row r="374" spans="1:44" ht="12" customHeight="1">
      <c r="A374" s="874" t="s">
        <v>1158</v>
      </c>
      <c r="B374" s="875"/>
      <c r="C374" s="875"/>
      <c r="D374" s="875"/>
      <c r="E374" s="875"/>
      <c r="F374" s="875"/>
      <c r="G374" s="875"/>
      <c r="H374" s="45" t="s">
        <v>701</v>
      </c>
      <c r="I374" s="875"/>
      <c r="J374" s="875"/>
      <c r="K374" s="875"/>
      <c r="L374" s="875"/>
      <c r="M374" s="875"/>
      <c r="N374" s="875"/>
      <c r="O374" s="875"/>
      <c r="P374" s="877"/>
      <c r="AH374"/>
      <c r="AI374"/>
      <c r="AJ374"/>
      <c r="AK374"/>
      <c r="AL374"/>
      <c r="AM374"/>
      <c r="AN374"/>
      <c r="AO374"/>
      <c r="AP374"/>
      <c r="AQ374"/>
      <c r="AR374"/>
    </row>
    <row r="375" spans="1:44" ht="12" customHeight="1">
      <c r="A375" s="874" t="s">
        <v>702</v>
      </c>
      <c r="B375" s="875"/>
      <c r="C375" s="1"/>
      <c r="D375" s="875"/>
      <c r="E375" s="875"/>
      <c r="F375" s="875"/>
      <c r="G375" s="875"/>
      <c r="H375" s="876" t="s">
        <v>703</v>
      </c>
      <c r="I375" s="875"/>
      <c r="J375" s="875"/>
      <c r="K375" s="875"/>
      <c r="L375" s="875"/>
      <c r="M375" s="875"/>
      <c r="N375" s="875"/>
      <c r="O375" s="875"/>
      <c r="P375" s="877"/>
      <c r="AH375"/>
      <c r="AI375"/>
      <c r="AJ375"/>
      <c r="AK375"/>
      <c r="AL375"/>
      <c r="AM375"/>
      <c r="AN375"/>
      <c r="AO375"/>
      <c r="AP375"/>
      <c r="AQ375"/>
      <c r="AR375"/>
    </row>
    <row r="376" spans="1:44" ht="12" customHeight="1">
      <c r="A376" s="874"/>
      <c r="B376" s="875"/>
      <c r="C376" s="875"/>
      <c r="D376" s="875"/>
      <c r="E376" s="875"/>
      <c r="F376" s="875"/>
      <c r="G376" s="875"/>
      <c r="H376" s="876" t="s">
        <v>704</v>
      </c>
      <c r="I376" s="875"/>
      <c r="J376" s="875"/>
      <c r="K376" s="875"/>
      <c r="L376" s="875"/>
      <c r="M376" s="875"/>
      <c r="N376" s="875"/>
      <c r="O376" s="875"/>
      <c r="P376" s="877"/>
      <c r="AH376"/>
      <c r="AI376"/>
      <c r="AJ376"/>
      <c r="AK376"/>
      <c r="AL376"/>
      <c r="AM376"/>
      <c r="AN376"/>
      <c r="AO376"/>
      <c r="AP376"/>
      <c r="AQ376"/>
      <c r="AR376"/>
    </row>
    <row r="377" spans="1:44" ht="12" customHeight="1">
      <c r="A377" s="874"/>
      <c r="B377" s="878" t="s">
        <v>705</v>
      </c>
      <c r="C377" s="875"/>
      <c r="D377" s="875"/>
      <c r="E377" s="875"/>
      <c r="F377" s="875"/>
      <c r="G377" s="875"/>
      <c r="H377" s="45" t="s">
        <v>706</v>
      </c>
      <c r="I377" s="875"/>
      <c r="J377" s="875"/>
      <c r="K377" s="875"/>
      <c r="L377" s="875"/>
      <c r="M377" s="875"/>
      <c r="N377" s="875"/>
      <c r="O377" s="875"/>
      <c r="P377" s="877"/>
      <c r="AH377"/>
      <c r="AI377"/>
      <c r="AJ377"/>
      <c r="AK377"/>
      <c r="AL377"/>
      <c r="AM377"/>
      <c r="AN377"/>
      <c r="AO377"/>
      <c r="AP377"/>
      <c r="AQ377"/>
      <c r="AR377"/>
    </row>
    <row r="378" spans="1:44" ht="12" customHeight="1">
      <c r="A378" s="874"/>
      <c r="B378" s="875" t="s">
        <v>1159</v>
      </c>
      <c r="C378" s="875"/>
      <c r="D378" s="875"/>
      <c r="E378" s="875"/>
      <c r="F378" s="875"/>
      <c r="G378" s="875"/>
      <c r="H378" s="45"/>
      <c r="I378" s="875"/>
      <c r="J378" s="875"/>
      <c r="K378" s="879" t="s">
        <v>707</v>
      </c>
      <c r="L378" s="875"/>
      <c r="M378" s="875"/>
      <c r="N378" s="875"/>
      <c r="O378" s="875"/>
      <c r="P378" s="877"/>
      <c r="AH378"/>
      <c r="AI378"/>
      <c r="AJ378"/>
      <c r="AK378"/>
      <c r="AL378"/>
      <c r="AM378"/>
      <c r="AN378"/>
      <c r="AO378"/>
      <c r="AP378"/>
      <c r="AQ378"/>
      <c r="AR378"/>
    </row>
    <row r="379" spans="1:44" ht="12" customHeight="1">
      <c r="A379" s="874"/>
      <c r="B379" s="875"/>
      <c r="C379" s="875"/>
      <c r="D379" s="875" t="s">
        <v>708</v>
      </c>
      <c r="E379" s="875"/>
      <c r="F379" s="875"/>
      <c r="G379" s="875"/>
      <c r="H379" s="876" t="s">
        <v>709</v>
      </c>
      <c r="I379" s="875"/>
      <c r="J379" s="875"/>
      <c r="K379" s="875"/>
      <c r="L379" s="875"/>
      <c r="M379" s="875"/>
      <c r="N379" s="875"/>
      <c r="O379" s="875"/>
      <c r="P379" s="877"/>
      <c r="AH379"/>
      <c r="AI379"/>
      <c r="AJ379"/>
      <c r="AK379"/>
      <c r="AL379"/>
      <c r="AM379"/>
      <c r="AN379"/>
      <c r="AO379"/>
      <c r="AP379"/>
      <c r="AQ379"/>
      <c r="AR379"/>
    </row>
    <row r="380" spans="1:44" ht="12" customHeight="1">
      <c r="A380" s="874"/>
      <c r="B380" s="875"/>
      <c r="C380" s="875"/>
      <c r="D380" s="875"/>
      <c r="E380" s="875"/>
      <c r="F380" s="875"/>
      <c r="G380" s="875"/>
      <c r="H380" s="876"/>
      <c r="I380" s="875" t="s">
        <v>710</v>
      </c>
      <c r="J380" s="875"/>
      <c r="K380" s="875"/>
      <c r="L380" s="875"/>
      <c r="M380" s="875"/>
      <c r="N380" s="875"/>
      <c r="O380" s="875"/>
      <c r="P380" s="877"/>
      <c r="AH380"/>
      <c r="AI380"/>
      <c r="AJ380"/>
      <c r="AK380"/>
      <c r="AL380"/>
      <c r="AM380"/>
      <c r="AN380"/>
      <c r="AO380"/>
      <c r="AP380"/>
      <c r="AQ380"/>
      <c r="AR380"/>
    </row>
    <row r="381" spans="1:44" ht="12" customHeight="1" thickBot="1">
      <c r="A381" s="880"/>
      <c r="B381" s="881"/>
      <c r="C381" s="881"/>
      <c r="D381" s="881"/>
      <c r="E381" s="881"/>
      <c r="F381" s="881"/>
      <c r="G381" s="881"/>
      <c r="H381" s="882"/>
      <c r="I381" s="883" t="s">
        <v>711</v>
      </c>
      <c r="J381" s="881"/>
      <c r="K381" s="881"/>
      <c r="L381" s="881"/>
      <c r="M381" s="881"/>
      <c r="N381" s="881"/>
      <c r="O381" s="881"/>
      <c r="P381" s="884"/>
      <c r="AH381"/>
      <c r="AI381"/>
      <c r="AJ381"/>
      <c r="AK381"/>
      <c r="AL381"/>
      <c r="AM381"/>
      <c r="AN381"/>
      <c r="AO381"/>
      <c r="AP381"/>
      <c r="AQ381"/>
      <c r="AR381"/>
    </row>
    <row r="382" spans="1:44" ht="12" customHeight="1">
      <c r="AH382"/>
      <c r="AI382"/>
      <c r="AJ382"/>
      <c r="AK382"/>
      <c r="AL382"/>
      <c r="AM382"/>
      <c r="AN382"/>
      <c r="AO382"/>
      <c r="AP382"/>
      <c r="AQ382"/>
      <c r="AR382"/>
    </row>
    <row r="383" spans="1:44" ht="12" customHeight="1">
      <c r="AH383"/>
      <c r="AI383"/>
      <c r="AJ383"/>
      <c r="AK383"/>
      <c r="AL383"/>
      <c r="AM383"/>
      <c r="AN383"/>
      <c r="AO383"/>
      <c r="AP383"/>
      <c r="AQ383"/>
      <c r="AR383"/>
    </row>
    <row r="384" spans="1:44" ht="12" customHeight="1">
      <c r="AH384"/>
      <c r="AI384"/>
      <c r="AJ384"/>
      <c r="AK384"/>
      <c r="AL384"/>
      <c r="AM384"/>
      <c r="AN384"/>
      <c r="AO384"/>
      <c r="AP384"/>
      <c r="AQ384"/>
      <c r="AR384"/>
    </row>
    <row r="385" spans="1:44" ht="12" customHeight="1">
      <c r="A385" s="349" t="s">
        <v>664</v>
      </c>
      <c r="B385" s="349"/>
      <c r="C385" s="349"/>
      <c r="D385" s="349"/>
      <c r="E385" s="349"/>
      <c r="F385" s="349"/>
      <c r="G385" s="349"/>
      <c r="H385" s="349"/>
      <c r="I385" s="349"/>
      <c r="J385" s="349"/>
      <c r="K385" s="349"/>
      <c r="L385" s="349"/>
      <c r="M385" s="349"/>
      <c r="N385" s="349"/>
      <c r="O385" s="349"/>
      <c r="P385" s="349"/>
      <c r="AH385"/>
      <c r="AI385"/>
      <c r="AJ385"/>
      <c r="AK385"/>
      <c r="AL385"/>
      <c r="AM385"/>
      <c r="AN385"/>
      <c r="AO385"/>
      <c r="AP385"/>
      <c r="AQ385"/>
      <c r="AR385"/>
    </row>
    <row r="386" spans="1:44" ht="12" customHeight="1">
      <c r="A386" s="349" t="s">
        <v>1099</v>
      </c>
      <c r="B386" s="349"/>
      <c r="C386" s="349"/>
      <c r="D386" s="349" t="s">
        <v>1100</v>
      </c>
      <c r="E386" s="349"/>
      <c r="F386" s="349"/>
      <c r="G386" s="349"/>
      <c r="H386" s="349"/>
      <c r="I386" s="349" t="s">
        <v>1754</v>
      </c>
      <c r="J386" s="349"/>
      <c r="K386" s="349"/>
      <c r="L386" s="349"/>
      <c r="M386" s="349"/>
      <c r="N386" s="349" t="s">
        <v>1102</v>
      </c>
      <c r="O386" s="349"/>
      <c r="P386" s="349"/>
      <c r="AH386"/>
      <c r="AI386"/>
      <c r="AJ386"/>
      <c r="AK386"/>
      <c r="AL386"/>
      <c r="AM386"/>
      <c r="AN386"/>
      <c r="AO386"/>
      <c r="AP386"/>
      <c r="AQ386"/>
      <c r="AR386"/>
    </row>
    <row r="387" spans="1:44" ht="12" customHeight="1" thickBot="1">
      <c r="A387" s="349" t="s">
        <v>665</v>
      </c>
      <c r="B387" s="349"/>
      <c r="C387" s="349"/>
      <c r="D387" s="349"/>
      <c r="E387" s="1979"/>
      <c r="F387" s="1979"/>
      <c r="G387" s="1979"/>
      <c r="H387" s="1979" t="s">
        <v>1104</v>
      </c>
      <c r="I387" s="1979"/>
      <c r="J387" s="1979"/>
      <c r="K387" s="1979"/>
      <c r="L387" s="349"/>
      <c r="M387" s="1979" t="s">
        <v>666</v>
      </c>
      <c r="N387" s="1979"/>
      <c r="O387" s="1979"/>
      <c r="P387" s="1979"/>
      <c r="AH387"/>
      <c r="AI387"/>
      <c r="AJ387"/>
      <c r="AK387"/>
      <c r="AL387"/>
      <c r="AM387"/>
      <c r="AN387"/>
      <c r="AO387"/>
      <c r="AP387"/>
      <c r="AQ387"/>
      <c r="AR387"/>
    </row>
    <row r="388" spans="1:44" ht="12" customHeight="1" thickBot="1">
      <c r="A388" s="1980" t="s">
        <v>187</v>
      </c>
      <c r="B388" s="826" t="s">
        <v>667</v>
      </c>
      <c r="C388" s="1980" t="s">
        <v>1106</v>
      </c>
      <c r="D388" s="1983"/>
      <c r="E388" s="1980" t="s">
        <v>1107</v>
      </c>
      <c r="F388" s="1986" t="s">
        <v>1108</v>
      </c>
      <c r="G388" s="1986" t="s">
        <v>1109</v>
      </c>
      <c r="H388" s="827" t="s">
        <v>1110</v>
      </c>
      <c r="I388" s="828"/>
      <c r="J388" s="827" t="s">
        <v>188</v>
      </c>
      <c r="K388" s="829"/>
      <c r="L388" s="829"/>
      <c r="M388" s="829"/>
      <c r="N388" s="826" t="s">
        <v>189</v>
      </c>
      <c r="O388" s="826" t="s">
        <v>1111</v>
      </c>
      <c r="P388" s="1989" t="s">
        <v>1112</v>
      </c>
      <c r="AH388"/>
      <c r="AI388"/>
      <c r="AJ388"/>
      <c r="AK388"/>
      <c r="AL388"/>
      <c r="AM388"/>
      <c r="AN388"/>
      <c r="AO388"/>
      <c r="AP388"/>
      <c r="AQ388"/>
      <c r="AR388"/>
    </row>
    <row r="389" spans="1:44" ht="12" customHeight="1" thickBot="1">
      <c r="A389" s="1981"/>
      <c r="B389" s="832" t="s">
        <v>668</v>
      </c>
      <c r="C389" s="1981"/>
      <c r="D389" s="1984"/>
      <c r="E389" s="1981"/>
      <c r="F389" s="1987"/>
      <c r="G389" s="1987"/>
      <c r="H389" s="1989" t="s">
        <v>193</v>
      </c>
      <c r="I389" s="1989" t="s">
        <v>1113</v>
      </c>
      <c r="J389" s="1989" t="s">
        <v>1114</v>
      </c>
      <c r="K389" s="1128" t="s">
        <v>194</v>
      </c>
      <c r="L389" s="834"/>
      <c r="M389" s="826" t="s">
        <v>669</v>
      </c>
      <c r="N389" s="832" t="s">
        <v>670</v>
      </c>
      <c r="O389" s="832" t="s">
        <v>195</v>
      </c>
      <c r="P389" s="1990"/>
      <c r="AH389"/>
      <c r="AI389"/>
      <c r="AJ389"/>
      <c r="AK389"/>
      <c r="AL389"/>
      <c r="AM389"/>
      <c r="AN389"/>
      <c r="AO389"/>
      <c r="AP389"/>
      <c r="AQ389"/>
      <c r="AR389"/>
    </row>
    <row r="390" spans="1:44" ht="12" customHeight="1" thickBot="1">
      <c r="A390" s="1982"/>
      <c r="B390" s="835" t="s">
        <v>671</v>
      </c>
      <c r="C390" s="1982"/>
      <c r="D390" s="1985"/>
      <c r="E390" s="1982"/>
      <c r="F390" s="1988"/>
      <c r="G390" s="1988"/>
      <c r="H390" s="1991"/>
      <c r="I390" s="1991"/>
      <c r="J390" s="1991"/>
      <c r="K390" s="836" t="s">
        <v>672</v>
      </c>
      <c r="L390" s="836" t="s">
        <v>673</v>
      </c>
      <c r="M390" s="835" t="s">
        <v>674</v>
      </c>
      <c r="N390" s="835" t="s">
        <v>675</v>
      </c>
      <c r="O390" s="835" t="s">
        <v>676</v>
      </c>
      <c r="P390" s="1991"/>
      <c r="AH390"/>
      <c r="AI390"/>
      <c r="AJ390"/>
      <c r="AK390"/>
      <c r="AL390"/>
      <c r="AM390"/>
      <c r="AN390"/>
      <c r="AO390"/>
      <c r="AP390"/>
      <c r="AQ390"/>
      <c r="AR390"/>
    </row>
    <row r="391" spans="1:44" ht="12" customHeight="1">
      <c r="A391" s="837">
        <v>1</v>
      </c>
      <c r="B391" s="949" t="s">
        <v>1122</v>
      </c>
      <c r="C391" s="839" t="s">
        <v>1123</v>
      </c>
      <c r="D391" s="840"/>
      <c r="E391" s="306" t="s">
        <v>1124</v>
      </c>
      <c r="F391" s="841">
        <v>1</v>
      </c>
      <c r="G391" s="841">
        <v>22</v>
      </c>
      <c r="H391" s="307">
        <v>100000</v>
      </c>
      <c r="I391" s="307">
        <v>87700</v>
      </c>
      <c r="J391" s="307">
        <f>K391+L391</f>
        <v>21486.5</v>
      </c>
      <c r="K391" s="307">
        <f>I391*0.15</f>
        <v>13155</v>
      </c>
      <c r="L391" s="307">
        <f>I391*0.095</f>
        <v>8331.5</v>
      </c>
      <c r="M391" s="307">
        <v>0</v>
      </c>
      <c r="N391" s="307">
        <f>I391*0.034</f>
        <v>2981.8</v>
      </c>
      <c r="O391" s="307">
        <f>H391</f>
        <v>100000</v>
      </c>
      <c r="P391" s="842">
        <f>H391*0.1</f>
        <v>10000</v>
      </c>
      <c r="AH391"/>
      <c r="AI391"/>
      <c r="AJ391"/>
      <c r="AK391"/>
      <c r="AL391"/>
      <c r="AM391"/>
      <c r="AN391"/>
      <c r="AO391"/>
      <c r="AP391"/>
      <c r="AQ391"/>
      <c r="AR391"/>
    </row>
    <row r="392" spans="1:44" ht="12" customHeight="1">
      <c r="A392" s="843">
        <v>2</v>
      </c>
      <c r="B392" s="950" t="s">
        <v>1125</v>
      </c>
      <c r="C392" s="845" t="s">
        <v>1126</v>
      </c>
      <c r="D392" s="846"/>
      <c r="E392" s="305" t="s">
        <v>678</v>
      </c>
      <c r="F392" s="305">
        <v>1</v>
      </c>
      <c r="G392" s="305">
        <v>22</v>
      </c>
      <c r="H392" s="305">
        <v>40000</v>
      </c>
      <c r="I392" s="305">
        <f t="shared" ref="I392:I397" si="81">H392</f>
        <v>40000</v>
      </c>
      <c r="J392" s="307">
        <f t="shared" ref="J392:J398" si="82">K392+L392</f>
        <v>9800</v>
      </c>
      <c r="K392" s="307">
        <f t="shared" ref="K392:K398" si="83">I392*0.15</f>
        <v>6000</v>
      </c>
      <c r="L392" s="307">
        <f t="shared" ref="L392:L398" si="84">I392*0.095</f>
        <v>3800</v>
      </c>
      <c r="M392" s="307">
        <v>0</v>
      </c>
      <c r="N392" s="307">
        <f t="shared" ref="N392:N398" si="85">I392*0.034</f>
        <v>1360</v>
      </c>
      <c r="O392" s="307">
        <f t="shared" ref="O392:O397" si="86">H392</f>
        <v>40000</v>
      </c>
      <c r="P392" s="842">
        <v>4000</v>
      </c>
      <c r="AH392"/>
      <c r="AI392"/>
      <c r="AJ392"/>
      <c r="AK392"/>
      <c r="AL392"/>
      <c r="AM392"/>
      <c r="AN392"/>
      <c r="AO392"/>
      <c r="AP392"/>
      <c r="AQ392"/>
      <c r="AR392"/>
    </row>
    <row r="393" spans="1:44" ht="12" customHeight="1">
      <c r="A393" s="843">
        <v>3</v>
      </c>
      <c r="B393" s="950" t="s">
        <v>1127</v>
      </c>
      <c r="C393" s="845" t="s">
        <v>1128</v>
      </c>
      <c r="D393" s="846"/>
      <c r="E393" s="847" t="s">
        <v>679</v>
      </c>
      <c r="F393" s="305">
        <v>1</v>
      </c>
      <c r="G393" s="305">
        <v>22</v>
      </c>
      <c r="H393" s="305">
        <v>20100</v>
      </c>
      <c r="I393" s="305">
        <f t="shared" si="81"/>
        <v>20100</v>
      </c>
      <c r="J393" s="307">
        <f t="shared" si="82"/>
        <v>4924.5</v>
      </c>
      <c r="K393" s="307">
        <f t="shared" si="83"/>
        <v>3015</v>
      </c>
      <c r="L393" s="307">
        <f t="shared" si="84"/>
        <v>1909.5</v>
      </c>
      <c r="M393" s="307">
        <v>0</v>
      </c>
      <c r="N393" s="307">
        <f t="shared" si="85"/>
        <v>683.40000000000009</v>
      </c>
      <c r="O393" s="307">
        <f t="shared" si="86"/>
        <v>20100</v>
      </c>
      <c r="P393" s="842">
        <v>1010</v>
      </c>
      <c r="AH393"/>
      <c r="AI393"/>
      <c r="AJ393"/>
      <c r="AK393"/>
      <c r="AL393"/>
      <c r="AM393"/>
      <c r="AN393"/>
      <c r="AO393"/>
      <c r="AP393"/>
      <c r="AQ393"/>
      <c r="AR393"/>
    </row>
    <row r="394" spans="1:44" ht="12" customHeight="1">
      <c r="A394" s="843">
        <v>4</v>
      </c>
      <c r="B394" s="950" t="s">
        <v>1132</v>
      </c>
      <c r="C394" s="845" t="s">
        <v>1133</v>
      </c>
      <c r="D394" s="846"/>
      <c r="E394" s="847" t="s">
        <v>1134</v>
      </c>
      <c r="F394" s="305">
        <v>1</v>
      </c>
      <c r="G394" s="305">
        <v>22</v>
      </c>
      <c r="H394" s="305">
        <v>27000</v>
      </c>
      <c r="I394" s="305">
        <f t="shared" si="81"/>
        <v>27000</v>
      </c>
      <c r="J394" s="307">
        <f t="shared" si="82"/>
        <v>6615</v>
      </c>
      <c r="K394" s="307">
        <f t="shared" si="83"/>
        <v>4050</v>
      </c>
      <c r="L394" s="307">
        <f t="shared" si="84"/>
        <v>2565</v>
      </c>
      <c r="M394" s="307">
        <v>0</v>
      </c>
      <c r="N394" s="307">
        <f t="shared" si="85"/>
        <v>918.00000000000011</v>
      </c>
      <c r="O394" s="307">
        <f t="shared" si="86"/>
        <v>27000</v>
      </c>
      <c r="P394" s="842">
        <v>1700</v>
      </c>
      <c r="AH394"/>
      <c r="AI394"/>
      <c r="AJ394"/>
      <c r="AK394"/>
      <c r="AL394"/>
      <c r="AM394"/>
      <c r="AN394"/>
      <c r="AO394"/>
      <c r="AP394"/>
      <c r="AQ394"/>
      <c r="AR394"/>
    </row>
    <row r="395" spans="1:44" ht="12" customHeight="1">
      <c r="A395" s="843">
        <v>5</v>
      </c>
      <c r="B395" s="950"/>
      <c r="C395" s="845" t="s">
        <v>1137</v>
      </c>
      <c r="D395" s="846"/>
      <c r="E395" s="847" t="s">
        <v>679</v>
      </c>
      <c r="F395" s="305">
        <v>1</v>
      </c>
      <c r="G395" s="305">
        <v>22</v>
      </c>
      <c r="H395" s="305">
        <v>20100</v>
      </c>
      <c r="I395" s="305">
        <f t="shared" si="81"/>
        <v>20100</v>
      </c>
      <c r="J395" s="307">
        <f t="shared" si="82"/>
        <v>4924.5</v>
      </c>
      <c r="K395" s="307">
        <f t="shared" si="83"/>
        <v>3015</v>
      </c>
      <c r="L395" s="307">
        <f t="shared" si="84"/>
        <v>1909.5</v>
      </c>
      <c r="M395" s="307">
        <v>0</v>
      </c>
      <c r="N395" s="307">
        <f t="shared" si="85"/>
        <v>683.40000000000009</v>
      </c>
      <c r="O395" s="307">
        <f t="shared" si="86"/>
        <v>20100</v>
      </c>
      <c r="P395" s="842">
        <v>1010</v>
      </c>
      <c r="AH395"/>
      <c r="AI395"/>
      <c r="AJ395"/>
      <c r="AK395"/>
      <c r="AL395"/>
      <c r="AM395"/>
      <c r="AN395"/>
      <c r="AO395"/>
      <c r="AP395"/>
      <c r="AQ395"/>
      <c r="AR395"/>
    </row>
    <row r="396" spans="1:44" ht="12" customHeight="1">
      <c r="A396" s="843">
        <v>6</v>
      </c>
      <c r="B396" s="950"/>
      <c r="C396" s="845" t="s">
        <v>1139</v>
      </c>
      <c r="D396" s="846"/>
      <c r="E396" s="305" t="s">
        <v>679</v>
      </c>
      <c r="F396" s="305">
        <v>1</v>
      </c>
      <c r="G396" s="305">
        <v>22</v>
      </c>
      <c r="H396" s="305">
        <v>20100</v>
      </c>
      <c r="I396" s="305">
        <f t="shared" si="81"/>
        <v>20100</v>
      </c>
      <c r="J396" s="307">
        <f t="shared" si="82"/>
        <v>4924.5</v>
      </c>
      <c r="K396" s="307">
        <f t="shared" si="83"/>
        <v>3015</v>
      </c>
      <c r="L396" s="307">
        <f t="shared" si="84"/>
        <v>1909.5</v>
      </c>
      <c r="M396" s="307">
        <v>0</v>
      </c>
      <c r="N396" s="307">
        <f t="shared" si="85"/>
        <v>683.40000000000009</v>
      </c>
      <c r="O396" s="307">
        <f t="shared" si="86"/>
        <v>20100</v>
      </c>
      <c r="P396" s="742">
        <v>1010</v>
      </c>
      <c r="AH396"/>
      <c r="AI396"/>
      <c r="AJ396"/>
      <c r="AK396"/>
      <c r="AL396"/>
      <c r="AM396"/>
      <c r="AN396"/>
      <c r="AO396"/>
      <c r="AP396"/>
      <c r="AQ396"/>
      <c r="AR396"/>
    </row>
    <row r="397" spans="1:44" ht="12" customHeight="1">
      <c r="A397" s="843">
        <v>7</v>
      </c>
      <c r="B397" s="950"/>
      <c r="C397" s="845" t="s">
        <v>1141</v>
      </c>
      <c r="D397" s="846"/>
      <c r="E397" s="847" t="s">
        <v>1142</v>
      </c>
      <c r="F397" s="305">
        <v>1</v>
      </c>
      <c r="G397" s="305">
        <v>22</v>
      </c>
      <c r="H397" s="305">
        <v>35000</v>
      </c>
      <c r="I397" s="305">
        <f t="shared" si="81"/>
        <v>35000</v>
      </c>
      <c r="J397" s="307">
        <f t="shared" si="82"/>
        <v>8575</v>
      </c>
      <c r="K397" s="307">
        <f t="shared" si="83"/>
        <v>5250</v>
      </c>
      <c r="L397" s="307">
        <f t="shared" si="84"/>
        <v>3325</v>
      </c>
      <c r="M397" s="307">
        <v>0</v>
      </c>
      <c r="N397" s="307">
        <f t="shared" si="85"/>
        <v>1190</v>
      </c>
      <c r="O397" s="307">
        <f t="shared" si="86"/>
        <v>35000</v>
      </c>
      <c r="P397" s="742">
        <v>3500</v>
      </c>
      <c r="AH397"/>
      <c r="AI397"/>
      <c r="AJ397"/>
      <c r="AK397"/>
      <c r="AL397"/>
      <c r="AM397"/>
      <c r="AN397"/>
      <c r="AO397"/>
      <c r="AP397"/>
      <c r="AQ397"/>
      <c r="AR397"/>
    </row>
    <row r="398" spans="1:44" ht="12" customHeight="1">
      <c r="A398" s="843">
        <v>8</v>
      </c>
      <c r="B398" s="950" t="s">
        <v>1144</v>
      </c>
      <c r="C398" s="845" t="s">
        <v>1145</v>
      </c>
      <c r="D398" s="846"/>
      <c r="E398" s="847" t="s">
        <v>679</v>
      </c>
      <c r="F398" s="305">
        <v>1</v>
      </c>
      <c r="G398" s="305">
        <v>22</v>
      </c>
      <c r="H398" s="305">
        <v>20100</v>
      </c>
      <c r="I398" s="305">
        <f>H398</f>
        <v>20100</v>
      </c>
      <c r="J398" s="307">
        <f t="shared" si="82"/>
        <v>4924.5</v>
      </c>
      <c r="K398" s="307">
        <f t="shared" si="83"/>
        <v>3015</v>
      </c>
      <c r="L398" s="307">
        <f t="shared" si="84"/>
        <v>1909.5</v>
      </c>
      <c r="M398" s="307">
        <v>0</v>
      </c>
      <c r="N398" s="307">
        <f t="shared" si="85"/>
        <v>683.40000000000009</v>
      </c>
      <c r="O398" s="307">
        <f>H398</f>
        <v>20100</v>
      </c>
      <c r="P398" s="842">
        <v>1010</v>
      </c>
      <c r="AH398"/>
      <c r="AI398"/>
      <c r="AJ398"/>
      <c r="AK398"/>
      <c r="AL398"/>
      <c r="AM398"/>
      <c r="AN398"/>
      <c r="AO398"/>
      <c r="AP398"/>
      <c r="AQ398"/>
      <c r="AR398"/>
    </row>
    <row r="399" spans="1:44" ht="12" customHeight="1">
      <c r="A399" s="843">
        <v>9</v>
      </c>
      <c r="B399" s="950"/>
      <c r="C399" s="849" t="s">
        <v>1135</v>
      </c>
      <c r="D399" s="849"/>
      <c r="E399" s="847" t="s">
        <v>679</v>
      </c>
      <c r="F399" s="305">
        <v>1</v>
      </c>
      <c r="G399" s="305">
        <v>22</v>
      </c>
      <c r="H399" s="305">
        <v>20100</v>
      </c>
      <c r="I399" s="305">
        <f>H399</f>
        <v>20100</v>
      </c>
      <c r="J399" s="307">
        <f>K399+L399</f>
        <v>4924.5</v>
      </c>
      <c r="K399" s="307">
        <f>I399*0.15</f>
        <v>3015</v>
      </c>
      <c r="L399" s="307">
        <f>I399*0.095</f>
        <v>1909.5</v>
      </c>
      <c r="M399" s="307">
        <v>0</v>
      </c>
      <c r="N399" s="307">
        <f>I399*0.034</f>
        <v>683.40000000000009</v>
      </c>
      <c r="O399" s="307">
        <f>H399</f>
        <v>20100</v>
      </c>
      <c r="P399" s="842">
        <v>1010</v>
      </c>
      <c r="AH399"/>
      <c r="AI399"/>
      <c r="AJ399"/>
      <c r="AK399"/>
      <c r="AL399"/>
      <c r="AM399"/>
      <c r="AN399"/>
      <c r="AO399"/>
      <c r="AP399"/>
      <c r="AQ399"/>
      <c r="AR399"/>
    </row>
    <row r="400" spans="1:44" ht="12" customHeight="1">
      <c r="A400" s="843">
        <v>10</v>
      </c>
      <c r="B400" s="73"/>
      <c r="C400" s="1966"/>
      <c r="D400" s="1967"/>
      <c r="E400" s="847"/>
      <c r="F400" s="305"/>
      <c r="G400" s="305"/>
      <c r="H400" s="305"/>
      <c r="I400" s="305"/>
      <c r="J400" s="307"/>
      <c r="K400" s="307"/>
      <c r="L400" s="307"/>
      <c r="M400" s="307"/>
      <c r="N400" s="307"/>
      <c r="O400" s="307"/>
      <c r="P400" s="842"/>
      <c r="AH400"/>
      <c r="AI400"/>
      <c r="AJ400"/>
      <c r="AK400"/>
      <c r="AL400"/>
      <c r="AM400"/>
      <c r="AN400"/>
      <c r="AO400"/>
      <c r="AP400"/>
      <c r="AQ400"/>
      <c r="AR400"/>
    </row>
    <row r="401" spans="1:44" ht="12" customHeight="1">
      <c r="A401" s="843">
        <v>11</v>
      </c>
      <c r="B401" s="73"/>
      <c r="C401" s="1966"/>
      <c r="D401" s="1967"/>
      <c r="E401" s="847"/>
      <c r="F401" s="305"/>
      <c r="G401" s="305"/>
      <c r="H401" s="305"/>
      <c r="I401" s="305"/>
      <c r="J401" s="307"/>
      <c r="K401" s="307"/>
      <c r="L401" s="307"/>
      <c r="M401" s="307"/>
      <c r="N401" s="307"/>
      <c r="O401" s="307"/>
      <c r="P401" s="842"/>
      <c r="AH401"/>
      <c r="AI401"/>
      <c r="AJ401"/>
      <c r="AK401"/>
      <c r="AL401"/>
      <c r="AM401"/>
      <c r="AN401"/>
      <c r="AO401"/>
      <c r="AP401"/>
      <c r="AQ401"/>
      <c r="AR401"/>
    </row>
    <row r="402" spans="1:44" ht="12" customHeight="1">
      <c r="A402" s="843">
        <v>12</v>
      </c>
      <c r="B402" s="73"/>
      <c r="C402" s="1966"/>
      <c r="D402" s="1967"/>
      <c r="E402" s="847"/>
      <c r="F402" s="305"/>
      <c r="G402" s="305"/>
      <c r="H402" s="305"/>
      <c r="I402" s="305"/>
      <c r="J402" s="307"/>
      <c r="K402" s="307"/>
      <c r="L402" s="307"/>
      <c r="M402" s="307"/>
      <c r="N402" s="307"/>
      <c r="O402" s="307"/>
      <c r="P402" s="842"/>
      <c r="AH402"/>
      <c r="AI402"/>
      <c r="AJ402"/>
      <c r="AK402"/>
      <c r="AL402"/>
      <c r="AM402"/>
      <c r="AN402"/>
      <c r="AO402"/>
      <c r="AP402"/>
      <c r="AQ402"/>
      <c r="AR402"/>
    </row>
    <row r="403" spans="1:44" ht="12" customHeight="1">
      <c r="A403" s="837">
        <v>13</v>
      </c>
      <c r="B403" s="73"/>
      <c r="C403" s="1966"/>
      <c r="D403" s="1967"/>
      <c r="E403" s="847"/>
      <c r="F403" s="305"/>
      <c r="G403" s="305"/>
      <c r="H403" s="305"/>
      <c r="I403" s="305"/>
      <c r="J403" s="307"/>
      <c r="K403" s="307"/>
      <c r="L403" s="307"/>
      <c r="M403" s="307"/>
      <c r="N403" s="307"/>
      <c r="O403" s="307"/>
      <c r="P403" s="842"/>
      <c r="AH403"/>
      <c r="AI403"/>
      <c r="AJ403"/>
      <c r="AK403"/>
      <c r="AL403"/>
      <c r="AM403"/>
      <c r="AN403"/>
      <c r="AO403"/>
      <c r="AP403"/>
      <c r="AQ403"/>
      <c r="AR403"/>
    </row>
    <row r="404" spans="1:44" ht="12" customHeight="1">
      <c r="A404" s="843">
        <v>14</v>
      </c>
      <c r="B404" s="73"/>
      <c r="C404" s="1966"/>
      <c r="D404" s="1967"/>
      <c r="E404" s="847"/>
      <c r="F404" s="305"/>
      <c r="G404" s="305"/>
      <c r="H404" s="305"/>
      <c r="I404" s="305"/>
      <c r="J404" s="307"/>
      <c r="K404" s="307"/>
      <c r="L404" s="307"/>
      <c r="M404" s="307"/>
      <c r="N404" s="307"/>
      <c r="O404" s="307"/>
      <c r="P404" s="842"/>
      <c r="AH404"/>
      <c r="AI404"/>
      <c r="AJ404"/>
      <c r="AK404"/>
      <c r="AL404"/>
      <c r="AM404"/>
      <c r="AN404"/>
      <c r="AO404"/>
      <c r="AP404"/>
      <c r="AQ404"/>
      <c r="AR404"/>
    </row>
    <row r="405" spans="1:44" ht="12" customHeight="1">
      <c r="A405" s="843">
        <v>15</v>
      </c>
      <c r="B405" s="73"/>
      <c r="C405" s="1966"/>
      <c r="D405" s="1967"/>
      <c r="E405" s="847"/>
      <c r="F405" s="305"/>
      <c r="G405" s="305"/>
      <c r="H405" s="305"/>
      <c r="I405" s="305"/>
      <c r="J405" s="307"/>
      <c r="K405" s="307"/>
      <c r="L405" s="307"/>
      <c r="M405" s="307"/>
      <c r="N405" s="307"/>
      <c r="O405" s="307"/>
      <c r="P405" s="842"/>
      <c r="AH405"/>
      <c r="AI405"/>
      <c r="AJ405"/>
      <c r="AK405"/>
      <c r="AL405"/>
      <c r="AM405"/>
      <c r="AN405"/>
      <c r="AO405"/>
      <c r="AP405"/>
      <c r="AQ405"/>
      <c r="AR405"/>
    </row>
    <row r="406" spans="1:44">
      <c r="A406" s="837">
        <v>16</v>
      </c>
      <c r="B406" s="73"/>
      <c r="C406" s="1966"/>
      <c r="D406" s="1967"/>
      <c r="E406" s="847"/>
      <c r="F406" s="305"/>
      <c r="G406" s="305"/>
      <c r="H406" s="305"/>
      <c r="I406" s="305"/>
      <c r="J406" s="307"/>
      <c r="K406" s="307"/>
      <c r="L406" s="307"/>
      <c r="M406" s="307"/>
      <c r="N406" s="307"/>
      <c r="O406" s="307"/>
      <c r="P406" s="842"/>
      <c r="AH406"/>
      <c r="AI406"/>
      <c r="AJ406"/>
      <c r="AK406"/>
      <c r="AL406"/>
      <c r="AM406"/>
      <c r="AN406"/>
      <c r="AO406"/>
      <c r="AP406"/>
      <c r="AQ406"/>
      <c r="AR406"/>
    </row>
    <row r="407" spans="1:44">
      <c r="A407" s="843">
        <v>17</v>
      </c>
      <c r="B407" s="73"/>
      <c r="C407" s="1966"/>
      <c r="D407" s="1967"/>
      <c r="E407" s="847"/>
      <c r="F407" s="305"/>
      <c r="G407" s="305"/>
      <c r="H407" s="305"/>
      <c r="I407" s="305"/>
      <c r="J407" s="307"/>
      <c r="K407" s="307"/>
      <c r="L407" s="307"/>
      <c r="M407" s="307"/>
      <c r="N407" s="307"/>
      <c r="O407" s="307"/>
      <c r="P407" s="842"/>
      <c r="AH407"/>
      <c r="AI407"/>
      <c r="AJ407"/>
      <c r="AK407"/>
      <c r="AL407"/>
      <c r="AM407"/>
      <c r="AN407"/>
      <c r="AO407"/>
      <c r="AP407"/>
      <c r="AQ407"/>
      <c r="AR407"/>
    </row>
    <row r="408" spans="1:44">
      <c r="A408" s="843">
        <v>18</v>
      </c>
      <c r="B408" s="73"/>
      <c r="C408" s="1966"/>
      <c r="D408" s="1967"/>
      <c r="E408" s="847"/>
      <c r="F408" s="305"/>
      <c r="G408" s="305"/>
      <c r="H408" s="305"/>
      <c r="I408" s="305"/>
      <c r="J408" s="307"/>
      <c r="K408" s="307"/>
      <c r="L408" s="307"/>
      <c r="M408" s="307"/>
      <c r="N408" s="307"/>
      <c r="O408" s="307"/>
      <c r="P408" s="842"/>
      <c r="AH408"/>
      <c r="AI408"/>
      <c r="AJ408"/>
      <c r="AK408"/>
      <c r="AL408"/>
      <c r="AM408"/>
      <c r="AN408"/>
      <c r="AO408"/>
      <c r="AP408"/>
      <c r="AQ408"/>
      <c r="AR408"/>
    </row>
    <row r="409" spans="1:44">
      <c r="A409" s="837">
        <v>19</v>
      </c>
      <c r="B409" s="73"/>
      <c r="C409" s="1966"/>
      <c r="D409" s="1967"/>
      <c r="E409" s="847"/>
      <c r="F409" s="305"/>
      <c r="G409" s="305"/>
      <c r="H409" s="305"/>
      <c r="I409" s="305"/>
      <c r="J409" s="307"/>
      <c r="K409" s="307"/>
      <c r="L409" s="307"/>
      <c r="M409" s="307"/>
      <c r="N409" s="307"/>
      <c r="O409" s="307"/>
      <c r="P409" s="842"/>
      <c r="AH409"/>
      <c r="AI409"/>
      <c r="AJ409"/>
      <c r="AK409"/>
      <c r="AL409"/>
      <c r="AM409"/>
      <c r="AN409"/>
      <c r="AO409"/>
      <c r="AP409"/>
      <c r="AQ409"/>
      <c r="AR409"/>
    </row>
    <row r="410" spans="1:44">
      <c r="A410" s="843">
        <v>20</v>
      </c>
      <c r="B410" s="73"/>
      <c r="C410" s="1966"/>
      <c r="D410" s="1967"/>
      <c r="E410" s="847"/>
      <c r="F410" s="305"/>
      <c r="G410" s="305"/>
      <c r="H410" s="305"/>
      <c r="I410" s="305"/>
      <c r="J410" s="307"/>
      <c r="K410" s="307"/>
      <c r="L410" s="307"/>
      <c r="M410" s="307"/>
      <c r="N410" s="307"/>
      <c r="O410" s="307"/>
      <c r="P410" s="842"/>
      <c r="AH410"/>
      <c r="AI410"/>
      <c r="AJ410"/>
      <c r="AK410"/>
      <c r="AL410"/>
      <c r="AM410"/>
      <c r="AN410"/>
      <c r="AO410"/>
      <c r="AP410"/>
      <c r="AQ410"/>
      <c r="AR410"/>
    </row>
    <row r="411" spans="1:44">
      <c r="A411" s="843">
        <v>21</v>
      </c>
      <c r="B411" s="73"/>
      <c r="C411" s="1966"/>
      <c r="D411" s="1967"/>
      <c r="E411" s="847"/>
      <c r="F411" s="305"/>
      <c r="G411" s="305"/>
      <c r="H411" s="305"/>
      <c r="I411" s="305"/>
      <c r="J411" s="307"/>
      <c r="K411" s="307"/>
      <c r="L411" s="307"/>
      <c r="M411" s="307"/>
      <c r="N411" s="307"/>
      <c r="O411" s="307"/>
      <c r="P411" s="842"/>
      <c r="AH411"/>
      <c r="AI411"/>
      <c r="AJ411"/>
      <c r="AK411"/>
      <c r="AL411"/>
      <c r="AM411"/>
      <c r="AN411"/>
      <c r="AO411"/>
      <c r="AP411"/>
      <c r="AQ411"/>
      <c r="AR411"/>
    </row>
    <row r="412" spans="1:44">
      <c r="A412" s="837">
        <v>22</v>
      </c>
      <c r="B412" s="73"/>
      <c r="C412" s="1966"/>
      <c r="D412" s="1967"/>
      <c r="E412" s="847"/>
      <c r="F412" s="305"/>
      <c r="G412" s="305"/>
      <c r="H412" s="305"/>
      <c r="I412" s="305"/>
      <c r="J412" s="307"/>
      <c r="K412" s="307"/>
      <c r="L412" s="307"/>
      <c r="M412" s="307"/>
      <c r="N412" s="307"/>
      <c r="O412" s="307"/>
      <c r="P412" s="842"/>
      <c r="AH412"/>
      <c r="AI412"/>
      <c r="AJ412"/>
      <c r="AK412"/>
      <c r="AL412"/>
      <c r="AM412"/>
      <c r="AN412"/>
      <c r="AO412"/>
      <c r="AP412"/>
      <c r="AQ412"/>
      <c r="AR412"/>
    </row>
    <row r="413" spans="1:44">
      <c r="A413" s="843">
        <v>23</v>
      </c>
      <c r="B413" s="73"/>
      <c r="C413" s="1966"/>
      <c r="D413" s="1967"/>
      <c r="E413" s="847"/>
      <c r="F413" s="305"/>
      <c r="G413" s="305"/>
      <c r="H413" s="305"/>
      <c r="I413" s="305"/>
      <c r="J413" s="307"/>
      <c r="K413" s="307"/>
      <c r="L413" s="307"/>
      <c r="M413" s="307"/>
      <c r="N413" s="307"/>
      <c r="O413" s="307"/>
      <c r="P413" s="842"/>
      <c r="AH413"/>
      <c r="AI413"/>
      <c r="AJ413"/>
      <c r="AK413"/>
      <c r="AL413"/>
      <c r="AM413"/>
      <c r="AN413"/>
      <c r="AO413"/>
      <c r="AP413"/>
      <c r="AQ413"/>
      <c r="AR413"/>
    </row>
    <row r="414" spans="1:44" ht="13.5" thickBot="1">
      <c r="A414" s="843">
        <v>24</v>
      </c>
      <c r="B414" s="73"/>
      <c r="C414" s="1968"/>
      <c r="D414" s="1969"/>
      <c r="E414" s="305"/>
      <c r="F414" s="305"/>
      <c r="G414" s="305"/>
      <c r="H414" s="305"/>
      <c r="I414" s="305"/>
      <c r="J414" s="307"/>
      <c r="K414" s="307"/>
      <c r="L414" s="307"/>
      <c r="M414" s="307"/>
      <c r="N414" s="307"/>
      <c r="O414" s="305"/>
      <c r="P414" s="742"/>
      <c r="AH414"/>
      <c r="AI414"/>
      <c r="AJ414"/>
      <c r="AK414"/>
      <c r="AL414"/>
      <c r="AM414"/>
      <c r="AN414"/>
      <c r="AO414"/>
      <c r="AP414"/>
      <c r="AQ414"/>
      <c r="AR414"/>
    </row>
    <row r="415" spans="1:44" ht="15" thickBot="1">
      <c r="A415" s="1970" t="s">
        <v>687</v>
      </c>
      <c r="B415" s="1971"/>
      <c r="C415" s="1971"/>
      <c r="D415" s="1971"/>
      <c r="E415" s="1971"/>
      <c r="F415" s="1971"/>
      <c r="G415" s="1972"/>
      <c r="H415" s="861">
        <f>SUM(H391:H414)</f>
        <v>302500</v>
      </c>
      <c r="I415" s="861">
        <f t="shared" ref="I415:P415" si="87">SUM(I391:I414)</f>
        <v>290200</v>
      </c>
      <c r="J415" s="861">
        <f t="shared" si="87"/>
        <v>71099</v>
      </c>
      <c r="K415" s="861">
        <f t="shared" si="87"/>
        <v>43530</v>
      </c>
      <c r="L415" s="861">
        <f t="shared" si="87"/>
        <v>27569</v>
      </c>
      <c r="M415" s="861">
        <f t="shared" si="87"/>
        <v>0</v>
      </c>
      <c r="N415" s="861">
        <f t="shared" si="87"/>
        <v>9866.7999999999993</v>
      </c>
      <c r="O415" s="861">
        <f t="shared" si="87"/>
        <v>302500</v>
      </c>
      <c r="P415" s="861">
        <f t="shared" si="87"/>
        <v>24250</v>
      </c>
      <c r="AH415"/>
      <c r="AI415"/>
      <c r="AJ415"/>
      <c r="AK415"/>
      <c r="AL415"/>
      <c r="AM415"/>
      <c r="AN415"/>
      <c r="AO415"/>
      <c r="AP415"/>
      <c r="AQ415"/>
      <c r="AR415"/>
    </row>
    <row r="416" spans="1:44" ht="15" thickBot="1">
      <c r="A416" s="1973" t="s">
        <v>690</v>
      </c>
      <c r="B416" s="1974"/>
      <c r="C416" s="1974"/>
      <c r="D416" s="1974"/>
      <c r="E416" s="1974"/>
      <c r="F416" s="1974"/>
      <c r="G416" s="1975"/>
      <c r="H416" s="862"/>
      <c r="I416" s="863"/>
      <c r="J416" s="863"/>
      <c r="K416" s="863"/>
      <c r="L416" s="863"/>
      <c r="M416" s="863"/>
      <c r="N416" s="863"/>
      <c r="O416" s="863"/>
      <c r="P416" s="864"/>
      <c r="AH416"/>
      <c r="AI416"/>
      <c r="AJ416"/>
      <c r="AK416"/>
      <c r="AL416"/>
      <c r="AM416"/>
      <c r="AN416"/>
      <c r="AO416"/>
      <c r="AP416"/>
      <c r="AQ416"/>
      <c r="AR416"/>
    </row>
    <row r="417" spans="1:44" ht="15" thickBot="1">
      <c r="A417" s="1976" t="s">
        <v>693</v>
      </c>
      <c r="B417" s="1977"/>
      <c r="C417" s="1977"/>
      <c r="D417" s="1977"/>
      <c r="E417" s="1977"/>
      <c r="F417" s="1977"/>
      <c r="G417" s="1978"/>
      <c r="H417" s="861">
        <f>SUM(H415:H416)</f>
        <v>302500</v>
      </c>
      <c r="I417" s="861">
        <f t="shared" ref="I417:P417" si="88">SUM(I415:I416)</f>
        <v>290200</v>
      </c>
      <c r="J417" s="861">
        <f t="shared" si="88"/>
        <v>71099</v>
      </c>
      <c r="K417" s="861">
        <f t="shared" si="88"/>
        <v>43530</v>
      </c>
      <c r="L417" s="861">
        <f t="shared" si="88"/>
        <v>27569</v>
      </c>
      <c r="M417" s="861">
        <f t="shared" si="88"/>
        <v>0</v>
      </c>
      <c r="N417" s="861">
        <f t="shared" si="88"/>
        <v>9866.7999999999993</v>
      </c>
      <c r="O417" s="861">
        <f t="shared" si="88"/>
        <v>302500</v>
      </c>
      <c r="P417" s="861">
        <f t="shared" si="88"/>
        <v>24250</v>
      </c>
      <c r="AH417"/>
      <c r="AI417"/>
      <c r="AJ417"/>
      <c r="AK417"/>
      <c r="AL417"/>
      <c r="AM417"/>
      <c r="AN417"/>
      <c r="AO417"/>
      <c r="AP417"/>
      <c r="AQ417"/>
      <c r="AR417"/>
    </row>
    <row r="418" spans="1:44" ht="15" thickBot="1">
      <c r="A418" s="865"/>
      <c r="B418" s="866"/>
      <c r="C418" s="866"/>
      <c r="D418" s="866"/>
      <c r="E418" s="866"/>
      <c r="F418" s="866"/>
      <c r="G418" s="866"/>
      <c r="H418" s="867"/>
      <c r="I418" s="867"/>
      <c r="J418" s="867"/>
      <c r="K418" s="867"/>
      <c r="L418" s="867"/>
      <c r="M418" s="867"/>
      <c r="N418" s="867"/>
      <c r="O418" s="867"/>
      <c r="P418" s="868"/>
      <c r="AH418"/>
      <c r="AI418"/>
      <c r="AJ418"/>
      <c r="AK418"/>
      <c r="AL418"/>
      <c r="AM418"/>
      <c r="AN418"/>
      <c r="AO418"/>
      <c r="AP418"/>
      <c r="AQ418"/>
      <c r="AR418"/>
    </row>
    <row r="419" spans="1:44">
      <c r="A419" s="869"/>
      <c r="B419" s="870" t="s">
        <v>698</v>
      </c>
      <c r="C419" s="871"/>
      <c r="D419" s="871"/>
      <c r="E419" s="871"/>
      <c r="F419" s="871"/>
      <c r="G419" s="871"/>
      <c r="H419" s="872" t="s">
        <v>699</v>
      </c>
      <c r="I419" s="871"/>
      <c r="J419" s="871"/>
      <c r="K419" s="871"/>
      <c r="L419" s="871"/>
      <c r="M419" s="871"/>
      <c r="N419" s="871"/>
      <c r="O419" s="871"/>
      <c r="P419" s="873"/>
      <c r="AH419"/>
      <c r="AI419"/>
      <c r="AJ419"/>
      <c r="AK419"/>
      <c r="AL419"/>
      <c r="AM419"/>
      <c r="AN419"/>
      <c r="AO419"/>
      <c r="AP419"/>
      <c r="AQ419"/>
      <c r="AR419"/>
    </row>
    <row r="420" spans="1:44">
      <c r="A420" s="874" t="s">
        <v>1157</v>
      </c>
      <c r="B420" s="875"/>
      <c r="C420" s="875"/>
      <c r="D420" s="875"/>
      <c r="E420" s="875"/>
      <c r="F420" s="875"/>
      <c r="G420" s="875"/>
      <c r="H420" s="876" t="s">
        <v>700</v>
      </c>
      <c r="I420" s="875"/>
      <c r="J420" s="875"/>
      <c r="K420" s="875"/>
      <c r="L420" s="875"/>
      <c r="M420" s="875"/>
      <c r="N420" s="875"/>
      <c r="O420" s="875"/>
      <c r="P420" s="877"/>
      <c r="AH420"/>
      <c r="AI420"/>
      <c r="AJ420"/>
      <c r="AK420"/>
      <c r="AL420"/>
      <c r="AM420"/>
      <c r="AN420"/>
      <c r="AO420"/>
      <c r="AP420"/>
      <c r="AQ420"/>
      <c r="AR420"/>
    </row>
    <row r="421" spans="1:44">
      <c r="A421" s="874" t="s">
        <v>1158</v>
      </c>
      <c r="B421" s="875"/>
      <c r="C421" s="875"/>
      <c r="D421" s="875"/>
      <c r="E421" s="875"/>
      <c r="F421" s="875"/>
      <c r="G421" s="875"/>
      <c r="H421" s="45" t="s">
        <v>701</v>
      </c>
      <c r="I421" s="875"/>
      <c r="J421" s="875"/>
      <c r="K421" s="875"/>
      <c r="L421" s="875"/>
      <c r="M421" s="875"/>
      <c r="N421" s="875"/>
      <c r="O421" s="875"/>
      <c r="P421" s="877"/>
      <c r="AH421"/>
      <c r="AI421"/>
      <c r="AJ421"/>
      <c r="AK421"/>
      <c r="AL421"/>
      <c r="AM421"/>
      <c r="AN421"/>
      <c r="AO421"/>
      <c r="AP421"/>
      <c r="AQ421"/>
      <c r="AR421"/>
    </row>
    <row r="422" spans="1:44">
      <c r="A422" s="874" t="s">
        <v>702</v>
      </c>
      <c r="B422" s="875"/>
      <c r="C422" s="1"/>
      <c r="D422" s="875"/>
      <c r="E422" s="875"/>
      <c r="F422" s="875"/>
      <c r="G422" s="875"/>
      <c r="H422" s="876" t="s">
        <v>703</v>
      </c>
      <c r="I422" s="875"/>
      <c r="J422" s="875"/>
      <c r="K422" s="875"/>
      <c r="L422" s="875"/>
      <c r="M422" s="875"/>
      <c r="N422" s="875"/>
      <c r="O422" s="875"/>
      <c r="P422" s="877"/>
      <c r="AH422"/>
      <c r="AI422"/>
      <c r="AJ422"/>
      <c r="AK422"/>
      <c r="AL422"/>
      <c r="AM422"/>
      <c r="AN422"/>
      <c r="AO422"/>
      <c r="AP422"/>
      <c r="AQ422"/>
      <c r="AR422"/>
    </row>
    <row r="423" spans="1:44">
      <c r="A423" s="874"/>
      <c r="B423" s="875"/>
      <c r="C423" s="875"/>
      <c r="D423" s="875"/>
      <c r="E423" s="875"/>
      <c r="F423" s="875"/>
      <c r="G423" s="875"/>
      <c r="H423" s="876" t="s">
        <v>704</v>
      </c>
      <c r="I423" s="875"/>
      <c r="J423" s="875"/>
      <c r="K423" s="875"/>
      <c r="L423" s="875"/>
      <c r="M423" s="875"/>
      <c r="N423" s="875"/>
      <c r="O423" s="875"/>
      <c r="P423" s="877"/>
      <c r="AH423"/>
      <c r="AI423"/>
      <c r="AJ423"/>
      <c r="AK423"/>
      <c r="AL423"/>
      <c r="AM423"/>
      <c r="AN423"/>
      <c r="AO423"/>
      <c r="AP423"/>
      <c r="AQ423"/>
      <c r="AR423"/>
    </row>
    <row r="424" spans="1:44">
      <c r="A424" s="874"/>
      <c r="B424" s="878" t="s">
        <v>705</v>
      </c>
      <c r="C424" s="875"/>
      <c r="D424" s="875"/>
      <c r="E424" s="875"/>
      <c r="F424" s="875"/>
      <c r="G424" s="875"/>
      <c r="H424" s="45" t="s">
        <v>706</v>
      </c>
      <c r="I424" s="875"/>
      <c r="J424" s="875"/>
      <c r="K424" s="875"/>
      <c r="L424" s="875"/>
      <c r="M424" s="875"/>
      <c r="N424" s="875"/>
      <c r="O424" s="875"/>
      <c r="P424" s="877"/>
      <c r="AH424"/>
      <c r="AI424"/>
      <c r="AJ424"/>
      <c r="AK424"/>
      <c r="AL424"/>
      <c r="AM424"/>
      <c r="AN424"/>
      <c r="AO424"/>
      <c r="AP424"/>
      <c r="AQ424"/>
      <c r="AR424"/>
    </row>
    <row r="425" spans="1:44">
      <c r="A425" s="874"/>
      <c r="B425" s="875" t="s">
        <v>1159</v>
      </c>
      <c r="C425" s="875"/>
      <c r="D425" s="875"/>
      <c r="E425" s="875"/>
      <c r="F425" s="875"/>
      <c r="G425" s="875"/>
      <c r="H425" s="45"/>
      <c r="I425" s="875"/>
      <c r="J425" s="875"/>
      <c r="K425" s="879" t="s">
        <v>707</v>
      </c>
      <c r="L425" s="875"/>
      <c r="M425" s="875"/>
      <c r="N425" s="875"/>
      <c r="O425" s="875"/>
      <c r="P425" s="877"/>
      <c r="AH425"/>
      <c r="AI425"/>
      <c r="AJ425"/>
      <c r="AK425"/>
      <c r="AL425"/>
      <c r="AM425"/>
      <c r="AN425"/>
      <c r="AO425"/>
      <c r="AP425"/>
      <c r="AQ425"/>
      <c r="AR425"/>
    </row>
    <row r="426" spans="1:44">
      <c r="A426" s="874"/>
      <c r="B426" s="875"/>
      <c r="C426" s="875"/>
      <c r="D426" s="875" t="s">
        <v>708</v>
      </c>
      <c r="E426" s="875"/>
      <c r="F426" s="875"/>
      <c r="G426" s="875"/>
      <c r="H426" s="876" t="s">
        <v>709</v>
      </c>
      <c r="I426" s="875"/>
      <c r="J426" s="875"/>
      <c r="K426" s="875"/>
      <c r="L426" s="875"/>
      <c r="M426" s="875"/>
      <c r="N426" s="875"/>
      <c r="O426" s="875"/>
      <c r="P426" s="877"/>
      <c r="AH426"/>
      <c r="AI426"/>
      <c r="AJ426"/>
      <c r="AK426"/>
      <c r="AL426"/>
      <c r="AM426"/>
      <c r="AN426"/>
      <c r="AO426"/>
      <c r="AP426"/>
      <c r="AQ426"/>
      <c r="AR426"/>
    </row>
    <row r="427" spans="1:44">
      <c r="A427" s="874"/>
      <c r="B427" s="875"/>
      <c r="C427" s="875"/>
      <c r="D427" s="875"/>
      <c r="E427" s="875"/>
      <c r="F427" s="875"/>
      <c r="G427" s="875"/>
      <c r="H427" s="876"/>
      <c r="I427" s="875" t="s">
        <v>710</v>
      </c>
      <c r="J427" s="875"/>
      <c r="K427" s="875"/>
      <c r="L427" s="875"/>
      <c r="M427" s="875"/>
      <c r="N427" s="875"/>
      <c r="O427" s="875"/>
      <c r="P427" s="877"/>
      <c r="AH427"/>
      <c r="AI427"/>
      <c r="AJ427"/>
      <c r="AK427"/>
      <c r="AL427"/>
      <c r="AM427"/>
      <c r="AN427"/>
      <c r="AO427"/>
      <c r="AP427"/>
      <c r="AQ427"/>
      <c r="AR427"/>
    </row>
    <row r="428" spans="1:44" ht="13.5" thickBot="1">
      <c r="A428" s="880"/>
      <c r="B428" s="881"/>
      <c r="C428" s="881"/>
      <c r="D428" s="881"/>
      <c r="E428" s="881"/>
      <c r="F428" s="881"/>
      <c r="G428" s="881"/>
      <c r="H428" s="882"/>
      <c r="I428" s="883" t="s">
        <v>711</v>
      </c>
      <c r="J428" s="881"/>
      <c r="K428" s="881"/>
      <c r="L428" s="881"/>
      <c r="M428" s="881"/>
      <c r="N428" s="881"/>
      <c r="O428" s="881"/>
      <c r="P428" s="884"/>
      <c r="AH428"/>
      <c r="AI428"/>
      <c r="AJ428"/>
      <c r="AK428"/>
      <c r="AL428"/>
      <c r="AM428"/>
      <c r="AN428"/>
      <c r="AO428"/>
      <c r="AP428"/>
      <c r="AQ428"/>
      <c r="AR428"/>
    </row>
    <row r="429" spans="1:44">
      <c r="AH429"/>
      <c r="AI429"/>
      <c r="AJ429"/>
      <c r="AK429"/>
      <c r="AL429"/>
      <c r="AM429"/>
      <c r="AN429"/>
      <c r="AO429"/>
      <c r="AP429"/>
      <c r="AQ429"/>
      <c r="AR429"/>
    </row>
    <row r="430" spans="1:44">
      <c r="A430" s="1179"/>
      <c r="B430" s="1179"/>
      <c r="C430" s="1179"/>
      <c r="D430" s="1179"/>
      <c r="E430" s="1179"/>
      <c r="F430" s="1179"/>
      <c r="G430" s="1179"/>
      <c r="H430" s="1179"/>
      <c r="I430" s="1179"/>
      <c r="J430" s="1179"/>
      <c r="K430" s="1179"/>
      <c r="L430" s="1179"/>
      <c r="M430" s="1179"/>
      <c r="N430" s="1179"/>
      <c r="O430" s="1179"/>
      <c r="P430" s="1179"/>
      <c r="AH430"/>
      <c r="AI430"/>
      <c r="AJ430"/>
      <c r="AK430"/>
      <c r="AL430"/>
      <c r="AM430"/>
      <c r="AN430"/>
      <c r="AO430"/>
      <c r="AP430"/>
      <c r="AQ430"/>
      <c r="AR430"/>
    </row>
    <row r="431" spans="1:44">
      <c r="A431" s="349" t="s">
        <v>664</v>
      </c>
      <c r="B431" s="349"/>
      <c r="C431" s="349"/>
      <c r="D431" s="349"/>
      <c r="E431" s="349"/>
      <c r="F431" s="349"/>
      <c r="G431" s="349"/>
      <c r="H431" s="349"/>
      <c r="I431" s="349"/>
      <c r="J431" s="349"/>
      <c r="K431" s="349"/>
      <c r="L431" s="349"/>
      <c r="M431" s="349"/>
      <c r="N431" s="349"/>
      <c r="O431" s="349"/>
      <c r="P431" s="349"/>
      <c r="AH431"/>
      <c r="AI431"/>
      <c r="AJ431"/>
      <c r="AK431"/>
      <c r="AL431"/>
      <c r="AM431"/>
      <c r="AN431"/>
      <c r="AO431"/>
      <c r="AP431"/>
      <c r="AQ431"/>
      <c r="AR431"/>
    </row>
    <row r="432" spans="1:44">
      <c r="A432" s="349" t="s">
        <v>1099</v>
      </c>
      <c r="B432" s="349"/>
      <c r="C432" s="349"/>
      <c r="D432" s="349" t="s">
        <v>1100</v>
      </c>
      <c r="E432" s="349"/>
      <c r="F432" s="349"/>
      <c r="G432" s="349"/>
      <c r="H432" s="349"/>
      <c r="I432" s="349" t="s">
        <v>1754</v>
      </c>
      <c r="J432" s="349"/>
      <c r="K432" s="349"/>
      <c r="L432" s="349"/>
      <c r="M432" s="349"/>
      <c r="N432" s="349" t="s">
        <v>1102</v>
      </c>
      <c r="O432" s="349"/>
      <c r="P432" s="349"/>
      <c r="AH432"/>
      <c r="AI432"/>
      <c r="AJ432"/>
      <c r="AK432"/>
      <c r="AL432"/>
      <c r="AM432"/>
      <c r="AN432"/>
      <c r="AO432"/>
      <c r="AP432"/>
      <c r="AQ432"/>
      <c r="AR432"/>
    </row>
    <row r="433" spans="1:44" ht="13.5" thickBot="1">
      <c r="A433" s="349" t="s">
        <v>665</v>
      </c>
      <c r="B433" s="349"/>
      <c r="C433" s="349"/>
      <c r="D433" s="349"/>
      <c r="E433" s="1979"/>
      <c r="F433" s="1979"/>
      <c r="G433" s="1979"/>
      <c r="H433" s="1979" t="s">
        <v>1104</v>
      </c>
      <c r="I433" s="1979"/>
      <c r="J433" s="1979"/>
      <c r="K433" s="1979"/>
      <c r="L433" s="349"/>
      <c r="M433" s="1979" t="s">
        <v>666</v>
      </c>
      <c r="N433" s="1979"/>
      <c r="O433" s="1979"/>
      <c r="P433" s="1979"/>
      <c r="AH433"/>
      <c r="AI433"/>
      <c r="AJ433"/>
      <c r="AK433"/>
      <c r="AL433"/>
      <c r="AM433"/>
      <c r="AN433"/>
      <c r="AO433"/>
      <c r="AP433"/>
      <c r="AQ433"/>
      <c r="AR433"/>
    </row>
    <row r="434" spans="1:44" ht="35.25" customHeight="1" thickBot="1">
      <c r="A434" s="2035" t="s">
        <v>187</v>
      </c>
      <c r="B434" s="1180" t="s">
        <v>667</v>
      </c>
      <c r="C434" s="2035" t="s">
        <v>1106</v>
      </c>
      <c r="D434" s="2038"/>
      <c r="E434" s="2035" t="s">
        <v>1107</v>
      </c>
      <c r="F434" s="2041" t="s">
        <v>1108</v>
      </c>
      <c r="G434" s="2041" t="s">
        <v>1109</v>
      </c>
      <c r="H434" s="1181" t="s">
        <v>1110</v>
      </c>
      <c r="I434" s="1182"/>
      <c r="J434" s="1181" t="s">
        <v>188</v>
      </c>
      <c r="K434" s="1183"/>
      <c r="L434" s="1183"/>
      <c r="M434" s="1183"/>
      <c r="N434" s="1180" t="s">
        <v>189</v>
      </c>
      <c r="O434" s="1180" t="s">
        <v>1111</v>
      </c>
      <c r="P434" s="2044" t="s">
        <v>1112</v>
      </c>
      <c r="AH434"/>
      <c r="AI434"/>
      <c r="AJ434"/>
      <c r="AK434"/>
      <c r="AL434"/>
      <c r="AM434"/>
      <c r="AN434"/>
      <c r="AO434"/>
      <c r="AP434"/>
      <c r="AQ434"/>
      <c r="AR434"/>
    </row>
    <row r="435" spans="1:44" ht="36.75" thickBot="1">
      <c r="A435" s="2036"/>
      <c r="B435" s="1184" t="s">
        <v>668</v>
      </c>
      <c r="C435" s="2036"/>
      <c r="D435" s="2039"/>
      <c r="E435" s="2036"/>
      <c r="F435" s="2042"/>
      <c r="G435" s="2042"/>
      <c r="H435" s="2044" t="s">
        <v>193</v>
      </c>
      <c r="I435" s="2044" t="s">
        <v>1113</v>
      </c>
      <c r="J435" s="2044" t="s">
        <v>1114</v>
      </c>
      <c r="K435" s="1185" t="s">
        <v>194</v>
      </c>
      <c r="L435" s="1186"/>
      <c r="M435" s="1180" t="s">
        <v>669</v>
      </c>
      <c r="N435" s="1184" t="s">
        <v>670</v>
      </c>
      <c r="O435" s="1184" t="s">
        <v>195</v>
      </c>
      <c r="P435" s="2045"/>
      <c r="AH435"/>
      <c r="AI435"/>
      <c r="AJ435"/>
      <c r="AK435"/>
      <c r="AL435"/>
      <c r="AM435"/>
      <c r="AN435"/>
      <c r="AO435"/>
      <c r="AP435"/>
      <c r="AQ435"/>
      <c r="AR435"/>
    </row>
    <row r="436" spans="1:44" ht="36.75" thickBot="1">
      <c r="A436" s="2037"/>
      <c r="B436" s="1187" t="s">
        <v>671</v>
      </c>
      <c r="C436" s="2037"/>
      <c r="D436" s="2040"/>
      <c r="E436" s="2037"/>
      <c r="F436" s="2043"/>
      <c r="G436" s="2043"/>
      <c r="H436" s="2046"/>
      <c r="I436" s="2046"/>
      <c r="J436" s="2046"/>
      <c r="K436" s="1188" t="s">
        <v>672</v>
      </c>
      <c r="L436" s="1188" t="s">
        <v>673</v>
      </c>
      <c r="M436" s="1187" t="s">
        <v>674</v>
      </c>
      <c r="N436" s="1187" t="s">
        <v>675</v>
      </c>
      <c r="O436" s="1187" t="s">
        <v>676</v>
      </c>
      <c r="P436" s="2046"/>
      <c r="AH436"/>
      <c r="AI436"/>
      <c r="AJ436"/>
      <c r="AK436"/>
      <c r="AL436"/>
      <c r="AM436"/>
      <c r="AN436"/>
      <c r="AO436"/>
      <c r="AP436"/>
      <c r="AQ436"/>
      <c r="AR436"/>
    </row>
    <row r="437" spans="1:44">
      <c r="A437" s="837">
        <v>1</v>
      </c>
      <c r="B437" s="1189" t="s">
        <v>1122</v>
      </c>
      <c r="C437" s="839" t="s">
        <v>1123</v>
      </c>
      <c r="D437" s="840"/>
      <c r="E437" s="306" t="s">
        <v>1124</v>
      </c>
      <c r="F437" s="841">
        <v>1</v>
      </c>
      <c r="G437" s="841">
        <v>22</v>
      </c>
      <c r="H437" s="307">
        <v>100000</v>
      </c>
      <c r="I437" s="307">
        <v>87700</v>
      </c>
      <c r="J437" s="307">
        <f>K437+L437</f>
        <v>21486.5</v>
      </c>
      <c r="K437" s="307">
        <f>I437*0.15</f>
        <v>13155</v>
      </c>
      <c r="L437" s="307">
        <f>I437*0.095</f>
        <v>8331.5</v>
      </c>
      <c r="M437" s="307">
        <v>0</v>
      </c>
      <c r="N437" s="307">
        <f>I437*0.034</f>
        <v>2981.8</v>
      </c>
      <c r="O437" s="307">
        <f>H437</f>
        <v>100000</v>
      </c>
      <c r="P437" s="842">
        <f>H437*0.1</f>
        <v>10000</v>
      </c>
      <c r="AH437"/>
      <c r="AI437"/>
      <c r="AJ437"/>
      <c r="AK437"/>
      <c r="AL437"/>
      <c r="AM437"/>
      <c r="AN437"/>
      <c r="AO437"/>
      <c r="AP437"/>
      <c r="AQ437"/>
      <c r="AR437"/>
    </row>
    <row r="438" spans="1:44">
      <c r="A438" s="843">
        <v>2</v>
      </c>
      <c r="B438" s="93" t="s">
        <v>1125</v>
      </c>
      <c r="C438" s="845" t="s">
        <v>1126</v>
      </c>
      <c r="D438" s="846"/>
      <c r="E438" s="305" t="s">
        <v>678</v>
      </c>
      <c r="F438" s="305">
        <v>1</v>
      </c>
      <c r="G438" s="305">
        <v>22</v>
      </c>
      <c r="H438" s="305">
        <v>40000</v>
      </c>
      <c r="I438" s="305">
        <f t="shared" ref="I438:I443" si="89">H438</f>
        <v>40000</v>
      </c>
      <c r="J438" s="307">
        <f t="shared" ref="J438:J444" si="90">K438+L438</f>
        <v>9800</v>
      </c>
      <c r="K438" s="307">
        <f t="shared" ref="K438:K444" si="91">I438*0.15</f>
        <v>6000</v>
      </c>
      <c r="L438" s="307">
        <f t="shared" ref="L438:L444" si="92">I438*0.095</f>
        <v>3800</v>
      </c>
      <c r="M438" s="307">
        <v>0</v>
      </c>
      <c r="N438" s="307">
        <f t="shared" ref="N438:N444" si="93">I438*0.034</f>
        <v>1360</v>
      </c>
      <c r="O438" s="307">
        <f t="shared" ref="O438:O443" si="94">H438</f>
        <v>40000</v>
      </c>
      <c r="P438" s="842">
        <v>4000</v>
      </c>
      <c r="AH438"/>
      <c r="AI438"/>
      <c r="AJ438"/>
      <c r="AK438"/>
      <c r="AL438"/>
      <c r="AM438"/>
      <c r="AN438"/>
      <c r="AO438"/>
      <c r="AP438"/>
      <c r="AQ438"/>
      <c r="AR438"/>
    </row>
    <row r="439" spans="1:44">
      <c r="A439" s="843">
        <v>3</v>
      </c>
      <c r="B439" s="93" t="s">
        <v>1127</v>
      </c>
      <c r="C439" s="845" t="s">
        <v>1128</v>
      </c>
      <c r="D439" s="846"/>
      <c r="E439" s="847" t="s">
        <v>679</v>
      </c>
      <c r="F439" s="305">
        <v>1</v>
      </c>
      <c r="G439" s="305">
        <v>22</v>
      </c>
      <c r="H439" s="305">
        <v>20100</v>
      </c>
      <c r="I439" s="305">
        <f t="shared" si="89"/>
        <v>20100</v>
      </c>
      <c r="J439" s="307">
        <f t="shared" si="90"/>
        <v>4924.5</v>
      </c>
      <c r="K439" s="307">
        <f t="shared" si="91"/>
        <v>3015</v>
      </c>
      <c r="L439" s="307">
        <f t="shared" si="92"/>
        <v>1909.5</v>
      </c>
      <c r="M439" s="307">
        <v>0</v>
      </c>
      <c r="N439" s="307">
        <f t="shared" si="93"/>
        <v>683.40000000000009</v>
      </c>
      <c r="O439" s="307">
        <f t="shared" si="94"/>
        <v>20100</v>
      </c>
      <c r="P439" s="842">
        <v>1010</v>
      </c>
      <c r="AH439"/>
      <c r="AI439"/>
      <c r="AJ439"/>
      <c r="AK439"/>
      <c r="AL439"/>
      <c r="AM439"/>
      <c r="AN439"/>
      <c r="AO439"/>
      <c r="AP439"/>
      <c r="AQ439"/>
      <c r="AR439"/>
    </row>
    <row r="440" spans="1:44">
      <c r="A440" s="843">
        <v>4</v>
      </c>
      <c r="B440" s="93" t="s">
        <v>1132</v>
      </c>
      <c r="C440" s="845" t="s">
        <v>1133</v>
      </c>
      <c r="D440" s="846"/>
      <c r="E440" s="847" t="s">
        <v>1134</v>
      </c>
      <c r="F440" s="305">
        <v>1</v>
      </c>
      <c r="G440" s="305">
        <v>22</v>
      </c>
      <c r="H440" s="305">
        <v>27000</v>
      </c>
      <c r="I440" s="305">
        <f t="shared" si="89"/>
        <v>27000</v>
      </c>
      <c r="J440" s="307">
        <f t="shared" si="90"/>
        <v>6615</v>
      </c>
      <c r="K440" s="307">
        <f t="shared" si="91"/>
        <v>4050</v>
      </c>
      <c r="L440" s="307">
        <f t="shared" si="92"/>
        <v>2565</v>
      </c>
      <c r="M440" s="307">
        <v>0</v>
      </c>
      <c r="N440" s="307">
        <f t="shared" si="93"/>
        <v>918.00000000000011</v>
      </c>
      <c r="O440" s="307">
        <f t="shared" si="94"/>
        <v>27000</v>
      </c>
      <c r="P440" s="842">
        <v>1700</v>
      </c>
      <c r="AH440"/>
      <c r="AI440"/>
      <c r="AJ440"/>
      <c r="AK440"/>
      <c r="AL440"/>
      <c r="AM440"/>
      <c r="AN440"/>
      <c r="AO440"/>
      <c r="AP440"/>
      <c r="AQ440"/>
      <c r="AR440"/>
    </row>
    <row r="441" spans="1:44">
      <c r="A441" s="843">
        <v>5</v>
      </c>
      <c r="B441" s="93"/>
      <c r="C441" s="845" t="s">
        <v>1137</v>
      </c>
      <c r="D441" s="846"/>
      <c r="E441" s="847" t="s">
        <v>679</v>
      </c>
      <c r="F441" s="305">
        <v>1</v>
      </c>
      <c r="G441" s="305">
        <v>22</v>
      </c>
      <c r="H441" s="305">
        <v>20100</v>
      </c>
      <c r="I441" s="305">
        <f t="shared" si="89"/>
        <v>20100</v>
      </c>
      <c r="J441" s="307">
        <f t="shared" si="90"/>
        <v>4924.5</v>
      </c>
      <c r="K441" s="307">
        <f t="shared" si="91"/>
        <v>3015</v>
      </c>
      <c r="L441" s="307">
        <f t="shared" si="92"/>
        <v>1909.5</v>
      </c>
      <c r="M441" s="307">
        <v>0</v>
      </c>
      <c r="N441" s="307">
        <f t="shared" si="93"/>
        <v>683.40000000000009</v>
      </c>
      <c r="O441" s="307">
        <f t="shared" si="94"/>
        <v>20100</v>
      </c>
      <c r="P441" s="842">
        <v>1010</v>
      </c>
      <c r="AH441"/>
      <c r="AI441"/>
      <c r="AJ441"/>
      <c r="AK441"/>
      <c r="AL441"/>
      <c r="AM441"/>
      <c r="AN441"/>
      <c r="AO441"/>
      <c r="AP441"/>
      <c r="AQ441"/>
      <c r="AR441"/>
    </row>
    <row r="442" spans="1:44">
      <c r="A442" s="843">
        <v>6</v>
      </c>
      <c r="B442" s="93"/>
      <c r="C442" s="845" t="s">
        <v>1139</v>
      </c>
      <c r="D442" s="846"/>
      <c r="E442" s="305" t="s">
        <v>679</v>
      </c>
      <c r="F442" s="305">
        <v>1</v>
      </c>
      <c r="G442" s="305">
        <v>22</v>
      </c>
      <c r="H442" s="305">
        <v>20100</v>
      </c>
      <c r="I442" s="305">
        <f t="shared" si="89"/>
        <v>20100</v>
      </c>
      <c r="J442" s="307">
        <f t="shared" si="90"/>
        <v>4924.5</v>
      </c>
      <c r="K442" s="307">
        <f t="shared" si="91"/>
        <v>3015</v>
      </c>
      <c r="L442" s="307">
        <f t="shared" si="92"/>
        <v>1909.5</v>
      </c>
      <c r="M442" s="307">
        <v>0</v>
      </c>
      <c r="N442" s="307">
        <f t="shared" si="93"/>
        <v>683.40000000000009</v>
      </c>
      <c r="O442" s="307">
        <f t="shared" si="94"/>
        <v>20100</v>
      </c>
      <c r="P442" s="742">
        <v>1010</v>
      </c>
      <c r="AH442"/>
      <c r="AI442"/>
      <c r="AJ442"/>
      <c r="AK442"/>
      <c r="AL442"/>
      <c r="AM442"/>
      <c r="AN442"/>
      <c r="AO442"/>
      <c r="AP442"/>
      <c r="AQ442"/>
      <c r="AR442"/>
    </row>
    <row r="443" spans="1:44">
      <c r="A443" s="843">
        <v>7</v>
      </c>
      <c r="B443" s="93"/>
      <c r="C443" s="845" t="s">
        <v>1141</v>
      </c>
      <c r="D443" s="846"/>
      <c r="E443" s="847" t="s">
        <v>1142</v>
      </c>
      <c r="F443" s="305">
        <v>1</v>
      </c>
      <c r="G443" s="305">
        <v>22</v>
      </c>
      <c r="H443" s="305">
        <v>35000</v>
      </c>
      <c r="I443" s="305">
        <f t="shared" si="89"/>
        <v>35000</v>
      </c>
      <c r="J443" s="307">
        <f t="shared" si="90"/>
        <v>8575</v>
      </c>
      <c r="K443" s="307">
        <f t="shared" si="91"/>
        <v>5250</v>
      </c>
      <c r="L443" s="307">
        <f t="shared" si="92"/>
        <v>3325</v>
      </c>
      <c r="M443" s="307">
        <v>0</v>
      </c>
      <c r="N443" s="307">
        <f t="shared" si="93"/>
        <v>1190</v>
      </c>
      <c r="O443" s="307">
        <f t="shared" si="94"/>
        <v>35000</v>
      </c>
      <c r="P443" s="742">
        <v>3500</v>
      </c>
      <c r="AH443"/>
      <c r="AI443"/>
      <c r="AJ443"/>
      <c r="AK443"/>
      <c r="AL443"/>
      <c r="AM443"/>
      <c r="AN443"/>
      <c r="AO443"/>
      <c r="AP443"/>
      <c r="AQ443"/>
      <c r="AR443"/>
    </row>
    <row r="444" spans="1:44">
      <c r="A444" s="843">
        <v>8</v>
      </c>
      <c r="B444" s="93" t="s">
        <v>1144</v>
      </c>
      <c r="C444" s="845" t="s">
        <v>1145</v>
      </c>
      <c r="D444" s="846"/>
      <c r="E444" s="847" t="s">
        <v>679</v>
      </c>
      <c r="F444" s="305">
        <v>1</v>
      </c>
      <c r="G444" s="305">
        <v>22</v>
      </c>
      <c r="H444" s="305">
        <v>20100</v>
      </c>
      <c r="I444" s="305">
        <f>H444</f>
        <v>20100</v>
      </c>
      <c r="J444" s="307">
        <f t="shared" si="90"/>
        <v>4924.5</v>
      </c>
      <c r="K444" s="307">
        <f t="shared" si="91"/>
        <v>3015</v>
      </c>
      <c r="L444" s="307">
        <f t="shared" si="92"/>
        <v>1909.5</v>
      </c>
      <c r="M444" s="307">
        <v>0</v>
      </c>
      <c r="N444" s="307">
        <f t="shared" si="93"/>
        <v>683.40000000000009</v>
      </c>
      <c r="O444" s="307">
        <f>H444</f>
        <v>20100</v>
      </c>
      <c r="P444" s="842">
        <v>1010</v>
      </c>
      <c r="AH444"/>
      <c r="AI444"/>
      <c r="AJ444"/>
      <c r="AK444"/>
      <c r="AL444"/>
      <c r="AM444"/>
      <c r="AN444"/>
      <c r="AO444"/>
      <c r="AP444"/>
      <c r="AQ444"/>
      <c r="AR444"/>
    </row>
    <row r="445" spans="1:44">
      <c r="A445" s="843">
        <v>9</v>
      </c>
      <c r="B445" s="93"/>
      <c r="C445" s="849" t="s">
        <v>1135</v>
      </c>
      <c r="D445" s="849"/>
      <c r="E445" s="847" t="s">
        <v>679</v>
      </c>
      <c r="F445" s="305">
        <v>1</v>
      </c>
      <c r="G445" s="305">
        <v>22</v>
      </c>
      <c r="H445" s="305">
        <v>20100</v>
      </c>
      <c r="I445" s="305">
        <f>H445</f>
        <v>20100</v>
      </c>
      <c r="J445" s="307">
        <f>K445+L445</f>
        <v>4924.5</v>
      </c>
      <c r="K445" s="307">
        <f>I445*0.15</f>
        <v>3015</v>
      </c>
      <c r="L445" s="307">
        <f>I445*0.095</f>
        <v>1909.5</v>
      </c>
      <c r="M445" s="307">
        <v>0</v>
      </c>
      <c r="N445" s="307">
        <f>I445*0.034</f>
        <v>683.40000000000009</v>
      </c>
      <c r="O445" s="307">
        <f>H445</f>
        <v>20100</v>
      </c>
      <c r="P445" s="842">
        <v>1010</v>
      </c>
      <c r="AH445"/>
      <c r="AI445"/>
      <c r="AJ445"/>
      <c r="AK445"/>
      <c r="AL445"/>
      <c r="AM445"/>
      <c r="AN445"/>
      <c r="AO445"/>
      <c r="AP445"/>
      <c r="AQ445"/>
      <c r="AR445"/>
    </row>
    <row r="446" spans="1:44">
      <c r="A446" s="843">
        <v>10</v>
      </c>
      <c r="B446" s="93"/>
      <c r="C446" s="1966"/>
      <c r="D446" s="1967"/>
      <c r="E446" s="847"/>
      <c r="F446" s="305"/>
      <c r="G446" s="305"/>
      <c r="H446" s="305"/>
      <c r="I446" s="305"/>
      <c r="J446" s="307"/>
      <c r="K446" s="307"/>
      <c r="L446" s="307"/>
      <c r="M446" s="307"/>
      <c r="N446" s="307"/>
      <c r="O446" s="307"/>
      <c r="P446" s="842"/>
      <c r="AH446"/>
      <c r="AI446"/>
      <c r="AJ446"/>
      <c r="AK446"/>
      <c r="AL446"/>
      <c r="AM446"/>
      <c r="AN446"/>
      <c r="AO446"/>
      <c r="AP446"/>
      <c r="AQ446"/>
      <c r="AR446"/>
    </row>
    <row r="447" spans="1:44">
      <c r="A447" s="843">
        <v>11</v>
      </c>
      <c r="B447" s="93"/>
      <c r="C447" s="1966"/>
      <c r="D447" s="1967"/>
      <c r="E447" s="847"/>
      <c r="F447" s="305"/>
      <c r="G447" s="305"/>
      <c r="H447" s="305"/>
      <c r="I447" s="305"/>
      <c r="J447" s="307"/>
      <c r="K447" s="307"/>
      <c r="L447" s="307"/>
      <c r="M447" s="307"/>
      <c r="N447" s="307"/>
      <c r="O447" s="307"/>
      <c r="P447" s="842"/>
      <c r="AH447"/>
      <c r="AI447"/>
      <c r="AJ447"/>
      <c r="AK447"/>
      <c r="AL447"/>
      <c r="AM447"/>
      <c r="AN447"/>
      <c r="AO447"/>
      <c r="AP447"/>
      <c r="AQ447"/>
      <c r="AR447"/>
    </row>
    <row r="448" spans="1:44">
      <c r="A448" s="843">
        <v>12</v>
      </c>
      <c r="B448" s="93"/>
      <c r="C448" s="1966"/>
      <c r="D448" s="1967"/>
      <c r="E448" s="847"/>
      <c r="F448" s="305"/>
      <c r="G448" s="305"/>
      <c r="H448" s="305"/>
      <c r="I448" s="305"/>
      <c r="J448" s="307"/>
      <c r="K448" s="307"/>
      <c r="L448" s="307"/>
      <c r="M448" s="307"/>
      <c r="N448" s="307"/>
      <c r="O448" s="307"/>
      <c r="P448" s="842"/>
      <c r="AH448"/>
      <c r="AI448"/>
      <c r="AJ448"/>
      <c r="AK448"/>
      <c r="AL448"/>
      <c r="AM448"/>
      <c r="AN448"/>
      <c r="AO448"/>
      <c r="AP448"/>
      <c r="AQ448"/>
      <c r="AR448"/>
    </row>
    <row r="449" spans="1:44">
      <c r="A449" s="837">
        <v>13</v>
      </c>
      <c r="B449" s="93"/>
      <c r="C449" s="1966"/>
      <c r="D449" s="1967"/>
      <c r="E449" s="847"/>
      <c r="F449" s="305"/>
      <c r="G449" s="305"/>
      <c r="H449" s="305"/>
      <c r="I449" s="305"/>
      <c r="J449" s="307"/>
      <c r="K449" s="307"/>
      <c r="L449" s="307"/>
      <c r="M449" s="307"/>
      <c r="N449" s="307"/>
      <c r="O449" s="307"/>
      <c r="P449" s="842"/>
      <c r="AH449"/>
      <c r="AI449"/>
      <c r="AJ449"/>
      <c r="AK449"/>
      <c r="AL449"/>
      <c r="AM449"/>
      <c r="AN449"/>
      <c r="AO449"/>
      <c r="AP449"/>
      <c r="AQ449"/>
      <c r="AR449"/>
    </row>
    <row r="450" spans="1:44">
      <c r="A450" s="843">
        <v>14</v>
      </c>
      <c r="B450" s="93"/>
      <c r="C450" s="1966"/>
      <c r="D450" s="1967"/>
      <c r="E450" s="847"/>
      <c r="F450" s="305"/>
      <c r="G450" s="305"/>
      <c r="H450" s="305"/>
      <c r="I450" s="305"/>
      <c r="J450" s="307"/>
      <c r="K450" s="307"/>
      <c r="L450" s="307"/>
      <c r="M450" s="307"/>
      <c r="N450" s="307"/>
      <c r="O450" s="307"/>
      <c r="P450" s="842"/>
      <c r="AH450"/>
      <c r="AI450"/>
      <c r="AJ450"/>
      <c r="AK450"/>
      <c r="AL450"/>
      <c r="AM450"/>
      <c r="AN450"/>
      <c r="AO450"/>
      <c r="AP450"/>
      <c r="AQ450"/>
      <c r="AR450"/>
    </row>
    <row r="451" spans="1:44">
      <c r="A451" s="843">
        <v>15</v>
      </c>
      <c r="B451" s="93"/>
      <c r="C451" s="1966"/>
      <c r="D451" s="1967"/>
      <c r="E451" s="847"/>
      <c r="F451" s="305"/>
      <c r="G451" s="305"/>
      <c r="H451" s="305"/>
      <c r="I451" s="305"/>
      <c r="J451" s="307"/>
      <c r="K451" s="307"/>
      <c r="L451" s="307"/>
      <c r="M451" s="307"/>
      <c r="N451" s="307"/>
      <c r="O451" s="307"/>
      <c r="P451" s="842"/>
      <c r="AH451"/>
      <c r="AI451"/>
      <c r="AJ451"/>
      <c r="AK451"/>
      <c r="AL451"/>
      <c r="AM451"/>
      <c r="AN451"/>
      <c r="AO451"/>
      <c r="AP451"/>
      <c r="AQ451"/>
      <c r="AR451"/>
    </row>
    <row r="452" spans="1:44">
      <c r="A452" s="837">
        <v>16</v>
      </c>
      <c r="B452" s="93"/>
      <c r="C452" s="1966"/>
      <c r="D452" s="1967"/>
      <c r="E452" s="847"/>
      <c r="F452" s="305"/>
      <c r="G452" s="305"/>
      <c r="H452" s="305"/>
      <c r="I452" s="305"/>
      <c r="J452" s="307"/>
      <c r="K452" s="307"/>
      <c r="L452" s="307"/>
      <c r="M452" s="307"/>
      <c r="N452" s="307"/>
      <c r="O452" s="307"/>
      <c r="P452" s="842"/>
      <c r="AH452"/>
      <c r="AI452"/>
      <c r="AJ452"/>
      <c r="AK452"/>
      <c r="AL452"/>
      <c r="AM452"/>
      <c r="AN452"/>
      <c r="AO452"/>
      <c r="AP452"/>
      <c r="AQ452"/>
      <c r="AR452"/>
    </row>
    <row r="453" spans="1:44">
      <c r="A453" s="843">
        <v>17</v>
      </c>
      <c r="B453" s="93"/>
      <c r="C453" s="1966"/>
      <c r="D453" s="1967"/>
      <c r="E453" s="847"/>
      <c r="F453" s="305"/>
      <c r="G453" s="305"/>
      <c r="H453" s="305"/>
      <c r="I453" s="305"/>
      <c r="J453" s="307"/>
      <c r="K453" s="307"/>
      <c r="L453" s="307"/>
      <c r="M453" s="307"/>
      <c r="N453" s="307"/>
      <c r="O453" s="307"/>
      <c r="P453" s="842"/>
      <c r="AH453"/>
      <c r="AI453"/>
      <c r="AJ453"/>
      <c r="AK453"/>
      <c r="AL453"/>
      <c r="AM453"/>
      <c r="AN453"/>
      <c r="AO453"/>
      <c r="AP453"/>
      <c r="AQ453"/>
      <c r="AR453"/>
    </row>
    <row r="454" spans="1:44">
      <c r="A454" s="843">
        <v>18</v>
      </c>
      <c r="B454" s="93"/>
      <c r="C454" s="1966"/>
      <c r="D454" s="1967"/>
      <c r="E454" s="847"/>
      <c r="F454" s="305"/>
      <c r="G454" s="305"/>
      <c r="H454" s="305"/>
      <c r="I454" s="305"/>
      <c r="J454" s="307"/>
      <c r="K454" s="307"/>
      <c r="L454" s="307"/>
      <c r="M454" s="307"/>
      <c r="N454" s="307"/>
      <c r="O454" s="307"/>
      <c r="P454" s="842"/>
      <c r="AH454"/>
      <c r="AI454"/>
      <c r="AJ454"/>
      <c r="AK454"/>
      <c r="AL454"/>
      <c r="AM454"/>
      <c r="AN454"/>
      <c r="AO454"/>
      <c r="AP454"/>
      <c r="AQ454"/>
      <c r="AR454"/>
    </row>
    <row r="455" spans="1:44">
      <c r="A455" s="837">
        <v>19</v>
      </c>
      <c r="B455" s="93"/>
      <c r="C455" s="1966"/>
      <c r="D455" s="1967"/>
      <c r="E455" s="847"/>
      <c r="F455" s="305"/>
      <c r="G455" s="305"/>
      <c r="H455" s="305"/>
      <c r="I455" s="305"/>
      <c r="J455" s="307"/>
      <c r="K455" s="307"/>
      <c r="L455" s="307"/>
      <c r="M455" s="307"/>
      <c r="N455" s="307"/>
      <c r="O455" s="307"/>
      <c r="P455" s="842"/>
      <c r="AH455"/>
      <c r="AI455"/>
      <c r="AJ455"/>
      <c r="AK455"/>
      <c r="AL455"/>
      <c r="AM455"/>
      <c r="AN455"/>
      <c r="AO455"/>
      <c r="AP455"/>
      <c r="AQ455"/>
      <c r="AR455"/>
    </row>
    <row r="456" spans="1:44" ht="13.5" thickBot="1">
      <c r="A456" s="843">
        <v>20</v>
      </c>
      <c r="B456" s="93"/>
      <c r="C456" s="1966"/>
      <c r="D456" s="1967"/>
      <c r="E456" s="847"/>
      <c r="F456" s="305"/>
      <c r="G456" s="305"/>
      <c r="H456" s="305"/>
      <c r="I456" s="305"/>
      <c r="J456" s="307"/>
      <c r="K456" s="307"/>
      <c r="L456" s="307"/>
      <c r="M456" s="307"/>
      <c r="N456" s="307"/>
      <c r="O456" s="307"/>
      <c r="P456" s="842"/>
      <c r="AH456"/>
      <c r="AI456"/>
      <c r="AJ456"/>
      <c r="AK456"/>
      <c r="AL456"/>
      <c r="AM456"/>
      <c r="AN456"/>
      <c r="AO456"/>
      <c r="AP456"/>
      <c r="AQ456"/>
      <c r="AR456"/>
    </row>
    <row r="457" spans="1:44" ht="13.5" thickBot="1">
      <c r="A457" s="2047" t="s">
        <v>687</v>
      </c>
      <c r="B457" s="2048"/>
      <c r="C457" s="2048"/>
      <c r="D457" s="2048"/>
      <c r="E457" s="2048"/>
      <c r="F457" s="2048"/>
      <c r="G457" s="2049"/>
      <c r="H457" s="1190">
        <f t="shared" ref="H457:P457" si="95">SUM(H437:H456)</f>
        <v>302500</v>
      </c>
      <c r="I457" s="1190">
        <f t="shared" si="95"/>
        <v>290200</v>
      </c>
      <c r="J457" s="1190">
        <f t="shared" si="95"/>
        <v>71099</v>
      </c>
      <c r="K457" s="1190">
        <f t="shared" si="95"/>
        <v>43530</v>
      </c>
      <c r="L457" s="1190">
        <f t="shared" si="95"/>
        <v>27569</v>
      </c>
      <c r="M457" s="1190">
        <f t="shared" si="95"/>
        <v>0</v>
      </c>
      <c r="N457" s="1190">
        <f t="shared" si="95"/>
        <v>9866.7999999999993</v>
      </c>
      <c r="O457" s="1190">
        <f t="shared" si="95"/>
        <v>302500</v>
      </c>
      <c r="P457" s="1190">
        <f t="shared" si="95"/>
        <v>24250</v>
      </c>
      <c r="AH457"/>
      <c r="AI457"/>
      <c r="AJ457"/>
      <c r="AK457"/>
      <c r="AL457"/>
      <c r="AM457"/>
      <c r="AN457"/>
      <c r="AO457"/>
      <c r="AP457"/>
      <c r="AQ457"/>
      <c r="AR457"/>
    </row>
    <row r="458" spans="1:44" ht="13.5" thickBot="1">
      <c r="A458" s="2050" t="s">
        <v>690</v>
      </c>
      <c r="B458" s="2051"/>
      <c r="C458" s="2051"/>
      <c r="D458" s="2051"/>
      <c r="E458" s="2051"/>
      <c r="F458" s="2051"/>
      <c r="G458" s="2052"/>
      <c r="H458" s="1191"/>
      <c r="I458" s="841"/>
      <c r="J458" s="841"/>
      <c r="K458" s="841"/>
      <c r="L458" s="841"/>
      <c r="M458" s="841"/>
      <c r="N458" s="841"/>
      <c r="O458" s="841"/>
      <c r="P458" s="1192"/>
      <c r="AH458"/>
      <c r="AI458"/>
      <c r="AJ458"/>
      <c r="AK458"/>
      <c r="AL458"/>
      <c r="AM458"/>
      <c r="AN458"/>
      <c r="AO458"/>
      <c r="AP458"/>
      <c r="AQ458"/>
      <c r="AR458"/>
    </row>
    <row r="459" spans="1:44" ht="13.5" thickBot="1">
      <c r="A459" s="2053" t="s">
        <v>693</v>
      </c>
      <c r="B459" s="2054"/>
      <c r="C459" s="2054"/>
      <c r="D459" s="2054"/>
      <c r="E459" s="2054"/>
      <c r="F459" s="2054"/>
      <c r="G459" s="2055"/>
      <c r="H459" s="1190">
        <f>SUM(H457:H458)</f>
        <v>302500</v>
      </c>
      <c r="I459" s="1190">
        <f t="shared" ref="I459:P459" si="96">SUM(I457:I458)</f>
        <v>290200</v>
      </c>
      <c r="J459" s="1190">
        <f t="shared" si="96"/>
        <v>71099</v>
      </c>
      <c r="K459" s="1190">
        <f t="shared" si="96"/>
        <v>43530</v>
      </c>
      <c r="L459" s="1190">
        <f t="shared" si="96"/>
        <v>27569</v>
      </c>
      <c r="M459" s="1190">
        <f t="shared" si="96"/>
        <v>0</v>
      </c>
      <c r="N459" s="1190">
        <f t="shared" si="96"/>
        <v>9866.7999999999993</v>
      </c>
      <c r="O459" s="1190">
        <f t="shared" si="96"/>
        <v>302500</v>
      </c>
      <c r="P459" s="1190">
        <f t="shared" si="96"/>
        <v>24250</v>
      </c>
      <c r="AH459"/>
      <c r="AI459"/>
      <c r="AJ459"/>
      <c r="AK459"/>
      <c r="AL459"/>
      <c r="AM459"/>
      <c r="AN459"/>
      <c r="AO459"/>
      <c r="AP459"/>
      <c r="AQ459"/>
      <c r="AR459"/>
    </row>
    <row r="460" spans="1:44" ht="13.5" thickBot="1">
      <c r="A460" s="1193"/>
      <c r="B460" s="1194"/>
      <c r="C460" s="1194"/>
      <c r="D460" s="1194"/>
      <c r="E460" s="1194"/>
      <c r="F460" s="1194"/>
      <c r="G460" s="1194"/>
      <c r="H460" s="1195"/>
      <c r="I460" s="1195"/>
      <c r="J460" s="1195"/>
      <c r="K460" s="1195"/>
      <c r="L460" s="1195"/>
      <c r="M460" s="1195"/>
      <c r="N460" s="1195"/>
      <c r="O460" s="1195"/>
      <c r="P460" s="1196"/>
      <c r="AH460"/>
      <c r="AI460"/>
      <c r="AJ460"/>
      <c r="AK460"/>
      <c r="AL460"/>
      <c r="AM460"/>
      <c r="AN460"/>
      <c r="AO460"/>
      <c r="AP460"/>
      <c r="AQ460"/>
      <c r="AR460"/>
    </row>
    <row r="461" spans="1:44">
      <c r="A461" s="869"/>
      <c r="B461" s="1197" t="s">
        <v>698</v>
      </c>
      <c r="C461" s="871"/>
      <c r="D461" s="871"/>
      <c r="E461" s="871"/>
      <c r="F461" s="871"/>
      <c r="G461" s="871"/>
      <c r="H461" s="872" t="s">
        <v>699</v>
      </c>
      <c r="I461" s="871"/>
      <c r="J461" s="871"/>
      <c r="K461" s="871"/>
      <c r="L461" s="871"/>
      <c r="M461" s="871"/>
      <c r="N461" s="871"/>
      <c r="O461" s="871"/>
      <c r="P461" s="873"/>
      <c r="AH461"/>
      <c r="AI461"/>
      <c r="AJ461"/>
      <c r="AK461"/>
      <c r="AL461"/>
      <c r="AM461"/>
      <c r="AN461"/>
      <c r="AO461"/>
      <c r="AP461"/>
      <c r="AQ461"/>
      <c r="AR461"/>
    </row>
    <row r="462" spans="1:44">
      <c r="A462" s="874" t="s">
        <v>1157</v>
      </c>
      <c r="B462" s="875"/>
      <c r="C462" s="875"/>
      <c r="D462" s="875"/>
      <c r="E462" s="875"/>
      <c r="F462" s="875"/>
      <c r="G462" s="875"/>
      <c r="H462" s="876" t="s">
        <v>700</v>
      </c>
      <c r="I462" s="875"/>
      <c r="J462" s="875"/>
      <c r="K462" s="875"/>
      <c r="L462" s="875"/>
      <c r="M462" s="875"/>
      <c r="N462" s="875"/>
      <c r="O462" s="875"/>
      <c r="P462" s="877"/>
      <c r="AH462"/>
      <c r="AI462"/>
      <c r="AJ462"/>
      <c r="AK462"/>
      <c r="AL462"/>
      <c r="AM462"/>
      <c r="AN462"/>
      <c r="AO462"/>
      <c r="AP462"/>
      <c r="AQ462"/>
      <c r="AR462"/>
    </row>
    <row r="463" spans="1:44">
      <c r="A463" s="874" t="s">
        <v>1158</v>
      </c>
      <c r="B463" s="875"/>
      <c r="C463" s="875"/>
      <c r="D463" s="875"/>
      <c r="E463" s="875"/>
      <c r="F463" s="875"/>
      <c r="G463" s="875"/>
      <c r="H463" s="876" t="s">
        <v>701</v>
      </c>
      <c r="I463" s="875"/>
      <c r="J463" s="875"/>
      <c r="K463" s="875"/>
      <c r="L463" s="875"/>
      <c r="M463" s="875"/>
      <c r="N463" s="875"/>
      <c r="O463" s="875"/>
      <c r="P463" s="877"/>
      <c r="AH463"/>
      <c r="AI463"/>
      <c r="AJ463"/>
      <c r="AK463"/>
      <c r="AL463"/>
      <c r="AM463"/>
      <c r="AN463"/>
      <c r="AO463"/>
      <c r="AP463"/>
      <c r="AQ463"/>
      <c r="AR463"/>
    </row>
    <row r="464" spans="1:44">
      <c r="A464" s="874" t="s">
        <v>702</v>
      </c>
      <c r="B464" s="875"/>
      <c r="C464" s="875"/>
      <c r="D464" s="875"/>
      <c r="E464" s="875"/>
      <c r="F464" s="875"/>
      <c r="G464" s="875"/>
      <c r="H464" s="876" t="s">
        <v>703</v>
      </c>
      <c r="I464" s="875"/>
      <c r="J464" s="875"/>
      <c r="K464" s="875"/>
      <c r="L464" s="875"/>
      <c r="M464" s="875"/>
      <c r="N464" s="875"/>
      <c r="O464" s="875"/>
      <c r="P464" s="877"/>
      <c r="AH464"/>
      <c r="AI464"/>
      <c r="AJ464"/>
      <c r="AK464"/>
      <c r="AL464"/>
      <c r="AM464"/>
      <c r="AN464"/>
      <c r="AO464"/>
      <c r="AP464"/>
      <c r="AQ464"/>
      <c r="AR464"/>
    </row>
    <row r="465" spans="1:44">
      <c r="A465" s="874"/>
      <c r="B465" s="875"/>
      <c r="C465" s="875"/>
      <c r="D465" s="875"/>
      <c r="E465" s="875"/>
      <c r="F465" s="875"/>
      <c r="G465" s="875"/>
      <c r="H465" s="876" t="s">
        <v>704</v>
      </c>
      <c r="I465" s="875"/>
      <c r="J465" s="875"/>
      <c r="K465" s="875"/>
      <c r="L465" s="875"/>
      <c r="M465" s="875"/>
      <c r="N465" s="875"/>
      <c r="O465" s="875"/>
      <c r="P465" s="877"/>
      <c r="AH465"/>
      <c r="AI465"/>
      <c r="AJ465"/>
      <c r="AK465"/>
      <c r="AL465"/>
      <c r="AM465"/>
      <c r="AN465"/>
      <c r="AO465"/>
      <c r="AP465"/>
      <c r="AQ465"/>
      <c r="AR465"/>
    </row>
    <row r="466" spans="1:44">
      <c r="A466" s="874"/>
      <c r="B466" s="107" t="s">
        <v>705</v>
      </c>
      <c r="C466" s="875"/>
      <c r="D466" s="875"/>
      <c r="E466" s="875"/>
      <c r="F466" s="875"/>
      <c r="G466" s="875"/>
      <c r="H466" s="876" t="s">
        <v>706</v>
      </c>
      <c r="I466" s="875"/>
      <c r="J466" s="875"/>
      <c r="K466" s="875"/>
      <c r="L466" s="875"/>
      <c r="M466" s="875"/>
      <c r="N466" s="875"/>
      <c r="O466" s="875"/>
      <c r="P466" s="877"/>
      <c r="AH466"/>
      <c r="AI466"/>
      <c r="AJ466"/>
      <c r="AK466"/>
      <c r="AL466"/>
      <c r="AM466"/>
      <c r="AN466"/>
      <c r="AO466"/>
      <c r="AP466"/>
      <c r="AQ466"/>
      <c r="AR466"/>
    </row>
    <row r="467" spans="1:44">
      <c r="A467" s="874"/>
      <c r="B467" s="875" t="s">
        <v>1159</v>
      </c>
      <c r="C467" s="875"/>
      <c r="D467" s="875"/>
      <c r="E467" s="875"/>
      <c r="F467" s="875"/>
      <c r="G467" s="875"/>
      <c r="H467" s="876"/>
      <c r="I467" s="875"/>
      <c r="J467" s="875"/>
      <c r="K467" s="1198" t="s">
        <v>707</v>
      </c>
      <c r="L467" s="875"/>
      <c r="M467" s="875"/>
      <c r="N467" s="875"/>
      <c r="O467" s="875"/>
      <c r="P467" s="877"/>
      <c r="AH467"/>
      <c r="AI467"/>
      <c r="AJ467"/>
      <c r="AK467"/>
      <c r="AL467"/>
      <c r="AM467"/>
      <c r="AN467"/>
      <c r="AO467"/>
      <c r="AP467"/>
      <c r="AQ467"/>
      <c r="AR467"/>
    </row>
    <row r="468" spans="1:44">
      <c r="A468" s="874"/>
      <c r="B468" s="875"/>
      <c r="C468" s="875"/>
      <c r="D468" s="875" t="s">
        <v>708</v>
      </c>
      <c r="E468" s="875"/>
      <c r="F468" s="875"/>
      <c r="G468" s="875"/>
      <c r="H468" s="876" t="s">
        <v>709</v>
      </c>
      <c r="I468" s="875"/>
      <c r="J468" s="875"/>
      <c r="K468" s="875"/>
      <c r="L468" s="875"/>
      <c r="M468" s="875"/>
      <c r="N468" s="875"/>
      <c r="O468" s="875"/>
      <c r="P468" s="877"/>
      <c r="AH468"/>
      <c r="AI468"/>
      <c r="AJ468"/>
      <c r="AK468"/>
      <c r="AL468"/>
      <c r="AM468"/>
      <c r="AN468"/>
      <c r="AO468"/>
      <c r="AP468"/>
      <c r="AQ468"/>
      <c r="AR468"/>
    </row>
    <row r="469" spans="1:44">
      <c r="A469" s="874"/>
      <c r="B469" s="875"/>
      <c r="C469" s="875"/>
      <c r="D469" s="875"/>
      <c r="E469" s="875"/>
      <c r="F469" s="875"/>
      <c r="G469" s="875"/>
      <c r="H469" s="876"/>
      <c r="I469" s="875" t="s">
        <v>710</v>
      </c>
      <c r="J469" s="875"/>
      <c r="K469" s="875"/>
      <c r="L469" s="875"/>
      <c r="M469" s="875"/>
      <c r="N469" s="875"/>
      <c r="O469" s="875"/>
      <c r="P469" s="877"/>
      <c r="AH469"/>
      <c r="AI469"/>
      <c r="AJ469"/>
      <c r="AK469"/>
      <c r="AL469"/>
      <c r="AM469"/>
      <c r="AN469"/>
      <c r="AO469"/>
      <c r="AP469"/>
      <c r="AQ469"/>
      <c r="AR469"/>
    </row>
    <row r="470" spans="1:44" ht="13.5" thickBot="1">
      <c r="A470" s="880"/>
      <c r="B470" s="881"/>
      <c r="C470" s="881"/>
      <c r="D470" s="881"/>
      <c r="E470" s="881"/>
      <c r="F470" s="881"/>
      <c r="G470" s="881"/>
      <c r="H470" s="882"/>
      <c r="I470" s="881" t="s">
        <v>711</v>
      </c>
      <c r="J470" s="881"/>
      <c r="K470" s="881"/>
      <c r="L470" s="881"/>
      <c r="M470" s="881"/>
      <c r="N470" s="881"/>
      <c r="O470" s="881"/>
      <c r="P470" s="884"/>
      <c r="AH470"/>
      <c r="AI470"/>
      <c r="AJ470"/>
      <c r="AK470"/>
      <c r="AL470"/>
      <c r="AM470"/>
      <c r="AN470"/>
      <c r="AO470"/>
      <c r="AP470"/>
      <c r="AQ470"/>
      <c r="AR470"/>
    </row>
    <row r="471" spans="1:44">
      <c r="A471" s="1179"/>
      <c r="B471" s="1179"/>
      <c r="C471" s="1179"/>
      <c r="D471" s="1179"/>
      <c r="E471" s="1179"/>
      <c r="F471" s="1179"/>
      <c r="G471" s="1179"/>
      <c r="H471" s="1179"/>
      <c r="I471" s="1179"/>
      <c r="J471" s="1179"/>
      <c r="K471" s="1179"/>
      <c r="L471" s="1179"/>
      <c r="M471" s="1179"/>
      <c r="N471" s="1179"/>
      <c r="O471" s="1179"/>
      <c r="P471" s="1179"/>
      <c r="AH471"/>
      <c r="AI471"/>
      <c r="AJ471"/>
      <c r="AK471"/>
      <c r="AL471"/>
      <c r="AM471"/>
      <c r="AN471"/>
      <c r="AO471"/>
      <c r="AP471"/>
      <c r="AQ471"/>
      <c r="AR471"/>
    </row>
    <row r="472" spans="1:44">
      <c r="A472" s="1179"/>
      <c r="B472" s="1179"/>
      <c r="C472" s="1179"/>
      <c r="D472" s="1179"/>
      <c r="E472" s="1179"/>
      <c r="F472" s="1179"/>
      <c r="G472" s="1179"/>
      <c r="H472" s="1179"/>
      <c r="I472" s="1179"/>
      <c r="J472" s="1179"/>
      <c r="K472" s="1179"/>
      <c r="L472" s="1179"/>
      <c r="M472" s="1179"/>
      <c r="N472" s="1179"/>
      <c r="O472" s="1179"/>
      <c r="P472" s="1179"/>
      <c r="AH472"/>
      <c r="AI472"/>
      <c r="AJ472"/>
      <c r="AK472"/>
      <c r="AL472"/>
      <c r="AM472"/>
      <c r="AN472"/>
      <c r="AO472"/>
      <c r="AP472"/>
      <c r="AQ472"/>
      <c r="AR472"/>
    </row>
    <row r="473" spans="1:44">
      <c r="A473" s="349" t="s">
        <v>664</v>
      </c>
      <c r="B473" s="349"/>
      <c r="C473" s="349"/>
      <c r="D473" s="349"/>
      <c r="E473" s="349"/>
      <c r="F473" s="349"/>
      <c r="G473" s="349"/>
      <c r="H473" s="349"/>
      <c r="I473" s="349"/>
      <c r="J473" s="349"/>
      <c r="K473" s="349"/>
      <c r="L473" s="349"/>
      <c r="M473" s="349"/>
      <c r="N473" s="349"/>
      <c r="O473" s="349"/>
      <c r="P473" s="349"/>
      <c r="AH473"/>
      <c r="AI473"/>
      <c r="AJ473"/>
      <c r="AK473"/>
      <c r="AL473"/>
      <c r="AM473"/>
      <c r="AN473"/>
      <c r="AO473"/>
      <c r="AP473"/>
      <c r="AQ473"/>
      <c r="AR473"/>
    </row>
    <row r="474" spans="1:44">
      <c r="A474" s="349" t="s">
        <v>1099</v>
      </c>
      <c r="B474" s="349"/>
      <c r="C474" s="349"/>
      <c r="D474" s="349" t="s">
        <v>1100</v>
      </c>
      <c r="E474" s="349"/>
      <c r="F474" s="349"/>
      <c r="G474" s="349"/>
      <c r="H474" s="349"/>
      <c r="I474" s="349" t="s">
        <v>1789</v>
      </c>
      <c r="J474" s="349"/>
      <c r="K474" s="349"/>
      <c r="L474" s="349"/>
      <c r="M474" s="349"/>
      <c r="N474" s="349" t="s">
        <v>1102</v>
      </c>
      <c r="O474" s="349"/>
      <c r="P474" s="349"/>
      <c r="AH474"/>
      <c r="AI474"/>
      <c r="AJ474"/>
      <c r="AK474"/>
      <c r="AL474"/>
      <c r="AM474"/>
      <c r="AN474"/>
      <c r="AO474"/>
      <c r="AP474"/>
      <c r="AQ474"/>
      <c r="AR474"/>
    </row>
    <row r="475" spans="1:44" ht="13.5" thickBot="1">
      <c r="A475" s="349" t="s">
        <v>665</v>
      </c>
      <c r="B475" s="349"/>
      <c r="C475" s="349"/>
      <c r="D475" s="349"/>
      <c r="E475" s="1979"/>
      <c r="F475" s="1979"/>
      <c r="G475" s="1979"/>
      <c r="H475" s="1979" t="s">
        <v>1104</v>
      </c>
      <c r="I475" s="1979"/>
      <c r="J475" s="1979"/>
      <c r="K475" s="1979"/>
      <c r="L475" s="349"/>
      <c r="M475" s="1979" t="s">
        <v>666</v>
      </c>
      <c r="N475" s="1979"/>
      <c r="O475" s="1979"/>
      <c r="P475" s="1979"/>
      <c r="AH475"/>
      <c r="AI475"/>
      <c r="AJ475"/>
      <c r="AK475"/>
      <c r="AL475"/>
      <c r="AM475"/>
      <c r="AN475"/>
      <c r="AO475"/>
      <c r="AP475"/>
      <c r="AQ475"/>
      <c r="AR475"/>
    </row>
    <row r="476" spans="1:44" ht="48.75" thickBot="1">
      <c r="A476" s="2035" t="s">
        <v>187</v>
      </c>
      <c r="B476" s="1180" t="s">
        <v>667</v>
      </c>
      <c r="C476" s="2035" t="s">
        <v>1106</v>
      </c>
      <c r="D476" s="2038"/>
      <c r="E476" s="2035" t="s">
        <v>1107</v>
      </c>
      <c r="F476" s="2041" t="s">
        <v>1108</v>
      </c>
      <c r="G476" s="2041" t="s">
        <v>1109</v>
      </c>
      <c r="H476" s="1181" t="s">
        <v>1110</v>
      </c>
      <c r="I476" s="1182"/>
      <c r="J476" s="1181" t="s">
        <v>188</v>
      </c>
      <c r="K476" s="1183"/>
      <c r="L476" s="1183"/>
      <c r="M476" s="1183"/>
      <c r="N476" s="1180" t="s">
        <v>189</v>
      </c>
      <c r="O476" s="1180" t="s">
        <v>1111</v>
      </c>
      <c r="P476" s="2044" t="s">
        <v>1112</v>
      </c>
      <c r="AH476"/>
      <c r="AI476"/>
      <c r="AJ476"/>
      <c r="AK476"/>
      <c r="AL476"/>
      <c r="AM476"/>
      <c r="AN476"/>
      <c r="AO476"/>
      <c r="AP476"/>
      <c r="AQ476"/>
      <c r="AR476"/>
    </row>
    <row r="477" spans="1:44" ht="36.75" thickBot="1">
      <c r="A477" s="2036"/>
      <c r="B477" s="1184" t="s">
        <v>668</v>
      </c>
      <c r="C477" s="2036"/>
      <c r="D477" s="2039"/>
      <c r="E477" s="2036"/>
      <c r="F477" s="2042"/>
      <c r="G477" s="2042"/>
      <c r="H477" s="2044" t="s">
        <v>193</v>
      </c>
      <c r="I477" s="2044" t="s">
        <v>1113</v>
      </c>
      <c r="J477" s="2044" t="s">
        <v>1114</v>
      </c>
      <c r="K477" s="1185" t="s">
        <v>194</v>
      </c>
      <c r="L477" s="1186"/>
      <c r="M477" s="1180" t="s">
        <v>669</v>
      </c>
      <c r="N477" s="1184" t="s">
        <v>670</v>
      </c>
      <c r="O477" s="1184" t="s">
        <v>195</v>
      </c>
      <c r="P477" s="2045"/>
      <c r="AH477"/>
      <c r="AI477"/>
      <c r="AJ477"/>
      <c r="AK477"/>
      <c r="AL477"/>
      <c r="AM477"/>
      <c r="AN477"/>
      <c r="AO477"/>
      <c r="AP477"/>
      <c r="AQ477"/>
      <c r="AR477"/>
    </row>
    <row r="478" spans="1:44" ht="36.75" thickBot="1">
      <c r="A478" s="2037"/>
      <c r="B478" s="1187" t="s">
        <v>671</v>
      </c>
      <c r="C478" s="2037"/>
      <c r="D478" s="2040"/>
      <c r="E478" s="2037"/>
      <c r="F478" s="2043"/>
      <c r="G478" s="2043"/>
      <c r="H478" s="2046"/>
      <c r="I478" s="2046"/>
      <c r="J478" s="2046"/>
      <c r="K478" s="1188" t="s">
        <v>672</v>
      </c>
      <c r="L478" s="1188" t="s">
        <v>673</v>
      </c>
      <c r="M478" s="1187" t="s">
        <v>674</v>
      </c>
      <c r="N478" s="1187" t="s">
        <v>675</v>
      </c>
      <c r="O478" s="1187" t="s">
        <v>676</v>
      </c>
      <c r="P478" s="2046"/>
      <c r="AH478"/>
      <c r="AI478"/>
      <c r="AJ478"/>
      <c r="AK478"/>
      <c r="AL478"/>
      <c r="AM478"/>
      <c r="AN478"/>
      <c r="AO478"/>
      <c r="AP478"/>
      <c r="AQ478"/>
      <c r="AR478"/>
    </row>
    <row r="479" spans="1:44">
      <c r="A479" s="837">
        <v>1</v>
      </c>
      <c r="B479" s="1189" t="s">
        <v>1122</v>
      </c>
      <c r="C479" s="839" t="s">
        <v>1123</v>
      </c>
      <c r="D479" s="840"/>
      <c r="E479" s="306" t="s">
        <v>1124</v>
      </c>
      <c r="F479" s="841">
        <v>1</v>
      </c>
      <c r="G479" s="841">
        <v>22</v>
      </c>
      <c r="H479" s="307">
        <v>100000</v>
      </c>
      <c r="I479" s="307">
        <v>87700</v>
      </c>
      <c r="J479" s="307">
        <f>K479+L479</f>
        <v>21486.5</v>
      </c>
      <c r="K479" s="307">
        <f>I479*0.15</f>
        <v>13155</v>
      </c>
      <c r="L479" s="307">
        <f>I479*0.095</f>
        <v>8331.5</v>
      </c>
      <c r="M479" s="307">
        <v>0</v>
      </c>
      <c r="N479" s="307">
        <f>I479*0.034</f>
        <v>2981.8</v>
      </c>
      <c r="O479" s="307">
        <f>H479</f>
        <v>100000</v>
      </c>
      <c r="P479" s="842">
        <f>H479*0.1</f>
        <v>10000</v>
      </c>
      <c r="AH479"/>
      <c r="AI479"/>
      <c r="AJ479"/>
      <c r="AK479"/>
      <c r="AL479"/>
      <c r="AM479"/>
      <c r="AN479"/>
      <c r="AO479"/>
      <c r="AP479"/>
      <c r="AQ479"/>
      <c r="AR479"/>
    </row>
    <row r="480" spans="1:44">
      <c r="A480" s="843">
        <v>2</v>
      </c>
      <c r="B480" s="93" t="s">
        <v>1125</v>
      </c>
      <c r="C480" s="845" t="s">
        <v>1126</v>
      </c>
      <c r="D480" s="846"/>
      <c r="E480" s="305" t="s">
        <v>678</v>
      </c>
      <c r="F480" s="305">
        <v>1</v>
      </c>
      <c r="G480" s="305">
        <v>22</v>
      </c>
      <c r="H480" s="305">
        <v>40000</v>
      </c>
      <c r="I480" s="305">
        <f t="shared" ref="I480:I485" si="97">H480</f>
        <v>40000</v>
      </c>
      <c r="J480" s="307">
        <f t="shared" ref="J480:J486" si="98">K480+L480</f>
        <v>9800</v>
      </c>
      <c r="K480" s="307">
        <f t="shared" ref="K480:K486" si="99">I480*0.15</f>
        <v>6000</v>
      </c>
      <c r="L480" s="307">
        <f t="shared" ref="L480:L486" si="100">I480*0.095</f>
        <v>3800</v>
      </c>
      <c r="M480" s="307">
        <v>0</v>
      </c>
      <c r="N480" s="307">
        <f t="shared" ref="N480:N486" si="101">I480*0.034</f>
        <v>1360</v>
      </c>
      <c r="O480" s="307">
        <f t="shared" ref="O480:O485" si="102">H480</f>
        <v>40000</v>
      </c>
      <c r="P480" s="842">
        <v>4000</v>
      </c>
      <c r="AH480"/>
      <c r="AI480"/>
      <c r="AJ480"/>
      <c r="AK480"/>
      <c r="AL480"/>
      <c r="AM480"/>
      <c r="AN480"/>
      <c r="AO480"/>
      <c r="AP480"/>
      <c r="AQ480"/>
      <c r="AR480"/>
    </row>
    <row r="481" spans="1:44">
      <c r="A481" s="843">
        <v>3</v>
      </c>
      <c r="B481" s="93" t="s">
        <v>1127</v>
      </c>
      <c r="C481" s="845" t="s">
        <v>1128</v>
      </c>
      <c r="D481" s="846"/>
      <c r="E481" s="847" t="s">
        <v>679</v>
      </c>
      <c r="F481" s="305">
        <v>1</v>
      </c>
      <c r="G481" s="305">
        <v>22</v>
      </c>
      <c r="H481" s="305">
        <v>20100</v>
      </c>
      <c r="I481" s="305">
        <f t="shared" si="97"/>
        <v>20100</v>
      </c>
      <c r="J481" s="307">
        <f t="shared" si="98"/>
        <v>4924.5</v>
      </c>
      <c r="K481" s="307">
        <f t="shared" si="99"/>
        <v>3015</v>
      </c>
      <c r="L481" s="307">
        <f t="shared" si="100"/>
        <v>1909.5</v>
      </c>
      <c r="M481" s="307">
        <v>0</v>
      </c>
      <c r="N481" s="307">
        <f t="shared" si="101"/>
        <v>683.40000000000009</v>
      </c>
      <c r="O481" s="307">
        <f t="shared" si="102"/>
        <v>20100</v>
      </c>
      <c r="P481" s="842">
        <v>1010</v>
      </c>
      <c r="AH481"/>
      <c r="AI481"/>
      <c r="AJ481"/>
      <c r="AK481"/>
      <c r="AL481"/>
      <c r="AM481"/>
      <c r="AN481"/>
      <c r="AO481"/>
      <c r="AP481"/>
      <c r="AQ481"/>
      <c r="AR481"/>
    </row>
    <row r="482" spans="1:44">
      <c r="A482" s="843">
        <v>4</v>
      </c>
      <c r="B482" s="93" t="s">
        <v>1132</v>
      </c>
      <c r="C482" s="845" t="s">
        <v>1133</v>
      </c>
      <c r="D482" s="846"/>
      <c r="E482" s="847" t="s">
        <v>1134</v>
      </c>
      <c r="F482" s="305">
        <v>1</v>
      </c>
      <c r="G482" s="305">
        <v>22</v>
      </c>
      <c r="H482" s="305">
        <v>27000</v>
      </c>
      <c r="I482" s="305">
        <f t="shared" si="97"/>
        <v>27000</v>
      </c>
      <c r="J482" s="307">
        <f t="shared" si="98"/>
        <v>6615</v>
      </c>
      <c r="K482" s="307">
        <f t="shared" si="99"/>
        <v>4050</v>
      </c>
      <c r="L482" s="307">
        <f t="shared" si="100"/>
        <v>2565</v>
      </c>
      <c r="M482" s="307">
        <v>0</v>
      </c>
      <c r="N482" s="307">
        <f t="shared" si="101"/>
        <v>918.00000000000011</v>
      </c>
      <c r="O482" s="307">
        <f t="shared" si="102"/>
        <v>27000</v>
      </c>
      <c r="P482" s="842">
        <v>1700</v>
      </c>
      <c r="AH482"/>
      <c r="AI482"/>
      <c r="AJ482"/>
      <c r="AK482"/>
      <c r="AL482"/>
      <c r="AM482"/>
      <c r="AN482"/>
      <c r="AO482"/>
      <c r="AP482"/>
      <c r="AQ482"/>
      <c r="AR482"/>
    </row>
    <row r="483" spans="1:44">
      <c r="A483" s="843">
        <v>5</v>
      </c>
      <c r="B483" s="93"/>
      <c r="C483" s="845" t="s">
        <v>1137</v>
      </c>
      <c r="D483" s="846"/>
      <c r="E483" s="847" t="s">
        <v>679</v>
      </c>
      <c r="F483" s="305">
        <v>1</v>
      </c>
      <c r="G483" s="305">
        <v>22</v>
      </c>
      <c r="H483" s="305">
        <v>20100</v>
      </c>
      <c r="I483" s="305">
        <f t="shared" si="97"/>
        <v>20100</v>
      </c>
      <c r="J483" s="307">
        <f t="shared" si="98"/>
        <v>4924.5</v>
      </c>
      <c r="K483" s="307">
        <f t="shared" si="99"/>
        <v>3015</v>
      </c>
      <c r="L483" s="307">
        <f t="shared" si="100"/>
        <v>1909.5</v>
      </c>
      <c r="M483" s="307">
        <v>0</v>
      </c>
      <c r="N483" s="307">
        <f t="shared" si="101"/>
        <v>683.40000000000009</v>
      </c>
      <c r="O483" s="307">
        <f t="shared" si="102"/>
        <v>20100</v>
      </c>
      <c r="P483" s="842">
        <v>1010</v>
      </c>
      <c r="AH483"/>
      <c r="AI483"/>
      <c r="AJ483"/>
      <c r="AK483"/>
      <c r="AL483"/>
      <c r="AM483"/>
      <c r="AN483"/>
      <c r="AO483"/>
      <c r="AP483"/>
      <c r="AQ483"/>
      <c r="AR483"/>
    </row>
    <row r="484" spans="1:44">
      <c r="A484" s="843">
        <v>6</v>
      </c>
      <c r="B484" s="93"/>
      <c r="C484" s="845" t="s">
        <v>1139</v>
      </c>
      <c r="D484" s="846"/>
      <c r="E484" s="305" t="s">
        <v>679</v>
      </c>
      <c r="F484" s="305">
        <v>1</v>
      </c>
      <c r="G484" s="305">
        <v>22</v>
      </c>
      <c r="H484" s="305">
        <v>20100</v>
      </c>
      <c r="I484" s="305">
        <f t="shared" si="97"/>
        <v>20100</v>
      </c>
      <c r="J484" s="307">
        <f t="shared" si="98"/>
        <v>4924.5</v>
      </c>
      <c r="K484" s="307">
        <f t="shared" si="99"/>
        <v>3015</v>
      </c>
      <c r="L484" s="307">
        <f t="shared" si="100"/>
        <v>1909.5</v>
      </c>
      <c r="M484" s="307">
        <v>0</v>
      </c>
      <c r="N484" s="307">
        <f t="shared" si="101"/>
        <v>683.40000000000009</v>
      </c>
      <c r="O484" s="307">
        <f t="shared" si="102"/>
        <v>20100</v>
      </c>
      <c r="P484" s="742">
        <v>1010</v>
      </c>
      <c r="AH484"/>
      <c r="AI484"/>
      <c r="AJ484"/>
      <c r="AK484"/>
      <c r="AL484"/>
      <c r="AM484"/>
      <c r="AN484"/>
      <c r="AO484"/>
      <c r="AP484"/>
      <c r="AQ484"/>
      <c r="AR484"/>
    </row>
    <row r="485" spans="1:44">
      <c r="A485" s="843">
        <v>7</v>
      </c>
      <c r="B485" s="93"/>
      <c r="C485" s="845" t="s">
        <v>1141</v>
      </c>
      <c r="D485" s="846"/>
      <c r="E485" s="847" t="s">
        <v>1142</v>
      </c>
      <c r="F485" s="305">
        <v>1</v>
      </c>
      <c r="G485" s="305">
        <v>22</v>
      </c>
      <c r="H485" s="305">
        <v>35000</v>
      </c>
      <c r="I485" s="305">
        <f t="shared" si="97"/>
        <v>35000</v>
      </c>
      <c r="J485" s="307">
        <f t="shared" si="98"/>
        <v>8575</v>
      </c>
      <c r="K485" s="307">
        <f t="shared" si="99"/>
        <v>5250</v>
      </c>
      <c r="L485" s="307">
        <f t="shared" si="100"/>
        <v>3325</v>
      </c>
      <c r="M485" s="307">
        <v>0</v>
      </c>
      <c r="N485" s="307">
        <f t="shared" si="101"/>
        <v>1190</v>
      </c>
      <c r="O485" s="307">
        <f t="shared" si="102"/>
        <v>35000</v>
      </c>
      <c r="P485" s="742">
        <v>3500</v>
      </c>
      <c r="AH485"/>
      <c r="AI485"/>
      <c r="AJ485"/>
      <c r="AK485"/>
      <c r="AL485"/>
      <c r="AM485"/>
      <c r="AN485"/>
      <c r="AO485"/>
      <c r="AP485"/>
      <c r="AQ485"/>
      <c r="AR485"/>
    </row>
    <row r="486" spans="1:44">
      <c r="A486" s="843">
        <v>8</v>
      </c>
      <c r="B486" s="93" t="s">
        <v>1144</v>
      </c>
      <c r="C486" s="845" t="s">
        <v>1145</v>
      </c>
      <c r="D486" s="846"/>
      <c r="E486" s="847" t="s">
        <v>679</v>
      </c>
      <c r="F486" s="305">
        <v>1</v>
      </c>
      <c r="G486" s="305">
        <v>22</v>
      </c>
      <c r="H486" s="305">
        <v>20100</v>
      </c>
      <c r="I486" s="305">
        <f>H486</f>
        <v>20100</v>
      </c>
      <c r="J486" s="307">
        <f t="shared" si="98"/>
        <v>4924.5</v>
      </c>
      <c r="K486" s="307">
        <f t="shared" si="99"/>
        <v>3015</v>
      </c>
      <c r="L486" s="307">
        <f t="shared" si="100"/>
        <v>1909.5</v>
      </c>
      <c r="M486" s="307">
        <v>0</v>
      </c>
      <c r="N486" s="307">
        <f t="shared" si="101"/>
        <v>683.40000000000009</v>
      </c>
      <c r="O486" s="307">
        <f>H486</f>
        <v>20100</v>
      </c>
      <c r="P486" s="842">
        <v>1010</v>
      </c>
      <c r="AH486"/>
      <c r="AI486"/>
      <c r="AJ486"/>
      <c r="AK486"/>
      <c r="AL486"/>
      <c r="AM486"/>
      <c r="AN486"/>
      <c r="AO486"/>
      <c r="AP486"/>
      <c r="AQ486"/>
      <c r="AR486"/>
    </row>
    <row r="487" spans="1:44">
      <c r="A487" s="843">
        <v>9</v>
      </c>
      <c r="B487" s="93"/>
      <c r="C487" s="849" t="s">
        <v>1135</v>
      </c>
      <c r="D487" s="849"/>
      <c r="E487" s="847" t="s">
        <v>679</v>
      </c>
      <c r="F487" s="305">
        <v>1</v>
      </c>
      <c r="G487" s="305">
        <v>22</v>
      </c>
      <c r="H487" s="305">
        <v>20100</v>
      </c>
      <c r="I487" s="305">
        <f>H487</f>
        <v>20100</v>
      </c>
      <c r="J487" s="307">
        <f>K487+L487</f>
        <v>4924.5</v>
      </c>
      <c r="K487" s="307">
        <f>I487*0.15</f>
        <v>3015</v>
      </c>
      <c r="L487" s="307">
        <f>I487*0.095</f>
        <v>1909.5</v>
      </c>
      <c r="M487" s="307">
        <v>0</v>
      </c>
      <c r="N487" s="307">
        <f>I487*0.034</f>
        <v>683.40000000000009</v>
      </c>
      <c r="O487" s="307">
        <f>H487</f>
        <v>20100</v>
      </c>
      <c r="P487" s="842">
        <v>1010</v>
      </c>
      <c r="AH487"/>
      <c r="AI487"/>
      <c r="AJ487"/>
      <c r="AK487"/>
      <c r="AL487"/>
      <c r="AM487"/>
      <c r="AN487"/>
      <c r="AO487"/>
      <c r="AP487"/>
      <c r="AQ487"/>
      <c r="AR487"/>
    </row>
    <row r="488" spans="1:44">
      <c r="A488" s="843">
        <v>10</v>
      </c>
      <c r="B488" s="93"/>
      <c r="C488" s="1966"/>
      <c r="D488" s="1967"/>
      <c r="E488" s="847"/>
      <c r="F488" s="305"/>
      <c r="G488" s="305"/>
      <c r="H488" s="305"/>
      <c r="I488" s="305"/>
      <c r="J488" s="307"/>
      <c r="K488" s="307"/>
      <c r="L488" s="307"/>
      <c r="M488" s="307"/>
      <c r="N488" s="307"/>
      <c r="O488" s="307"/>
      <c r="P488" s="842"/>
      <c r="AH488"/>
      <c r="AI488"/>
      <c r="AJ488"/>
      <c r="AK488"/>
      <c r="AL488"/>
      <c r="AM488"/>
      <c r="AN488"/>
      <c r="AO488"/>
      <c r="AP488"/>
      <c r="AQ488"/>
      <c r="AR488"/>
    </row>
    <row r="489" spans="1:44">
      <c r="A489" s="843">
        <v>11</v>
      </c>
      <c r="B489" s="93"/>
      <c r="C489" s="1966"/>
      <c r="D489" s="1967"/>
      <c r="E489" s="847"/>
      <c r="F489" s="305"/>
      <c r="G489" s="305"/>
      <c r="H489" s="305"/>
      <c r="I489" s="305"/>
      <c r="J489" s="307"/>
      <c r="K489" s="307"/>
      <c r="L489" s="307"/>
      <c r="M489" s="307"/>
      <c r="N489" s="307"/>
      <c r="O489" s="307"/>
      <c r="P489" s="842"/>
      <c r="AH489"/>
      <c r="AI489"/>
      <c r="AJ489"/>
      <c r="AK489"/>
      <c r="AL489"/>
      <c r="AM489"/>
      <c r="AN489"/>
      <c r="AO489"/>
      <c r="AP489"/>
      <c r="AQ489"/>
      <c r="AR489"/>
    </row>
    <row r="490" spans="1:44">
      <c r="A490" s="843">
        <v>12</v>
      </c>
      <c r="B490" s="93"/>
      <c r="C490" s="1966"/>
      <c r="D490" s="1967"/>
      <c r="E490" s="847"/>
      <c r="F490" s="305"/>
      <c r="G490" s="305"/>
      <c r="H490" s="305"/>
      <c r="I490" s="305"/>
      <c r="J490" s="307"/>
      <c r="K490" s="307"/>
      <c r="L490" s="307"/>
      <c r="M490" s="307"/>
      <c r="N490" s="307"/>
      <c r="O490" s="307"/>
      <c r="P490" s="842"/>
      <c r="AH490"/>
      <c r="AI490"/>
      <c r="AJ490"/>
      <c r="AK490"/>
      <c r="AL490"/>
      <c r="AM490"/>
      <c r="AN490"/>
      <c r="AO490"/>
      <c r="AP490"/>
      <c r="AQ490"/>
      <c r="AR490"/>
    </row>
    <row r="491" spans="1:44">
      <c r="A491" s="837">
        <v>13</v>
      </c>
      <c r="B491" s="93"/>
      <c r="C491" s="1966"/>
      <c r="D491" s="1967"/>
      <c r="E491" s="847"/>
      <c r="F491" s="305"/>
      <c r="G491" s="305"/>
      <c r="H491" s="305"/>
      <c r="I491" s="305"/>
      <c r="J491" s="307"/>
      <c r="K491" s="307"/>
      <c r="L491" s="307"/>
      <c r="M491" s="307"/>
      <c r="N491" s="307"/>
      <c r="O491" s="307"/>
      <c r="P491" s="842"/>
      <c r="AH491"/>
      <c r="AI491"/>
      <c r="AJ491"/>
      <c r="AK491"/>
      <c r="AL491"/>
      <c r="AM491"/>
      <c r="AN491"/>
      <c r="AO491"/>
      <c r="AP491"/>
      <c r="AQ491"/>
      <c r="AR491"/>
    </row>
    <row r="492" spans="1:44">
      <c r="A492" s="843">
        <v>14</v>
      </c>
      <c r="B492" s="93"/>
      <c r="C492" s="1966"/>
      <c r="D492" s="1967"/>
      <c r="E492" s="847"/>
      <c r="F492" s="305"/>
      <c r="G492" s="305"/>
      <c r="H492" s="305"/>
      <c r="I492" s="305"/>
      <c r="J492" s="307"/>
      <c r="K492" s="307"/>
      <c r="L492" s="307"/>
      <c r="M492" s="307"/>
      <c r="N492" s="307"/>
      <c r="O492" s="307"/>
      <c r="P492" s="842"/>
      <c r="AH492"/>
      <c r="AI492"/>
      <c r="AJ492"/>
      <c r="AK492"/>
      <c r="AL492"/>
      <c r="AM492"/>
      <c r="AN492"/>
      <c r="AO492"/>
      <c r="AP492"/>
      <c r="AQ492"/>
      <c r="AR492"/>
    </row>
    <row r="493" spans="1:44">
      <c r="A493" s="843">
        <v>15</v>
      </c>
      <c r="B493" s="93"/>
      <c r="C493" s="1966"/>
      <c r="D493" s="1967"/>
      <c r="E493" s="847"/>
      <c r="F493" s="305"/>
      <c r="G493" s="305"/>
      <c r="H493" s="305"/>
      <c r="I493" s="305"/>
      <c r="J493" s="307"/>
      <c r="K493" s="307"/>
      <c r="L493" s="307"/>
      <c r="M493" s="307"/>
      <c r="N493" s="307"/>
      <c r="O493" s="307"/>
      <c r="P493" s="842"/>
      <c r="AH493"/>
      <c r="AI493"/>
      <c r="AJ493"/>
      <c r="AK493"/>
      <c r="AL493"/>
      <c r="AM493"/>
      <c r="AN493"/>
      <c r="AO493"/>
      <c r="AP493"/>
      <c r="AQ493"/>
      <c r="AR493"/>
    </row>
    <row r="494" spans="1:44">
      <c r="A494" s="837">
        <v>16</v>
      </c>
      <c r="B494" s="93"/>
      <c r="C494" s="1966"/>
      <c r="D494" s="1967"/>
      <c r="E494" s="847"/>
      <c r="F494" s="305"/>
      <c r="G494" s="305"/>
      <c r="H494" s="305"/>
      <c r="I494" s="305"/>
      <c r="J494" s="307"/>
      <c r="K494" s="307"/>
      <c r="L494" s="307"/>
      <c r="M494" s="307"/>
      <c r="N494" s="307"/>
      <c r="O494" s="307"/>
      <c r="P494" s="842"/>
      <c r="AH494"/>
      <c r="AI494"/>
      <c r="AJ494"/>
      <c r="AK494"/>
      <c r="AL494"/>
      <c r="AM494"/>
      <c r="AN494"/>
      <c r="AO494"/>
      <c r="AP494"/>
      <c r="AQ494"/>
      <c r="AR494"/>
    </row>
    <row r="495" spans="1:44">
      <c r="A495" s="843">
        <v>17</v>
      </c>
      <c r="B495" s="93"/>
      <c r="C495" s="1966"/>
      <c r="D495" s="1967"/>
      <c r="E495" s="847"/>
      <c r="F495" s="305"/>
      <c r="G495" s="305"/>
      <c r="H495" s="305"/>
      <c r="I495" s="305"/>
      <c r="J495" s="307"/>
      <c r="K495" s="307"/>
      <c r="L495" s="307"/>
      <c r="M495" s="307"/>
      <c r="N495" s="307"/>
      <c r="O495" s="307"/>
      <c r="P495" s="842"/>
      <c r="AH495"/>
      <c r="AI495"/>
      <c r="AJ495"/>
      <c r="AK495"/>
      <c r="AL495"/>
      <c r="AM495"/>
      <c r="AN495"/>
      <c r="AO495"/>
      <c r="AP495"/>
      <c r="AQ495"/>
      <c r="AR495"/>
    </row>
    <row r="496" spans="1:44">
      <c r="A496" s="843">
        <v>18</v>
      </c>
      <c r="B496" s="93"/>
      <c r="C496" s="1966"/>
      <c r="D496" s="1967"/>
      <c r="E496" s="847"/>
      <c r="F496" s="305"/>
      <c r="G496" s="305"/>
      <c r="H496" s="305"/>
      <c r="I496" s="305"/>
      <c r="J496" s="307"/>
      <c r="K496" s="307"/>
      <c r="L496" s="307"/>
      <c r="M496" s="307"/>
      <c r="N496" s="307"/>
      <c r="O496" s="307"/>
      <c r="P496" s="842"/>
      <c r="AH496"/>
      <c r="AI496"/>
      <c r="AJ496"/>
      <c r="AK496"/>
      <c r="AL496"/>
      <c r="AM496"/>
      <c r="AN496"/>
      <c r="AO496"/>
      <c r="AP496"/>
      <c r="AQ496"/>
      <c r="AR496"/>
    </row>
    <row r="497" spans="1:44">
      <c r="A497" s="837">
        <v>19</v>
      </c>
      <c r="B497" s="93"/>
      <c r="C497" s="1966"/>
      <c r="D497" s="1967"/>
      <c r="E497" s="847"/>
      <c r="F497" s="305"/>
      <c r="G497" s="305"/>
      <c r="H497" s="305"/>
      <c r="I497" s="305"/>
      <c r="J497" s="307"/>
      <c r="K497" s="307"/>
      <c r="L497" s="307"/>
      <c r="M497" s="307"/>
      <c r="N497" s="307"/>
      <c r="O497" s="307"/>
      <c r="P497" s="842"/>
      <c r="AH497"/>
      <c r="AI497"/>
      <c r="AJ497"/>
      <c r="AK497"/>
      <c r="AL497"/>
      <c r="AM497"/>
      <c r="AN497"/>
      <c r="AO497"/>
      <c r="AP497"/>
      <c r="AQ497"/>
      <c r="AR497"/>
    </row>
    <row r="498" spans="1:44" ht="13.5" thickBot="1">
      <c r="A498" s="843">
        <v>20</v>
      </c>
      <c r="B498" s="93"/>
      <c r="C498" s="1966"/>
      <c r="D498" s="1967"/>
      <c r="E498" s="847"/>
      <c r="F498" s="305"/>
      <c r="G498" s="305"/>
      <c r="H498" s="305"/>
      <c r="I498" s="305"/>
      <c r="J498" s="307"/>
      <c r="K498" s="307"/>
      <c r="L498" s="307"/>
      <c r="M498" s="307"/>
      <c r="N498" s="307"/>
      <c r="O498" s="307"/>
      <c r="P498" s="842"/>
      <c r="AH498"/>
      <c r="AI498"/>
      <c r="AJ498"/>
      <c r="AK498"/>
      <c r="AL498"/>
      <c r="AM498"/>
      <c r="AN498"/>
      <c r="AO498"/>
      <c r="AP498"/>
      <c r="AQ498"/>
      <c r="AR498"/>
    </row>
    <row r="499" spans="1:44" ht="13.5" thickBot="1">
      <c r="A499" s="2047" t="s">
        <v>687</v>
      </c>
      <c r="B499" s="2048"/>
      <c r="C499" s="2048"/>
      <c r="D499" s="2048"/>
      <c r="E499" s="2048"/>
      <c r="F499" s="2048"/>
      <c r="G499" s="2049"/>
      <c r="H499" s="1190">
        <f t="shared" ref="H499:P499" si="103">SUM(H479:H498)</f>
        <v>302500</v>
      </c>
      <c r="I499" s="1190">
        <f t="shared" si="103"/>
        <v>290200</v>
      </c>
      <c r="J499" s="1190">
        <f t="shared" si="103"/>
        <v>71099</v>
      </c>
      <c r="K499" s="1190">
        <f t="shared" si="103"/>
        <v>43530</v>
      </c>
      <c r="L499" s="1190">
        <f t="shared" si="103"/>
        <v>27569</v>
      </c>
      <c r="M499" s="1190">
        <f t="shared" si="103"/>
        <v>0</v>
      </c>
      <c r="N499" s="1190">
        <f t="shared" si="103"/>
        <v>9866.7999999999993</v>
      </c>
      <c r="O499" s="1190">
        <f t="shared" si="103"/>
        <v>302500</v>
      </c>
      <c r="P499" s="1190">
        <f t="shared" si="103"/>
        <v>24250</v>
      </c>
      <c r="AH499"/>
      <c r="AI499"/>
      <c r="AJ499"/>
      <c r="AK499"/>
      <c r="AL499"/>
      <c r="AM499"/>
      <c r="AN499"/>
      <c r="AO499"/>
      <c r="AP499"/>
      <c r="AQ499"/>
      <c r="AR499"/>
    </row>
    <row r="500" spans="1:44" ht="13.5" thickBot="1">
      <c r="A500" s="2050" t="s">
        <v>690</v>
      </c>
      <c r="B500" s="2051"/>
      <c r="C500" s="2051"/>
      <c r="D500" s="2051"/>
      <c r="E500" s="2051"/>
      <c r="F500" s="2051"/>
      <c r="G500" s="2052"/>
      <c r="H500" s="1191"/>
      <c r="I500" s="841"/>
      <c r="J500" s="841"/>
      <c r="K500" s="841"/>
      <c r="L500" s="841"/>
      <c r="M500" s="841"/>
      <c r="N500" s="841"/>
      <c r="O500" s="841"/>
      <c r="P500" s="1192"/>
      <c r="AH500"/>
      <c r="AI500"/>
      <c r="AJ500"/>
      <c r="AK500"/>
      <c r="AL500"/>
      <c r="AM500"/>
      <c r="AN500"/>
      <c r="AO500"/>
      <c r="AP500"/>
      <c r="AQ500"/>
      <c r="AR500"/>
    </row>
    <row r="501" spans="1:44" ht="13.5" thickBot="1">
      <c r="A501" s="2053" t="s">
        <v>693</v>
      </c>
      <c r="B501" s="2054"/>
      <c r="C501" s="2054"/>
      <c r="D501" s="2054"/>
      <c r="E501" s="2054"/>
      <c r="F501" s="2054"/>
      <c r="G501" s="2055"/>
      <c r="H501" s="1190">
        <f>SUM(H499:H500)</f>
        <v>302500</v>
      </c>
      <c r="I501" s="1190">
        <f t="shared" ref="I501:P501" si="104">SUM(I499:I500)</f>
        <v>290200</v>
      </c>
      <c r="J501" s="1190">
        <f t="shared" si="104"/>
        <v>71099</v>
      </c>
      <c r="K501" s="1190">
        <f t="shared" si="104"/>
        <v>43530</v>
      </c>
      <c r="L501" s="1190">
        <f t="shared" si="104"/>
        <v>27569</v>
      </c>
      <c r="M501" s="1190">
        <f t="shared" si="104"/>
        <v>0</v>
      </c>
      <c r="N501" s="1190">
        <f t="shared" si="104"/>
        <v>9866.7999999999993</v>
      </c>
      <c r="O501" s="1190">
        <f t="shared" si="104"/>
        <v>302500</v>
      </c>
      <c r="P501" s="1190">
        <f t="shared" si="104"/>
        <v>24250</v>
      </c>
      <c r="AH501"/>
      <c r="AI501"/>
      <c r="AJ501"/>
      <c r="AK501"/>
      <c r="AL501"/>
      <c r="AM501"/>
      <c r="AN501"/>
      <c r="AO501"/>
      <c r="AP501"/>
      <c r="AQ501"/>
      <c r="AR501"/>
    </row>
    <row r="502" spans="1:44" ht="13.5" thickBot="1">
      <c r="A502" s="1193"/>
      <c r="B502" s="1194"/>
      <c r="C502" s="1194"/>
      <c r="D502" s="1194"/>
      <c r="E502" s="1194"/>
      <c r="F502" s="1194"/>
      <c r="G502" s="1194"/>
      <c r="H502" s="1195"/>
      <c r="I502" s="1195"/>
      <c r="J502" s="1195"/>
      <c r="K502" s="1195"/>
      <c r="L502" s="1195"/>
      <c r="M502" s="1195"/>
      <c r="N502" s="1195"/>
      <c r="O502" s="1195"/>
      <c r="P502" s="1196"/>
      <c r="AH502"/>
      <c r="AI502"/>
      <c r="AJ502"/>
      <c r="AK502"/>
      <c r="AL502"/>
      <c r="AM502"/>
      <c r="AN502"/>
      <c r="AO502"/>
      <c r="AP502"/>
      <c r="AQ502"/>
      <c r="AR502"/>
    </row>
    <row r="503" spans="1:44">
      <c r="A503" s="869"/>
      <c r="B503" s="1197" t="s">
        <v>698</v>
      </c>
      <c r="C503" s="871"/>
      <c r="D503" s="871"/>
      <c r="E503" s="871"/>
      <c r="F503" s="871"/>
      <c r="G503" s="871"/>
      <c r="H503" s="872" t="s">
        <v>699</v>
      </c>
      <c r="I503" s="871"/>
      <c r="J503" s="871"/>
      <c r="K503" s="871"/>
      <c r="L503" s="871"/>
      <c r="M503" s="871"/>
      <c r="N503" s="871"/>
      <c r="O503" s="871"/>
      <c r="P503" s="873"/>
      <c r="AH503"/>
      <c r="AI503"/>
      <c r="AJ503"/>
      <c r="AK503"/>
      <c r="AL503"/>
      <c r="AM503"/>
      <c r="AN503"/>
      <c r="AO503"/>
      <c r="AP503"/>
      <c r="AQ503"/>
      <c r="AR503"/>
    </row>
    <row r="504" spans="1:44">
      <c r="A504" s="874" t="s">
        <v>1157</v>
      </c>
      <c r="B504" s="875"/>
      <c r="C504" s="875"/>
      <c r="D504" s="875"/>
      <c r="E504" s="875"/>
      <c r="F504" s="875"/>
      <c r="G504" s="875"/>
      <c r="H504" s="876" t="s">
        <v>700</v>
      </c>
      <c r="I504" s="875"/>
      <c r="J504" s="875"/>
      <c r="K504" s="875"/>
      <c r="L504" s="875"/>
      <c r="M504" s="875"/>
      <c r="N504" s="875"/>
      <c r="O504" s="875"/>
      <c r="P504" s="877"/>
      <c r="AH504"/>
      <c r="AI504"/>
      <c r="AJ504"/>
      <c r="AK504"/>
      <c r="AL504"/>
      <c r="AM504"/>
      <c r="AN504"/>
      <c r="AO504"/>
      <c r="AP504"/>
      <c r="AQ504"/>
      <c r="AR504"/>
    </row>
    <row r="505" spans="1:44">
      <c r="A505" s="874" t="s">
        <v>1158</v>
      </c>
      <c r="B505" s="875"/>
      <c r="C505" s="875"/>
      <c r="D505" s="875"/>
      <c r="E505" s="875"/>
      <c r="F505" s="875"/>
      <c r="G505" s="875"/>
      <c r="H505" s="876" t="s">
        <v>701</v>
      </c>
      <c r="I505" s="875"/>
      <c r="J505" s="875"/>
      <c r="K505" s="875"/>
      <c r="L505" s="875"/>
      <c r="M505" s="875"/>
      <c r="N505" s="875"/>
      <c r="O505" s="875"/>
      <c r="P505" s="877"/>
      <c r="AH505"/>
      <c r="AI505"/>
      <c r="AJ505"/>
      <c r="AK505"/>
      <c r="AL505"/>
      <c r="AM505"/>
      <c r="AN505"/>
      <c r="AO505"/>
      <c r="AP505"/>
      <c r="AQ505"/>
      <c r="AR505"/>
    </row>
    <row r="506" spans="1:44">
      <c r="A506" s="874" t="s">
        <v>702</v>
      </c>
      <c r="B506" s="875"/>
      <c r="C506" s="875"/>
      <c r="D506" s="875"/>
      <c r="E506" s="875"/>
      <c r="F506" s="875"/>
      <c r="G506" s="875"/>
      <c r="H506" s="876" t="s">
        <v>703</v>
      </c>
      <c r="I506" s="875"/>
      <c r="J506" s="875"/>
      <c r="K506" s="875"/>
      <c r="L506" s="875"/>
      <c r="M506" s="875"/>
      <c r="N506" s="875"/>
      <c r="O506" s="875"/>
      <c r="P506" s="877"/>
      <c r="AH506"/>
      <c r="AI506"/>
      <c r="AJ506"/>
      <c r="AK506"/>
      <c r="AL506"/>
      <c r="AM506"/>
      <c r="AN506"/>
      <c r="AO506"/>
      <c r="AP506"/>
      <c r="AQ506"/>
      <c r="AR506"/>
    </row>
    <row r="507" spans="1:44">
      <c r="A507" s="874"/>
      <c r="B507" s="875"/>
      <c r="C507" s="875"/>
      <c r="D507" s="875"/>
      <c r="E507" s="875"/>
      <c r="F507" s="875"/>
      <c r="G507" s="875"/>
      <c r="H507" s="876" t="s">
        <v>704</v>
      </c>
      <c r="I507" s="875"/>
      <c r="J507" s="875"/>
      <c r="K507" s="875"/>
      <c r="L507" s="875"/>
      <c r="M507" s="875"/>
      <c r="N507" s="875"/>
      <c r="O507" s="875"/>
      <c r="P507" s="877"/>
      <c r="AH507"/>
      <c r="AI507"/>
      <c r="AJ507"/>
      <c r="AK507"/>
      <c r="AL507"/>
      <c r="AM507"/>
      <c r="AN507"/>
      <c r="AO507"/>
      <c r="AP507"/>
      <c r="AQ507"/>
      <c r="AR507"/>
    </row>
    <row r="508" spans="1:44">
      <c r="A508" s="874"/>
      <c r="B508" s="107" t="s">
        <v>705</v>
      </c>
      <c r="C508" s="875"/>
      <c r="D508" s="875"/>
      <c r="E508" s="875"/>
      <c r="F508" s="875"/>
      <c r="G508" s="875"/>
      <c r="H508" s="876" t="s">
        <v>706</v>
      </c>
      <c r="I508" s="875"/>
      <c r="J508" s="875"/>
      <c r="K508" s="875"/>
      <c r="L508" s="875"/>
      <c r="M508" s="875"/>
      <c r="N508" s="875"/>
      <c r="O508" s="875"/>
      <c r="P508" s="877"/>
      <c r="AH508"/>
      <c r="AI508"/>
      <c r="AJ508"/>
      <c r="AK508"/>
      <c r="AL508"/>
      <c r="AM508"/>
      <c r="AN508"/>
      <c r="AO508"/>
      <c r="AP508"/>
      <c r="AQ508"/>
      <c r="AR508"/>
    </row>
    <row r="509" spans="1:44">
      <c r="A509" s="874"/>
      <c r="B509" s="875" t="s">
        <v>1159</v>
      </c>
      <c r="C509" s="875"/>
      <c r="D509" s="875"/>
      <c r="E509" s="875"/>
      <c r="F509" s="875"/>
      <c r="G509" s="875"/>
      <c r="H509" s="876"/>
      <c r="I509" s="875"/>
      <c r="J509" s="875"/>
      <c r="K509" s="1198" t="s">
        <v>707</v>
      </c>
      <c r="L509" s="875"/>
      <c r="M509" s="875"/>
      <c r="N509" s="875"/>
      <c r="O509" s="875"/>
      <c r="P509" s="877"/>
      <c r="AH509"/>
      <c r="AI509"/>
      <c r="AJ509"/>
      <c r="AK509"/>
      <c r="AL509"/>
      <c r="AM509"/>
      <c r="AN509"/>
      <c r="AO509"/>
      <c r="AP509"/>
      <c r="AQ509"/>
      <c r="AR509"/>
    </row>
    <row r="510" spans="1:44">
      <c r="A510" s="874"/>
      <c r="B510" s="875"/>
      <c r="C510" s="875"/>
      <c r="D510" s="875" t="s">
        <v>708</v>
      </c>
      <c r="E510" s="875"/>
      <c r="F510" s="875"/>
      <c r="G510" s="875"/>
      <c r="H510" s="876" t="s">
        <v>709</v>
      </c>
      <c r="I510" s="875"/>
      <c r="J510" s="875"/>
      <c r="K510" s="875"/>
      <c r="L510" s="875"/>
      <c r="M510" s="875"/>
      <c r="N510" s="875"/>
      <c r="O510" s="875"/>
      <c r="P510" s="877"/>
      <c r="AH510"/>
      <c r="AI510"/>
      <c r="AJ510"/>
      <c r="AK510"/>
      <c r="AL510"/>
      <c r="AM510"/>
      <c r="AN510"/>
      <c r="AO510"/>
      <c r="AP510"/>
      <c r="AQ510"/>
      <c r="AR510"/>
    </row>
    <row r="511" spans="1:44">
      <c r="A511" s="874"/>
      <c r="B511" s="875"/>
      <c r="C511" s="875"/>
      <c r="D511" s="875"/>
      <c r="E511" s="875"/>
      <c r="F511" s="875"/>
      <c r="G511" s="875"/>
      <c r="H511" s="876"/>
      <c r="I511" s="875" t="s">
        <v>710</v>
      </c>
      <c r="J511" s="875"/>
      <c r="K511" s="875"/>
      <c r="L511" s="875"/>
      <c r="M511" s="875"/>
      <c r="N511" s="875"/>
      <c r="O511" s="875"/>
      <c r="P511" s="877"/>
      <c r="AH511"/>
      <c r="AI511"/>
      <c r="AJ511"/>
      <c r="AK511"/>
      <c r="AL511"/>
      <c r="AM511"/>
      <c r="AN511"/>
      <c r="AO511"/>
      <c r="AP511"/>
      <c r="AQ511"/>
      <c r="AR511"/>
    </row>
    <row r="512" spans="1:44" ht="13.5" thickBot="1">
      <c r="A512" s="880"/>
      <c r="B512" s="881"/>
      <c r="C512" s="881"/>
      <c r="D512" s="881"/>
      <c r="E512" s="881"/>
      <c r="F512" s="881"/>
      <c r="G512" s="881"/>
      <c r="H512" s="882"/>
      <c r="I512" s="881" t="s">
        <v>711</v>
      </c>
      <c r="J512" s="881"/>
      <c r="K512" s="881"/>
      <c r="L512" s="881"/>
      <c r="M512" s="881"/>
      <c r="N512" s="881"/>
      <c r="O512" s="881"/>
      <c r="P512" s="884"/>
      <c r="AH512"/>
      <c r="AI512"/>
      <c r="AJ512"/>
      <c r="AK512"/>
      <c r="AL512"/>
      <c r="AM512"/>
      <c r="AN512"/>
      <c r="AO512"/>
      <c r="AP512"/>
      <c r="AQ512"/>
      <c r="AR512"/>
    </row>
    <row r="513" spans="1:44">
      <c r="A513" s="1179"/>
      <c r="B513" s="1179"/>
      <c r="C513" s="1179"/>
      <c r="D513" s="1179"/>
      <c r="E513" s="1179"/>
      <c r="F513" s="1179"/>
      <c r="G513" s="1179"/>
      <c r="H513" s="1179"/>
      <c r="I513" s="1179"/>
      <c r="J513" s="1179"/>
      <c r="K513" s="1179"/>
      <c r="L513" s="1179"/>
      <c r="M513" s="1179"/>
      <c r="N513" s="1179"/>
      <c r="O513" s="1179"/>
      <c r="P513" s="1179"/>
      <c r="AH513"/>
      <c r="AI513"/>
      <c r="AJ513"/>
      <c r="AK513"/>
      <c r="AL513"/>
      <c r="AM513"/>
      <c r="AN513"/>
      <c r="AO513"/>
      <c r="AP513"/>
      <c r="AQ513"/>
      <c r="AR513"/>
    </row>
    <row r="514" spans="1:44">
      <c r="A514" s="1179"/>
      <c r="B514" s="1179"/>
      <c r="C514" s="1179"/>
      <c r="D514" s="1179"/>
      <c r="E514" s="1179"/>
      <c r="F514" s="1179"/>
      <c r="G514" s="1179"/>
      <c r="H514" s="1179"/>
      <c r="I514" s="1179"/>
      <c r="J514" s="1179"/>
      <c r="K514" s="1179"/>
      <c r="L514" s="1179"/>
      <c r="M514" s="1179"/>
      <c r="N514" s="1179"/>
      <c r="O514" s="1179"/>
      <c r="P514" s="1179"/>
      <c r="AH514"/>
      <c r="AI514"/>
      <c r="AJ514"/>
      <c r="AK514"/>
      <c r="AL514"/>
      <c r="AM514"/>
      <c r="AN514"/>
      <c r="AO514"/>
      <c r="AP514"/>
      <c r="AQ514"/>
      <c r="AR514"/>
    </row>
    <row r="515" spans="1:44">
      <c r="A515" s="349" t="s">
        <v>664</v>
      </c>
      <c r="B515" s="349"/>
      <c r="C515" s="349"/>
      <c r="D515" s="349"/>
      <c r="E515" s="349"/>
      <c r="F515" s="349"/>
      <c r="G515" s="349"/>
      <c r="H515" s="349"/>
      <c r="I515" s="349"/>
      <c r="J515" s="349"/>
      <c r="K515" s="349"/>
      <c r="L515" s="349"/>
      <c r="M515" s="349"/>
      <c r="N515" s="349"/>
      <c r="O515" s="349"/>
      <c r="P515" s="349"/>
      <c r="AH515"/>
      <c r="AI515"/>
      <c r="AJ515"/>
      <c r="AK515"/>
      <c r="AL515"/>
      <c r="AM515"/>
      <c r="AN515"/>
      <c r="AO515"/>
      <c r="AP515"/>
      <c r="AQ515"/>
      <c r="AR515"/>
    </row>
    <row r="516" spans="1:44">
      <c r="A516" s="349" t="s">
        <v>1099</v>
      </c>
      <c r="B516" s="349"/>
      <c r="C516" s="349"/>
      <c r="D516" s="349" t="s">
        <v>1100</v>
      </c>
      <c r="E516" s="349"/>
      <c r="F516" s="349"/>
      <c r="G516" s="349"/>
      <c r="H516" s="349"/>
      <c r="I516" s="349" t="s">
        <v>1790</v>
      </c>
      <c r="J516" s="349"/>
      <c r="K516" s="349"/>
      <c r="L516" s="349"/>
      <c r="M516" s="349"/>
      <c r="N516" s="349" t="s">
        <v>1102</v>
      </c>
      <c r="O516" s="349"/>
      <c r="P516" s="349"/>
      <c r="AH516"/>
      <c r="AI516"/>
      <c r="AJ516"/>
      <c r="AK516"/>
      <c r="AL516"/>
      <c r="AM516"/>
      <c r="AN516"/>
      <c r="AO516"/>
      <c r="AP516"/>
      <c r="AQ516"/>
      <c r="AR516"/>
    </row>
    <row r="517" spans="1:44" ht="13.5" thickBot="1">
      <c r="A517" s="349" t="s">
        <v>665</v>
      </c>
      <c r="B517" s="349"/>
      <c r="C517" s="349"/>
      <c r="D517" s="349"/>
      <c r="E517" s="1979"/>
      <c r="F517" s="1979"/>
      <c r="G517" s="1979"/>
      <c r="H517" s="1979" t="s">
        <v>1104</v>
      </c>
      <c r="I517" s="1979"/>
      <c r="J517" s="1979"/>
      <c r="K517" s="1979"/>
      <c r="L517" s="349"/>
      <c r="M517" s="1979" t="s">
        <v>666</v>
      </c>
      <c r="N517" s="1979"/>
      <c r="O517" s="1979"/>
      <c r="P517" s="1979"/>
      <c r="AH517"/>
      <c r="AI517"/>
      <c r="AJ517"/>
      <c r="AK517"/>
      <c r="AL517"/>
      <c r="AM517"/>
      <c r="AN517"/>
      <c r="AO517"/>
      <c r="AP517"/>
      <c r="AQ517"/>
      <c r="AR517"/>
    </row>
    <row r="518" spans="1:44" ht="48.75" thickBot="1">
      <c r="A518" s="2035" t="s">
        <v>187</v>
      </c>
      <c r="B518" s="1180" t="s">
        <v>667</v>
      </c>
      <c r="C518" s="2035" t="s">
        <v>1106</v>
      </c>
      <c r="D518" s="2038"/>
      <c r="E518" s="2035" t="s">
        <v>1107</v>
      </c>
      <c r="F518" s="2041" t="s">
        <v>1108</v>
      </c>
      <c r="G518" s="2041" t="s">
        <v>1109</v>
      </c>
      <c r="H518" s="1181" t="s">
        <v>1110</v>
      </c>
      <c r="I518" s="1182"/>
      <c r="J518" s="1181" t="s">
        <v>188</v>
      </c>
      <c r="K518" s="1183"/>
      <c r="L518" s="1183"/>
      <c r="M518" s="1183"/>
      <c r="N518" s="1180" t="s">
        <v>189</v>
      </c>
      <c r="O518" s="1180" t="s">
        <v>1111</v>
      </c>
      <c r="P518" s="2044" t="s">
        <v>1112</v>
      </c>
      <c r="AH518"/>
      <c r="AI518"/>
      <c r="AJ518"/>
      <c r="AK518"/>
      <c r="AL518"/>
      <c r="AM518"/>
      <c r="AN518"/>
      <c r="AO518"/>
      <c r="AP518"/>
      <c r="AQ518"/>
      <c r="AR518"/>
    </row>
    <row r="519" spans="1:44" ht="36.75" thickBot="1">
      <c r="A519" s="2036"/>
      <c r="B519" s="1184" t="s">
        <v>668</v>
      </c>
      <c r="C519" s="2036"/>
      <c r="D519" s="2039"/>
      <c r="E519" s="2036"/>
      <c r="F519" s="2042"/>
      <c r="G519" s="2042"/>
      <c r="H519" s="2044" t="s">
        <v>193</v>
      </c>
      <c r="I519" s="2044" t="s">
        <v>1113</v>
      </c>
      <c r="J519" s="2044" t="s">
        <v>1114</v>
      </c>
      <c r="K519" s="1185" t="s">
        <v>194</v>
      </c>
      <c r="L519" s="1186"/>
      <c r="M519" s="1180" t="s">
        <v>669</v>
      </c>
      <c r="N519" s="1184" t="s">
        <v>670</v>
      </c>
      <c r="O519" s="1184" t="s">
        <v>195</v>
      </c>
      <c r="P519" s="2045"/>
      <c r="AH519"/>
      <c r="AI519"/>
      <c r="AJ519"/>
      <c r="AK519"/>
      <c r="AL519"/>
      <c r="AM519"/>
      <c r="AN519"/>
      <c r="AO519"/>
      <c r="AP519"/>
      <c r="AQ519"/>
      <c r="AR519"/>
    </row>
    <row r="520" spans="1:44" ht="36.75" thickBot="1">
      <c r="A520" s="2037"/>
      <c r="B520" s="1187" t="s">
        <v>671</v>
      </c>
      <c r="C520" s="2037"/>
      <c r="D520" s="2040"/>
      <c r="E520" s="2037"/>
      <c r="F520" s="2043"/>
      <c r="G520" s="2043"/>
      <c r="H520" s="2046"/>
      <c r="I520" s="2046"/>
      <c r="J520" s="2046"/>
      <c r="K520" s="1188" t="s">
        <v>672</v>
      </c>
      <c r="L520" s="1188" t="s">
        <v>673</v>
      </c>
      <c r="M520" s="1187" t="s">
        <v>674</v>
      </c>
      <c r="N520" s="1187" t="s">
        <v>675</v>
      </c>
      <c r="O520" s="1187" t="s">
        <v>676</v>
      </c>
      <c r="P520" s="2046"/>
      <c r="AH520"/>
      <c r="AI520"/>
      <c r="AJ520"/>
      <c r="AK520"/>
      <c r="AL520"/>
      <c r="AM520"/>
      <c r="AN520"/>
      <c r="AO520"/>
      <c r="AP520"/>
      <c r="AQ520"/>
      <c r="AR520"/>
    </row>
    <row r="521" spans="1:44">
      <c r="A521" s="837">
        <v>1</v>
      </c>
      <c r="B521" s="1189" t="s">
        <v>1122</v>
      </c>
      <c r="C521" s="839" t="s">
        <v>1123</v>
      </c>
      <c r="D521" s="840"/>
      <c r="E521" s="306" t="s">
        <v>1124</v>
      </c>
      <c r="F521" s="841">
        <v>1</v>
      </c>
      <c r="G521" s="841">
        <v>22</v>
      </c>
      <c r="H521" s="307">
        <v>100000</v>
      </c>
      <c r="I521" s="307">
        <v>87700</v>
      </c>
      <c r="J521" s="307">
        <f>K521+L521</f>
        <v>21486.5</v>
      </c>
      <c r="K521" s="307">
        <f>I521*0.15</f>
        <v>13155</v>
      </c>
      <c r="L521" s="307">
        <f>I521*0.095</f>
        <v>8331.5</v>
      </c>
      <c r="M521" s="307">
        <v>0</v>
      </c>
      <c r="N521" s="307">
        <f>I521*0.034</f>
        <v>2981.8</v>
      </c>
      <c r="O521" s="307">
        <f>H521</f>
        <v>100000</v>
      </c>
      <c r="P521" s="842">
        <f>H521*0.1</f>
        <v>10000</v>
      </c>
      <c r="AH521"/>
      <c r="AI521"/>
      <c r="AJ521"/>
      <c r="AK521"/>
      <c r="AL521"/>
      <c r="AM521"/>
      <c r="AN521"/>
      <c r="AO521"/>
      <c r="AP521"/>
      <c r="AQ521"/>
      <c r="AR521"/>
    </row>
    <row r="522" spans="1:44">
      <c r="A522" s="843">
        <v>2</v>
      </c>
      <c r="B522" s="93" t="s">
        <v>1125</v>
      </c>
      <c r="C522" s="845" t="s">
        <v>1126</v>
      </c>
      <c r="D522" s="846"/>
      <c r="E522" s="305" t="s">
        <v>678</v>
      </c>
      <c r="F522" s="305">
        <v>1</v>
      </c>
      <c r="G522" s="305">
        <v>22</v>
      </c>
      <c r="H522" s="305">
        <v>40000</v>
      </c>
      <c r="I522" s="305">
        <f t="shared" ref="I522:I533" si="105">H522</f>
        <v>40000</v>
      </c>
      <c r="J522" s="307">
        <f t="shared" ref="J522:J528" si="106">K522+L522</f>
        <v>9800</v>
      </c>
      <c r="K522" s="307">
        <f t="shared" ref="K522:K528" si="107">I522*0.15</f>
        <v>6000</v>
      </c>
      <c r="L522" s="307">
        <f t="shared" ref="L522:L528" si="108">I522*0.095</f>
        <v>3800</v>
      </c>
      <c r="M522" s="307">
        <v>0</v>
      </c>
      <c r="N522" s="307">
        <f t="shared" ref="N522:N528" si="109">I522*0.034</f>
        <v>1360</v>
      </c>
      <c r="O522" s="307">
        <f t="shared" ref="O522:O533" si="110">H522</f>
        <v>40000</v>
      </c>
      <c r="P522" s="842">
        <v>4000</v>
      </c>
      <c r="AH522"/>
      <c r="AI522"/>
      <c r="AJ522"/>
      <c r="AK522"/>
      <c r="AL522"/>
      <c r="AM522"/>
      <c r="AN522"/>
      <c r="AO522"/>
      <c r="AP522"/>
      <c r="AQ522"/>
      <c r="AR522"/>
    </row>
    <row r="523" spans="1:44">
      <c r="A523" s="843">
        <v>3</v>
      </c>
      <c r="B523" s="93" t="s">
        <v>1127</v>
      </c>
      <c r="C523" s="845" t="s">
        <v>1128</v>
      </c>
      <c r="D523" s="846"/>
      <c r="E523" s="847" t="s">
        <v>679</v>
      </c>
      <c r="F523" s="305">
        <v>1</v>
      </c>
      <c r="G523" s="305">
        <v>22</v>
      </c>
      <c r="H523" s="305">
        <v>20100</v>
      </c>
      <c r="I523" s="305">
        <f t="shared" si="105"/>
        <v>20100</v>
      </c>
      <c r="J523" s="307">
        <f t="shared" si="106"/>
        <v>4924.5</v>
      </c>
      <c r="K523" s="307">
        <f t="shared" si="107"/>
        <v>3015</v>
      </c>
      <c r="L523" s="307">
        <f t="shared" si="108"/>
        <v>1909.5</v>
      </c>
      <c r="M523" s="307">
        <v>0</v>
      </c>
      <c r="N523" s="307">
        <f t="shared" si="109"/>
        <v>683.40000000000009</v>
      </c>
      <c r="O523" s="307">
        <f t="shared" si="110"/>
        <v>20100</v>
      </c>
      <c r="P523" s="842">
        <v>1010</v>
      </c>
      <c r="AH523"/>
      <c r="AI523"/>
      <c r="AJ523"/>
      <c r="AK523"/>
      <c r="AL523"/>
      <c r="AM523"/>
      <c r="AN523"/>
      <c r="AO523"/>
      <c r="AP523"/>
      <c r="AQ523"/>
      <c r="AR523"/>
    </row>
    <row r="524" spans="1:44">
      <c r="A524" s="843">
        <v>4</v>
      </c>
      <c r="B524" s="93" t="s">
        <v>1132</v>
      </c>
      <c r="C524" s="845" t="s">
        <v>1133</v>
      </c>
      <c r="D524" s="846"/>
      <c r="E524" s="847" t="s">
        <v>1134</v>
      </c>
      <c r="F524" s="305">
        <v>1</v>
      </c>
      <c r="G524" s="305">
        <v>22</v>
      </c>
      <c r="H524" s="305">
        <v>27000</v>
      </c>
      <c r="I524" s="305">
        <f t="shared" si="105"/>
        <v>27000</v>
      </c>
      <c r="J524" s="307">
        <f t="shared" si="106"/>
        <v>6615</v>
      </c>
      <c r="K524" s="307">
        <f t="shared" si="107"/>
        <v>4050</v>
      </c>
      <c r="L524" s="307">
        <f t="shared" si="108"/>
        <v>2565</v>
      </c>
      <c r="M524" s="307">
        <v>0</v>
      </c>
      <c r="N524" s="307">
        <f t="shared" si="109"/>
        <v>918.00000000000011</v>
      </c>
      <c r="O524" s="307">
        <f t="shared" si="110"/>
        <v>27000</v>
      </c>
      <c r="P524" s="842">
        <v>1700</v>
      </c>
      <c r="AH524"/>
      <c r="AI524"/>
      <c r="AJ524"/>
      <c r="AK524"/>
      <c r="AL524"/>
      <c r="AM524"/>
      <c r="AN524"/>
      <c r="AO524"/>
      <c r="AP524"/>
      <c r="AQ524"/>
      <c r="AR524"/>
    </row>
    <row r="525" spans="1:44">
      <c r="A525" s="843">
        <v>5</v>
      </c>
      <c r="B525" s="93"/>
      <c r="C525" s="845" t="s">
        <v>1137</v>
      </c>
      <c r="D525" s="846"/>
      <c r="E525" s="847" t="s">
        <v>679</v>
      </c>
      <c r="F525" s="305">
        <v>1</v>
      </c>
      <c r="G525" s="305">
        <v>22</v>
      </c>
      <c r="H525" s="305">
        <v>20100</v>
      </c>
      <c r="I525" s="305">
        <f t="shared" si="105"/>
        <v>20100</v>
      </c>
      <c r="J525" s="307">
        <f t="shared" si="106"/>
        <v>4924.5</v>
      </c>
      <c r="K525" s="307">
        <f t="shared" si="107"/>
        <v>3015</v>
      </c>
      <c r="L525" s="307">
        <f t="shared" si="108"/>
        <v>1909.5</v>
      </c>
      <c r="M525" s="307">
        <v>0</v>
      </c>
      <c r="N525" s="307">
        <f t="shared" si="109"/>
        <v>683.40000000000009</v>
      </c>
      <c r="O525" s="307">
        <f t="shared" si="110"/>
        <v>20100</v>
      </c>
      <c r="P525" s="842">
        <v>1010</v>
      </c>
      <c r="AH525"/>
      <c r="AI525"/>
      <c r="AJ525"/>
      <c r="AK525"/>
      <c r="AL525"/>
      <c r="AM525"/>
      <c r="AN525"/>
      <c r="AO525"/>
      <c r="AP525"/>
      <c r="AQ525"/>
      <c r="AR525"/>
    </row>
    <row r="526" spans="1:44">
      <c r="A526" s="843">
        <v>6</v>
      </c>
      <c r="B526" s="93"/>
      <c r="C526" s="845" t="s">
        <v>1139</v>
      </c>
      <c r="D526" s="846"/>
      <c r="E526" s="305" t="s">
        <v>679</v>
      </c>
      <c r="F526" s="305">
        <v>1</v>
      </c>
      <c r="G526" s="305">
        <v>22</v>
      </c>
      <c r="H526" s="305">
        <v>20100</v>
      </c>
      <c r="I526" s="305">
        <f t="shared" si="105"/>
        <v>20100</v>
      </c>
      <c r="J526" s="307">
        <f t="shared" si="106"/>
        <v>4924.5</v>
      </c>
      <c r="K526" s="307">
        <f t="shared" si="107"/>
        <v>3015</v>
      </c>
      <c r="L526" s="307">
        <f t="shared" si="108"/>
        <v>1909.5</v>
      </c>
      <c r="M526" s="307">
        <v>0</v>
      </c>
      <c r="N526" s="307">
        <f t="shared" si="109"/>
        <v>683.40000000000009</v>
      </c>
      <c r="O526" s="307">
        <f t="shared" si="110"/>
        <v>20100</v>
      </c>
      <c r="P526" s="742">
        <v>1010</v>
      </c>
      <c r="AH526"/>
      <c r="AI526"/>
      <c r="AJ526"/>
      <c r="AK526"/>
      <c r="AL526"/>
      <c r="AM526"/>
      <c r="AN526"/>
      <c r="AO526"/>
      <c r="AP526"/>
      <c r="AQ526"/>
      <c r="AR526"/>
    </row>
    <row r="527" spans="1:44">
      <c r="A527" s="843">
        <v>7</v>
      </c>
      <c r="B527" s="93"/>
      <c r="C527" s="845" t="s">
        <v>1141</v>
      </c>
      <c r="D527" s="846"/>
      <c r="E527" s="847" t="s">
        <v>1142</v>
      </c>
      <c r="F527" s="305">
        <v>1</v>
      </c>
      <c r="G527" s="305">
        <v>22</v>
      </c>
      <c r="H527" s="305">
        <v>35000</v>
      </c>
      <c r="I527" s="305">
        <f t="shared" si="105"/>
        <v>35000</v>
      </c>
      <c r="J527" s="307">
        <f t="shared" si="106"/>
        <v>8575</v>
      </c>
      <c r="K527" s="307">
        <f t="shared" si="107"/>
        <v>5250</v>
      </c>
      <c r="L527" s="307">
        <f t="shared" si="108"/>
        <v>3325</v>
      </c>
      <c r="M527" s="307">
        <v>0</v>
      </c>
      <c r="N527" s="307">
        <f t="shared" si="109"/>
        <v>1190</v>
      </c>
      <c r="O527" s="307">
        <f t="shared" si="110"/>
        <v>35000</v>
      </c>
      <c r="P527" s="742">
        <v>3500</v>
      </c>
      <c r="AH527"/>
      <c r="AI527"/>
      <c r="AJ527"/>
      <c r="AK527"/>
      <c r="AL527"/>
      <c r="AM527"/>
      <c r="AN527"/>
      <c r="AO527"/>
      <c r="AP527"/>
      <c r="AQ527"/>
      <c r="AR527"/>
    </row>
    <row r="528" spans="1:44">
      <c r="A528" s="843">
        <v>8</v>
      </c>
      <c r="B528" s="93" t="s">
        <v>1144</v>
      </c>
      <c r="C528" s="845" t="s">
        <v>1145</v>
      </c>
      <c r="D528" s="846"/>
      <c r="E528" s="847" t="s">
        <v>679</v>
      </c>
      <c r="F528" s="305">
        <v>1</v>
      </c>
      <c r="G528" s="305">
        <v>22</v>
      </c>
      <c r="H528" s="305">
        <v>20100</v>
      </c>
      <c r="I528" s="305">
        <f t="shared" si="105"/>
        <v>20100</v>
      </c>
      <c r="J528" s="307">
        <f t="shared" si="106"/>
        <v>4924.5</v>
      </c>
      <c r="K528" s="307">
        <f t="shared" si="107"/>
        <v>3015</v>
      </c>
      <c r="L528" s="307">
        <f t="shared" si="108"/>
        <v>1909.5</v>
      </c>
      <c r="M528" s="307">
        <v>0</v>
      </c>
      <c r="N528" s="307">
        <f t="shared" si="109"/>
        <v>683.40000000000009</v>
      </c>
      <c r="O528" s="307">
        <f t="shared" si="110"/>
        <v>20100</v>
      </c>
      <c r="P528" s="842">
        <v>1010</v>
      </c>
      <c r="AH528"/>
      <c r="AI528"/>
      <c r="AJ528"/>
      <c r="AK528"/>
      <c r="AL528"/>
      <c r="AM528"/>
      <c r="AN528"/>
      <c r="AO528"/>
      <c r="AP528"/>
      <c r="AQ528"/>
      <c r="AR528"/>
    </row>
    <row r="529" spans="1:44">
      <c r="A529" s="843">
        <v>9</v>
      </c>
      <c r="B529" s="93"/>
      <c r="C529" s="849" t="s">
        <v>1135</v>
      </c>
      <c r="D529" s="849"/>
      <c r="E529" s="847" t="s">
        <v>679</v>
      </c>
      <c r="F529" s="305">
        <v>1</v>
      </c>
      <c r="G529" s="305">
        <v>22</v>
      </c>
      <c r="H529" s="305">
        <v>20100</v>
      </c>
      <c r="I529" s="305">
        <f t="shared" si="105"/>
        <v>20100</v>
      </c>
      <c r="J529" s="307">
        <f>K529+L529</f>
        <v>4924.5</v>
      </c>
      <c r="K529" s="307">
        <f>I529*0.15</f>
        <v>3015</v>
      </c>
      <c r="L529" s="307">
        <f>I529*0.095</f>
        <v>1909.5</v>
      </c>
      <c r="M529" s="307">
        <v>0</v>
      </c>
      <c r="N529" s="307">
        <f>I529*0.034</f>
        <v>683.40000000000009</v>
      </c>
      <c r="O529" s="307">
        <f t="shared" si="110"/>
        <v>20100</v>
      </c>
      <c r="P529" s="842">
        <v>1010</v>
      </c>
      <c r="AH529"/>
      <c r="AI529"/>
      <c r="AJ529"/>
      <c r="AK529"/>
      <c r="AL529"/>
      <c r="AM529"/>
      <c r="AN529"/>
      <c r="AO529"/>
      <c r="AP529"/>
      <c r="AQ529"/>
      <c r="AR529"/>
    </row>
    <row r="530" spans="1:44">
      <c r="A530" s="843">
        <v>10</v>
      </c>
      <c r="B530" s="93"/>
      <c r="C530" s="849" t="s">
        <v>1791</v>
      </c>
      <c r="D530" s="849"/>
      <c r="E530" s="92" t="s">
        <v>1792</v>
      </c>
      <c r="F530" s="305">
        <v>1</v>
      </c>
      <c r="G530" s="305">
        <v>15</v>
      </c>
      <c r="H530" s="305">
        <v>19000</v>
      </c>
      <c r="I530" s="305">
        <f t="shared" si="105"/>
        <v>19000</v>
      </c>
      <c r="J530" s="307">
        <f>K530+L530</f>
        <v>4655</v>
      </c>
      <c r="K530" s="307">
        <f>I530*0.15</f>
        <v>2850</v>
      </c>
      <c r="L530" s="307">
        <f>I530*0.095</f>
        <v>1805</v>
      </c>
      <c r="M530" s="307">
        <v>0</v>
      </c>
      <c r="N530" s="307">
        <f>I530*0.034</f>
        <v>646</v>
      </c>
      <c r="O530" s="307">
        <f t="shared" si="110"/>
        <v>19000</v>
      </c>
      <c r="P530" s="842">
        <v>900</v>
      </c>
      <c r="AH530"/>
      <c r="AI530"/>
      <c r="AJ530"/>
      <c r="AK530"/>
      <c r="AL530"/>
      <c r="AM530"/>
      <c r="AN530"/>
      <c r="AO530"/>
      <c r="AP530"/>
      <c r="AQ530"/>
      <c r="AR530"/>
    </row>
    <row r="531" spans="1:44">
      <c r="A531" s="843">
        <v>11</v>
      </c>
      <c r="B531" s="93"/>
      <c r="C531" s="849" t="s">
        <v>1793</v>
      </c>
      <c r="D531" s="849"/>
      <c r="E531" s="92" t="s">
        <v>1792</v>
      </c>
      <c r="F531" s="305">
        <v>1</v>
      </c>
      <c r="G531" s="305">
        <v>15</v>
      </c>
      <c r="H531" s="305">
        <v>19000</v>
      </c>
      <c r="I531" s="305">
        <f t="shared" si="105"/>
        <v>19000</v>
      </c>
      <c r="J531" s="307">
        <f>K531+L531</f>
        <v>4655</v>
      </c>
      <c r="K531" s="307">
        <f>I531*0.15</f>
        <v>2850</v>
      </c>
      <c r="L531" s="307">
        <f>I531*0.095</f>
        <v>1805</v>
      </c>
      <c r="M531" s="307">
        <v>0</v>
      </c>
      <c r="N531" s="307">
        <f>I531*0.034</f>
        <v>646</v>
      </c>
      <c r="O531" s="307">
        <f t="shared" si="110"/>
        <v>19000</v>
      </c>
      <c r="P531" s="842">
        <v>900</v>
      </c>
      <c r="AH531"/>
      <c r="AI531"/>
      <c r="AJ531"/>
      <c r="AK531"/>
      <c r="AL531"/>
      <c r="AM531"/>
      <c r="AN531"/>
      <c r="AO531"/>
      <c r="AP531"/>
      <c r="AQ531"/>
      <c r="AR531"/>
    </row>
    <row r="532" spans="1:44">
      <c r="A532" s="843">
        <v>12</v>
      </c>
      <c r="B532" s="93"/>
      <c r="C532" s="849" t="s">
        <v>1794</v>
      </c>
      <c r="D532" s="849"/>
      <c r="E532" s="92" t="s">
        <v>1795</v>
      </c>
      <c r="F532" s="305">
        <v>1</v>
      </c>
      <c r="G532" s="305">
        <v>15</v>
      </c>
      <c r="H532" s="305">
        <v>14000</v>
      </c>
      <c r="I532" s="305">
        <f t="shared" si="105"/>
        <v>14000</v>
      </c>
      <c r="J532" s="307">
        <f>K532+L532</f>
        <v>3430</v>
      </c>
      <c r="K532" s="307">
        <f>I532*0.15</f>
        <v>2100</v>
      </c>
      <c r="L532" s="307">
        <f>I532*0.095</f>
        <v>1330</v>
      </c>
      <c r="M532" s="307">
        <v>0</v>
      </c>
      <c r="N532" s="307">
        <f>I532*0.034</f>
        <v>476.00000000000006</v>
      </c>
      <c r="O532" s="307">
        <f t="shared" si="110"/>
        <v>14000</v>
      </c>
      <c r="P532" s="842">
        <v>400</v>
      </c>
      <c r="AH532"/>
      <c r="AI532"/>
      <c r="AJ532"/>
      <c r="AK532"/>
      <c r="AL532"/>
      <c r="AM532"/>
      <c r="AN532"/>
      <c r="AO532"/>
      <c r="AP532"/>
      <c r="AQ532"/>
      <c r="AR532"/>
    </row>
    <row r="533" spans="1:44">
      <c r="A533" s="843">
        <v>13</v>
      </c>
      <c r="B533" s="93"/>
      <c r="C533" s="849" t="s">
        <v>1796</v>
      </c>
      <c r="D533" s="849"/>
      <c r="E533" s="92" t="s">
        <v>1795</v>
      </c>
      <c r="F533" s="305">
        <v>1</v>
      </c>
      <c r="G533" s="305">
        <v>15</v>
      </c>
      <c r="H533" s="305">
        <v>14000</v>
      </c>
      <c r="I533" s="305">
        <f t="shared" si="105"/>
        <v>14000</v>
      </c>
      <c r="J533" s="307">
        <f>K533+L533</f>
        <v>3430</v>
      </c>
      <c r="K533" s="307">
        <f>I533*0.15</f>
        <v>2100</v>
      </c>
      <c r="L533" s="307">
        <f>I533*0.095</f>
        <v>1330</v>
      </c>
      <c r="M533" s="307">
        <v>0</v>
      </c>
      <c r="N533" s="307">
        <f>I533*0.034</f>
        <v>476.00000000000006</v>
      </c>
      <c r="O533" s="307">
        <f t="shared" si="110"/>
        <v>14000</v>
      </c>
      <c r="P533" s="842">
        <v>400</v>
      </c>
      <c r="AH533"/>
      <c r="AI533"/>
      <c r="AJ533"/>
      <c r="AK533"/>
      <c r="AL533"/>
      <c r="AM533"/>
      <c r="AN533"/>
      <c r="AO533"/>
      <c r="AP533"/>
      <c r="AQ533"/>
      <c r="AR533"/>
    </row>
    <row r="534" spans="1:44">
      <c r="A534" s="843">
        <v>14</v>
      </c>
      <c r="B534" s="93"/>
      <c r="C534" s="1966"/>
      <c r="D534" s="1967"/>
      <c r="E534" s="847"/>
      <c r="F534" s="305"/>
      <c r="G534" s="305"/>
      <c r="H534" s="305"/>
      <c r="I534" s="305"/>
      <c r="J534" s="307"/>
      <c r="K534" s="307"/>
      <c r="L534" s="307"/>
      <c r="M534" s="307"/>
      <c r="N534" s="307"/>
      <c r="O534" s="307"/>
      <c r="P534" s="842"/>
      <c r="AH534"/>
      <c r="AI534"/>
      <c r="AJ534"/>
      <c r="AK534"/>
      <c r="AL534"/>
      <c r="AM534"/>
      <c r="AN534"/>
      <c r="AO534"/>
      <c r="AP534"/>
      <c r="AQ534"/>
      <c r="AR534"/>
    </row>
    <row r="535" spans="1:44">
      <c r="A535" s="843">
        <v>15</v>
      </c>
      <c r="B535" s="93"/>
      <c r="C535" s="1966"/>
      <c r="D535" s="1967"/>
      <c r="E535" s="847"/>
      <c r="F535" s="305"/>
      <c r="G535" s="305"/>
      <c r="H535" s="305"/>
      <c r="I535" s="305"/>
      <c r="J535" s="307"/>
      <c r="K535" s="307"/>
      <c r="L535" s="307"/>
      <c r="M535" s="307"/>
      <c r="N535" s="307"/>
      <c r="O535" s="307"/>
      <c r="P535" s="842"/>
      <c r="AH535"/>
      <c r="AI535"/>
      <c r="AJ535"/>
      <c r="AK535"/>
      <c r="AL535"/>
      <c r="AM535"/>
      <c r="AN535"/>
      <c r="AO535"/>
      <c r="AP535"/>
      <c r="AQ535"/>
      <c r="AR535"/>
    </row>
    <row r="536" spans="1:44">
      <c r="A536" s="843">
        <v>16</v>
      </c>
      <c r="B536" s="93"/>
      <c r="C536" s="1966"/>
      <c r="D536" s="1967"/>
      <c r="E536" s="847"/>
      <c r="F536" s="305"/>
      <c r="G536" s="305"/>
      <c r="H536" s="305"/>
      <c r="I536" s="305"/>
      <c r="J536" s="307"/>
      <c r="K536" s="307"/>
      <c r="L536" s="307"/>
      <c r="M536" s="307"/>
      <c r="N536" s="307"/>
      <c r="O536" s="307"/>
      <c r="P536" s="842"/>
      <c r="AH536"/>
      <c r="AI536"/>
      <c r="AJ536"/>
      <c r="AK536"/>
      <c r="AL536"/>
      <c r="AM536"/>
      <c r="AN536"/>
      <c r="AO536"/>
      <c r="AP536"/>
      <c r="AQ536"/>
      <c r="AR536"/>
    </row>
    <row r="537" spans="1:44">
      <c r="A537" s="843">
        <v>17</v>
      </c>
      <c r="B537" s="93"/>
      <c r="C537" s="1966"/>
      <c r="D537" s="1967"/>
      <c r="E537" s="847"/>
      <c r="F537" s="305"/>
      <c r="G537" s="305"/>
      <c r="H537" s="305"/>
      <c r="I537" s="305"/>
      <c r="J537" s="307"/>
      <c r="K537" s="307"/>
      <c r="L537" s="307"/>
      <c r="M537" s="307"/>
      <c r="N537" s="307"/>
      <c r="O537" s="307"/>
      <c r="P537" s="842"/>
      <c r="AH537"/>
      <c r="AI537"/>
      <c r="AJ537"/>
      <c r="AK537"/>
      <c r="AL537"/>
      <c r="AM537"/>
      <c r="AN537"/>
      <c r="AO537"/>
      <c r="AP537"/>
      <c r="AQ537"/>
      <c r="AR537"/>
    </row>
    <row r="538" spans="1:44">
      <c r="A538" s="843">
        <v>18</v>
      </c>
      <c r="B538" s="93"/>
      <c r="C538" s="1966"/>
      <c r="D538" s="1967"/>
      <c r="E538" s="847"/>
      <c r="F538" s="305"/>
      <c r="G538" s="305"/>
      <c r="H538" s="305"/>
      <c r="I538" s="305"/>
      <c r="J538" s="307"/>
      <c r="K538" s="307"/>
      <c r="L538" s="307"/>
      <c r="M538" s="307"/>
      <c r="N538" s="307"/>
      <c r="O538" s="307"/>
      <c r="P538" s="842"/>
      <c r="AH538"/>
      <c r="AI538"/>
      <c r="AJ538"/>
      <c r="AK538"/>
      <c r="AL538"/>
      <c r="AM538"/>
      <c r="AN538"/>
      <c r="AO538"/>
      <c r="AP538"/>
      <c r="AQ538"/>
      <c r="AR538"/>
    </row>
    <row r="539" spans="1:44" ht="13.5" thickBot="1">
      <c r="A539" s="843">
        <v>19</v>
      </c>
      <c r="B539" s="93"/>
      <c r="C539" s="1966"/>
      <c r="D539" s="1967"/>
      <c r="E539" s="847"/>
      <c r="F539" s="305"/>
      <c r="G539" s="305"/>
      <c r="H539" s="305"/>
      <c r="I539" s="305"/>
      <c r="J539" s="307"/>
      <c r="K539" s="307"/>
      <c r="L539" s="307"/>
      <c r="M539" s="307"/>
      <c r="N539" s="307"/>
      <c r="O539" s="307"/>
      <c r="P539" s="842"/>
      <c r="AH539"/>
      <c r="AI539"/>
      <c r="AJ539"/>
      <c r="AK539"/>
      <c r="AL539"/>
      <c r="AM539"/>
      <c r="AN539"/>
      <c r="AO539"/>
      <c r="AP539"/>
      <c r="AQ539"/>
      <c r="AR539"/>
    </row>
    <row r="540" spans="1:44" ht="13.5" thickBot="1">
      <c r="A540" s="2056" t="s">
        <v>687</v>
      </c>
      <c r="B540" s="2057"/>
      <c r="C540" s="2057"/>
      <c r="D540" s="2057"/>
      <c r="E540" s="2057"/>
      <c r="F540" s="2057"/>
      <c r="G540" s="2058"/>
      <c r="H540" s="1190">
        <f t="shared" ref="H540:P540" si="111">SUM(H521:H539)</f>
        <v>368500</v>
      </c>
      <c r="I540" s="1190">
        <f t="shared" si="111"/>
        <v>356200</v>
      </c>
      <c r="J540" s="1190">
        <f t="shared" si="111"/>
        <v>87269</v>
      </c>
      <c r="K540" s="1190">
        <f t="shared" si="111"/>
        <v>53430</v>
      </c>
      <c r="L540" s="1190">
        <f t="shared" si="111"/>
        <v>33839</v>
      </c>
      <c r="M540" s="1190">
        <f t="shared" si="111"/>
        <v>0</v>
      </c>
      <c r="N540" s="1190">
        <f t="shared" si="111"/>
        <v>12110.8</v>
      </c>
      <c r="O540" s="1190">
        <f t="shared" si="111"/>
        <v>368500</v>
      </c>
      <c r="P540" s="1190">
        <f t="shared" si="111"/>
        <v>26850</v>
      </c>
      <c r="AH540"/>
      <c r="AI540"/>
      <c r="AJ540"/>
      <c r="AK540"/>
      <c r="AL540"/>
      <c r="AM540"/>
      <c r="AN540"/>
      <c r="AO540"/>
      <c r="AP540"/>
      <c r="AQ540"/>
      <c r="AR540"/>
    </row>
    <row r="541" spans="1:44" ht="13.5" thickBot="1">
      <c r="A541" s="2059" t="s">
        <v>690</v>
      </c>
      <c r="B541" s="2060"/>
      <c r="C541" s="2060"/>
      <c r="D541" s="2060"/>
      <c r="E541" s="2060"/>
      <c r="F541" s="2060"/>
      <c r="G541" s="2061"/>
      <c r="H541" s="1191"/>
      <c r="I541" s="841"/>
      <c r="J541" s="841"/>
      <c r="K541" s="841"/>
      <c r="L541" s="841"/>
      <c r="M541" s="841"/>
      <c r="N541" s="841"/>
      <c r="O541" s="841"/>
      <c r="P541" s="1192"/>
      <c r="AH541"/>
      <c r="AI541"/>
      <c r="AJ541"/>
      <c r="AK541"/>
      <c r="AL541"/>
      <c r="AM541"/>
      <c r="AN541"/>
      <c r="AO541"/>
      <c r="AP541"/>
      <c r="AQ541"/>
      <c r="AR541"/>
    </row>
    <row r="542" spans="1:44" ht="13.5" thickBot="1">
      <c r="A542" s="2062" t="s">
        <v>693</v>
      </c>
      <c r="B542" s="2063"/>
      <c r="C542" s="2063"/>
      <c r="D542" s="2063"/>
      <c r="E542" s="2063"/>
      <c r="F542" s="2063"/>
      <c r="G542" s="2064"/>
      <c r="H542" s="1190">
        <f>SUM(H540:H541)</f>
        <v>368500</v>
      </c>
      <c r="I542" s="1190">
        <f t="shared" ref="I542:P542" si="112">SUM(I540:I541)</f>
        <v>356200</v>
      </c>
      <c r="J542" s="1190">
        <f t="shared" si="112"/>
        <v>87269</v>
      </c>
      <c r="K542" s="1190">
        <f t="shared" si="112"/>
        <v>53430</v>
      </c>
      <c r="L542" s="1190">
        <f t="shared" si="112"/>
        <v>33839</v>
      </c>
      <c r="M542" s="1190">
        <f t="shared" si="112"/>
        <v>0</v>
      </c>
      <c r="N542" s="1190">
        <f t="shared" si="112"/>
        <v>12110.8</v>
      </c>
      <c r="O542" s="1190">
        <f t="shared" si="112"/>
        <v>368500</v>
      </c>
      <c r="P542" s="1190">
        <f t="shared" si="112"/>
        <v>26850</v>
      </c>
      <c r="AH542"/>
      <c r="AI542"/>
      <c r="AJ542"/>
      <c r="AK542"/>
      <c r="AL542"/>
      <c r="AM542"/>
      <c r="AN542"/>
      <c r="AO542"/>
      <c r="AP542"/>
      <c r="AQ542"/>
      <c r="AR542"/>
    </row>
    <row r="543" spans="1:44" ht="13.5" thickBot="1">
      <c r="A543" s="1193"/>
      <c r="B543" s="1194"/>
      <c r="C543" s="1194"/>
      <c r="D543" s="1194"/>
      <c r="E543" s="1194"/>
      <c r="F543" s="1194"/>
      <c r="G543" s="1194"/>
      <c r="H543" s="1195"/>
      <c r="I543" s="1195"/>
      <c r="J543" s="1195"/>
      <c r="K543" s="1195"/>
      <c r="L543" s="1195"/>
      <c r="M543" s="1195"/>
      <c r="N543" s="1195"/>
      <c r="O543" s="1195"/>
      <c r="P543" s="1196"/>
      <c r="AH543"/>
      <c r="AI543"/>
      <c r="AJ543"/>
      <c r="AK543"/>
      <c r="AL543"/>
      <c r="AM543"/>
      <c r="AN543"/>
      <c r="AO543"/>
      <c r="AP543"/>
      <c r="AQ543"/>
      <c r="AR543"/>
    </row>
    <row r="544" spans="1:44">
      <c r="A544" s="869"/>
      <c r="B544" s="1197" t="s">
        <v>698</v>
      </c>
      <c r="C544" s="871"/>
      <c r="D544" s="871"/>
      <c r="E544" s="871"/>
      <c r="F544" s="871"/>
      <c r="G544" s="871"/>
      <c r="H544" s="872" t="s">
        <v>699</v>
      </c>
      <c r="I544" s="871"/>
      <c r="J544" s="871"/>
      <c r="K544" s="871"/>
      <c r="L544" s="871"/>
      <c r="M544" s="871"/>
      <c r="N544" s="871"/>
      <c r="O544" s="871"/>
      <c r="P544" s="873"/>
      <c r="AH544"/>
      <c r="AI544"/>
      <c r="AJ544"/>
      <c r="AK544"/>
      <c r="AL544"/>
      <c r="AM544"/>
      <c r="AN544"/>
      <c r="AO544"/>
      <c r="AP544"/>
      <c r="AQ544"/>
      <c r="AR544"/>
    </row>
    <row r="545" spans="1:44">
      <c r="A545" s="874" t="s">
        <v>1157</v>
      </c>
      <c r="B545" s="875"/>
      <c r="C545" s="875"/>
      <c r="D545" s="875"/>
      <c r="E545" s="875"/>
      <c r="F545" s="875"/>
      <c r="G545" s="875"/>
      <c r="H545" s="876" t="s">
        <v>700</v>
      </c>
      <c r="I545" s="875"/>
      <c r="J545" s="875"/>
      <c r="K545" s="875"/>
      <c r="L545" s="875"/>
      <c r="M545" s="875"/>
      <c r="N545" s="875"/>
      <c r="O545" s="875"/>
      <c r="P545" s="877"/>
      <c r="AH545"/>
      <c r="AI545"/>
      <c r="AJ545"/>
      <c r="AK545"/>
      <c r="AL545"/>
      <c r="AM545"/>
      <c r="AN545"/>
      <c r="AO545"/>
      <c r="AP545"/>
      <c r="AQ545"/>
      <c r="AR545"/>
    </row>
    <row r="546" spans="1:44">
      <c r="A546" s="874" t="s">
        <v>1158</v>
      </c>
      <c r="B546" s="875"/>
      <c r="C546" s="875"/>
      <c r="D546" s="875"/>
      <c r="E546" s="875"/>
      <c r="F546" s="875"/>
      <c r="G546" s="875"/>
      <c r="H546" s="876" t="s">
        <v>701</v>
      </c>
      <c r="I546" s="875"/>
      <c r="J546" s="875"/>
      <c r="K546" s="875"/>
      <c r="L546" s="875"/>
      <c r="M546" s="875"/>
      <c r="N546" s="875"/>
      <c r="O546" s="875"/>
      <c r="P546" s="877"/>
      <c r="AH546"/>
      <c r="AI546"/>
      <c r="AJ546"/>
      <c r="AK546"/>
      <c r="AL546"/>
      <c r="AM546"/>
      <c r="AN546"/>
      <c r="AO546"/>
      <c r="AP546"/>
      <c r="AQ546"/>
      <c r="AR546"/>
    </row>
    <row r="547" spans="1:44">
      <c r="A547" s="874" t="s">
        <v>702</v>
      </c>
      <c r="B547" s="875"/>
      <c r="C547" s="875"/>
      <c r="D547" s="875"/>
      <c r="E547" s="875"/>
      <c r="F547" s="875"/>
      <c r="G547" s="875"/>
      <c r="H547" s="876" t="s">
        <v>703</v>
      </c>
      <c r="I547" s="875"/>
      <c r="J547" s="875"/>
      <c r="K547" s="875"/>
      <c r="L547" s="875"/>
      <c r="M547" s="875"/>
      <c r="N547" s="875"/>
      <c r="O547" s="875"/>
      <c r="P547" s="877"/>
      <c r="AH547"/>
      <c r="AI547"/>
      <c r="AJ547"/>
      <c r="AK547"/>
      <c r="AL547"/>
      <c r="AM547"/>
      <c r="AN547"/>
      <c r="AO547"/>
      <c r="AP547"/>
      <c r="AQ547"/>
      <c r="AR547"/>
    </row>
    <row r="548" spans="1:44">
      <c r="A548" s="874"/>
      <c r="B548" s="875"/>
      <c r="C548" s="875"/>
      <c r="D548" s="875"/>
      <c r="E548" s="875"/>
      <c r="F548" s="875"/>
      <c r="G548" s="875"/>
      <c r="H548" s="876" t="s">
        <v>704</v>
      </c>
      <c r="I548" s="875"/>
      <c r="J548" s="875"/>
      <c r="K548" s="875"/>
      <c r="L548" s="875"/>
      <c r="M548" s="875"/>
      <c r="N548" s="875"/>
      <c r="O548" s="875"/>
      <c r="P548" s="877"/>
      <c r="AH548"/>
      <c r="AI548"/>
      <c r="AJ548"/>
      <c r="AK548"/>
      <c r="AL548"/>
      <c r="AM548"/>
      <c r="AN548"/>
      <c r="AO548"/>
      <c r="AP548"/>
      <c r="AQ548"/>
      <c r="AR548"/>
    </row>
    <row r="549" spans="1:44">
      <c r="A549" s="874"/>
      <c r="B549" s="107" t="s">
        <v>705</v>
      </c>
      <c r="C549" s="875"/>
      <c r="D549" s="875"/>
      <c r="E549" s="875"/>
      <c r="F549" s="875"/>
      <c r="G549" s="875"/>
      <c r="H549" s="876" t="s">
        <v>706</v>
      </c>
      <c r="I549" s="875"/>
      <c r="J549" s="875"/>
      <c r="K549" s="875"/>
      <c r="L549" s="875"/>
      <c r="M549" s="875"/>
      <c r="N549" s="875"/>
      <c r="O549" s="875"/>
      <c r="P549" s="877"/>
      <c r="AH549"/>
      <c r="AI549"/>
      <c r="AJ549"/>
      <c r="AK549"/>
      <c r="AL549"/>
      <c r="AM549"/>
      <c r="AN549"/>
      <c r="AO549"/>
      <c r="AP549"/>
      <c r="AQ549"/>
      <c r="AR549"/>
    </row>
    <row r="550" spans="1:44">
      <c r="A550" s="874"/>
      <c r="B550" s="875" t="s">
        <v>1159</v>
      </c>
      <c r="C550" s="875"/>
      <c r="D550" s="875"/>
      <c r="E550" s="875"/>
      <c r="F550" s="875"/>
      <c r="G550" s="875"/>
      <c r="H550" s="876"/>
      <c r="I550" s="875"/>
      <c r="J550" s="875"/>
      <c r="K550" s="1198" t="s">
        <v>707</v>
      </c>
      <c r="L550" s="875"/>
      <c r="M550" s="875"/>
      <c r="N550" s="875"/>
      <c r="O550" s="875"/>
      <c r="P550" s="877"/>
      <c r="AH550"/>
      <c r="AI550"/>
      <c r="AJ550"/>
      <c r="AK550"/>
      <c r="AL550"/>
      <c r="AM550"/>
      <c r="AN550"/>
      <c r="AO550"/>
      <c r="AP550"/>
      <c r="AQ550"/>
      <c r="AR550"/>
    </row>
    <row r="551" spans="1:44">
      <c r="A551" s="874"/>
      <c r="B551" s="875"/>
      <c r="C551" s="875"/>
      <c r="D551" s="875" t="s">
        <v>708</v>
      </c>
      <c r="E551" s="875"/>
      <c r="F551" s="875"/>
      <c r="G551" s="875"/>
      <c r="H551" s="876" t="s">
        <v>709</v>
      </c>
      <c r="I551" s="875"/>
      <c r="J551" s="875"/>
      <c r="K551" s="875"/>
      <c r="L551" s="875"/>
      <c r="M551" s="875"/>
      <c r="N551" s="875"/>
      <c r="O551" s="875"/>
      <c r="P551" s="877"/>
      <c r="AH551"/>
      <c r="AI551"/>
      <c r="AJ551"/>
      <c r="AK551"/>
      <c r="AL551"/>
      <c r="AM551"/>
      <c r="AN551"/>
      <c r="AO551"/>
      <c r="AP551"/>
      <c r="AQ551"/>
      <c r="AR551"/>
    </row>
    <row r="552" spans="1:44">
      <c r="A552" s="874"/>
      <c r="B552" s="875"/>
      <c r="C552" s="875"/>
      <c r="D552" s="875"/>
      <c r="E552" s="875"/>
      <c r="F552" s="875"/>
      <c r="G552" s="875"/>
      <c r="H552" s="876"/>
      <c r="I552" s="875" t="s">
        <v>710</v>
      </c>
      <c r="J552" s="875"/>
      <c r="K552" s="875"/>
      <c r="L552" s="875"/>
      <c r="M552" s="875"/>
      <c r="N552" s="875"/>
      <c r="O552" s="875"/>
      <c r="P552" s="877"/>
      <c r="AH552"/>
      <c r="AI552"/>
      <c r="AJ552"/>
      <c r="AK552"/>
      <c r="AL552"/>
      <c r="AM552"/>
      <c r="AN552"/>
      <c r="AO552"/>
      <c r="AP552"/>
      <c r="AQ552"/>
      <c r="AR552"/>
    </row>
    <row r="553" spans="1:44" ht="13.5" thickBot="1">
      <c r="A553" s="880"/>
      <c r="B553" s="881"/>
      <c r="C553" s="881"/>
      <c r="D553" s="881"/>
      <c r="E553" s="881"/>
      <c r="F553" s="881"/>
      <c r="G553" s="881"/>
      <c r="H553" s="882"/>
      <c r="I553" s="881" t="s">
        <v>711</v>
      </c>
      <c r="J553" s="881"/>
      <c r="K553" s="881"/>
      <c r="L553" s="881"/>
      <c r="M553" s="881"/>
      <c r="N553" s="881"/>
      <c r="O553" s="881"/>
      <c r="P553" s="884"/>
      <c r="AH553"/>
      <c r="AI553"/>
      <c r="AJ553"/>
      <c r="AK553"/>
      <c r="AL553"/>
      <c r="AM553"/>
      <c r="AN553"/>
      <c r="AO553"/>
      <c r="AP553"/>
      <c r="AQ553"/>
      <c r="AR553"/>
    </row>
    <row r="554" spans="1:44">
      <c r="A554" s="1179"/>
      <c r="B554" s="1179"/>
      <c r="C554" s="1179"/>
      <c r="D554" s="1179"/>
      <c r="E554" s="1179"/>
      <c r="F554" s="1179"/>
      <c r="G554" s="1179"/>
      <c r="H554" s="1179"/>
      <c r="I554" s="1179"/>
      <c r="J554" s="1179"/>
      <c r="K554" s="1179"/>
      <c r="L554" s="1179"/>
      <c r="M554" s="1179"/>
      <c r="N554" s="1179"/>
      <c r="O554" s="1179"/>
      <c r="P554" s="1179"/>
      <c r="AH554"/>
      <c r="AI554"/>
      <c r="AJ554"/>
      <c r="AK554"/>
      <c r="AL554"/>
      <c r="AM554"/>
      <c r="AN554"/>
      <c r="AO554"/>
      <c r="AP554"/>
      <c r="AQ554"/>
      <c r="AR554"/>
    </row>
    <row r="555" spans="1:44">
      <c r="A555" s="1179"/>
      <c r="B555" s="1179"/>
      <c r="C555" s="1179"/>
      <c r="D555" s="1179"/>
      <c r="E555" s="1179"/>
      <c r="F555" s="1179"/>
      <c r="G555" s="1179"/>
      <c r="H555" s="1179"/>
      <c r="I555" s="1179"/>
      <c r="J555" s="1179"/>
      <c r="K555" s="1179"/>
      <c r="L555" s="1179"/>
      <c r="M555" s="1179"/>
      <c r="N555" s="1179"/>
      <c r="O555" s="1179"/>
      <c r="P555" s="1179"/>
      <c r="AH555"/>
      <c r="AI555"/>
      <c r="AJ555"/>
      <c r="AK555"/>
      <c r="AL555"/>
      <c r="AM555"/>
      <c r="AN555"/>
      <c r="AO555"/>
      <c r="AP555"/>
      <c r="AQ555"/>
      <c r="AR555"/>
    </row>
    <row r="556" spans="1:44">
      <c r="AI556"/>
      <c r="AJ556"/>
      <c r="AK556"/>
      <c r="AL556"/>
      <c r="AM556"/>
      <c r="AN556"/>
      <c r="AO556"/>
      <c r="AP556"/>
      <c r="AQ556"/>
      <c r="AR556"/>
    </row>
    <row r="557" spans="1:44">
      <c r="A557" s="349" t="s">
        <v>664</v>
      </c>
      <c r="B557" s="349"/>
      <c r="C557" s="349"/>
      <c r="D557" s="349"/>
      <c r="E557" s="349"/>
      <c r="F557" s="349"/>
      <c r="G557" s="349"/>
      <c r="H557" s="349"/>
      <c r="I557" s="349"/>
      <c r="J557" s="349"/>
      <c r="K557" s="349"/>
      <c r="L557" s="349"/>
      <c r="M557" s="349"/>
      <c r="N557" s="349"/>
      <c r="O557" s="349"/>
      <c r="P557" s="349"/>
    </row>
    <row r="558" spans="1:44">
      <c r="A558" s="349" t="s">
        <v>1099</v>
      </c>
      <c r="B558" s="349"/>
      <c r="C558" s="349"/>
      <c r="D558" s="349" t="s">
        <v>1100</v>
      </c>
      <c r="E558" s="349"/>
      <c r="F558" s="349"/>
      <c r="G558" s="349"/>
      <c r="H558" s="349"/>
      <c r="I558" s="349" t="s">
        <v>1797</v>
      </c>
      <c r="J558" s="349"/>
      <c r="K558" s="349"/>
      <c r="L558" s="349"/>
      <c r="M558" s="349"/>
      <c r="N558" s="349" t="s">
        <v>1102</v>
      </c>
      <c r="O558" s="349"/>
      <c r="P558" s="349"/>
    </row>
    <row r="559" spans="1:44" ht="13.5" thickBot="1">
      <c r="A559" s="349" t="s">
        <v>665</v>
      </c>
      <c r="B559" s="349"/>
      <c r="C559" s="349"/>
      <c r="D559" s="349"/>
      <c r="E559" s="1979"/>
      <c r="F559" s="1979"/>
      <c r="G559" s="1979"/>
      <c r="H559" s="1979" t="s">
        <v>1104</v>
      </c>
      <c r="I559" s="1979"/>
      <c r="J559" s="1979"/>
      <c r="K559" s="1979"/>
      <c r="L559" s="349"/>
      <c r="M559" s="1979" t="s">
        <v>666</v>
      </c>
      <c r="N559" s="1979"/>
      <c r="O559" s="1979"/>
      <c r="P559" s="1979"/>
    </row>
    <row r="560" spans="1:44" ht="25.5" thickBot="1">
      <c r="A560" s="2065" t="s">
        <v>187</v>
      </c>
      <c r="B560" s="1199" t="s">
        <v>667</v>
      </c>
      <c r="C560" s="2065" t="s">
        <v>1106</v>
      </c>
      <c r="D560" s="2068"/>
      <c r="E560" s="2065" t="s">
        <v>1107</v>
      </c>
      <c r="F560" s="2071" t="s">
        <v>1108</v>
      </c>
      <c r="G560" s="2071" t="s">
        <v>1109</v>
      </c>
      <c r="H560" s="1200" t="s">
        <v>1110</v>
      </c>
      <c r="I560" s="1201"/>
      <c r="J560" s="1200" t="s">
        <v>188</v>
      </c>
      <c r="K560" s="1202"/>
      <c r="L560" s="1202"/>
      <c r="M560" s="1202"/>
      <c r="N560" s="1199" t="s">
        <v>189</v>
      </c>
      <c r="O560" s="1199" t="s">
        <v>1111</v>
      </c>
      <c r="P560" s="2074" t="s">
        <v>1112</v>
      </c>
    </row>
    <row r="561" spans="1:16" ht="13.5" thickBot="1">
      <c r="A561" s="2066"/>
      <c r="B561" s="1203" t="s">
        <v>668</v>
      </c>
      <c r="C561" s="2066"/>
      <c r="D561" s="2069"/>
      <c r="E561" s="2066"/>
      <c r="F561" s="2072"/>
      <c r="G561" s="2072"/>
      <c r="H561" s="2074" t="s">
        <v>193</v>
      </c>
      <c r="I561" s="2074" t="s">
        <v>1113</v>
      </c>
      <c r="J561" s="2074" t="s">
        <v>1114</v>
      </c>
      <c r="K561" s="2077" t="s">
        <v>194</v>
      </c>
      <c r="L561" s="2078"/>
      <c r="M561" s="1199" t="s">
        <v>669</v>
      </c>
      <c r="N561" s="1203" t="s">
        <v>670</v>
      </c>
      <c r="O561" s="1203" t="s">
        <v>195</v>
      </c>
      <c r="P561" s="2075"/>
    </row>
    <row r="562" spans="1:16" ht="13.5" thickBot="1">
      <c r="A562" s="2067"/>
      <c r="B562" s="1204" t="s">
        <v>671</v>
      </c>
      <c r="C562" s="2067"/>
      <c r="D562" s="2070"/>
      <c r="E562" s="2067"/>
      <c r="F562" s="2073"/>
      <c r="G562" s="2073"/>
      <c r="H562" s="2076"/>
      <c r="I562" s="2076"/>
      <c r="J562" s="2076"/>
      <c r="K562" s="1205" t="s">
        <v>672</v>
      </c>
      <c r="L562" s="1205" t="s">
        <v>673</v>
      </c>
      <c r="M562" s="1204" t="s">
        <v>674</v>
      </c>
      <c r="N562" s="1204" t="s">
        <v>675</v>
      </c>
      <c r="O562" s="1204" t="s">
        <v>676</v>
      </c>
      <c r="P562" s="2076"/>
    </row>
    <row r="563" spans="1:16">
      <c r="A563" s="837">
        <v>1</v>
      </c>
      <c r="B563" s="1189" t="s">
        <v>1122</v>
      </c>
      <c r="C563" s="839" t="s">
        <v>1123</v>
      </c>
      <c r="D563" s="840"/>
      <c r="E563" s="306" t="s">
        <v>1124</v>
      </c>
      <c r="F563" s="841">
        <v>1</v>
      </c>
      <c r="G563" s="841">
        <v>22</v>
      </c>
      <c r="H563" s="307">
        <v>100000</v>
      </c>
      <c r="I563" s="307">
        <v>87700</v>
      </c>
      <c r="J563" s="307">
        <f>K563+L563</f>
        <v>21486.5</v>
      </c>
      <c r="K563" s="307">
        <f>I563*0.15</f>
        <v>13155</v>
      </c>
      <c r="L563" s="307">
        <f>I563*0.095</f>
        <v>8331.5</v>
      </c>
      <c r="M563" s="307">
        <v>0</v>
      </c>
      <c r="N563" s="307">
        <f>I563*0.034</f>
        <v>2981.8</v>
      </c>
      <c r="O563" s="307">
        <f>H563</f>
        <v>100000</v>
      </c>
      <c r="P563" s="842">
        <f>H563*0.1</f>
        <v>10000</v>
      </c>
    </row>
    <row r="564" spans="1:16">
      <c r="A564" s="843">
        <v>2</v>
      </c>
      <c r="B564" s="93" t="s">
        <v>1125</v>
      </c>
      <c r="C564" s="845" t="s">
        <v>1126</v>
      </c>
      <c r="D564" s="846"/>
      <c r="E564" s="305" t="s">
        <v>678</v>
      </c>
      <c r="F564" s="305">
        <v>1</v>
      </c>
      <c r="G564" s="305">
        <v>22</v>
      </c>
      <c r="H564" s="305">
        <v>40000</v>
      </c>
      <c r="I564" s="305">
        <f>H564</f>
        <v>40000</v>
      </c>
      <c r="J564" s="307">
        <f>K564+L564</f>
        <v>9800</v>
      </c>
      <c r="K564" s="307">
        <f>I564*0.15</f>
        <v>6000</v>
      </c>
      <c r="L564" s="307">
        <f>I564*0.095</f>
        <v>3800</v>
      </c>
      <c r="M564" s="307">
        <v>0</v>
      </c>
      <c r="N564" s="307">
        <f>I564*0.034</f>
        <v>1360</v>
      </c>
      <c r="O564" s="307">
        <f>H564</f>
        <v>40000</v>
      </c>
      <c r="P564" s="842">
        <v>4000</v>
      </c>
    </row>
    <row r="565" spans="1:16">
      <c r="A565" s="843">
        <v>3</v>
      </c>
      <c r="B565" s="93" t="s">
        <v>1127</v>
      </c>
      <c r="C565" s="845" t="s">
        <v>1128</v>
      </c>
      <c r="D565" s="846"/>
      <c r="E565" s="847" t="s">
        <v>679</v>
      </c>
      <c r="F565" s="305">
        <v>1</v>
      </c>
      <c r="G565" s="305">
        <v>22</v>
      </c>
      <c r="H565" s="305">
        <v>20100</v>
      </c>
      <c r="I565" s="305">
        <f t="shared" ref="I565:I575" si="113">H565</f>
        <v>20100</v>
      </c>
      <c r="J565" s="307">
        <f t="shared" ref="J565:J575" si="114">K565+L565</f>
        <v>4924.5</v>
      </c>
      <c r="K565" s="307">
        <f t="shared" ref="K565:K575" si="115">I565*0.15</f>
        <v>3015</v>
      </c>
      <c r="L565" s="307">
        <f t="shared" ref="L565:L575" si="116">I565*0.095</f>
        <v>1909.5</v>
      </c>
      <c r="M565" s="307">
        <v>0</v>
      </c>
      <c r="N565" s="307">
        <f t="shared" ref="N565:N575" si="117">I565*0.034</f>
        <v>683.40000000000009</v>
      </c>
      <c r="O565" s="307">
        <f t="shared" ref="O565:O575" si="118">H565</f>
        <v>20100</v>
      </c>
      <c r="P565" s="842">
        <v>1010</v>
      </c>
    </row>
    <row r="566" spans="1:16">
      <c r="A566" s="843">
        <v>4</v>
      </c>
      <c r="B566" s="93" t="s">
        <v>1132</v>
      </c>
      <c r="C566" s="845" t="s">
        <v>1133</v>
      </c>
      <c r="D566" s="846"/>
      <c r="E566" s="847" t="s">
        <v>1134</v>
      </c>
      <c r="F566" s="305">
        <v>1</v>
      </c>
      <c r="G566" s="305">
        <v>22</v>
      </c>
      <c r="H566" s="305">
        <v>27000</v>
      </c>
      <c r="I566" s="305">
        <f t="shared" si="113"/>
        <v>27000</v>
      </c>
      <c r="J566" s="307">
        <f t="shared" si="114"/>
        <v>6615</v>
      </c>
      <c r="K566" s="307">
        <f t="shared" si="115"/>
        <v>4050</v>
      </c>
      <c r="L566" s="307">
        <f t="shared" si="116"/>
        <v>2565</v>
      </c>
      <c r="M566" s="307">
        <v>0</v>
      </c>
      <c r="N566" s="307">
        <f t="shared" si="117"/>
        <v>918.00000000000011</v>
      </c>
      <c r="O566" s="307">
        <f t="shared" si="118"/>
        <v>27000</v>
      </c>
      <c r="P566" s="842">
        <v>1700</v>
      </c>
    </row>
    <row r="567" spans="1:16">
      <c r="A567" s="843">
        <v>5</v>
      </c>
      <c r="B567" s="93"/>
      <c r="C567" s="845" t="s">
        <v>1137</v>
      </c>
      <c r="D567" s="846"/>
      <c r="E567" s="847" t="s">
        <v>679</v>
      </c>
      <c r="F567" s="305">
        <v>1</v>
      </c>
      <c r="G567" s="305">
        <v>22</v>
      </c>
      <c r="H567" s="305">
        <v>20100</v>
      </c>
      <c r="I567" s="305">
        <f t="shared" si="113"/>
        <v>20100</v>
      </c>
      <c r="J567" s="307">
        <f t="shared" si="114"/>
        <v>4924.5</v>
      </c>
      <c r="K567" s="307">
        <f t="shared" si="115"/>
        <v>3015</v>
      </c>
      <c r="L567" s="307">
        <f t="shared" si="116"/>
        <v>1909.5</v>
      </c>
      <c r="M567" s="307">
        <v>0</v>
      </c>
      <c r="N567" s="307">
        <f t="shared" si="117"/>
        <v>683.40000000000009</v>
      </c>
      <c r="O567" s="307">
        <f t="shared" si="118"/>
        <v>20100</v>
      </c>
      <c r="P567" s="842">
        <v>1010</v>
      </c>
    </row>
    <row r="568" spans="1:16">
      <c r="A568" s="843">
        <v>6</v>
      </c>
      <c r="B568" s="93"/>
      <c r="C568" s="845" t="s">
        <v>1139</v>
      </c>
      <c r="D568" s="846"/>
      <c r="E568" s="305" t="s">
        <v>679</v>
      </c>
      <c r="F568" s="305">
        <v>1</v>
      </c>
      <c r="G568" s="305">
        <v>22</v>
      </c>
      <c r="H568" s="305">
        <v>20100</v>
      </c>
      <c r="I568" s="305">
        <f t="shared" si="113"/>
        <v>20100</v>
      </c>
      <c r="J568" s="307">
        <f t="shared" si="114"/>
        <v>4924.5</v>
      </c>
      <c r="K568" s="307">
        <f t="shared" si="115"/>
        <v>3015</v>
      </c>
      <c r="L568" s="307">
        <f t="shared" si="116"/>
        <v>1909.5</v>
      </c>
      <c r="M568" s="307">
        <v>0</v>
      </c>
      <c r="N568" s="307">
        <f t="shared" si="117"/>
        <v>683.40000000000009</v>
      </c>
      <c r="O568" s="307">
        <f t="shared" si="118"/>
        <v>20100</v>
      </c>
      <c r="P568" s="742">
        <v>1010</v>
      </c>
    </row>
    <row r="569" spans="1:16">
      <c r="A569" s="843">
        <v>7</v>
      </c>
      <c r="B569" s="93"/>
      <c r="C569" s="845" t="s">
        <v>1141</v>
      </c>
      <c r="D569" s="846"/>
      <c r="E569" s="847" t="s">
        <v>1798</v>
      </c>
      <c r="F569" s="305">
        <v>1</v>
      </c>
      <c r="G569" s="305">
        <v>22</v>
      </c>
      <c r="H569" s="305">
        <v>48000</v>
      </c>
      <c r="I569" s="305">
        <f t="shared" si="113"/>
        <v>48000</v>
      </c>
      <c r="J569" s="307">
        <f t="shared" si="114"/>
        <v>11760</v>
      </c>
      <c r="K569" s="307">
        <f t="shared" si="115"/>
        <v>7200</v>
      </c>
      <c r="L569" s="307">
        <f t="shared" si="116"/>
        <v>4560</v>
      </c>
      <c r="M569" s="307">
        <v>0</v>
      </c>
      <c r="N569" s="307">
        <f t="shared" si="117"/>
        <v>1632.0000000000002</v>
      </c>
      <c r="O569" s="307">
        <f t="shared" si="118"/>
        <v>48000</v>
      </c>
      <c r="P569" s="742">
        <v>4800</v>
      </c>
    </row>
    <row r="570" spans="1:16">
      <c r="A570" s="843">
        <v>8</v>
      </c>
      <c r="B570" s="93" t="s">
        <v>1144</v>
      </c>
      <c r="C570" s="845" t="s">
        <v>1145</v>
      </c>
      <c r="D570" s="846"/>
      <c r="E570" s="847" t="s">
        <v>679</v>
      </c>
      <c r="F570" s="305">
        <v>1</v>
      </c>
      <c r="G570" s="305">
        <v>22</v>
      </c>
      <c r="H570" s="305">
        <v>20100</v>
      </c>
      <c r="I570" s="305">
        <f t="shared" si="113"/>
        <v>20100</v>
      </c>
      <c r="J570" s="307">
        <f t="shared" si="114"/>
        <v>4924.5</v>
      </c>
      <c r="K570" s="307">
        <f t="shared" si="115"/>
        <v>3015</v>
      </c>
      <c r="L570" s="307">
        <f t="shared" si="116"/>
        <v>1909.5</v>
      </c>
      <c r="M570" s="307">
        <v>0</v>
      </c>
      <c r="N570" s="307">
        <f t="shared" si="117"/>
        <v>683.40000000000009</v>
      </c>
      <c r="O570" s="307">
        <f t="shared" si="118"/>
        <v>20100</v>
      </c>
      <c r="P570" s="842">
        <v>1010</v>
      </c>
    </row>
    <row r="571" spans="1:16">
      <c r="A571" s="843">
        <v>9</v>
      </c>
      <c r="B571" s="93"/>
      <c r="C571" s="849" t="s">
        <v>1135</v>
      </c>
      <c r="D571" s="849"/>
      <c r="E571" s="847" t="s">
        <v>679</v>
      </c>
      <c r="F571" s="305">
        <v>1</v>
      </c>
      <c r="G571" s="305">
        <v>22</v>
      </c>
      <c r="H571" s="305">
        <v>20100</v>
      </c>
      <c r="I571" s="305">
        <f t="shared" si="113"/>
        <v>20100</v>
      </c>
      <c r="J571" s="307">
        <f t="shared" si="114"/>
        <v>4924.5</v>
      </c>
      <c r="K571" s="307">
        <f t="shared" si="115"/>
        <v>3015</v>
      </c>
      <c r="L571" s="307">
        <f t="shared" si="116"/>
        <v>1909.5</v>
      </c>
      <c r="M571" s="307">
        <v>0</v>
      </c>
      <c r="N571" s="307">
        <f t="shared" si="117"/>
        <v>683.40000000000009</v>
      </c>
      <c r="O571" s="307">
        <f t="shared" si="118"/>
        <v>20100</v>
      </c>
      <c r="P571" s="842">
        <v>1010</v>
      </c>
    </row>
    <row r="572" spans="1:16">
      <c r="A572" s="843">
        <v>10</v>
      </c>
      <c r="B572" s="93"/>
      <c r="C572" s="849" t="s">
        <v>1791</v>
      </c>
      <c r="D572" s="849"/>
      <c r="E572" s="92" t="s">
        <v>1792</v>
      </c>
      <c r="F572" s="305">
        <v>1</v>
      </c>
      <c r="G572" s="305">
        <v>22</v>
      </c>
      <c r="H572" s="305">
        <v>27000</v>
      </c>
      <c r="I572" s="305">
        <f t="shared" si="113"/>
        <v>27000</v>
      </c>
      <c r="J572" s="307">
        <f t="shared" si="114"/>
        <v>6615</v>
      </c>
      <c r="K572" s="307">
        <f t="shared" si="115"/>
        <v>4050</v>
      </c>
      <c r="L572" s="307">
        <f t="shared" si="116"/>
        <v>2565</v>
      </c>
      <c r="M572" s="307">
        <v>0</v>
      </c>
      <c r="N572" s="307">
        <f t="shared" si="117"/>
        <v>918.00000000000011</v>
      </c>
      <c r="O572" s="307">
        <f t="shared" si="118"/>
        <v>27000</v>
      </c>
      <c r="P572" s="842">
        <v>1700</v>
      </c>
    </row>
    <row r="573" spans="1:16">
      <c r="A573" s="843">
        <v>11</v>
      </c>
      <c r="B573" s="93"/>
      <c r="C573" s="849" t="s">
        <v>1793</v>
      </c>
      <c r="D573" s="849"/>
      <c r="E573" s="92" t="s">
        <v>1792</v>
      </c>
      <c r="F573" s="305">
        <v>1</v>
      </c>
      <c r="G573" s="305">
        <v>22</v>
      </c>
      <c r="H573" s="305">
        <v>27000</v>
      </c>
      <c r="I573" s="305">
        <f t="shared" si="113"/>
        <v>27000</v>
      </c>
      <c r="J573" s="307">
        <f t="shared" si="114"/>
        <v>6615</v>
      </c>
      <c r="K573" s="307">
        <f t="shared" si="115"/>
        <v>4050</v>
      </c>
      <c r="L573" s="307">
        <f t="shared" si="116"/>
        <v>2565</v>
      </c>
      <c r="M573" s="307">
        <v>0</v>
      </c>
      <c r="N573" s="307">
        <f t="shared" si="117"/>
        <v>918.00000000000011</v>
      </c>
      <c r="O573" s="307">
        <f t="shared" si="118"/>
        <v>27000</v>
      </c>
      <c r="P573" s="842">
        <v>1700</v>
      </c>
    </row>
    <row r="574" spans="1:16">
      <c r="A574" s="843">
        <v>12</v>
      </c>
      <c r="B574" s="93"/>
      <c r="C574" s="849" t="s">
        <v>1794</v>
      </c>
      <c r="D574" s="849"/>
      <c r="E574" s="92" t="s">
        <v>1795</v>
      </c>
      <c r="F574" s="305">
        <v>1</v>
      </c>
      <c r="G574" s="305">
        <v>22</v>
      </c>
      <c r="H574" s="305">
        <v>20100</v>
      </c>
      <c r="I574" s="305">
        <f t="shared" si="113"/>
        <v>20100</v>
      </c>
      <c r="J574" s="307">
        <f t="shared" si="114"/>
        <v>4924.5</v>
      </c>
      <c r="K574" s="307">
        <f t="shared" si="115"/>
        <v>3015</v>
      </c>
      <c r="L574" s="307">
        <f t="shared" si="116"/>
        <v>1909.5</v>
      </c>
      <c r="M574" s="307">
        <v>0</v>
      </c>
      <c r="N574" s="307">
        <f t="shared" si="117"/>
        <v>683.40000000000009</v>
      </c>
      <c r="O574" s="307">
        <f t="shared" si="118"/>
        <v>20100</v>
      </c>
      <c r="P574" s="842">
        <v>1010</v>
      </c>
    </row>
    <row r="575" spans="1:16">
      <c r="A575" s="843">
        <v>13</v>
      </c>
      <c r="B575" s="93"/>
      <c r="C575" s="849" t="s">
        <v>1796</v>
      </c>
      <c r="D575" s="849"/>
      <c r="E575" s="92" t="s">
        <v>1795</v>
      </c>
      <c r="F575" s="305">
        <v>1</v>
      </c>
      <c r="G575" s="305">
        <v>22</v>
      </c>
      <c r="H575" s="305">
        <v>20100</v>
      </c>
      <c r="I575" s="305">
        <f t="shared" si="113"/>
        <v>20100</v>
      </c>
      <c r="J575" s="307">
        <f t="shared" si="114"/>
        <v>4924.5</v>
      </c>
      <c r="K575" s="307">
        <f t="shared" si="115"/>
        <v>3015</v>
      </c>
      <c r="L575" s="307">
        <f t="shared" si="116"/>
        <v>1909.5</v>
      </c>
      <c r="M575" s="307">
        <v>0</v>
      </c>
      <c r="N575" s="307">
        <f t="shared" si="117"/>
        <v>683.40000000000009</v>
      </c>
      <c r="O575" s="307">
        <f t="shared" si="118"/>
        <v>20100</v>
      </c>
      <c r="P575" s="842">
        <v>1010</v>
      </c>
    </row>
    <row r="576" spans="1:16">
      <c r="A576" s="843">
        <v>14</v>
      </c>
      <c r="B576" s="93"/>
      <c r="C576" s="1966"/>
      <c r="D576" s="1967"/>
      <c r="E576" s="847"/>
      <c r="F576" s="305"/>
      <c r="G576" s="305"/>
      <c r="H576" s="305"/>
      <c r="I576" s="305"/>
      <c r="J576" s="307"/>
      <c r="K576" s="307"/>
      <c r="L576" s="307"/>
      <c r="M576" s="307"/>
      <c r="N576" s="307"/>
      <c r="O576" s="307"/>
      <c r="P576" s="842"/>
    </row>
    <row r="577" spans="1:16">
      <c r="A577" s="843">
        <v>15</v>
      </c>
      <c r="B577" s="93"/>
      <c r="C577" s="1966"/>
      <c r="D577" s="1967"/>
      <c r="E577" s="847"/>
      <c r="F577" s="305"/>
      <c r="G577" s="305"/>
      <c r="H577" s="305"/>
      <c r="I577" s="305"/>
      <c r="J577" s="307"/>
      <c r="K577" s="307"/>
      <c r="L577" s="307"/>
      <c r="M577" s="307"/>
      <c r="N577" s="307"/>
      <c r="O577" s="307"/>
      <c r="P577" s="842"/>
    </row>
    <row r="578" spans="1:16">
      <c r="A578" s="843">
        <v>16</v>
      </c>
      <c r="B578" s="93"/>
      <c r="C578" s="1966"/>
      <c r="D578" s="1967"/>
      <c r="E578" s="847"/>
      <c r="F578" s="305"/>
      <c r="G578" s="305"/>
      <c r="H578" s="305"/>
      <c r="I578" s="305"/>
      <c r="J578" s="307"/>
      <c r="K578" s="307"/>
      <c r="L578" s="307"/>
      <c r="M578" s="307"/>
      <c r="N578" s="307"/>
      <c r="O578" s="307"/>
      <c r="P578" s="842"/>
    </row>
    <row r="579" spans="1:16">
      <c r="A579" s="843">
        <v>17</v>
      </c>
      <c r="B579" s="93"/>
      <c r="C579" s="1966"/>
      <c r="D579" s="1967"/>
      <c r="E579" s="847"/>
      <c r="F579" s="305"/>
      <c r="G579" s="305"/>
      <c r="H579" s="305"/>
      <c r="I579" s="305"/>
      <c r="J579" s="307"/>
      <c r="K579" s="307"/>
      <c r="L579" s="307"/>
      <c r="M579" s="307"/>
      <c r="N579" s="307"/>
      <c r="O579" s="307"/>
      <c r="P579" s="842"/>
    </row>
    <row r="580" spans="1:16">
      <c r="A580" s="843">
        <v>18</v>
      </c>
      <c r="B580" s="93"/>
      <c r="C580" s="1966"/>
      <c r="D580" s="1967"/>
      <c r="E580" s="847"/>
      <c r="F580" s="305"/>
      <c r="G580" s="305"/>
      <c r="H580" s="305"/>
      <c r="I580" s="305"/>
      <c r="J580" s="307"/>
      <c r="K580" s="307"/>
      <c r="L580" s="307"/>
      <c r="M580" s="307"/>
      <c r="N580" s="307"/>
      <c r="O580" s="307"/>
      <c r="P580" s="842"/>
    </row>
    <row r="581" spans="1:16">
      <c r="A581" s="843">
        <v>19</v>
      </c>
      <c r="B581" s="93"/>
      <c r="C581" s="1966"/>
      <c r="D581" s="1967"/>
      <c r="E581" s="847"/>
      <c r="F581" s="305"/>
      <c r="G581" s="305"/>
      <c r="H581" s="305"/>
      <c r="I581" s="305"/>
      <c r="J581" s="307"/>
      <c r="K581" s="307"/>
      <c r="L581" s="307"/>
      <c r="M581" s="307"/>
      <c r="N581" s="307"/>
      <c r="O581" s="307"/>
      <c r="P581" s="842"/>
    </row>
    <row r="582" spans="1:16">
      <c r="A582" s="843">
        <v>20</v>
      </c>
      <c r="B582" s="93"/>
      <c r="C582" s="1966"/>
      <c r="D582" s="1967"/>
      <c r="E582" s="847"/>
      <c r="F582" s="305"/>
      <c r="G582" s="305"/>
      <c r="H582" s="305"/>
      <c r="I582" s="305"/>
      <c r="J582" s="307"/>
      <c r="K582" s="307"/>
      <c r="L582" s="307"/>
      <c r="M582" s="307"/>
      <c r="N582" s="307"/>
      <c r="O582" s="307"/>
      <c r="P582" s="842"/>
    </row>
    <row r="583" spans="1:16" ht="13.5" thickBot="1">
      <c r="A583" s="843">
        <v>21</v>
      </c>
      <c r="B583" s="93"/>
      <c r="C583" s="1966"/>
      <c r="D583" s="1967"/>
      <c r="E583" s="847"/>
      <c r="F583" s="305"/>
      <c r="G583" s="305"/>
      <c r="H583" s="305"/>
      <c r="I583" s="305"/>
      <c r="J583" s="307"/>
      <c r="K583" s="307"/>
      <c r="L583" s="307"/>
      <c r="M583" s="307"/>
      <c r="N583" s="307"/>
      <c r="O583" s="307"/>
      <c r="P583" s="842"/>
    </row>
    <row r="584" spans="1:16" ht="13.5" thickBot="1">
      <c r="A584" s="2056" t="s">
        <v>687</v>
      </c>
      <c r="B584" s="2057"/>
      <c r="C584" s="2057"/>
      <c r="D584" s="2057"/>
      <c r="E584" s="2057"/>
      <c r="F584" s="2057"/>
      <c r="G584" s="2058"/>
      <c r="H584" s="1190">
        <f>SUM(H563:H583)</f>
        <v>409700</v>
      </c>
      <c r="I584" s="1190">
        <f t="shared" ref="I584:P584" si="119">SUM(I563:I583)</f>
        <v>397400</v>
      </c>
      <c r="J584" s="1190">
        <f t="shared" si="119"/>
        <v>97363</v>
      </c>
      <c r="K584" s="1190">
        <f t="shared" si="119"/>
        <v>59610</v>
      </c>
      <c r="L584" s="1190">
        <f t="shared" si="119"/>
        <v>37753</v>
      </c>
      <c r="M584" s="1190">
        <f t="shared" si="119"/>
        <v>0</v>
      </c>
      <c r="N584" s="1190">
        <f t="shared" si="119"/>
        <v>13511.599999999999</v>
      </c>
      <c r="O584" s="1190">
        <f t="shared" si="119"/>
        <v>409700</v>
      </c>
      <c r="P584" s="1190">
        <f t="shared" si="119"/>
        <v>30970</v>
      </c>
    </row>
    <row r="585" spans="1:16" ht="13.5" thickBot="1">
      <c r="A585" s="2059" t="s">
        <v>690</v>
      </c>
      <c r="B585" s="2060"/>
      <c r="C585" s="2060"/>
      <c r="D585" s="2060"/>
      <c r="E585" s="2060"/>
      <c r="F585" s="2060"/>
      <c r="G585" s="2061"/>
      <c r="H585" s="1191"/>
      <c r="I585" s="841"/>
      <c r="J585" s="841"/>
      <c r="K585" s="841"/>
      <c r="L585" s="841"/>
      <c r="M585" s="841"/>
      <c r="N585" s="841"/>
      <c r="O585" s="841"/>
      <c r="P585" s="1192"/>
    </row>
    <row r="586" spans="1:16" ht="13.5" thickBot="1">
      <c r="A586" s="2062" t="s">
        <v>693</v>
      </c>
      <c r="B586" s="2063"/>
      <c r="C586" s="2063"/>
      <c r="D586" s="2063"/>
      <c r="E586" s="2063"/>
      <c r="F586" s="2063"/>
      <c r="G586" s="2064"/>
      <c r="H586" s="1190">
        <f>SUM(H584:H585)</f>
        <v>409700</v>
      </c>
      <c r="I586" s="1190">
        <f t="shared" ref="I586:P586" si="120">SUM(I584:I585)</f>
        <v>397400</v>
      </c>
      <c r="J586" s="1190">
        <f t="shared" si="120"/>
        <v>97363</v>
      </c>
      <c r="K586" s="1190">
        <f t="shared" si="120"/>
        <v>59610</v>
      </c>
      <c r="L586" s="1190">
        <f t="shared" si="120"/>
        <v>37753</v>
      </c>
      <c r="M586" s="1190">
        <f t="shared" si="120"/>
        <v>0</v>
      </c>
      <c r="N586" s="1190">
        <f t="shared" si="120"/>
        <v>13511.599999999999</v>
      </c>
      <c r="O586" s="1190">
        <f t="shared" si="120"/>
        <v>409700</v>
      </c>
      <c r="P586" s="1190">
        <f t="shared" si="120"/>
        <v>30970</v>
      </c>
    </row>
    <row r="587" spans="1:16" ht="13.5" thickBot="1">
      <c r="A587" s="1193"/>
      <c r="B587" s="1194"/>
      <c r="C587" s="1194"/>
      <c r="D587" s="1194"/>
      <c r="E587" s="1194"/>
      <c r="F587" s="1194"/>
      <c r="G587" s="1194"/>
      <c r="H587" s="1195"/>
      <c r="I587" s="1195"/>
      <c r="J587" s="1195"/>
      <c r="K587" s="1195"/>
      <c r="L587" s="1195"/>
      <c r="M587" s="1195"/>
      <c r="N587" s="1195"/>
      <c r="O587" s="1195"/>
      <c r="P587" s="1196"/>
    </row>
    <row r="588" spans="1:16">
      <c r="A588" s="869"/>
      <c r="B588" s="1197" t="s">
        <v>698</v>
      </c>
      <c r="C588" s="871"/>
      <c r="D588" s="871"/>
      <c r="E588" s="871"/>
      <c r="F588" s="871"/>
      <c r="G588" s="871"/>
      <c r="H588" s="872" t="s">
        <v>699</v>
      </c>
      <c r="I588" s="871"/>
      <c r="J588" s="871"/>
      <c r="K588" s="871"/>
      <c r="L588" s="871"/>
      <c r="M588" s="871"/>
      <c r="N588" s="871"/>
      <c r="O588" s="871"/>
      <c r="P588" s="873"/>
    </row>
    <row r="589" spans="1:16">
      <c r="A589" s="874" t="s">
        <v>1157</v>
      </c>
      <c r="B589" s="875"/>
      <c r="C589" s="875"/>
      <c r="D589" s="875"/>
      <c r="E589" s="875"/>
      <c r="F589" s="875"/>
      <c r="G589" s="875"/>
      <c r="H589" s="876" t="s">
        <v>700</v>
      </c>
      <c r="I589" s="875"/>
      <c r="J589" s="875"/>
      <c r="K589" s="875"/>
      <c r="L589" s="875"/>
      <c r="M589" s="875"/>
      <c r="N589" s="875"/>
      <c r="O589" s="875"/>
      <c r="P589" s="877"/>
    </row>
    <row r="590" spans="1:16">
      <c r="A590" s="874" t="s">
        <v>1158</v>
      </c>
      <c r="B590" s="875"/>
      <c r="C590" s="875"/>
      <c r="D590" s="875"/>
      <c r="E590" s="875"/>
      <c r="F590" s="875"/>
      <c r="G590" s="875"/>
      <c r="H590" s="876" t="s">
        <v>701</v>
      </c>
      <c r="I590" s="875"/>
      <c r="J590" s="875"/>
      <c r="K590" s="875"/>
      <c r="L590" s="875"/>
      <c r="M590" s="875"/>
      <c r="N590" s="875"/>
      <c r="O590" s="875"/>
      <c r="P590" s="877"/>
    </row>
    <row r="591" spans="1:16">
      <c r="A591" s="874" t="s">
        <v>702</v>
      </c>
      <c r="B591" s="875"/>
      <c r="C591" s="875"/>
      <c r="D591" s="875"/>
      <c r="E591" s="875"/>
      <c r="F591" s="875"/>
      <c r="G591" s="875"/>
      <c r="H591" s="876" t="s">
        <v>703</v>
      </c>
      <c r="I591" s="875"/>
      <c r="J591" s="875"/>
      <c r="K591" s="875"/>
      <c r="L591" s="875"/>
      <c r="M591" s="875"/>
      <c r="N591" s="875"/>
      <c r="O591" s="875"/>
      <c r="P591" s="877"/>
    </row>
    <row r="592" spans="1:16">
      <c r="A592" s="874"/>
      <c r="B592" s="875"/>
      <c r="C592" s="875"/>
      <c r="D592" s="875"/>
      <c r="E592" s="875"/>
      <c r="F592" s="875"/>
      <c r="G592" s="875"/>
      <c r="H592" s="876" t="s">
        <v>704</v>
      </c>
      <c r="I592" s="875"/>
      <c r="J592" s="875"/>
      <c r="K592" s="875"/>
      <c r="L592" s="875"/>
      <c r="M592" s="875"/>
      <c r="N592" s="875"/>
      <c r="O592" s="875"/>
      <c r="P592" s="877"/>
    </row>
    <row r="593" spans="1:16">
      <c r="A593" s="874"/>
      <c r="B593" s="107" t="s">
        <v>705</v>
      </c>
      <c r="C593" s="875"/>
      <c r="D593" s="875"/>
      <c r="E593" s="875"/>
      <c r="F593" s="875"/>
      <c r="G593" s="875"/>
      <c r="H593" s="876" t="s">
        <v>706</v>
      </c>
      <c r="I593" s="875"/>
      <c r="J593" s="875"/>
      <c r="K593" s="875"/>
      <c r="L593" s="875"/>
      <c r="M593" s="875"/>
      <c r="N593" s="875"/>
      <c r="O593" s="875"/>
      <c r="P593" s="877"/>
    </row>
    <row r="594" spans="1:16">
      <c r="A594" s="874"/>
      <c r="B594" s="875" t="s">
        <v>1159</v>
      </c>
      <c r="C594" s="875"/>
      <c r="D594" s="875"/>
      <c r="E594" s="875"/>
      <c r="F594" s="875"/>
      <c r="G594" s="875"/>
      <c r="H594" s="876"/>
      <c r="I594" s="875"/>
      <c r="J594" s="875"/>
      <c r="K594" s="1198" t="s">
        <v>707</v>
      </c>
      <c r="L594" s="875"/>
      <c r="M594" s="875"/>
      <c r="N594" s="875"/>
      <c r="O594" s="875"/>
      <c r="P594" s="877"/>
    </row>
    <row r="595" spans="1:16">
      <c r="A595" s="874"/>
      <c r="B595" s="875"/>
      <c r="C595" s="875"/>
      <c r="D595" s="875" t="s">
        <v>708</v>
      </c>
      <c r="E595" s="875"/>
      <c r="F595" s="875"/>
      <c r="G595" s="875"/>
      <c r="H595" s="876" t="s">
        <v>709</v>
      </c>
      <c r="I595" s="875"/>
      <c r="J595" s="875"/>
      <c r="K595" s="875"/>
      <c r="L595" s="875"/>
      <c r="M595" s="875"/>
      <c r="N595" s="875"/>
      <c r="O595" s="875"/>
      <c r="P595" s="877"/>
    </row>
    <row r="596" spans="1:16">
      <c r="A596" s="874"/>
      <c r="B596" s="875"/>
      <c r="C596" s="875"/>
      <c r="D596" s="875"/>
      <c r="E596" s="875"/>
      <c r="F596" s="875"/>
      <c r="G596" s="875"/>
      <c r="H596" s="876"/>
      <c r="I596" s="875" t="s">
        <v>710</v>
      </c>
      <c r="J596" s="875"/>
      <c r="K596" s="875"/>
      <c r="L596" s="875"/>
      <c r="M596" s="875"/>
      <c r="N596" s="875"/>
      <c r="O596" s="875"/>
      <c r="P596" s="877"/>
    </row>
    <row r="597" spans="1:16" ht="13.5" thickBot="1">
      <c r="A597" s="880"/>
      <c r="B597" s="881"/>
      <c r="C597" s="881"/>
      <c r="D597" s="881"/>
      <c r="E597" s="881"/>
      <c r="F597" s="881"/>
      <c r="G597" s="881"/>
      <c r="H597" s="882"/>
      <c r="I597" s="881" t="s">
        <v>711</v>
      </c>
      <c r="J597" s="881"/>
      <c r="K597" s="881"/>
      <c r="L597" s="881"/>
      <c r="M597" s="881"/>
      <c r="N597" s="881"/>
      <c r="O597" s="881"/>
      <c r="P597" s="884"/>
    </row>
    <row r="598" spans="1:16">
      <c r="A598" s="1179"/>
      <c r="B598" s="1179"/>
      <c r="C598" s="1179"/>
      <c r="D598" s="1179"/>
      <c r="E598" s="1179"/>
      <c r="F598" s="1179"/>
      <c r="G598" s="1179"/>
      <c r="H598" s="1179"/>
      <c r="I598" s="1179"/>
      <c r="J598" s="1179"/>
      <c r="K598" s="1179"/>
      <c r="L598" s="1179"/>
      <c r="M598" s="1179"/>
      <c r="N598" s="1179"/>
      <c r="O598" s="1179"/>
      <c r="P598" s="1179"/>
    </row>
    <row r="599" spans="1:16">
      <c r="A599" s="1179"/>
      <c r="B599" s="1179"/>
      <c r="C599" s="1179"/>
      <c r="D599" s="1179"/>
      <c r="E599" s="1179"/>
      <c r="F599" s="1179"/>
      <c r="G599" s="1179"/>
      <c r="H599" s="1179"/>
      <c r="I599" s="1179"/>
      <c r="J599" s="1179"/>
      <c r="K599" s="1179"/>
      <c r="L599" s="1179"/>
      <c r="M599" s="1179"/>
      <c r="N599" s="1179"/>
      <c r="O599" s="1179"/>
      <c r="P599" s="1179"/>
    </row>
  </sheetData>
  <mergeCells count="560">
    <mergeCell ref="A585:G585"/>
    <mergeCell ref="A586:G586"/>
    <mergeCell ref="C576:D576"/>
    <mergeCell ref="C577:D577"/>
    <mergeCell ref="C578:D578"/>
    <mergeCell ref="C579:D579"/>
    <mergeCell ref="C580:D580"/>
    <mergeCell ref="C581:D581"/>
    <mergeCell ref="C582:D582"/>
    <mergeCell ref="C583:D583"/>
    <mergeCell ref="A584:G584"/>
    <mergeCell ref="E559:G559"/>
    <mergeCell ref="H559:K559"/>
    <mergeCell ref="M559:P559"/>
    <mergeCell ref="A560:A562"/>
    <mergeCell ref="C560:D562"/>
    <mergeCell ref="E560:E562"/>
    <mergeCell ref="F560:F562"/>
    <mergeCell ref="G560:G562"/>
    <mergeCell ref="P560:P562"/>
    <mergeCell ref="H561:H562"/>
    <mergeCell ref="I561:I562"/>
    <mergeCell ref="J561:J562"/>
    <mergeCell ref="K561:L561"/>
    <mergeCell ref="C534:D534"/>
    <mergeCell ref="C535:D535"/>
    <mergeCell ref="C536:D536"/>
    <mergeCell ref="C537:D537"/>
    <mergeCell ref="C538:D538"/>
    <mergeCell ref="C539:D539"/>
    <mergeCell ref="A540:G540"/>
    <mergeCell ref="A541:G541"/>
    <mergeCell ref="A542:G542"/>
    <mergeCell ref="C497:D497"/>
    <mergeCell ref="C498:D498"/>
    <mergeCell ref="A499:G499"/>
    <mergeCell ref="A500:G500"/>
    <mergeCell ref="A501:G501"/>
    <mergeCell ref="E517:G517"/>
    <mergeCell ref="H517:K517"/>
    <mergeCell ref="M517:P517"/>
    <mergeCell ref="A518:A520"/>
    <mergeCell ref="C518:D520"/>
    <mergeCell ref="E518:E520"/>
    <mergeCell ref="F518:F520"/>
    <mergeCell ref="G518:G520"/>
    <mergeCell ref="P518:P520"/>
    <mergeCell ref="H519:H520"/>
    <mergeCell ref="I519:I520"/>
    <mergeCell ref="J519:J520"/>
    <mergeCell ref="C488:D488"/>
    <mergeCell ref="C489:D489"/>
    <mergeCell ref="C490:D490"/>
    <mergeCell ref="C491:D491"/>
    <mergeCell ref="C492:D492"/>
    <mergeCell ref="C493:D493"/>
    <mergeCell ref="C494:D494"/>
    <mergeCell ref="C495:D495"/>
    <mergeCell ref="C496:D496"/>
    <mergeCell ref="C455:D455"/>
    <mergeCell ref="C456:D456"/>
    <mergeCell ref="A457:G457"/>
    <mergeCell ref="A458:G458"/>
    <mergeCell ref="A459:G459"/>
    <mergeCell ref="E475:G475"/>
    <mergeCell ref="H475:K475"/>
    <mergeCell ref="M475:P475"/>
    <mergeCell ref="A476:A478"/>
    <mergeCell ref="C476:D478"/>
    <mergeCell ref="E476:E478"/>
    <mergeCell ref="F476:F478"/>
    <mergeCell ref="G476:G478"/>
    <mergeCell ref="P476:P478"/>
    <mergeCell ref="H477:H478"/>
    <mergeCell ref="I477:I478"/>
    <mergeCell ref="J477:J478"/>
    <mergeCell ref="C446:D446"/>
    <mergeCell ref="C447:D447"/>
    <mergeCell ref="C448:D448"/>
    <mergeCell ref="C449:D449"/>
    <mergeCell ref="C450:D450"/>
    <mergeCell ref="C451:D451"/>
    <mergeCell ref="C452:D452"/>
    <mergeCell ref="C453:D453"/>
    <mergeCell ref="C454:D454"/>
    <mergeCell ref="E433:G433"/>
    <mergeCell ref="H433:K433"/>
    <mergeCell ref="M433:P433"/>
    <mergeCell ref="A434:A436"/>
    <mergeCell ref="C434:D436"/>
    <mergeCell ref="E434:E436"/>
    <mergeCell ref="F434:F436"/>
    <mergeCell ref="G434:G436"/>
    <mergeCell ref="P434:P436"/>
    <mergeCell ref="H435:H436"/>
    <mergeCell ref="I435:I436"/>
    <mergeCell ref="J435:J436"/>
    <mergeCell ref="C409:D409"/>
    <mergeCell ref="C410:D410"/>
    <mergeCell ref="C411:D411"/>
    <mergeCell ref="C412:D412"/>
    <mergeCell ref="C413:D413"/>
    <mergeCell ref="C414:D414"/>
    <mergeCell ref="A415:G415"/>
    <mergeCell ref="A416:G416"/>
    <mergeCell ref="A417:G417"/>
    <mergeCell ref="C400:D400"/>
    <mergeCell ref="C401:D401"/>
    <mergeCell ref="C402:D402"/>
    <mergeCell ref="C403:D403"/>
    <mergeCell ref="C404:D404"/>
    <mergeCell ref="C405:D405"/>
    <mergeCell ref="C406:D406"/>
    <mergeCell ref="C407:D407"/>
    <mergeCell ref="C408:D408"/>
    <mergeCell ref="E387:G387"/>
    <mergeCell ref="H387:K387"/>
    <mergeCell ref="M387:P387"/>
    <mergeCell ref="A388:A390"/>
    <mergeCell ref="C388:D390"/>
    <mergeCell ref="E388:E390"/>
    <mergeCell ref="F388:F390"/>
    <mergeCell ref="G388:G390"/>
    <mergeCell ref="P388:P390"/>
    <mergeCell ref="H389:H390"/>
    <mergeCell ref="I389:I390"/>
    <mergeCell ref="J389:J390"/>
    <mergeCell ref="C267:D267"/>
    <mergeCell ref="C268:D268"/>
    <mergeCell ref="C269:D269"/>
    <mergeCell ref="C270:D270"/>
    <mergeCell ref="C271:D271"/>
    <mergeCell ref="C272:D272"/>
    <mergeCell ref="A273:G273"/>
    <mergeCell ref="A274:G274"/>
    <mergeCell ref="A275:G275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E245:G245"/>
    <mergeCell ref="H245:K245"/>
    <mergeCell ref="M245:P245"/>
    <mergeCell ref="A246:A248"/>
    <mergeCell ref="C246:D248"/>
    <mergeCell ref="E246:E248"/>
    <mergeCell ref="F246:F248"/>
    <mergeCell ref="G246:G248"/>
    <mergeCell ref="P246:P248"/>
    <mergeCell ref="H247:H248"/>
    <mergeCell ref="I247:I248"/>
    <mergeCell ref="J247:J248"/>
    <mergeCell ref="R229:X229"/>
    <mergeCell ref="R230:X230"/>
    <mergeCell ref="C222:D222"/>
    <mergeCell ref="C223:D223"/>
    <mergeCell ref="A224:G224"/>
    <mergeCell ref="A225:G225"/>
    <mergeCell ref="R225:X225"/>
    <mergeCell ref="A226:G226"/>
    <mergeCell ref="R226:X226"/>
    <mergeCell ref="R227:X227"/>
    <mergeCell ref="R228:X228"/>
    <mergeCell ref="C217:D217"/>
    <mergeCell ref="T217:U217"/>
    <mergeCell ref="C218:D218"/>
    <mergeCell ref="T218:U218"/>
    <mergeCell ref="C219:D219"/>
    <mergeCell ref="T219:U219"/>
    <mergeCell ref="C220:D220"/>
    <mergeCell ref="T220:U220"/>
    <mergeCell ref="C221:D221"/>
    <mergeCell ref="T211:U211"/>
    <mergeCell ref="T212:U212"/>
    <mergeCell ref="C213:D213"/>
    <mergeCell ref="T213:U213"/>
    <mergeCell ref="C214:D214"/>
    <mergeCell ref="T214:U214"/>
    <mergeCell ref="C215:D215"/>
    <mergeCell ref="T215:U215"/>
    <mergeCell ref="C216:D216"/>
    <mergeCell ref="T216:U216"/>
    <mergeCell ref="C211:D211"/>
    <mergeCell ref="C212:D212"/>
    <mergeCell ref="T202:U202"/>
    <mergeCell ref="T203:U203"/>
    <mergeCell ref="T204:U204"/>
    <mergeCell ref="T205:U205"/>
    <mergeCell ref="T206:U206"/>
    <mergeCell ref="T207:U207"/>
    <mergeCell ref="T208:U208"/>
    <mergeCell ref="T209:U209"/>
    <mergeCell ref="T210:U210"/>
    <mergeCell ref="Y198:AD198"/>
    <mergeCell ref="R199:R201"/>
    <mergeCell ref="S199:S201"/>
    <mergeCell ref="T199:U201"/>
    <mergeCell ref="V199:V201"/>
    <mergeCell ref="W199:W201"/>
    <mergeCell ref="X199:X201"/>
    <mergeCell ref="Y199:Y201"/>
    <mergeCell ref="Z199:Z201"/>
    <mergeCell ref="AA199:AA201"/>
    <mergeCell ref="AB199:AB201"/>
    <mergeCell ref="AC199:AC201"/>
    <mergeCell ref="AD199:AD201"/>
    <mergeCell ref="R181:X181"/>
    <mergeCell ref="R182:X182"/>
    <mergeCell ref="E196:G196"/>
    <mergeCell ref="H196:K196"/>
    <mergeCell ref="M196:P196"/>
    <mergeCell ref="A197:A199"/>
    <mergeCell ref="C197:D199"/>
    <mergeCell ref="E197:E199"/>
    <mergeCell ref="F197:F199"/>
    <mergeCell ref="G197:G199"/>
    <mergeCell ref="P197:P199"/>
    <mergeCell ref="H198:H199"/>
    <mergeCell ref="I198:I199"/>
    <mergeCell ref="J198:J199"/>
    <mergeCell ref="R198:X198"/>
    <mergeCell ref="C174:D174"/>
    <mergeCell ref="C175:D175"/>
    <mergeCell ref="A176:G176"/>
    <mergeCell ref="A177:G177"/>
    <mergeCell ref="R177:X177"/>
    <mergeCell ref="A178:G178"/>
    <mergeCell ref="R178:X178"/>
    <mergeCell ref="R179:X179"/>
    <mergeCell ref="R180:X180"/>
    <mergeCell ref="C169:D169"/>
    <mergeCell ref="T169:U169"/>
    <mergeCell ref="C170:D170"/>
    <mergeCell ref="T170:U170"/>
    <mergeCell ref="C171:D171"/>
    <mergeCell ref="T171:U171"/>
    <mergeCell ref="C172:D172"/>
    <mergeCell ref="T172:U172"/>
    <mergeCell ref="C173:D173"/>
    <mergeCell ref="T163:U163"/>
    <mergeCell ref="T164:U164"/>
    <mergeCell ref="T165:U165"/>
    <mergeCell ref="C166:D166"/>
    <mergeCell ref="T166:U166"/>
    <mergeCell ref="C167:D167"/>
    <mergeCell ref="T167:U167"/>
    <mergeCell ref="C168:D168"/>
    <mergeCell ref="T168:U168"/>
    <mergeCell ref="T154:U154"/>
    <mergeCell ref="T155:U155"/>
    <mergeCell ref="T156:U156"/>
    <mergeCell ref="T157:U157"/>
    <mergeCell ref="T158:U158"/>
    <mergeCell ref="T159:U159"/>
    <mergeCell ref="T160:U160"/>
    <mergeCell ref="T161:U161"/>
    <mergeCell ref="T162:U162"/>
    <mergeCell ref="Y150:AD150"/>
    <mergeCell ref="R151:R153"/>
    <mergeCell ref="S151:S153"/>
    <mergeCell ref="T151:U153"/>
    <mergeCell ref="V151:V153"/>
    <mergeCell ref="W151:W153"/>
    <mergeCell ref="X151:X153"/>
    <mergeCell ref="Y151:Y153"/>
    <mergeCell ref="Z151:Z153"/>
    <mergeCell ref="AA151:AA153"/>
    <mergeCell ref="AB151:AB153"/>
    <mergeCell ref="AC151:AC153"/>
    <mergeCell ref="AD151:AD153"/>
    <mergeCell ref="A130:G130"/>
    <mergeCell ref="R133:X133"/>
    <mergeCell ref="R134:X134"/>
    <mergeCell ref="E148:G148"/>
    <mergeCell ref="H148:K148"/>
    <mergeCell ref="M148:P148"/>
    <mergeCell ref="A149:A151"/>
    <mergeCell ref="C149:D151"/>
    <mergeCell ref="E149:E151"/>
    <mergeCell ref="F149:F151"/>
    <mergeCell ref="G149:G151"/>
    <mergeCell ref="P149:P151"/>
    <mergeCell ref="H150:H151"/>
    <mergeCell ref="I150:I151"/>
    <mergeCell ref="J150:J151"/>
    <mergeCell ref="R150:X150"/>
    <mergeCell ref="T115:U115"/>
    <mergeCell ref="T116:U116"/>
    <mergeCell ref="T117:U117"/>
    <mergeCell ref="T118:U118"/>
    <mergeCell ref="T119:U119"/>
    <mergeCell ref="C120:D120"/>
    <mergeCell ref="T120:U120"/>
    <mergeCell ref="C121:D121"/>
    <mergeCell ref="T121:U121"/>
    <mergeCell ref="C116:D116"/>
    <mergeCell ref="C117:D117"/>
    <mergeCell ref="C118:D118"/>
    <mergeCell ref="C119:D119"/>
    <mergeCell ref="T106:U106"/>
    <mergeCell ref="T107:U107"/>
    <mergeCell ref="T108:U108"/>
    <mergeCell ref="T109:U109"/>
    <mergeCell ref="T110:U110"/>
    <mergeCell ref="T111:U111"/>
    <mergeCell ref="T112:U112"/>
    <mergeCell ref="T113:U113"/>
    <mergeCell ref="T114:U114"/>
    <mergeCell ref="R102:X102"/>
    <mergeCell ref="Y102:AD102"/>
    <mergeCell ref="R103:R105"/>
    <mergeCell ref="S103:S105"/>
    <mergeCell ref="T103:U105"/>
    <mergeCell ref="V103:V105"/>
    <mergeCell ref="W103:W105"/>
    <mergeCell ref="X103:X105"/>
    <mergeCell ref="Y103:Y105"/>
    <mergeCell ref="Z103:Z105"/>
    <mergeCell ref="AA103:AA105"/>
    <mergeCell ref="AB103:AB105"/>
    <mergeCell ref="AC103:AC105"/>
    <mergeCell ref="AD103:AD105"/>
    <mergeCell ref="H100:K100"/>
    <mergeCell ref="M100:P100"/>
    <mergeCell ref="A101:A103"/>
    <mergeCell ref="C101:D103"/>
    <mergeCell ref="E101:E103"/>
    <mergeCell ref="F101:F103"/>
    <mergeCell ref="G101:G103"/>
    <mergeCell ref="P101:P103"/>
    <mergeCell ref="H102:H103"/>
    <mergeCell ref="I102:I103"/>
    <mergeCell ref="J102:J103"/>
    <mergeCell ref="E100:G100"/>
    <mergeCell ref="T75:U75"/>
    <mergeCell ref="C76:D76"/>
    <mergeCell ref="T76:U76"/>
    <mergeCell ref="C77:D77"/>
    <mergeCell ref="C78:D78"/>
    <mergeCell ref="C79:D79"/>
    <mergeCell ref="A80:G80"/>
    <mergeCell ref="A81:G81"/>
    <mergeCell ref="A82:G82"/>
    <mergeCell ref="C75:D75"/>
    <mergeCell ref="R82:X82"/>
    <mergeCell ref="T67:U67"/>
    <mergeCell ref="T68:U68"/>
    <mergeCell ref="T69:U69"/>
    <mergeCell ref="T70:U70"/>
    <mergeCell ref="T71:U71"/>
    <mergeCell ref="T72:U72"/>
    <mergeCell ref="C73:D73"/>
    <mergeCell ref="T73:U73"/>
    <mergeCell ref="C74:D74"/>
    <mergeCell ref="T74:U74"/>
    <mergeCell ref="C67:D67"/>
    <mergeCell ref="C68:D68"/>
    <mergeCell ref="C69:D69"/>
    <mergeCell ref="C70:D70"/>
    <mergeCell ref="C71:D71"/>
    <mergeCell ref="C72:D72"/>
    <mergeCell ref="Z6:Z8"/>
    <mergeCell ref="AA6:AA8"/>
    <mergeCell ref="AB6:AB8"/>
    <mergeCell ref="AC6:AC8"/>
    <mergeCell ref="AD6:AD8"/>
    <mergeCell ref="T9:U9"/>
    <mergeCell ref="T10:U10"/>
    <mergeCell ref="T11:U11"/>
    <mergeCell ref="T12:U12"/>
    <mergeCell ref="A4:A6"/>
    <mergeCell ref="C4:D6"/>
    <mergeCell ref="E4:E6"/>
    <mergeCell ref="F4:F6"/>
    <mergeCell ref="G4:G6"/>
    <mergeCell ref="P4:P6"/>
    <mergeCell ref="H5:H6"/>
    <mergeCell ref="I5:I6"/>
    <mergeCell ref="J5:J6"/>
    <mergeCell ref="C161:D161"/>
    <mergeCell ref="C162:D162"/>
    <mergeCell ref="C163:D163"/>
    <mergeCell ref="C164:D164"/>
    <mergeCell ref="C165:D165"/>
    <mergeCell ref="AJ2:AO2"/>
    <mergeCell ref="AJ3:AO3"/>
    <mergeCell ref="AJ9:AK9"/>
    <mergeCell ref="AL9:AO9"/>
    <mergeCell ref="E3:G3"/>
    <mergeCell ref="H3:K3"/>
    <mergeCell ref="M3:P3"/>
    <mergeCell ref="R5:X5"/>
    <mergeCell ref="Y5:AD5"/>
    <mergeCell ref="R6:R8"/>
    <mergeCell ref="S6:S8"/>
    <mergeCell ref="T6:U8"/>
    <mergeCell ref="V6:V8"/>
    <mergeCell ref="W6:W8"/>
    <mergeCell ref="X6:X8"/>
    <mergeCell ref="Y6:Y8"/>
    <mergeCell ref="R32:X32"/>
    <mergeCell ref="R33:X33"/>
    <mergeCell ref="C26:D26"/>
    <mergeCell ref="C65:D65"/>
    <mergeCell ref="C27:D27"/>
    <mergeCell ref="C28:D28"/>
    <mergeCell ref="R34:X34"/>
    <mergeCell ref="R35:X35"/>
    <mergeCell ref="R36:X36"/>
    <mergeCell ref="T26:U26"/>
    <mergeCell ref="T27:U27"/>
    <mergeCell ref="C29:D29"/>
    <mergeCell ref="C30:D30"/>
    <mergeCell ref="A32:G32"/>
    <mergeCell ref="A33:G33"/>
    <mergeCell ref="A34:G34"/>
    <mergeCell ref="A53:A55"/>
    <mergeCell ref="C53:D55"/>
    <mergeCell ref="E53:E55"/>
    <mergeCell ref="F53:F55"/>
    <mergeCell ref="G53:G55"/>
    <mergeCell ref="P53:P55"/>
    <mergeCell ref="H54:H55"/>
    <mergeCell ref="I54:I55"/>
    <mergeCell ref="J54:J55"/>
    <mergeCell ref="C113:D113"/>
    <mergeCell ref="C114:D114"/>
    <mergeCell ref="C115:D115"/>
    <mergeCell ref="C66:D66"/>
    <mergeCell ref="AT9:AT12"/>
    <mergeCell ref="AL10:AO10"/>
    <mergeCell ref="R81:X81"/>
    <mergeCell ref="T13:U13"/>
    <mergeCell ref="T14:U14"/>
    <mergeCell ref="T15:U15"/>
    <mergeCell ref="T16:U16"/>
    <mergeCell ref="T17:U17"/>
    <mergeCell ref="T18:U18"/>
    <mergeCell ref="T19:U19"/>
    <mergeCell ref="T58:U58"/>
    <mergeCell ref="T59:U59"/>
    <mergeCell ref="T60:U60"/>
    <mergeCell ref="T61:U61"/>
    <mergeCell ref="T62:U62"/>
    <mergeCell ref="T63:U63"/>
    <mergeCell ref="T64:U64"/>
    <mergeCell ref="T65:U65"/>
    <mergeCell ref="T66:U66"/>
    <mergeCell ref="R54:X54"/>
    <mergeCell ref="Y54:AD54"/>
    <mergeCell ref="R55:R57"/>
    <mergeCell ref="S55:S57"/>
    <mergeCell ref="T55:U57"/>
    <mergeCell ref="C21:D21"/>
    <mergeCell ref="R37:X37"/>
    <mergeCell ref="C25:D25"/>
    <mergeCell ref="T20:U20"/>
    <mergeCell ref="T21:U21"/>
    <mergeCell ref="T22:U22"/>
    <mergeCell ref="T23:U23"/>
    <mergeCell ref="T24:U24"/>
    <mergeCell ref="T25:U25"/>
    <mergeCell ref="V55:V57"/>
    <mergeCell ref="W55:W57"/>
    <mergeCell ref="X55:X57"/>
    <mergeCell ref="Y55:Y57"/>
    <mergeCell ref="Z55:Z57"/>
    <mergeCell ref="AA55:AA57"/>
    <mergeCell ref="AB55:AB57"/>
    <mergeCell ref="AC55:AC57"/>
    <mergeCell ref="AD55:AD57"/>
    <mergeCell ref="C209:D209"/>
    <mergeCell ref="C210:D210"/>
    <mergeCell ref="E52:G52"/>
    <mergeCell ref="H52:K52"/>
    <mergeCell ref="M52:P52"/>
    <mergeCell ref="R132:X132"/>
    <mergeCell ref="R129:X129"/>
    <mergeCell ref="R130:X130"/>
    <mergeCell ref="R131:X131"/>
    <mergeCell ref="C122:D122"/>
    <mergeCell ref="T122:U122"/>
    <mergeCell ref="C123:D123"/>
    <mergeCell ref="T123:U123"/>
    <mergeCell ref="C124:D124"/>
    <mergeCell ref="T124:U124"/>
    <mergeCell ref="C125:D125"/>
    <mergeCell ref="C126:D126"/>
    <mergeCell ref="C127:D127"/>
    <mergeCell ref="A128:G128"/>
    <mergeCell ref="A129:G129"/>
    <mergeCell ref="R83:X83"/>
    <mergeCell ref="R84:X84"/>
    <mergeCell ref="R85:X85"/>
    <mergeCell ref="R86:X86"/>
    <mergeCell ref="E294:G294"/>
    <mergeCell ref="H294:K294"/>
    <mergeCell ref="M294:P294"/>
    <mergeCell ref="A295:A297"/>
    <mergeCell ref="C295:D297"/>
    <mergeCell ref="E295:E297"/>
    <mergeCell ref="F295:F297"/>
    <mergeCell ref="G295:G297"/>
    <mergeCell ref="P295:P297"/>
    <mergeCell ref="H296:H297"/>
    <mergeCell ref="I296:I297"/>
    <mergeCell ref="J296:J297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A322:G322"/>
    <mergeCell ref="A323:G323"/>
    <mergeCell ref="A324:G324"/>
    <mergeCell ref="E340:G340"/>
    <mergeCell ref="H340:K340"/>
    <mergeCell ref="M340:P340"/>
    <mergeCell ref="A341:A343"/>
    <mergeCell ref="C341:D343"/>
    <mergeCell ref="E341:E343"/>
    <mergeCell ref="F341:F343"/>
    <mergeCell ref="G341:G343"/>
    <mergeCell ref="P341:P343"/>
    <mergeCell ref="H342:H343"/>
    <mergeCell ref="I342:I343"/>
    <mergeCell ref="J342:J343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A368:G368"/>
    <mergeCell ref="A369:G369"/>
    <mergeCell ref="A370:G370"/>
  </mergeCells>
  <phoneticPr fontId="7" type="noConversion"/>
  <pageMargins left="0" right="0" top="0" bottom="0.25" header="0" footer="0.25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FFCC"/>
  </sheetPr>
  <dimension ref="A1:J549"/>
  <sheetViews>
    <sheetView topLeftCell="A404" workbookViewId="0">
      <selection activeCell="Q117" sqref="Q117:Q128"/>
    </sheetView>
  </sheetViews>
  <sheetFormatPr defaultRowHeight="12.75"/>
  <cols>
    <col min="1" max="1" width="3.85546875" customWidth="1"/>
    <col min="2" max="2" width="24.5703125" customWidth="1"/>
    <col min="3" max="3" width="6.140625" customWidth="1"/>
    <col min="4" max="4" width="11.85546875" style="905" customWidth="1"/>
    <col min="5" max="5" width="8.5703125" customWidth="1"/>
    <col min="6" max="6" width="14" style="1047" customWidth="1"/>
    <col min="7" max="7" width="12.85546875" customWidth="1"/>
    <col min="8" max="8" width="10" customWidth="1"/>
    <col min="9" max="9" width="10.5703125" customWidth="1"/>
    <col min="10" max="10" width="11.28515625" customWidth="1"/>
  </cols>
  <sheetData>
    <row r="1" spans="1:10" ht="15">
      <c r="A1" s="993"/>
      <c r="B1" s="994"/>
      <c r="C1" s="995"/>
      <c r="D1" s="996"/>
      <c r="E1" s="993"/>
      <c r="F1" s="997"/>
      <c r="G1" s="998"/>
      <c r="H1" s="999"/>
      <c r="I1" s="1000"/>
      <c r="J1" s="1000"/>
    </row>
    <row r="2" spans="1:10" ht="15">
      <c r="A2" s="1001" t="s">
        <v>1501</v>
      </c>
      <c r="B2" s="1001"/>
      <c r="C2" s="1001"/>
      <c r="D2" s="1002"/>
      <c r="E2" s="1001"/>
      <c r="F2" s="1003"/>
      <c r="G2" s="1001" t="s">
        <v>1502</v>
      </c>
      <c r="H2" s="1004"/>
      <c r="I2" s="350"/>
      <c r="J2" s="58"/>
    </row>
    <row r="3" spans="1:10" ht="15.75" thickBot="1">
      <c r="A3" s="1005"/>
      <c r="B3" s="1005" t="s">
        <v>1503</v>
      </c>
      <c r="C3" s="1005"/>
      <c r="D3" s="1006"/>
      <c r="E3" s="1005"/>
      <c r="F3" s="1007"/>
      <c r="G3" s="1005"/>
      <c r="H3" s="1008"/>
      <c r="I3" s="23"/>
      <c r="J3" s="30"/>
    </row>
    <row r="4" spans="1:10" ht="13.5" thickBot="1">
      <c r="A4" s="2088" t="s">
        <v>1</v>
      </c>
      <c r="B4" s="351" t="s">
        <v>1504</v>
      </c>
      <c r="C4" s="1009" t="s">
        <v>1505</v>
      </c>
      <c r="D4" s="2087" t="s">
        <v>381</v>
      </c>
      <c r="E4" s="351" t="s">
        <v>904</v>
      </c>
      <c r="F4" s="1010" t="s">
        <v>1506</v>
      </c>
      <c r="G4" s="2085" t="s">
        <v>1507</v>
      </c>
      <c r="H4" s="2086"/>
      <c r="I4" s="2086"/>
      <c r="J4" s="1009" t="s">
        <v>1508</v>
      </c>
    </row>
    <row r="5" spans="1:10" ht="13.5" thickBot="1">
      <c r="A5" s="2089"/>
      <c r="B5" s="357" t="s">
        <v>1509</v>
      </c>
      <c r="C5" s="1011" t="s">
        <v>1510</v>
      </c>
      <c r="D5" s="2000"/>
      <c r="E5" s="357" t="s">
        <v>1511</v>
      </c>
      <c r="F5" s="1012" t="s">
        <v>1512</v>
      </c>
      <c r="G5" s="1013" t="s">
        <v>1513</v>
      </c>
      <c r="H5" s="1013" t="s">
        <v>1514</v>
      </c>
      <c r="I5" s="1013" t="s">
        <v>1515</v>
      </c>
      <c r="J5" s="1011" t="s">
        <v>1516</v>
      </c>
    </row>
    <row r="6" spans="1:10">
      <c r="A6" s="181">
        <v>1</v>
      </c>
      <c r="B6" s="1014" t="s">
        <v>1517</v>
      </c>
      <c r="C6" s="1014" t="s">
        <v>517</v>
      </c>
      <c r="D6" s="1015">
        <f>231+162</f>
        <v>393</v>
      </c>
      <c r="E6" s="1016">
        <f>F6/D6</f>
        <v>636.29770992366412</v>
      </c>
      <c r="F6" s="1017">
        <f>146223+103842</f>
        <v>250065</v>
      </c>
      <c r="G6" s="69" t="s">
        <v>920</v>
      </c>
      <c r="H6" s="1018"/>
      <c r="I6" s="1019">
        <f>H6*0.2</f>
        <v>0</v>
      </c>
      <c r="J6" s="1020">
        <f>I6+H6</f>
        <v>0</v>
      </c>
    </row>
    <row r="7" spans="1:10">
      <c r="A7" s="181">
        <v>2</v>
      </c>
      <c r="B7" s="1014" t="s">
        <v>1518</v>
      </c>
      <c r="C7" s="1014" t="s">
        <v>1494</v>
      </c>
      <c r="D7" s="1015">
        <f>400+460</f>
        <v>860</v>
      </c>
      <c r="E7" s="1016">
        <f>F7/D7</f>
        <v>93.697674418604649</v>
      </c>
      <c r="F7" s="1017">
        <f>24000+56580</f>
        <v>80580</v>
      </c>
      <c r="G7" s="71" t="s">
        <v>1519</v>
      </c>
      <c r="H7" s="1019"/>
      <c r="I7" s="1019">
        <f>H7*0.2</f>
        <v>0</v>
      </c>
      <c r="J7" s="1020">
        <f>I7+H7</f>
        <v>0</v>
      </c>
    </row>
    <row r="8" spans="1:10">
      <c r="A8" s="304">
        <v>3</v>
      </c>
      <c r="B8" s="1014" t="s">
        <v>1520</v>
      </c>
      <c r="C8" s="1014" t="s">
        <v>964</v>
      </c>
      <c r="D8" s="1015">
        <v>217</v>
      </c>
      <c r="E8" s="1016">
        <f>+F8/D8</f>
        <v>130</v>
      </c>
      <c r="F8" s="1017">
        <f>15210+13000</f>
        <v>28210</v>
      </c>
      <c r="G8" s="71"/>
      <c r="H8" s="1019"/>
      <c r="I8" s="1019">
        <f>H8*0.2</f>
        <v>0</v>
      </c>
      <c r="J8" s="1020">
        <f>I8+H8</f>
        <v>0</v>
      </c>
    </row>
    <row r="9" spans="1:10">
      <c r="A9" s="181">
        <v>4</v>
      </c>
      <c r="B9" s="1014" t="s">
        <v>1521</v>
      </c>
      <c r="C9" s="1014" t="s">
        <v>910</v>
      </c>
      <c r="D9" s="1015">
        <f>29+86.25</f>
        <v>115.25</v>
      </c>
      <c r="E9" s="1016">
        <f>+F9/D9</f>
        <v>3112.2255965292843</v>
      </c>
      <c r="F9" s="1017">
        <f>193343+165341</f>
        <v>358684</v>
      </c>
      <c r="G9" s="71"/>
      <c r="H9" s="1019"/>
      <c r="I9" s="1019"/>
      <c r="J9" s="1020"/>
    </row>
    <row r="10" spans="1:10">
      <c r="A10" s="181">
        <v>5</v>
      </c>
      <c r="B10" s="1014" t="s">
        <v>1522</v>
      </c>
      <c r="C10" s="1014" t="s">
        <v>964</v>
      </c>
      <c r="D10" s="1015">
        <f>28807+23050</f>
        <v>51857</v>
      </c>
      <c r="E10" s="1016">
        <f>+F10/D10</f>
        <v>8.3409182945407565</v>
      </c>
      <c r="F10" s="1017">
        <f>240535+192000</f>
        <v>432535</v>
      </c>
      <c r="G10" s="71"/>
      <c r="H10" s="1019"/>
      <c r="I10" s="1019"/>
      <c r="J10" s="1020"/>
    </row>
    <row r="11" spans="1:10">
      <c r="A11" s="181">
        <v>6</v>
      </c>
      <c r="B11" s="1014" t="s">
        <v>1523</v>
      </c>
      <c r="C11" s="1014" t="s">
        <v>964</v>
      </c>
      <c r="D11" s="1015">
        <v>624</v>
      </c>
      <c r="E11" s="1016">
        <f>+F11/D11</f>
        <v>400</v>
      </c>
      <c r="F11" s="1017">
        <v>249600</v>
      </c>
      <c r="G11" s="71"/>
      <c r="H11" s="1019"/>
      <c r="I11" s="1019"/>
      <c r="J11" s="1020"/>
    </row>
    <row r="12" spans="1:10">
      <c r="A12" s="304">
        <v>7</v>
      </c>
      <c r="B12" s="1014" t="s">
        <v>1524</v>
      </c>
      <c r="C12" s="1014" t="s">
        <v>913</v>
      </c>
      <c r="D12" s="1015">
        <v>32</v>
      </c>
      <c r="E12" s="1016">
        <f t="shared" ref="E12:E17" si="0">+F12/D12</f>
        <v>8000</v>
      </c>
      <c r="F12" s="1017">
        <v>256000</v>
      </c>
      <c r="G12" s="71"/>
      <c r="H12" s="1019"/>
      <c r="I12" s="1019"/>
      <c r="J12" s="1020"/>
    </row>
    <row r="13" spans="1:10">
      <c r="A13" s="181">
        <v>8</v>
      </c>
      <c r="B13" s="1014" t="s">
        <v>1525</v>
      </c>
      <c r="C13" s="1014" t="s">
        <v>964</v>
      </c>
      <c r="D13" s="1015">
        <v>1400</v>
      </c>
      <c r="E13" s="1016">
        <f t="shared" si="0"/>
        <v>75.714285714285708</v>
      </c>
      <c r="F13" s="1017">
        <v>106000</v>
      </c>
      <c r="G13" s="71"/>
      <c r="H13" s="1019"/>
      <c r="I13" s="1019"/>
      <c r="J13" s="1020"/>
    </row>
    <row r="14" spans="1:10">
      <c r="A14" s="181">
        <v>9</v>
      </c>
      <c r="B14" s="1014" t="s">
        <v>1526</v>
      </c>
      <c r="C14" s="1014" t="s">
        <v>1494</v>
      </c>
      <c r="D14" s="1015">
        <v>146</v>
      </c>
      <c r="E14" s="1016">
        <f t="shared" si="0"/>
        <v>2260</v>
      </c>
      <c r="F14" s="1017">
        <v>329960</v>
      </c>
      <c r="G14" s="71"/>
      <c r="H14" s="1019"/>
      <c r="I14" s="1019"/>
      <c r="J14" s="1020"/>
    </row>
    <row r="15" spans="1:10">
      <c r="A15" s="181">
        <v>10</v>
      </c>
      <c r="B15" s="1014" t="s">
        <v>1527</v>
      </c>
      <c r="C15" s="1014" t="s">
        <v>964</v>
      </c>
      <c r="D15" s="1015">
        <v>10633</v>
      </c>
      <c r="E15" s="1016">
        <f t="shared" si="0"/>
        <v>9.3294460641399422</v>
      </c>
      <c r="F15" s="1017">
        <v>99200</v>
      </c>
      <c r="G15" s="71"/>
      <c r="H15" s="1019"/>
      <c r="I15" s="1019"/>
      <c r="J15" s="1020"/>
    </row>
    <row r="16" spans="1:10">
      <c r="A16" s="304">
        <v>11</v>
      </c>
      <c r="B16" s="1021" t="s">
        <v>1528</v>
      </c>
      <c r="C16" s="1021"/>
      <c r="D16" s="1022"/>
      <c r="E16" s="1016"/>
      <c r="F16" s="1023">
        <v>234998</v>
      </c>
      <c r="G16" s="71"/>
      <c r="H16" s="1019"/>
      <c r="I16" s="1019"/>
      <c r="J16" s="1020"/>
    </row>
    <row r="17" spans="1:10">
      <c r="A17" s="181">
        <v>12</v>
      </c>
      <c r="B17" s="411" t="s">
        <v>1529</v>
      </c>
      <c r="C17" s="411" t="s">
        <v>1494</v>
      </c>
      <c r="D17" s="1024">
        <v>23</v>
      </c>
      <c r="E17" s="1016">
        <f t="shared" si="0"/>
        <v>25000</v>
      </c>
      <c r="F17" s="1025">
        <v>575000</v>
      </c>
      <c r="G17" s="71"/>
      <c r="H17" s="1019"/>
      <c r="I17" s="1019"/>
      <c r="J17" s="1020"/>
    </row>
    <row r="18" spans="1:10">
      <c r="A18" s="181">
        <v>13</v>
      </c>
      <c r="B18" s="1025" t="s">
        <v>1530</v>
      </c>
      <c r="C18" s="1025" t="s">
        <v>1494</v>
      </c>
      <c r="D18" s="1024">
        <v>16</v>
      </c>
      <c r="E18" s="1016">
        <f>+F18/D18</f>
        <v>273</v>
      </c>
      <c r="F18" s="1025">
        <f>2730+1638</f>
        <v>4368</v>
      </c>
      <c r="G18" s="71"/>
      <c r="H18" s="1019"/>
      <c r="I18" s="1019"/>
      <c r="J18" s="1020"/>
    </row>
    <row r="19" spans="1:10">
      <c r="A19" s="181">
        <v>14</v>
      </c>
      <c r="B19" s="1025" t="s">
        <v>1531</v>
      </c>
      <c r="C19" s="1025" t="s">
        <v>1494</v>
      </c>
      <c r="D19" s="1024">
        <f>3360+1600</f>
        <v>4960</v>
      </c>
      <c r="E19" s="1016">
        <f>+F19/D19</f>
        <v>26.921975806451613</v>
      </c>
      <c r="F19" s="1025">
        <v>133533</v>
      </c>
      <c r="G19" s="71"/>
      <c r="H19" s="1019"/>
      <c r="I19" s="1019"/>
      <c r="J19" s="1020"/>
    </row>
    <row r="20" spans="1:10">
      <c r="A20" s="304">
        <v>15</v>
      </c>
      <c r="B20" s="1025"/>
      <c r="C20" s="1025"/>
      <c r="D20" s="1024"/>
      <c r="E20" s="1016" t="e">
        <f>+F20/D20</f>
        <v>#DIV/0!</v>
      </c>
      <c r="F20" s="1025"/>
      <c r="G20" s="71"/>
      <c r="H20" s="1019"/>
      <c r="I20" s="1019"/>
      <c r="J20" s="1020"/>
    </row>
    <row r="21" spans="1:10">
      <c r="A21" s="181">
        <v>16</v>
      </c>
      <c r="B21" s="1025"/>
      <c r="C21" s="1025"/>
      <c r="D21" s="1024"/>
      <c r="E21" s="1026" t="e">
        <f>+F21/D21</f>
        <v>#DIV/0!</v>
      </c>
      <c r="F21" s="1025"/>
      <c r="G21" s="71"/>
      <c r="H21" s="1019"/>
      <c r="I21" s="1019"/>
      <c r="J21" s="1020"/>
    </row>
    <row r="22" spans="1:10">
      <c r="A22" s="181">
        <v>17</v>
      </c>
      <c r="B22" s="1025"/>
      <c r="C22" s="1025"/>
      <c r="D22" s="1024"/>
      <c r="E22" s="1026" t="e">
        <f>+F22/D22</f>
        <v>#DIV/0!</v>
      </c>
      <c r="F22" s="1025"/>
      <c r="G22" s="71"/>
      <c r="H22" s="1019"/>
      <c r="I22" s="1019"/>
      <c r="J22" s="1020"/>
    </row>
    <row r="23" spans="1:10">
      <c r="A23" s="181">
        <v>18</v>
      </c>
      <c r="B23" s="1025"/>
      <c r="C23" s="1025"/>
      <c r="D23" s="1024"/>
      <c r="E23" s="1026"/>
      <c r="F23" s="1025"/>
      <c r="G23" s="71"/>
      <c r="H23" s="1019"/>
      <c r="I23" s="1019"/>
      <c r="J23" s="1020"/>
    </row>
    <row r="24" spans="1:10">
      <c r="A24" s="304">
        <v>19</v>
      </c>
      <c r="B24" s="411"/>
      <c r="C24" s="411"/>
      <c r="D24" s="1027"/>
      <c r="E24" s="1025"/>
      <c r="F24" s="1025"/>
      <c r="G24" s="71"/>
      <c r="H24" s="1028"/>
      <c r="I24" s="1028"/>
      <c r="J24" s="1029"/>
    </row>
    <row r="25" spans="1:10">
      <c r="A25" s="181"/>
      <c r="B25" s="411"/>
      <c r="C25" s="411"/>
      <c r="D25" s="1027"/>
      <c r="E25" s="1025"/>
      <c r="F25" s="1025"/>
      <c r="G25" s="71"/>
      <c r="H25" s="1028"/>
      <c r="I25" s="1028"/>
      <c r="J25" s="1029"/>
    </row>
    <row r="26" spans="1:10" ht="13.5" thickBot="1">
      <c r="A26" s="312"/>
      <c r="B26" s="1030" t="s">
        <v>741</v>
      </c>
      <c r="C26" s="1031"/>
      <c r="D26" s="1032"/>
      <c r="E26" s="1033"/>
      <c r="F26" s="1034">
        <f>SUM(F6:F25)</f>
        <v>3138733</v>
      </c>
      <c r="G26" s="1035"/>
      <c r="H26" s="1036"/>
      <c r="I26" s="1036"/>
      <c r="J26" s="1037"/>
    </row>
    <row r="27" spans="1:10">
      <c r="A27" s="23"/>
      <c r="B27" s="23"/>
      <c r="C27" s="23"/>
      <c r="D27" s="1038"/>
      <c r="E27" s="23"/>
      <c r="F27" s="1039"/>
      <c r="G27" s="23"/>
      <c r="H27" s="23"/>
      <c r="I27" s="23"/>
      <c r="J27" s="23"/>
    </row>
    <row r="28" spans="1:10">
      <c r="A28" s="23"/>
      <c r="B28" s="21"/>
      <c r="C28" s="23"/>
      <c r="D28" s="1038"/>
      <c r="E28" s="23"/>
      <c r="F28" s="1039"/>
      <c r="H28" s="23"/>
      <c r="I28" s="693"/>
      <c r="J28" s="23"/>
    </row>
    <row r="29" spans="1:10">
      <c r="A29" s="23"/>
      <c r="B29" s="2031" t="s">
        <v>1532</v>
      </c>
      <c r="C29" s="2031"/>
      <c r="D29" s="2031"/>
      <c r="E29" s="23"/>
      <c r="F29" s="1040">
        <v>3156733</v>
      </c>
      <c r="H29" s="101"/>
      <c r="I29" s="693"/>
      <c r="J29" s="23"/>
    </row>
    <row r="30" spans="1:10" ht="13.5" thickBot="1">
      <c r="A30" s="23"/>
      <c r="B30" s="21"/>
      <c r="C30" s="23"/>
      <c r="D30" s="1038"/>
      <c r="E30" s="23"/>
      <c r="F30" s="1039"/>
      <c r="G30" s="23" t="s">
        <v>1533</v>
      </c>
      <c r="H30" s="1041">
        <v>18000</v>
      </c>
      <c r="I30" s="693"/>
      <c r="J30" s="23"/>
    </row>
    <row r="31" spans="1:10" ht="13.5" thickBot="1">
      <c r="A31" s="23"/>
      <c r="B31" s="2031" t="s">
        <v>1534</v>
      </c>
      <c r="C31" s="2031"/>
      <c r="D31" s="2031"/>
      <c r="E31" s="23"/>
      <c r="F31" s="1042">
        <f>+F26-F29</f>
        <v>-18000</v>
      </c>
      <c r="G31" s="1043"/>
      <c r="H31" s="110">
        <f>SUM(H30)</f>
        <v>18000</v>
      </c>
      <c r="I31" s="693"/>
      <c r="J31" s="23"/>
    </row>
    <row r="32" spans="1:10">
      <c r="A32" s="23"/>
      <c r="B32" s="21"/>
      <c r="C32" s="23"/>
      <c r="D32" s="1038"/>
      <c r="E32" s="23"/>
      <c r="F32" s="1039"/>
      <c r="G32" s="23"/>
      <c r="H32" s="23"/>
      <c r="I32" s="1044"/>
      <c r="J32" s="23"/>
    </row>
    <row r="33" spans="1:10" ht="13.5" thickBot="1">
      <c r="A33" s="23"/>
      <c r="B33" s="21"/>
      <c r="C33" s="23"/>
      <c r="D33" s="1038"/>
      <c r="E33" s="23"/>
      <c r="F33" s="1039"/>
      <c r="G33" s="23"/>
      <c r="H33" s="23"/>
      <c r="I33" s="1044"/>
      <c r="J33" s="23"/>
    </row>
    <row r="34" spans="1:10" ht="13.5" thickBot="1">
      <c r="A34" s="23"/>
      <c r="B34" s="2031" t="s">
        <v>1535</v>
      </c>
      <c r="C34" s="2031"/>
      <c r="D34" s="2031"/>
      <c r="E34" s="23"/>
      <c r="F34" s="861">
        <v>462200</v>
      </c>
      <c r="G34" s="23"/>
      <c r="H34" s="23"/>
      <c r="I34" s="1044"/>
      <c r="J34" s="23"/>
    </row>
    <row r="35" spans="1:10" ht="13.5" thickBot="1">
      <c r="A35" s="23"/>
      <c r="B35" s="2031" t="s">
        <v>1536</v>
      </c>
      <c r="C35" s="2031"/>
      <c r="D35" s="2031"/>
      <c r="E35" s="23"/>
      <c r="F35" s="1045">
        <f>7587+66945</f>
        <v>74532</v>
      </c>
      <c r="G35" s="23"/>
      <c r="H35" s="23"/>
      <c r="I35" s="1044"/>
      <c r="J35" s="23"/>
    </row>
    <row r="36" spans="1:10">
      <c r="A36" s="23"/>
      <c r="B36" s="21"/>
      <c r="C36" s="23"/>
      <c r="D36" s="1038"/>
      <c r="E36" s="23"/>
      <c r="F36" s="1039"/>
      <c r="G36" s="23"/>
      <c r="H36" s="23"/>
      <c r="I36" s="693"/>
      <c r="J36" s="23"/>
    </row>
    <row r="37" spans="1:10" ht="13.5" thickBot="1">
      <c r="A37" s="23"/>
      <c r="B37" s="21"/>
      <c r="C37" s="23"/>
      <c r="D37" s="1038"/>
      <c r="E37" s="23"/>
      <c r="F37" s="1039"/>
      <c r="G37" s="23"/>
      <c r="H37" s="23"/>
      <c r="I37" s="693"/>
      <c r="J37" s="23"/>
    </row>
    <row r="38" spans="1:10" ht="13.5" thickBot="1">
      <c r="A38" s="23"/>
      <c r="B38" s="2031" t="s">
        <v>1508</v>
      </c>
      <c r="C38" s="2031"/>
      <c r="D38" s="2031"/>
      <c r="E38" s="23"/>
      <c r="F38" s="1046">
        <f>SUM(F29:F35)</f>
        <v>3675465</v>
      </c>
      <c r="G38" s="23"/>
      <c r="H38" s="23"/>
      <c r="I38" s="693"/>
      <c r="J38" s="23"/>
    </row>
    <row r="40" spans="1:10" ht="15">
      <c r="A40" s="1001" t="s">
        <v>1501</v>
      </c>
      <c r="B40" s="1001"/>
      <c r="C40" s="1001"/>
      <c r="D40" s="1002"/>
      <c r="E40" s="1001"/>
      <c r="F40" s="1003"/>
      <c r="G40" s="1001" t="s">
        <v>1502</v>
      </c>
      <c r="H40" s="1004"/>
      <c r="I40" s="350"/>
      <c r="J40" s="58"/>
    </row>
    <row r="41" spans="1:10" ht="15.75" thickBot="1">
      <c r="A41" s="1005"/>
      <c r="B41" s="1005" t="s">
        <v>1537</v>
      </c>
      <c r="C41" s="1005"/>
      <c r="D41" s="1006"/>
      <c r="E41" s="1005"/>
      <c r="F41" s="1007"/>
      <c r="G41" s="1005"/>
      <c r="H41" s="1008"/>
      <c r="I41" s="23"/>
      <c r="J41" s="30"/>
    </row>
    <row r="42" spans="1:10" ht="13.5" thickBot="1">
      <c r="A42" s="2088" t="s">
        <v>1</v>
      </c>
      <c r="B42" s="351" t="s">
        <v>1504</v>
      </c>
      <c r="C42" s="1009" t="s">
        <v>1505</v>
      </c>
      <c r="D42" s="2087" t="s">
        <v>381</v>
      </c>
      <c r="E42" s="351" t="s">
        <v>904</v>
      </c>
      <c r="F42" s="1010" t="s">
        <v>1506</v>
      </c>
      <c r="G42" s="2085" t="s">
        <v>1507</v>
      </c>
      <c r="H42" s="2086"/>
      <c r="I42" s="2086"/>
      <c r="J42" s="1009" t="s">
        <v>1508</v>
      </c>
    </row>
    <row r="43" spans="1:10" ht="13.5" thickBot="1">
      <c r="A43" s="2089"/>
      <c r="B43" s="357" t="s">
        <v>1509</v>
      </c>
      <c r="C43" s="1011" t="s">
        <v>1510</v>
      </c>
      <c r="D43" s="2000"/>
      <c r="E43" s="357" t="s">
        <v>1511</v>
      </c>
      <c r="F43" s="1012" t="s">
        <v>1512</v>
      </c>
      <c r="G43" s="1013" t="s">
        <v>1513</v>
      </c>
      <c r="H43" s="1013" t="s">
        <v>1514</v>
      </c>
      <c r="I43" s="1013" t="s">
        <v>1515</v>
      </c>
      <c r="J43" s="1011" t="s">
        <v>1516</v>
      </c>
    </row>
    <row r="44" spans="1:10">
      <c r="A44" s="181">
        <v>1</v>
      </c>
      <c r="B44" s="1014" t="s">
        <v>1538</v>
      </c>
      <c r="C44" s="1014" t="s">
        <v>964</v>
      </c>
      <c r="D44" s="1015">
        <v>1100</v>
      </c>
      <c r="E44" s="1016">
        <f>F44/D44</f>
        <v>76.36363636363636</v>
      </c>
      <c r="F44" s="1017">
        <v>84000</v>
      </c>
      <c r="G44" s="69" t="s">
        <v>920</v>
      </c>
      <c r="H44" s="1018"/>
      <c r="I44" s="1019">
        <f>H44*0.2</f>
        <v>0</v>
      </c>
      <c r="J44" s="1020">
        <f>I44+H44</f>
        <v>0</v>
      </c>
    </row>
    <row r="45" spans="1:10">
      <c r="A45" s="181">
        <v>2</v>
      </c>
      <c r="B45" s="1014" t="s">
        <v>1522</v>
      </c>
      <c r="C45" s="1014" t="s">
        <v>964</v>
      </c>
      <c r="D45" s="1015">
        <v>24969</v>
      </c>
      <c r="E45" s="1016">
        <f>F45/D45</f>
        <v>8.3303296087148055</v>
      </c>
      <c r="F45" s="1017">
        <v>208000</v>
      </c>
      <c r="G45" s="71" t="s">
        <v>1519</v>
      </c>
      <c r="H45" s="1019"/>
      <c r="I45" s="1019">
        <f>H45*0.2</f>
        <v>0</v>
      </c>
      <c r="J45" s="1020">
        <f>I45+H45</f>
        <v>0</v>
      </c>
    </row>
    <row r="46" spans="1:10">
      <c r="A46" s="304">
        <v>3</v>
      </c>
      <c r="B46" s="1014" t="s">
        <v>1539</v>
      </c>
      <c r="C46" s="1014" t="s">
        <v>517</v>
      </c>
      <c r="D46" s="1015">
        <f>2500+3000+2500+2000</f>
        <v>10000</v>
      </c>
      <c r="E46" s="1016">
        <f t="shared" ref="E46:E54" si="1">+F46/D46</f>
        <v>379.653526</v>
      </c>
      <c r="F46" s="1017">
        <f>949133.83+1138960.6+949133.83+759307</f>
        <v>3796535.2600000002</v>
      </c>
      <c r="G46" s="71"/>
      <c r="H46" s="1019"/>
      <c r="I46" s="1019">
        <f>H46*0.2</f>
        <v>0</v>
      </c>
      <c r="J46" s="1020">
        <f>I46+H46</f>
        <v>0</v>
      </c>
    </row>
    <row r="47" spans="1:10">
      <c r="A47" s="181">
        <v>4</v>
      </c>
      <c r="B47" s="1014" t="s">
        <v>1302</v>
      </c>
      <c r="C47" s="1014" t="s">
        <v>913</v>
      </c>
      <c r="D47" s="1015">
        <v>33</v>
      </c>
      <c r="E47" s="1016">
        <f t="shared" si="1"/>
        <v>7666.9321212121213</v>
      </c>
      <c r="F47" s="1017">
        <v>253008.76</v>
      </c>
      <c r="G47" s="71"/>
      <c r="H47" s="1019"/>
      <c r="I47" s="1019"/>
      <c r="J47" s="1020"/>
    </row>
    <row r="48" spans="1:10">
      <c r="A48" s="181">
        <v>5</v>
      </c>
      <c r="B48" s="1014" t="s">
        <v>1540</v>
      </c>
      <c r="C48" s="1014" t="s">
        <v>1494</v>
      </c>
      <c r="D48" s="1015">
        <v>1</v>
      </c>
      <c r="E48" s="1016">
        <f t="shared" si="1"/>
        <v>3920</v>
      </c>
      <c r="F48" s="1017">
        <v>3920</v>
      </c>
      <c r="G48" s="71"/>
      <c r="H48" s="1019"/>
      <c r="I48" s="1019"/>
      <c r="J48" s="1020"/>
    </row>
    <row r="49" spans="1:10">
      <c r="A49" s="181">
        <v>6</v>
      </c>
      <c r="B49" s="1014" t="s">
        <v>1541</v>
      </c>
      <c r="C49" s="1014" t="s">
        <v>1494</v>
      </c>
      <c r="D49" s="1015">
        <v>1</v>
      </c>
      <c r="E49" s="1016">
        <f t="shared" si="1"/>
        <v>2936</v>
      </c>
      <c r="F49" s="1017">
        <v>2936</v>
      </c>
      <c r="G49" s="71"/>
      <c r="H49" s="1019"/>
      <c r="I49" s="1019"/>
      <c r="J49" s="1020"/>
    </row>
    <row r="50" spans="1:10">
      <c r="A50" s="304">
        <v>7</v>
      </c>
      <c r="B50" s="1014" t="s">
        <v>1542</v>
      </c>
      <c r="C50" s="1014" t="s">
        <v>964</v>
      </c>
      <c r="D50" s="1015">
        <v>21</v>
      </c>
      <c r="E50" s="1016">
        <f t="shared" si="1"/>
        <v>223</v>
      </c>
      <c r="F50" s="1017">
        <v>4683</v>
      </c>
      <c r="G50" s="71"/>
      <c r="H50" s="1019"/>
      <c r="I50" s="1019"/>
      <c r="J50" s="1020"/>
    </row>
    <row r="51" spans="1:10">
      <c r="A51" s="181">
        <v>8</v>
      </c>
      <c r="B51" s="1014" t="s">
        <v>1543</v>
      </c>
      <c r="C51" s="1014" t="s">
        <v>964</v>
      </c>
      <c r="D51" s="1015">
        <v>28</v>
      </c>
      <c r="E51" s="1016">
        <f t="shared" si="1"/>
        <v>235</v>
      </c>
      <c r="F51" s="1017">
        <v>6580</v>
      </c>
      <c r="G51" s="71"/>
      <c r="H51" s="1019"/>
      <c r="I51" s="1019"/>
      <c r="J51" s="1020"/>
    </row>
    <row r="52" spans="1:10">
      <c r="A52" s="181">
        <v>9</v>
      </c>
      <c r="B52" s="1014" t="s">
        <v>1544</v>
      </c>
      <c r="C52" s="1014" t="s">
        <v>964</v>
      </c>
      <c r="D52" s="1015">
        <v>483</v>
      </c>
      <c r="E52" s="1016">
        <f t="shared" si="1"/>
        <v>480</v>
      </c>
      <c r="F52" s="1017">
        <v>231840</v>
      </c>
      <c r="G52" s="71"/>
      <c r="H52" s="1019"/>
      <c r="I52" s="1019"/>
      <c r="J52" s="1020"/>
    </row>
    <row r="53" spans="1:10">
      <c r="A53" s="181">
        <v>10</v>
      </c>
      <c r="B53" s="1014" t="s">
        <v>1545</v>
      </c>
      <c r="C53" s="1014" t="s">
        <v>1494</v>
      </c>
      <c r="D53" s="1015">
        <v>13</v>
      </c>
      <c r="E53" s="1016">
        <f t="shared" si="1"/>
        <v>25000</v>
      </c>
      <c r="F53" s="1017">
        <v>325000</v>
      </c>
      <c r="G53" s="71"/>
      <c r="H53" s="1019"/>
      <c r="I53" s="1019"/>
      <c r="J53" s="1020"/>
    </row>
    <row r="54" spans="1:10">
      <c r="A54" s="304">
        <v>11</v>
      </c>
      <c r="B54" s="1021" t="s">
        <v>1546</v>
      </c>
      <c r="C54" s="1021" t="s">
        <v>1494</v>
      </c>
      <c r="D54" s="1022">
        <v>10</v>
      </c>
      <c r="E54" s="1016">
        <f t="shared" si="1"/>
        <v>273</v>
      </c>
      <c r="F54" s="1023">
        <v>2730</v>
      </c>
      <c r="G54" s="71"/>
      <c r="H54" s="1019"/>
      <c r="I54" s="1019"/>
      <c r="J54" s="1020"/>
    </row>
    <row r="55" spans="1:10">
      <c r="A55" s="181">
        <v>12</v>
      </c>
      <c r="B55" s="411" t="s">
        <v>1547</v>
      </c>
      <c r="C55" s="411"/>
      <c r="D55" s="1024"/>
      <c r="E55" s="1016"/>
      <c r="F55" s="1025">
        <f>232541+245692</f>
        <v>478233</v>
      </c>
      <c r="G55" s="71"/>
      <c r="H55" s="1019"/>
      <c r="I55" s="1019"/>
      <c r="J55" s="1020"/>
    </row>
    <row r="56" spans="1:10">
      <c r="A56" s="181">
        <v>13</v>
      </c>
      <c r="B56" s="1025" t="s">
        <v>1548</v>
      </c>
      <c r="C56" s="1025" t="s">
        <v>517</v>
      </c>
      <c r="D56" s="1024">
        <v>136</v>
      </c>
      <c r="E56" s="1016">
        <f>+F56/D56</f>
        <v>350</v>
      </c>
      <c r="F56" s="1025">
        <v>47600</v>
      </c>
      <c r="G56" s="71"/>
      <c r="H56" s="1019"/>
      <c r="I56" s="1019"/>
      <c r="J56" s="1020"/>
    </row>
    <row r="57" spans="1:10">
      <c r="A57" s="181">
        <v>14</v>
      </c>
      <c r="B57" s="1025"/>
      <c r="C57" s="1025"/>
      <c r="D57" s="1024"/>
      <c r="E57" s="1016" t="e">
        <f>+F57/D57</f>
        <v>#DIV/0!</v>
      </c>
      <c r="F57" s="1025"/>
      <c r="G57" s="71"/>
      <c r="H57" s="1019"/>
      <c r="I57" s="1019"/>
      <c r="J57" s="1020"/>
    </row>
    <row r="58" spans="1:10">
      <c r="A58" s="304">
        <v>15</v>
      </c>
      <c r="B58" s="1025"/>
      <c r="C58" s="1025"/>
      <c r="D58" s="1024"/>
      <c r="E58" s="1016" t="e">
        <f>+F58/D58</f>
        <v>#DIV/0!</v>
      </c>
      <c r="F58" s="1025"/>
      <c r="G58" s="71"/>
      <c r="H58" s="1019"/>
      <c r="I58" s="1019"/>
      <c r="J58" s="1020"/>
    </row>
    <row r="59" spans="1:10">
      <c r="A59" s="181">
        <v>16</v>
      </c>
      <c r="B59" s="1025"/>
      <c r="C59" s="1025"/>
      <c r="D59" s="1024"/>
      <c r="E59" s="1026" t="e">
        <f>+F59/D59</f>
        <v>#DIV/0!</v>
      </c>
      <c r="F59" s="1025"/>
      <c r="G59" s="71"/>
      <c r="H59" s="1019"/>
      <c r="I59" s="1019"/>
      <c r="J59" s="1020"/>
    </row>
    <row r="60" spans="1:10">
      <c r="A60" s="181">
        <v>17</v>
      </c>
      <c r="B60" s="1025"/>
      <c r="C60" s="1025"/>
      <c r="D60" s="1024"/>
      <c r="E60" s="1026" t="e">
        <f>+F60/D60</f>
        <v>#DIV/0!</v>
      </c>
      <c r="F60" s="1025"/>
      <c r="G60" s="71"/>
      <c r="H60" s="1019"/>
      <c r="I60" s="1019"/>
      <c r="J60" s="1020"/>
    </row>
    <row r="61" spans="1:10">
      <c r="A61" s="181">
        <v>18</v>
      </c>
      <c r="B61" s="1025"/>
      <c r="C61" s="1025"/>
      <c r="D61" s="1024"/>
      <c r="E61" s="1026"/>
      <c r="F61" s="1025"/>
      <c r="G61" s="71"/>
      <c r="H61" s="1019"/>
      <c r="I61" s="1019"/>
      <c r="J61" s="1020"/>
    </row>
    <row r="62" spans="1:10">
      <c r="A62" s="304">
        <v>19</v>
      </c>
      <c r="B62" s="411"/>
      <c r="C62" s="411"/>
      <c r="D62" s="1027"/>
      <c r="E62" s="1025"/>
      <c r="F62" s="1025"/>
      <c r="G62" s="71"/>
      <c r="H62" s="1028"/>
      <c r="I62" s="1028"/>
      <c r="J62" s="1029"/>
    </row>
    <row r="63" spans="1:10">
      <c r="A63" s="181"/>
      <c r="B63" s="411"/>
      <c r="C63" s="411"/>
      <c r="D63" s="1027"/>
      <c r="E63" s="1025"/>
      <c r="F63" s="1025"/>
      <c r="G63" s="71"/>
      <c r="H63" s="1028"/>
      <c r="I63" s="1028"/>
      <c r="J63" s="1029"/>
    </row>
    <row r="64" spans="1:10" ht="13.5" thickBot="1">
      <c r="A64" s="312"/>
      <c r="B64" s="1030" t="s">
        <v>741</v>
      </c>
      <c r="C64" s="1031"/>
      <c r="D64" s="1032"/>
      <c r="E64" s="1033"/>
      <c r="F64" s="1034">
        <f>SUM(F44:F63)</f>
        <v>5445066.0200000005</v>
      </c>
      <c r="G64" s="1035"/>
      <c r="H64" s="1036"/>
      <c r="I64" s="1036"/>
      <c r="J64" s="1037"/>
    </row>
    <row r="65" spans="1:10">
      <c r="A65" s="23"/>
      <c r="B65" s="23"/>
      <c r="C65" s="23"/>
      <c r="D65" s="1038"/>
      <c r="E65" s="23"/>
      <c r="F65" s="1039"/>
      <c r="G65" s="23"/>
      <c r="H65" s="23"/>
      <c r="I65" s="23"/>
      <c r="J65" s="23"/>
    </row>
    <row r="66" spans="1:10">
      <c r="A66" s="23"/>
      <c r="B66" s="21"/>
      <c r="C66" s="23"/>
      <c r="D66" s="1038"/>
      <c r="E66" s="23"/>
      <c r="F66" s="1039"/>
      <c r="H66" s="23"/>
      <c r="I66" s="693"/>
      <c r="J66" s="23"/>
    </row>
    <row r="67" spans="1:10">
      <c r="A67" s="23"/>
      <c r="B67" s="2031" t="s">
        <v>1532</v>
      </c>
      <c r="C67" s="2031"/>
      <c r="D67" s="2031"/>
      <c r="E67" s="23"/>
      <c r="F67" s="1040">
        <v>5445066.0200000005</v>
      </c>
      <c r="H67" s="101"/>
      <c r="I67" s="693"/>
      <c r="J67" s="23"/>
    </row>
    <row r="68" spans="1:10" ht="13.5" thickBot="1">
      <c r="A68" s="23"/>
      <c r="B68" s="21"/>
      <c r="C68" s="23"/>
      <c r="D68" s="1038"/>
      <c r="E68" s="23"/>
      <c r="F68" s="1039"/>
      <c r="G68" s="23"/>
      <c r="H68" s="1041"/>
      <c r="I68" s="693"/>
      <c r="J68" s="23"/>
    </row>
    <row r="69" spans="1:10" ht="13.5" thickBot="1">
      <c r="A69" s="23"/>
      <c r="B69" s="2031" t="s">
        <v>1534</v>
      </c>
      <c r="C69" s="2031"/>
      <c r="D69" s="2031"/>
      <c r="E69" s="23"/>
      <c r="F69" s="1042">
        <f>+F64-F67</f>
        <v>0</v>
      </c>
      <c r="G69" s="1043"/>
      <c r="H69" s="110">
        <f>SUM(H68)</f>
        <v>0</v>
      </c>
      <c r="I69" s="693"/>
      <c r="J69" s="23"/>
    </row>
    <row r="70" spans="1:10">
      <c r="A70" s="23"/>
      <c r="B70" s="21"/>
      <c r="C70" s="23"/>
      <c r="D70" s="1038"/>
      <c r="E70" s="23"/>
      <c r="F70" s="1039"/>
      <c r="G70" s="23"/>
      <c r="H70" s="23"/>
      <c r="I70" s="1044"/>
      <c r="J70" s="23"/>
    </row>
    <row r="71" spans="1:10" ht="13.5" thickBot="1">
      <c r="A71" s="23"/>
      <c r="B71" s="21"/>
      <c r="C71" s="23"/>
      <c r="D71" s="1038"/>
      <c r="E71" s="23"/>
      <c r="F71" s="1039"/>
      <c r="G71" s="23"/>
      <c r="H71" s="23"/>
      <c r="I71" s="1044"/>
      <c r="J71" s="23"/>
    </row>
    <row r="72" spans="1:10" ht="13.5" thickBot="1">
      <c r="A72" s="23"/>
      <c r="B72" s="2031" t="s">
        <v>1535</v>
      </c>
      <c r="C72" s="2031"/>
      <c r="D72" s="2031"/>
      <c r="E72" s="23"/>
      <c r="F72" s="861">
        <v>316600</v>
      </c>
      <c r="G72" s="23"/>
      <c r="H72" s="23"/>
      <c r="I72" s="1044"/>
      <c r="J72" s="23"/>
    </row>
    <row r="73" spans="1:10" ht="13.5" thickBot="1">
      <c r="A73" s="23"/>
      <c r="B73" s="2031" t="s">
        <v>1536</v>
      </c>
      <c r="C73" s="2031"/>
      <c r="D73" s="2031"/>
      <c r="E73" s="23"/>
      <c r="F73" s="1045">
        <v>50216.9</v>
      </c>
      <c r="G73" s="23"/>
      <c r="H73" s="23"/>
      <c r="I73" s="1044"/>
      <c r="J73" s="23"/>
    </row>
    <row r="74" spans="1:10">
      <c r="A74" s="23"/>
      <c r="B74" s="21"/>
      <c r="C74" s="23"/>
      <c r="D74" s="1038"/>
      <c r="E74" s="23"/>
      <c r="F74" s="1039"/>
      <c r="G74" s="23"/>
      <c r="H74" s="23"/>
      <c r="I74" s="693"/>
      <c r="J74" s="23"/>
    </row>
    <row r="75" spans="1:10" ht="13.5" thickBot="1">
      <c r="A75" s="23"/>
      <c r="B75" s="21"/>
      <c r="C75" s="23"/>
      <c r="D75" s="1038"/>
      <c r="E75" s="23"/>
      <c r="F75" s="1039"/>
      <c r="G75" s="23"/>
      <c r="H75" s="23"/>
      <c r="I75" s="693"/>
      <c r="J75" s="23"/>
    </row>
    <row r="76" spans="1:10" ht="13.5" thickBot="1">
      <c r="A76" s="23"/>
      <c r="B76" s="2031" t="s">
        <v>1508</v>
      </c>
      <c r="C76" s="2031"/>
      <c r="D76" s="2031"/>
      <c r="E76" s="23"/>
      <c r="F76" s="1046">
        <f>SUM(F67:F73)</f>
        <v>5811882.9200000009</v>
      </c>
      <c r="G76" s="23"/>
      <c r="H76" s="23"/>
      <c r="I76" s="693"/>
      <c r="J76" s="23"/>
    </row>
    <row r="77" spans="1:10">
      <c r="A77" s="23"/>
      <c r="B77" s="983"/>
      <c r="C77" s="983"/>
      <c r="D77" s="983"/>
      <c r="E77" s="23"/>
      <c r="F77" s="1104"/>
      <c r="G77" s="23"/>
      <c r="H77" s="23"/>
      <c r="I77" s="693"/>
      <c r="J77" s="23"/>
    </row>
    <row r="78" spans="1:10">
      <c r="A78" s="23"/>
      <c r="B78" s="983"/>
      <c r="C78" s="983"/>
      <c r="D78" s="983"/>
      <c r="E78" s="23"/>
      <c r="F78" s="1104"/>
      <c r="G78" s="23"/>
      <c r="H78" s="23"/>
      <c r="I78" s="693"/>
      <c r="J78" s="23"/>
    </row>
    <row r="79" spans="1:10" ht="15">
      <c r="A79" s="993"/>
      <c r="B79" s="994"/>
      <c r="C79" s="995"/>
      <c r="D79" s="996"/>
      <c r="E79" s="993"/>
      <c r="F79" s="997"/>
      <c r="G79" s="998"/>
      <c r="H79" s="999"/>
      <c r="I79" s="1000"/>
      <c r="J79" s="1000"/>
    </row>
    <row r="80" spans="1:10" ht="15">
      <c r="A80" s="1001" t="s">
        <v>1501</v>
      </c>
      <c r="B80" s="1001"/>
      <c r="C80" s="1001"/>
      <c r="D80" s="1002"/>
      <c r="E80" s="1001"/>
      <c r="F80" s="1003"/>
      <c r="G80" s="1001" t="s">
        <v>1502</v>
      </c>
      <c r="H80" s="1004"/>
      <c r="I80" s="350"/>
      <c r="J80" s="58"/>
    </row>
    <row r="81" spans="1:10" ht="15.75" thickBot="1">
      <c r="A81" s="1005"/>
      <c r="B81" s="1005" t="s">
        <v>1549</v>
      </c>
      <c r="C81" s="1005"/>
      <c r="D81" s="1006"/>
      <c r="E81" s="1005"/>
      <c r="F81" s="1007"/>
      <c r="G81" s="1005"/>
      <c r="H81" s="1008"/>
      <c r="I81" s="23"/>
      <c r="J81" s="30"/>
    </row>
    <row r="82" spans="1:10" ht="13.5" thickBot="1">
      <c r="A82" s="2088" t="s">
        <v>1</v>
      </c>
      <c r="B82" s="351" t="s">
        <v>1504</v>
      </c>
      <c r="C82" s="1009" t="s">
        <v>1505</v>
      </c>
      <c r="D82" s="2087" t="s">
        <v>381</v>
      </c>
      <c r="E82" s="351" t="s">
        <v>904</v>
      </c>
      <c r="F82" s="1010" t="s">
        <v>1506</v>
      </c>
      <c r="G82" s="2085" t="s">
        <v>1507</v>
      </c>
      <c r="H82" s="2086"/>
      <c r="I82" s="2086"/>
      <c r="J82" s="1009" t="s">
        <v>1508</v>
      </c>
    </row>
    <row r="83" spans="1:10" ht="13.5" thickBot="1">
      <c r="A83" s="2089"/>
      <c r="B83" s="357" t="s">
        <v>1509</v>
      </c>
      <c r="C83" s="1011" t="s">
        <v>1510</v>
      </c>
      <c r="D83" s="2000"/>
      <c r="E83" s="357" t="s">
        <v>1511</v>
      </c>
      <c r="F83" s="1012" t="s">
        <v>1512</v>
      </c>
      <c r="G83" s="1013" t="s">
        <v>1513</v>
      </c>
      <c r="H83" s="1013" t="s">
        <v>1514</v>
      </c>
      <c r="I83" s="1013" t="s">
        <v>1515</v>
      </c>
      <c r="J83" s="1011" t="s">
        <v>1516</v>
      </c>
    </row>
    <row r="84" spans="1:10">
      <c r="A84" s="181">
        <v>1</v>
      </c>
      <c r="B84" s="1014" t="s">
        <v>1522</v>
      </c>
      <c r="C84" s="1014" t="s">
        <v>964</v>
      </c>
      <c r="D84" s="1015">
        <v>19207</v>
      </c>
      <c r="E84" s="1016">
        <f>F84/D84</f>
        <v>8.3302962461602537</v>
      </c>
      <c r="F84" s="1017">
        <v>160000</v>
      </c>
      <c r="G84" s="69" t="s">
        <v>920</v>
      </c>
      <c r="H84" s="1018"/>
      <c r="I84" s="1019">
        <f>H84*0.2</f>
        <v>0</v>
      </c>
      <c r="J84" s="1020">
        <f>I84+H84</f>
        <v>0</v>
      </c>
    </row>
    <row r="85" spans="1:10">
      <c r="A85" s="181">
        <v>2</v>
      </c>
      <c r="B85" s="1014" t="s">
        <v>1550</v>
      </c>
      <c r="C85" s="1014"/>
      <c r="D85" s="1015"/>
      <c r="E85" s="1016"/>
      <c r="F85" s="1017">
        <f>1422452+1668280</f>
        <v>3090732</v>
      </c>
      <c r="G85" s="71" t="s">
        <v>1519</v>
      </c>
      <c r="H85" s="1019"/>
      <c r="I85" s="1019">
        <f>H85*0.2</f>
        <v>0</v>
      </c>
      <c r="J85" s="1020">
        <f>I85+H85</f>
        <v>0</v>
      </c>
    </row>
    <row r="86" spans="1:10">
      <c r="A86" s="304">
        <v>3</v>
      </c>
      <c r="B86" s="1014" t="s">
        <v>1547</v>
      </c>
      <c r="C86" s="1014"/>
      <c r="D86" s="1015"/>
      <c r="E86" s="1016"/>
      <c r="F86" s="1017">
        <v>246247.5</v>
      </c>
      <c r="G86" s="71"/>
      <c r="H86" s="1019"/>
      <c r="I86" s="1019">
        <f>H86*0.2</f>
        <v>0</v>
      </c>
      <c r="J86" s="1020">
        <f>I86+H86</f>
        <v>0</v>
      </c>
    </row>
    <row r="87" spans="1:10">
      <c r="A87" s="181">
        <v>4</v>
      </c>
      <c r="B87" s="1014" t="s">
        <v>1551</v>
      </c>
      <c r="C87" s="1014" t="s">
        <v>964</v>
      </c>
      <c r="D87" s="1015">
        <v>146</v>
      </c>
      <c r="E87" s="1016">
        <f>+F87/D87</f>
        <v>445</v>
      </c>
      <c r="F87" s="1017">
        <v>64970</v>
      </c>
      <c r="G87" s="71"/>
      <c r="H87" s="1019"/>
      <c r="I87" s="1019"/>
      <c r="J87" s="1020"/>
    </row>
    <row r="88" spans="1:10">
      <c r="A88" s="181">
        <v>5</v>
      </c>
      <c r="B88" s="1014" t="s">
        <v>1552</v>
      </c>
      <c r="C88" s="1014" t="s">
        <v>964</v>
      </c>
      <c r="D88" s="1015">
        <f>345+459</f>
        <v>804</v>
      </c>
      <c r="E88" s="1016">
        <f>+F88/D88</f>
        <v>491</v>
      </c>
      <c r="F88" s="1017">
        <f>169395+225369</f>
        <v>394764</v>
      </c>
      <c r="G88" s="71"/>
      <c r="H88" s="1019"/>
      <c r="I88" s="1019"/>
      <c r="J88" s="1020"/>
    </row>
    <row r="89" spans="1:10">
      <c r="A89" s="181">
        <v>6</v>
      </c>
      <c r="B89" s="1014" t="s">
        <v>1553</v>
      </c>
      <c r="C89" s="1014" t="s">
        <v>964</v>
      </c>
      <c r="D89" s="1015">
        <f>56+45</f>
        <v>101</v>
      </c>
      <c r="E89" s="1016">
        <f>+F89/D89</f>
        <v>134.73267326732673</v>
      </c>
      <c r="F89" s="1017">
        <v>13608</v>
      </c>
      <c r="G89" s="71"/>
      <c r="H89" s="1019"/>
      <c r="I89" s="1019"/>
      <c r="J89" s="1020"/>
    </row>
    <row r="90" spans="1:10">
      <c r="A90" s="304">
        <v>7</v>
      </c>
      <c r="B90" s="1014" t="s">
        <v>1554</v>
      </c>
      <c r="C90" s="1014" t="s">
        <v>1494</v>
      </c>
      <c r="D90" s="1015">
        <v>100</v>
      </c>
      <c r="E90" s="1016">
        <f t="shared" ref="E90:E95" si="2">+F90/D90</f>
        <v>118.2</v>
      </c>
      <c r="F90" s="1017">
        <f>1200+10620</f>
        <v>11820</v>
      </c>
      <c r="G90" s="71"/>
      <c r="H90" s="1019"/>
      <c r="I90" s="1019"/>
      <c r="J90" s="1020"/>
    </row>
    <row r="91" spans="1:10">
      <c r="A91" s="181">
        <v>8</v>
      </c>
      <c r="B91" s="1014" t="s">
        <v>1462</v>
      </c>
      <c r="C91" s="1014" t="s">
        <v>1494</v>
      </c>
      <c r="D91" s="1015">
        <f>2880+2660+2240+800</f>
        <v>8580</v>
      </c>
      <c r="E91" s="1016">
        <f t="shared" si="2"/>
        <v>19.479370629370628</v>
      </c>
      <c r="F91" s="1017">
        <v>167133</v>
      </c>
      <c r="G91" s="71"/>
      <c r="H91" s="1019"/>
      <c r="I91" s="1019"/>
      <c r="J91" s="1020"/>
    </row>
    <row r="92" spans="1:10">
      <c r="A92" s="181">
        <v>9</v>
      </c>
      <c r="B92" s="1014" t="s">
        <v>1555</v>
      </c>
      <c r="C92" s="1014" t="s">
        <v>517</v>
      </c>
      <c r="D92" s="1015">
        <f>107.5+38.7</f>
        <v>146.19999999999999</v>
      </c>
      <c r="E92" s="1016">
        <f t="shared" si="2"/>
        <v>5500</v>
      </c>
      <c r="F92" s="1017">
        <f>591250+212850</f>
        <v>804100</v>
      </c>
      <c r="G92" s="71"/>
      <c r="H92" s="1019"/>
      <c r="I92" s="1019"/>
      <c r="J92" s="1020"/>
    </row>
    <row r="93" spans="1:10">
      <c r="A93" s="181">
        <v>10</v>
      </c>
      <c r="B93" s="1014" t="s">
        <v>1556</v>
      </c>
      <c r="C93" s="1014" t="s">
        <v>517</v>
      </c>
      <c r="D93" s="1015">
        <v>10000</v>
      </c>
      <c r="E93" s="1016">
        <f t="shared" si="2"/>
        <v>30</v>
      </c>
      <c r="F93" s="1017">
        <v>300000</v>
      </c>
      <c r="G93" s="71"/>
      <c r="H93" s="1019"/>
      <c r="I93" s="1019"/>
      <c r="J93" s="1020"/>
    </row>
    <row r="94" spans="1:10">
      <c r="A94" s="304">
        <v>11</v>
      </c>
      <c r="B94" s="1021" t="s">
        <v>1557</v>
      </c>
      <c r="C94" s="1021" t="s">
        <v>1289</v>
      </c>
      <c r="D94" s="1022">
        <v>100</v>
      </c>
      <c r="E94" s="1016">
        <f t="shared" si="2"/>
        <v>37</v>
      </c>
      <c r="F94" s="1023">
        <v>3700</v>
      </c>
      <c r="G94" s="71"/>
      <c r="H94" s="1019"/>
      <c r="I94" s="1019"/>
      <c r="J94" s="1020"/>
    </row>
    <row r="95" spans="1:10">
      <c r="A95" s="181">
        <v>12</v>
      </c>
      <c r="B95" s="411" t="s">
        <v>1558</v>
      </c>
      <c r="C95" s="411" t="s">
        <v>1494</v>
      </c>
      <c r="D95" s="1024">
        <v>60</v>
      </c>
      <c r="E95" s="1016">
        <f t="shared" si="2"/>
        <v>41</v>
      </c>
      <c r="F95" s="1025">
        <v>2460</v>
      </c>
      <c r="G95" s="71"/>
      <c r="H95" s="1019"/>
      <c r="I95" s="1019"/>
      <c r="J95" s="1020"/>
    </row>
    <row r="96" spans="1:10">
      <c r="A96" s="181">
        <v>13</v>
      </c>
      <c r="B96" s="1025"/>
      <c r="C96" s="1025"/>
      <c r="D96" s="1024"/>
      <c r="E96" s="1016" t="e">
        <f>+F96/D96</f>
        <v>#DIV/0!</v>
      </c>
      <c r="F96" s="1025"/>
      <c r="G96" s="71"/>
      <c r="H96" s="1019"/>
      <c r="I96" s="1019"/>
      <c r="J96" s="1020"/>
    </row>
    <row r="97" spans="1:10">
      <c r="A97" s="181">
        <v>14</v>
      </c>
      <c r="B97" s="1025"/>
      <c r="C97" s="1025"/>
      <c r="D97" s="1024"/>
      <c r="E97" s="1016" t="e">
        <f>+F97/D97</f>
        <v>#DIV/0!</v>
      </c>
      <c r="F97" s="1025"/>
      <c r="G97" s="71"/>
      <c r="H97" s="1019"/>
      <c r="I97" s="1019"/>
      <c r="J97" s="1020"/>
    </row>
    <row r="98" spans="1:10">
      <c r="A98" s="304">
        <v>15</v>
      </c>
      <c r="B98" s="1025"/>
      <c r="C98" s="1025"/>
      <c r="D98" s="1024"/>
      <c r="E98" s="1016" t="e">
        <f>+F98/D98</f>
        <v>#DIV/0!</v>
      </c>
      <c r="F98" s="1025"/>
      <c r="G98" s="71"/>
      <c r="H98" s="1019"/>
      <c r="I98" s="1019"/>
      <c r="J98" s="1020"/>
    </row>
    <row r="99" spans="1:10">
      <c r="A99" s="181">
        <v>16</v>
      </c>
      <c r="B99" s="1025"/>
      <c r="C99" s="1025"/>
      <c r="D99" s="1024"/>
      <c r="E99" s="1026" t="e">
        <f>+F99/D99</f>
        <v>#DIV/0!</v>
      </c>
      <c r="F99" s="1025"/>
      <c r="G99" s="71"/>
      <c r="H99" s="1019"/>
      <c r="I99" s="1019"/>
      <c r="J99" s="1020"/>
    </row>
    <row r="100" spans="1:10">
      <c r="A100" s="181">
        <v>17</v>
      </c>
      <c r="B100" s="1025"/>
      <c r="C100" s="1025"/>
      <c r="D100" s="1024"/>
      <c r="E100" s="1026" t="e">
        <f>+F100/D100</f>
        <v>#DIV/0!</v>
      </c>
      <c r="F100" s="1025"/>
      <c r="G100" s="71"/>
      <c r="H100" s="1019"/>
      <c r="I100" s="1019"/>
      <c r="J100" s="1020"/>
    </row>
    <row r="101" spans="1:10">
      <c r="A101" s="181">
        <v>18</v>
      </c>
      <c r="B101" s="1025"/>
      <c r="C101" s="1025"/>
      <c r="D101" s="1024"/>
      <c r="E101" s="1026"/>
      <c r="F101" s="1025"/>
      <c r="G101" s="71"/>
      <c r="H101" s="1019"/>
      <c r="I101" s="1019"/>
      <c r="J101" s="1020"/>
    </row>
    <row r="102" spans="1:10">
      <c r="A102" s="304">
        <v>19</v>
      </c>
      <c r="B102" s="411"/>
      <c r="C102" s="411"/>
      <c r="D102" s="1027"/>
      <c r="E102" s="1025"/>
      <c r="F102" s="1025"/>
      <c r="G102" s="71"/>
      <c r="H102" s="1028"/>
      <c r="I102" s="1028"/>
      <c r="J102" s="1029"/>
    </row>
    <row r="103" spans="1:10">
      <c r="A103" s="181"/>
      <c r="B103" s="411"/>
      <c r="C103" s="411"/>
      <c r="D103" s="1027"/>
      <c r="E103" s="1025"/>
      <c r="F103" s="1025"/>
      <c r="G103" s="71"/>
      <c r="H103" s="1028"/>
      <c r="I103" s="1028"/>
      <c r="J103" s="1029"/>
    </row>
    <row r="104" spans="1:10" ht="13.5" thickBot="1">
      <c r="A104" s="312"/>
      <c r="B104" s="1030" t="s">
        <v>741</v>
      </c>
      <c r="C104" s="1031"/>
      <c r="D104" s="1032"/>
      <c r="E104" s="1033"/>
      <c r="F104" s="1034">
        <f>SUM(F84:F103)</f>
        <v>5259534.5</v>
      </c>
      <c r="G104" s="1035"/>
      <c r="H104" s="1036"/>
      <c r="I104" s="1036"/>
      <c r="J104" s="1037"/>
    </row>
    <row r="105" spans="1:10">
      <c r="A105" s="23"/>
      <c r="B105" s="23"/>
      <c r="C105" s="23"/>
      <c r="D105" s="1038"/>
      <c r="E105" s="23"/>
      <c r="F105" s="1039"/>
      <c r="G105" s="23"/>
      <c r="H105" s="23"/>
      <c r="I105" s="23"/>
      <c r="J105" s="23"/>
    </row>
    <row r="106" spans="1:10">
      <c r="A106" s="23"/>
      <c r="B106" s="21"/>
      <c r="C106" s="23"/>
      <c r="D106" s="1038"/>
      <c r="E106" s="23"/>
      <c r="F106" s="1039"/>
      <c r="H106" s="23"/>
      <c r="I106" s="693"/>
      <c r="J106" s="23"/>
    </row>
    <row r="107" spans="1:10">
      <c r="A107" s="23"/>
      <c r="B107" s="2031" t="s">
        <v>1532</v>
      </c>
      <c r="C107" s="2031"/>
      <c r="D107" s="2031"/>
      <c r="E107" s="23"/>
      <c r="F107" s="1040">
        <v>5302034.7</v>
      </c>
      <c r="G107" t="s">
        <v>1559</v>
      </c>
      <c r="H107" s="101">
        <v>42500</v>
      </c>
      <c r="I107" s="693"/>
      <c r="J107" s="23"/>
    </row>
    <row r="108" spans="1:10" ht="13.5" thickBot="1">
      <c r="A108" s="23"/>
      <c r="B108" s="21"/>
      <c r="C108" s="23"/>
      <c r="D108" s="1038"/>
      <c r="E108" s="23"/>
      <c r="F108" s="1039"/>
      <c r="G108" s="23"/>
      <c r="H108" s="1041"/>
      <c r="I108" s="693"/>
      <c r="J108" s="23"/>
    </row>
    <row r="109" spans="1:10" ht="13.5" thickBot="1">
      <c r="A109" s="23"/>
      <c r="B109" s="2031" t="s">
        <v>1534</v>
      </c>
      <c r="C109" s="2031"/>
      <c r="D109" s="2031"/>
      <c r="E109" s="23"/>
      <c r="F109" s="1042">
        <f>+F104-F107</f>
        <v>-42500.200000000186</v>
      </c>
      <c r="G109" s="1043"/>
      <c r="H109" s="110">
        <f>SUM(H107:H108)</f>
        <v>42500</v>
      </c>
      <c r="I109" s="693"/>
      <c r="J109" s="23"/>
    </row>
    <row r="110" spans="1:10">
      <c r="A110" s="23"/>
      <c r="B110" s="21"/>
      <c r="C110" s="23"/>
      <c r="D110" s="1038"/>
      <c r="E110" s="23"/>
      <c r="F110" s="1039"/>
      <c r="G110" s="23"/>
      <c r="H110" s="23"/>
      <c r="I110" s="1044"/>
      <c r="J110" s="23"/>
    </row>
    <row r="111" spans="1:10" ht="13.5" thickBot="1">
      <c r="A111" s="23"/>
      <c r="B111" s="21"/>
      <c r="C111" s="23"/>
      <c r="D111" s="1038"/>
      <c r="E111" s="23"/>
      <c r="F111" s="1039"/>
      <c r="G111" s="23"/>
      <c r="H111" s="23"/>
      <c r="I111" s="1044"/>
      <c r="J111" s="23"/>
    </row>
    <row r="112" spans="1:10" ht="13.5" thickBot="1">
      <c r="A112" s="23"/>
      <c r="B112" s="2031" t="s">
        <v>1535</v>
      </c>
      <c r="C112" s="2031"/>
      <c r="D112" s="2031"/>
      <c r="E112" s="23"/>
      <c r="F112" s="861">
        <v>316600</v>
      </c>
      <c r="G112" s="23"/>
      <c r="H112" s="23"/>
      <c r="I112" s="1044"/>
      <c r="J112" s="23"/>
    </row>
    <row r="113" spans="1:10" ht="13.5" thickBot="1">
      <c r="A113" s="23"/>
      <c r="B113" s="2031" t="s">
        <v>1536</v>
      </c>
      <c r="C113" s="2031"/>
      <c r="D113" s="2031"/>
      <c r="E113" s="23"/>
      <c r="F113" s="1045">
        <v>50217</v>
      </c>
      <c r="G113" s="23"/>
      <c r="H113" s="23"/>
      <c r="I113" s="1044"/>
      <c r="J113" s="23"/>
    </row>
    <row r="114" spans="1:10">
      <c r="A114" s="23"/>
      <c r="B114" s="21"/>
      <c r="C114" s="23"/>
      <c r="D114" s="1038"/>
      <c r="E114" s="23"/>
      <c r="F114" s="1039"/>
      <c r="G114" s="23"/>
      <c r="H114" s="23"/>
      <c r="I114" s="693"/>
      <c r="J114" s="23"/>
    </row>
    <row r="115" spans="1:10" ht="13.5" thickBot="1">
      <c r="A115" s="23"/>
      <c r="B115" s="21"/>
      <c r="C115" s="23"/>
      <c r="D115" s="1038"/>
      <c r="E115" s="23"/>
      <c r="F115" s="1039"/>
      <c r="G115" s="23"/>
      <c r="H115" s="23"/>
      <c r="I115" s="693"/>
      <c r="J115" s="23"/>
    </row>
    <row r="116" spans="1:10" ht="13.5" thickBot="1">
      <c r="A116" s="23"/>
      <c r="B116" s="2031" t="s">
        <v>1508</v>
      </c>
      <c r="C116" s="2031"/>
      <c r="D116" s="2031"/>
      <c r="E116" s="23"/>
      <c r="F116" s="1046">
        <f>SUM(F107:F113)</f>
        <v>5626351.5</v>
      </c>
      <c r="G116" s="23"/>
      <c r="H116" s="23"/>
      <c r="I116" s="693"/>
      <c r="J116" s="23"/>
    </row>
    <row r="117" spans="1:10">
      <c r="A117" s="23"/>
      <c r="B117" s="23"/>
      <c r="C117" s="23"/>
      <c r="D117" s="1038"/>
      <c r="E117" s="23"/>
      <c r="F117" s="1039"/>
      <c r="G117" s="23"/>
      <c r="H117" s="23"/>
      <c r="I117" s="693"/>
      <c r="J117" s="23"/>
    </row>
    <row r="118" spans="1:10" ht="15">
      <c r="A118" s="993"/>
      <c r="B118" s="994"/>
      <c r="C118" s="995"/>
      <c r="D118" s="996"/>
      <c r="E118" s="993"/>
      <c r="F118" s="997"/>
      <c r="G118" s="998"/>
      <c r="H118" s="999"/>
      <c r="I118" s="1000"/>
      <c r="J118" s="1000"/>
    </row>
    <row r="119" spans="1:10" ht="15">
      <c r="A119" s="1001" t="s">
        <v>1501</v>
      </c>
      <c r="B119" s="1001"/>
      <c r="C119" s="1001"/>
      <c r="D119" s="1002"/>
      <c r="E119" s="1001"/>
      <c r="F119" s="1003"/>
      <c r="G119" s="1001" t="s">
        <v>1502</v>
      </c>
      <c r="H119" s="1004"/>
      <c r="I119" s="350"/>
      <c r="J119" s="58"/>
    </row>
    <row r="120" spans="1:10" ht="15.75" thickBot="1">
      <c r="A120" s="1005"/>
      <c r="B120" s="1005" t="s">
        <v>1560</v>
      </c>
      <c r="C120" s="1005"/>
      <c r="D120" s="1006"/>
      <c r="E120" s="1005"/>
      <c r="F120" s="1007"/>
      <c r="G120" s="1005"/>
      <c r="H120" s="1008"/>
      <c r="I120" s="23"/>
      <c r="J120" s="30"/>
    </row>
    <row r="121" spans="1:10" ht="13.5" thickBot="1">
      <c r="A121" s="2088" t="s">
        <v>1</v>
      </c>
      <c r="B121" s="351" t="s">
        <v>1504</v>
      </c>
      <c r="C121" s="1009" t="s">
        <v>1505</v>
      </c>
      <c r="D121" s="2087" t="s">
        <v>381</v>
      </c>
      <c r="E121" s="351" t="s">
        <v>904</v>
      </c>
      <c r="F121" s="1010" t="s">
        <v>1506</v>
      </c>
      <c r="G121" s="2085" t="s">
        <v>1507</v>
      </c>
      <c r="H121" s="2086"/>
      <c r="I121" s="2086"/>
      <c r="J121" s="1009" t="s">
        <v>1508</v>
      </c>
    </row>
    <row r="122" spans="1:10" ht="13.5" thickBot="1">
      <c r="A122" s="2089"/>
      <c r="B122" s="357" t="s">
        <v>1509</v>
      </c>
      <c r="C122" s="1011" t="s">
        <v>1510</v>
      </c>
      <c r="D122" s="2000"/>
      <c r="E122" s="357" t="s">
        <v>1511</v>
      </c>
      <c r="F122" s="1012" t="s">
        <v>1512</v>
      </c>
      <c r="G122" s="1013" t="s">
        <v>1513</v>
      </c>
      <c r="H122" s="1013" t="s">
        <v>1514</v>
      </c>
      <c r="I122" s="1013" t="s">
        <v>1515</v>
      </c>
      <c r="J122" s="1011" t="s">
        <v>1516</v>
      </c>
    </row>
    <row r="123" spans="1:10">
      <c r="A123" s="181">
        <v>1</v>
      </c>
      <c r="B123" s="1014" t="s">
        <v>1561</v>
      </c>
      <c r="C123" s="1014" t="s">
        <v>1562</v>
      </c>
      <c r="D123" s="1015"/>
      <c r="E123" s="1016" t="e">
        <f>F123/D123</f>
        <v>#DIV/0!</v>
      </c>
      <c r="F123" s="1017">
        <f>91000+246935</f>
        <v>337935</v>
      </c>
      <c r="G123" s="69" t="s">
        <v>920</v>
      </c>
      <c r="H123" s="1018"/>
      <c r="I123" s="1019">
        <f>H123*0.2</f>
        <v>0</v>
      </c>
      <c r="J123" s="1020">
        <f>I123+H123</f>
        <v>0</v>
      </c>
    </row>
    <row r="124" spans="1:10">
      <c r="A124" s="181">
        <v>2</v>
      </c>
      <c r="B124" s="1014" t="s">
        <v>1563</v>
      </c>
      <c r="C124" s="1014" t="s">
        <v>1562</v>
      </c>
      <c r="D124" s="1015"/>
      <c r="E124" s="1016" t="e">
        <f>+F124/D124</f>
        <v>#DIV/0!</v>
      </c>
      <c r="F124" s="1017">
        <f>121688+242422</f>
        <v>364110</v>
      </c>
      <c r="G124" s="71" t="s">
        <v>1519</v>
      </c>
      <c r="H124" s="1019"/>
      <c r="I124" s="1019">
        <f>H124*0.2</f>
        <v>0</v>
      </c>
      <c r="J124" s="1020">
        <f>I124+H124</f>
        <v>0</v>
      </c>
    </row>
    <row r="125" spans="1:10">
      <c r="A125" s="304">
        <v>3</v>
      </c>
      <c r="B125" s="1014" t="s">
        <v>1564</v>
      </c>
      <c r="C125" s="1014" t="s">
        <v>962</v>
      </c>
      <c r="D125" s="1015">
        <f>542+366+496</f>
        <v>1404</v>
      </c>
      <c r="E125" s="1016">
        <f>+F125/D125</f>
        <v>479.78632478632477</v>
      </c>
      <c r="F125" s="1017">
        <f>229808+233508+210304</f>
        <v>673620</v>
      </c>
      <c r="G125" s="71"/>
      <c r="H125" s="1019"/>
      <c r="I125" s="1019">
        <f>H125*0.2</f>
        <v>0</v>
      </c>
      <c r="J125" s="1020">
        <f>I125+H125</f>
        <v>0</v>
      </c>
    </row>
    <row r="126" spans="1:10">
      <c r="A126" s="181">
        <v>4</v>
      </c>
      <c r="B126" s="1014" t="s">
        <v>1565</v>
      </c>
      <c r="C126" s="1014" t="s">
        <v>962</v>
      </c>
      <c r="D126" s="1015">
        <f>81+19</f>
        <v>100</v>
      </c>
      <c r="E126" s="1016">
        <f>+F126/D126</f>
        <v>243.57</v>
      </c>
      <c r="F126" s="1017">
        <f>19683+4674</f>
        <v>24357</v>
      </c>
      <c r="G126" s="71"/>
      <c r="H126" s="1019"/>
      <c r="I126" s="1019"/>
      <c r="J126" s="1020"/>
    </row>
    <row r="127" spans="1:10">
      <c r="A127" s="181">
        <v>5</v>
      </c>
      <c r="B127" s="1014" t="s">
        <v>1274</v>
      </c>
      <c r="C127" s="1014" t="s">
        <v>517</v>
      </c>
      <c r="D127" s="1015">
        <v>170.49199999999999</v>
      </c>
      <c r="E127" s="1016">
        <f>+F127/D127</f>
        <v>2199.9976538488609</v>
      </c>
      <c r="F127" s="1017">
        <v>375082</v>
      </c>
      <c r="G127" s="71"/>
      <c r="H127" s="1019"/>
      <c r="I127" s="1019"/>
      <c r="J127" s="1020"/>
    </row>
    <row r="128" spans="1:10">
      <c r="A128" s="181">
        <v>6</v>
      </c>
      <c r="B128" s="1014" t="s">
        <v>1409</v>
      </c>
      <c r="C128" s="1014" t="s">
        <v>517</v>
      </c>
      <c r="D128" s="1015">
        <f>58.4+49.1</f>
        <v>107.5</v>
      </c>
      <c r="E128" s="1016">
        <f>+F128/D128</f>
        <v>5500</v>
      </c>
      <c r="F128" s="1017">
        <f>321200+270050</f>
        <v>591250</v>
      </c>
      <c r="G128" s="71"/>
      <c r="H128" s="1019"/>
      <c r="I128" s="1019"/>
      <c r="J128" s="1020"/>
    </row>
    <row r="129" spans="1:10">
      <c r="A129" s="304">
        <v>7</v>
      </c>
      <c r="B129" s="1014" t="s">
        <v>1566</v>
      </c>
      <c r="C129" s="1014"/>
      <c r="D129" s="1015"/>
      <c r="E129" s="1016" t="e">
        <f t="shared" ref="E129:E134" si="3">+F129/D129</f>
        <v>#DIV/0!</v>
      </c>
      <c r="F129" s="1017">
        <v>251000</v>
      </c>
      <c r="G129" s="71"/>
      <c r="H129" s="1019"/>
      <c r="I129" s="1019"/>
      <c r="J129" s="1020"/>
    </row>
    <row r="130" spans="1:10">
      <c r="A130" s="181">
        <v>8</v>
      </c>
      <c r="B130" s="1014" t="s">
        <v>1466</v>
      </c>
      <c r="C130" s="1014" t="s">
        <v>1494</v>
      </c>
      <c r="D130" s="1015">
        <v>200</v>
      </c>
      <c r="E130" s="1016">
        <f t="shared" si="3"/>
        <v>39</v>
      </c>
      <c r="F130" s="1017">
        <v>7800</v>
      </c>
      <c r="G130" s="71"/>
      <c r="H130" s="1019"/>
      <c r="I130" s="1019"/>
      <c r="J130" s="1020"/>
    </row>
    <row r="131" spans="1:10">
      <c r="A131" s="181">
        <v>9</v>
      </c>
      <c r="B131" s="1014" t="s">
        <v>1567</v>
      </c>
      <c r="C131" s="1014" t="s">
        <v>1494</v>
      </c>
      <c r="D131" s="1015">
        <v>1</v>
      </c>
      <c r="E131" s="1016">
        <f t="shared" si="3"/>
        <v>4015</v>
      </c>
      <c r="F131" s="1017">
        <v>4015</v>
      </c>
      <c r="G131" s="71"/>
      <c r="H131" s="1019"/>
      <c r="I131" s="1019"/>
      <c r="J131" s="1020"/>
    </row>
    <row r="132" spans="1:10">
      <c r="A132" s="181">
        <v>10</v>
      </c>
      <c r="B132" s="1014" t="s">
        <v>965</v>
      </c>
      <c r="C132" s="1014" t="s">
        <v>1494</v>
      </c>
      <c r="D132" s="1015">
        <f>8484+3840</f>
        <v>12324</v>
      </c>
      <c r="E132" s="1016">
        <f t="shared" si="3"/>
        <v>21.38607594936709</v>
      </c>
      <c r="F132" s="1017">
        <f>132350+131212</f>
        <v>263562</v>
      </c>
      <c r="G132" s="71"/>
      <c r="H132" s="1019"/>
      <c r="I132" s="1019"/>
      <c r="J132" s="1020"/>
    </row>
    <row r="133" spans="1:10">
      <c r="A133" s="304">
        <v>11</v>
      </c>
      <c r="B133" s="1021" t="s">
        <v>1568</v>
      </c>
      <c r="C133" s="1021" t="s">
        <v>913</v>
      </c>
      <c r="D133" s="1022">
        <v>36</v>
      </c>
      <c r="E133" s="1016">
        <f t="shared" si="3"/>
        <v>7166.666666666667</v>
      </c>
      <c r="F133" s="1023">
        <v>258000</v>
      </c>
      <c r="G133" s="71"/>
      <c r="H133" s="1019"/>
      <c r="I133" s="1019"/>
      <c r="J133" s="1020"/>
    </row>
    <row r="134" spans="1:10">
      <c r="A134" s="181">
        <v>12</v>
      </c>
      <c r="B134" s="411" t="s">
        <v>1569</v>
      </c>
      <c r="C134" s="411" t="s">
        <v>1494</v>
      </c>
      <c r="D134" s="1024">
        <v>9</v>
      </c>
      <c r="E134" s="1016">
        <f t="shared" si="3"/>
        <v>25000</v>
      </c>
      <c r="F134" s="1025">
        <v>225000</v>
      </c>
      <c r="G134" s="71"/>
      <c r="H134" s="1019"/>
      <c r="I134" s="1019"/>
      <c r="J134" s="1020"/>
    </row>
    <row r="135" spans="1:10">
      <c r="A135" s="181">
        <v>13</v>
      </c>
      <c r="B135" s="1025" t="s">
        <v>518</v>
      </c>
      <c r="C135" s="1025"/>
      <c r="D135" s="1024"/>
      <c r="E135" s="1016" t="e">
        <f>+F135/D135</f>
        <v>#DIV/0!</v>
      </c>
      <c r="F135" s="1025">
        <f>46417+73333</f>
        <v>119750</v>
      </c>
      <c r="G135" s="71"/>
      <c r="H135" s="1019"/>
      <c r="I135" s="1019"/>
      <c r="J135" s="1020"/>
    </row>
    <row r="136" spans="1:10">
      <c r="A136" s="181">
        <v>14</v>
      </c>
      <c r="B136" s="1025" t="s">
        <v>1570</v>
      </c>
      <c r="C136" s="1025" t="s">
        <v>1494</v>
      </c>
      <c r="D136" s="1024">
        <v>1</v>
      </c>
      <c r="E136" s="1016">
        <f>+F136/D136</f>
        <v>125400</v>
      </c>
      <c r="F136" s="1025">
        <v>125400</v>
      </c>
      <c r="G136" s="71"/>
      <c r="H136" s="1019"/>
      <c r="I136" s="1019"/>
      <c r="J136" s="1020"/>
    </row>
    <row r="137" spans="1:10">
      <c r="A137" s="304">
        <v>15</v>
      </c>
      <c r="B137" s="1025"/>
      <c r="C137" s="1025"/>
      <c r="D137" s="1024"/>
      <c r="E137" s="1016" t="e">
        <f>+F137/D137</f>
        <v>#DIV/0!</v>
      </c>
      <c r="F137" s="1025"/>
      <c r="G137" s="71"/>
      <c r="H137" s="1019"/>
      <c r="I137" s="1019"/>
      <c r="J137" s="1020"/>
    </row>
    <row r="138" spans="1:10">
      <c r="A138" s="181">
        <v>16</v>
      </c>
      <c r="B138" s="1025"/>
      <c r="C138" s="1025"/>
      <c r="D138" s="1024"/>
      <c r="E138" s="1026" t="e">
        <f>+F138/D138</f>
        <v>#DIV/0!</v>
      </c>
      <c r="F138" s="1025"/>
      <c r="G138" s="71"/>
      <c r="H138" s="1019"/>
      <c r="I138" s="1019"/>
      <c r="J138" s="1020"/>
    </row>
    <row r="139" spans="1:10">
      <c r="A139" s="181">
        <v>17</v>
      </c>
      <c r="B139" s="1025"/>
      <c r="C139" s="1025"/>
      <c r="D139" s="1024"/>
      <c r="E139" s="1026" t="e">
        <f>+F139/D139</f>
        <v>#DIV/0!</v>
      </c>
      <c r="F139" s="1025"/>
      <c r="G139" s="71"/>
      <c r="H139" s="1019"/>
      <c r="I139" s="1019"/>
      <c r="J139" s="1020"/>
    </row>
    <row r="140" spans="1:10">
      <c r="A140" s="181">
        <v>18</v>
      </c>
      <c r="B140" s="1025"/>
      <c r="C140" s="1025"/>
      <c r="D140" s="1024"/>
      <c r="E140" s="1026"/>
      <c r="F140" s="1025"/>
      <c r="G140" s="71"/>
      <c r="H140" s="1019"/>
      <c r="I140" s="1019"/>
      <c r="J140" s="1020"/>
    </row>
    <row r="141" spans="1:10">
      <c r="A141" s="304">
        <v>19</v>
      </c>
      <c r="B141" s="411"/>
      <c r="C141" s="411"/>
      <c r="D141" s="1027"/>
      <c r="E141" s="1025"/>
      <c r="F141" s="1025"/>
      <c r="G141" s="71"/>
      <c r="H141" s="1028"/>
      <c r="I141" s="1028"/>
      <c r="J141" s="1029"/>
    </row>
    <row r="142" spans="1:10">
      <c r="A142" s="181"/>
      <c r="B142" s="411"/>
      <c r="C142" s="411"/>
      <c r="D142" s="1027"/>
      <c r="E142" s="1025"/>
      <c r="F142" s="1025"/>
      <c r="G142" s="71"/>
      <c r="H142" s="1028"/>
      <c r="I142" s="1028"/>
      <c r="J142" s="1029"/>
    </row>
    <row r="143" spans="1:10" ht="13.5" thickBot="1">
      <c r="A143" s="312"/>
      <c r="B143" s="1030" t="s">
        <v>741</v>
      </c>
      <c r="C143" s="1031"/>
      <c r="D143" s="1032"/>
      <c r="E143" s="1033"/>
      <c r="F143" s="1034">
        <f>SUM(F123:F142)</f>
        <v>3620881</v>
      </c>
      <c r="G143" s="1035"/>
      <c r="H143" s="1036"/>
      <c r="I143" s="1036"/>
      <c r="J143" s="1037"/>
    </row>
    <row r="144" spans="1:10">
      <c r="A144" s="23"/>
      <c r="B144" s="23"/>
      <c r="C144" s="23"/>
      <c r="D144" s="1038"/>
      <c r="E144" s="23"/>
      <c r="F144" s="1039"/>
      <c r="G144" s="23"/>
      <c r="H144" s="23"/>
      <c r="I144" s="23"/>
      <c r="J144" s="23"/>
    </row>
    <row r="145" spans="1:10">
      <c r="A145" s="23"/>
      <c r="B145" s="21"/>
      <c r="C145" s="23"/>
      <c r="D145" s="1038"/>
      <c r="E145" s="23"/>
      <c r="F145" s="1039"/>
      <c r="H145" s="23"/>
      <c r="I145" s="693"/>
      <c r="J145" s="23"/>
    </row>
    <row r="146" spans="1:10">
      <c r="A146" s="23"/>
      <c r="B146" s="2031" t="s">
        <v>1532</v>
      </c>
      <c r="C146" s="2031"/>
      <c r="D146" s="2031"/>
      <c r="E146" s="23"/>
      <c r="F146" s="1040">
        <f>3547549+73333</f>
        <v>3620882</v>
      </c>
      <c r="G146" t="s">
        <v>1559</v>
      </c>
      <c r="H146" s="101">
        <v>119750</v>
      </c>
      <c r="I146" s="693"/>
      <c r="J146" s="23"/>
    </row>
    <row r="147" spans="1:10" ht="13.5" thickBot="1">
      <c r="A147" s="23"/>
      <c r="B147" s="21"/>
      <c r="C147" s="23"/>
      <c r="D147" s="1038"/>
      <c r="E147" s="23"/>
      <c r="F147" s="1039"/>
      <c r="G147" s="23"/>
      <c r="H147" s="1041"/>
      <c r="I147" s="693"/>
      <c r="J147" s="23"/>
    </row>
    <row r="148" spans="1:10" ht="13.5" thickBot="1">
      <c r="A148" s="23"/>
      <c r="B148" s="2031" t="s">
        <v>1534</v>
      </c>
      <c r="C148" s="2031"/>
      <c r="D148" s="2031"/>
      <c r="E148" s="23"/>
      <c r="F148" s="1042">
        <f>+F143-F146</f>
        <v>-1</v>
      </c>
      <c r="G148" s="1043"/>
      <c r="H148" s="110">
        <f>SUM(H146:H147)</f>
        <v>119750</v>
      </c>
      <c r="I148" s="693"/>
      <c r="J148" s="23"/>
    </row>
    <row r="149" spans="1:10">
      <c r="A149" s="23"/>
      <c r="B149" s="21"/>
      <c r="C149" s="23"/>
      <c r="D149" s="1038"/>
      <c r="E149" s="23"/>
      <c r="F149" s="1039"/>
      <c r="G149" s="23"/>
      <c r="H149" s="23"/>
      <c r="I149" s="1044"/>
      <c r="J149" s="23"/>
    </row>
    <row r="150" spans="1:10" ht="13.5" thickBot="1">
      <c r="A150" s="23"/>
      <c r="B150" s="21"/>
      <c r="C150" s="23"/>
      <c r="D150" s="1038"/>
      <c r="E150" s="23"/>
      <c r="F150" s="1039"/>
      <c r="G150" s="23"/>
      <c r="H150" s="23"/>
      <c r="I150" s="1044"/>
      <c r="J150" s="23"/>
    </row>
    <row r="151" spans="1:10" ht="13.5" thickBot="1">
      <c r="A151" s="23"/>
      <c r="B151" s="2031" t="s">
        <v>1535</v>
      </c>
      <c r="C151" s="2031"/>
      <c r="D151" s="2031"/>
      <c r="E151" s="23"/>
      <c r="F151" s="861">
        <v>316600</v>
      </c>
      <c r="G151" s="23"/>
      <c r="H151" s="23"/>
      <c r="I151" s="1044"/>
      <c r="J151" s="23"/>
    </row>
    <row r="152" spans="1:10" ht="13.5" thickBot="1">
      <c r="A152" s="23"/>
      <c r="B152" s="2031" t="s">
        <v>1536</v>
      </c>
      <c r="C152" s="2031"/>
      <c r="D152" s="2031"/>
      <c r="E152" s="23"/>
      <c r="F152" s="1045">
        <v>50217</v>
      </c>
      <c r="G152" s="23"/>
      <c r="H152" s="23"/>
      <c r="I152" s="1044"/>
      <c r="J152" s="23"/>
    </row>
    <row r="153" spans="1:10">
      <c r="A153" s="23"/>
      <c r="B153" s="21"/>
      <c r="C153" s="23"/>
      <c r="D153" s="1038"/>
      <c r="E153" s="23"/>
      <c r="F153" s="1039"/>
      <c r="G153" s="23"/>
      <c r="H153" s="23"/>
      <c r="I153" s="693"/>
      <c r="J153" s="23"/>
    </row>
    <row r="154" spans="1:10" ht="13.5" thickBot="1">
      <c r="A154" s="23"/>
      <c r="B154" s="21"/>
      <c r="C154" s="23"/>
      <c r="D154" s="1038"/>
      <c r="E154" s="23"/>
      <c r="F154" s="1039"/>
      <c r="G154" s="23"/>
      <c r="H154" s="23"/>
      <c r="I154" s="693"/>
      <c r="J154" s="23"/>
    </row>
    <row r="155" spans="1:10" ht="13.5" thickBot="1">
      <c r="A155" s="23"/>
      <c r="B155" s="2031" t="s">
        <v>1508</v>
      </c>
      <c r="C155" s="2031"/>
      <c r="D155" s="2031"/>
      <c r="E155" s="23"/>
      <c r="F155" s="1046">
        <f>SUM(F146:F152)</f>
        <v>3987698</v>
      </c>
      <c r="G155" s="23"/>
      <c r="H155" s="23"/>
      <c r="I155" s="693"/>
      <c r="J155" s="23"/>
    </row>
    <row r="156" spans="1:10">
      <c r="A156" s="23"/>
      <c r="B156" s="23"/>
      <c r="C156" s="23"/>
      <c r="D156" s="1038"/>
      <c r="E156" s="23"/>
      <c r="F156" s="1039"/>
      <c r="G156" s="23"/>
      <c r="H156" s="23"/>
      <c r="I156" s="693"/>
      <c r="J156" s="23"/>
    </row>
    <row r="157" spans="1:10" ht="15">
      <c r="A157" s="1001" t="s">
        <v>1501</v>
      </c>
      <c r="B157" s="1001"/>
      <c r="C157" s="1001"/>
      <c r="D157" s="1002"/>
      <c r="E157" s="1001"/>
      <c r="F157" s="1003"/>
      <c r="G157" s="1001" t="s">
        <v>1502</v>
      </c>
      <c r="H157" s="1004"/>
      <c r="I157" s="350"/>
      <c r="J157" s="58"/>
    </row>
    <row r="158" spans="1:10" ht="15.75" thickBot="1">
      <c r="A158" s="1005"/>
      <c r="B158" s="1005" t="s">
        <v>1571</v>
      </c>
      <c r="C158" s="1005"/>
      <c r="D158" s="1006"/>
      <c r="E158" s="1005"/>
      <c r="F158" s="1007"/>
      <c r="G158" s="1005"/>
      <c r="H158" s="1008"/>
      <c r="I158" s="23"/>
      <c r="J158" s="30"/>
    </row>
    <row r="159" spans="1:10" ht="13.5" thickBot="1">
      <c r="A159" s="2088" t="s">
        <v>1</v>
      </c>
      <c r="B159" s="351" t="s">
        <v>1504</v>
      </c>
      <c r="C159" s="1009" t="s">
        <v>1505</v>
      </c>
      <c r="D159" s="2087" t="s">
        <v>381</v>
      </c>
      <c r="E159" s="351" t="s">
        <v>904</v>
      </c>
      <c r="F159" s="1010" t="s">
        <v>1506</v>
      </c>
      <c r="G159" s="2085" t="s">
        <v>1507</v>
      </c>
      <c r="H159" s="2086"/>
      <c r="I159" s="2086"/>
      <c r="J159" s="1009" t="s">
        <v>1508</v>
      </c>
    </row>
    <row r="160" spans="1:10" ht="13.5" thickBot="1">
      <c r="A160" s="2089"/>
      <c r="B160" s="357" t="s">
        <v>1509</v>
      </c>
      <c r="C160" s="1011" t="s">
        <v>1510</v>
      </c>
      <c r="D160" s="2000"/>
      <c r="E160" s="357" t="s">
        <v>1511</v>
      </c>
      <c r="F160" s="1012" t="s">
        <v>1512</v>
      </c>
      <c r="G160" s="1013" t="s">
        <v>1513</v>
      </c>
      <c r="H160" s="1013" t="s">
        <v>1514</v>
      </c>
      <c r="I160" s="1013" t="s">
        <v>1515</v>
      </c>
      <c r="J160" s="1011" t="s">
        <v>1516</v>
      </c>
    </row>
    <row r="161" spans="1:10">
      <c r="A161" s="181">
        <v>1</v>
      </c>
      <c r="B161" s="1014" t="s">
        <v>1572</v>
      </c>
      <c r="C161" s="1014" t="s">
        <v>964</v>
      </c>
      <c r="D161" s="1015">
        <v>368</v>
      </c>
      <c r="E161" s="1016">
        <f>F161/D161</f>
        <v>844.24456521739125</v>
      </c>
      <c r="F161" s="1017">
        <f>138573+172109</f>
        <v>310682</v>
      </c>
      <c r="G161" s="69" t="s">
        <v>920</v>
      </c>
      <c r="H161" s="1018"/>
      <c r="I161" s="1019">
        <f>H161*0.2</f>
        <v>0</v>
      </c>
      <c r="J161" s="1020">
        <f>I161+H161</f>
        <v>0</v>
      </c>
    </row>
    <row r="162" spans="1:10">
      <c r="A162" s="181">
        <v>2</v>
      </c>
      <c r="B162" s="1014" t="s">
        <v>965</v>
      </c>
      <c r="C162" s="1014" t="s">
        <v>961</v>
      </c>
      <c r="D162" s="1015">
        <f>4160+4480+4000+3840+3840+16640+3840+16640+4000+4160+4160+3840+20800</f>
        <v>94400</v>
      </c>
      <c r="E162" s="1016">
        <f t="shared" ref="E162:E170" si="4">+F162/D162</f>
        <v>33.339947033898305</v>
      </c>
      <c r="F162" s="1017">
        <f>138694+149363+133360+128026+128026+138694+138694+138694+138694+128026+138694+138694+138694+138694+133360+138694+128026+832164</f>
        <v>3147291</v>
      </c>
      <c r="G162" s="71" t="s">
        <v>1519</v>
      </c>
      <c r="H162" s="1019"/>
      <c r="I162" s="1019">
        <f>H162*0.2</f>
        <v>0</v>
      </c>
      <c r="J162" s="1020">
        <f>I162+H162</f>
        <v>0</v>
      </c>
    </row>
    <row r="163" spans="1:10">
      <c r="A163" s="304">
        <v>3</v>
      </c>
      <c r="B163" s="1014" t="s">
        <v>1573</v>
      </c>
      <c r="C163" s="1014" t="s">
        <v>1574</v>
      </c>
      <c r="D163" s="1015">
        <v>1200</v>
      </c>
      <c r="E163" s="1016">
        <f t="shared" si="4"/>
        <v>85</v>
      </c>
      <c r="F163" s="1017">
        <v>102000</v>
      </c>
      <c r="G163" s="71"/>
      <c r="H163" s="1019"/>
      <c r="I163" s="1019">
        <f>H163*0.2</f>
        <v>0</v>
      </c>
      <c r="J163" s="1020">
        <f>I163+H163</f>
        <v>0</v>
      </c>
    </row>
    <row r="164" spans="1:10">
      <c r="A164" s="181">
        <v>4</v>
      </c>
      <c r="B164" s="1014" t="s">
        <v>1575</v>
      </c>
      <c r="C164" s="1014"/>
      <c r="D164" s="1015">
        <v>1</v>
      </c>
      <c r="E164" s="1016">
        <f t="shared" si="4"/>
        <v>186557</v>
      </c>
      <c r="F164" s="1017">
        <v>186557</v>
      </c>
      <c r="G164" s="71"/>
      <c r="H164" s="1019"/>
      <c r="I164" s="1019"/>
      <c r="J164" s="1020"/>
    </row>
    <row r="165" spans="1:10">
      <c r="A165" s="181">
        <v>5</v>
      </c>
      <c r="B165" s="1014" t="s">
        <v>1576</v>
      </c>
      <c r="C165" s="1014" t="s">
        <v>961</v>
      </c>
      <c r="D165" s="1015">
        <v>9</v>
      </c>
      <c r="E165" s="1016">
        <f t="shared" si="4"/>
        <v>25000</v>
      </c>
      <c r="F165" s="1017">
        <v>225000</v>
      </c>
      <c r="G165" s="71"/>
      <c r="H165" s="1019"/>
      <c r="I165" s="1019"/>
      <c r="J165" s="1020"/>
    </row>
    <row r="166" spans="1:10">
      <c r="A166" s="181">
        <v>6</v>
      </c>
      <c r="B166" s="1014" t="s">
        <v>1577</v>
      </c>
      <c r="C166" s="1014" t="s">
        <v>961</v>
      </c>
      <c r="D166" s="1015">
        <v>18</v>
      </c>
      <c r="E166" s="1016">
        <f t="shared" si="4"/>
        <v>78.611111111111114</v>
      </c>
      <c r="F166" s="1017">
        <v>1415</v>
      </c>
      <c r="G166" s="71"/>
      <c r="H166" s="1019"/>
      <c r="I166" s="1019"/>
      <c r="J166" s="1020"/>
    </row>
    <row r="167" spans="1:10">
      <c r="A167" s="304">
        <v>7</v>
      </c>
      <c r="B167" s="1014" t="s">
        <v>1578</v>
      </c>
      <c r="C167" s="1014" t="s">
        <v>1289</v>
      </c>
      <c r="D167" s="1015">
        <v>10000</v>
      </c>
      <c r="E167" s="1016">
        <f t="shared" si="4"/>
        <v>50</v>
      </c>
      <c r="F167" s="1017">
        <v>500000</v>
      </c>
      <c r="G167" s="71"/>
      <c r="H167" s="1019"/>
      <c r="I167" s="1019"/>
      <c r="J167" s="1020"/>
    </row>
    <row r="168" spans="1:10">
      <c r="A168" s="181">
        <v>8</v>
      </c>
      <c r="B168" s="1014" t="s">
        <v>1228</v>
      </c>
      <c r="C168" s="1014" t="s">
        <v>517</v>
      </c>
      <c r="D168" s="1015">
        <v>900</v>
      </c>
      <c r="E168" s="1016">
        <f t="shared" si="4"/>
        <v>560</v>
      </c>
      <c r="F168" s="1017">
        <v>504000</v>
      </c>
      <c r="G168" s="71"/>
      <c r="H168" s="1019"/>
      <c r="I168" s="1019"/>
      <c r="J168" s="1020"/>
    </row>
    <row r="169" spans="1:10">
      <c r="A169" s="181">
        <v>9</v>
      </c>
      <c r="B169" s="1014" t="s">
        <v>1324</v>
      </c>
      <c r="C169" s="1014" t="s">
        <v>517</v>
      </c>
      <c r="D169" s="1015">
        <v>195</v>
      </c>
      <c r="E169" s="1016">
        <f t="shared" si="4"/>
        <v>540</v>
      </c>
      <c r="F169" s="1017">
        <v>105300</v>
      </c>
      <c r="G169" s="71"/>
      <c r="H169" s="1019"/>
      <c r="I169" s="1019"/>
      <c r="J169" s="1020"/>
    </row>
    <row r="170" spans="1:10">
      <c r="A170" s="181">
        <v>10</v>
      </c>
      <c r="B170" s="1014" t="s">
        <v>965</v>
      </c>
      <c r="C170" s="1014" t="s">
        <v>961</v>
      </c>
      <c r="D170" s="1015">
        <f>11904+4860+9127+8232</f>
        <v>34123</v>
      </c>
      <c r="E170" s="1016">
        <f t="shared" si="4"/>
        <v>13.145444421651085</v>
      </c>
      <c r="F170" s="1017">
        <f>166656+166658+115248</f>
        <v>448562</v>
      </c>
      <c r="G170" s="71"/>
      <c r="H170" s="1019"/>
      <c r="I170" s="1019"/>
      <c r="J170" s="1020"/>
    </row>
    <row r="171" spans="1:10">
      <c r="A171" s="304">
        <v>11</v>
      </c>
      <c r="B171" s="1021"/>
      <c r="C171" s="1021"/>
      <c r="D171" s="1022"/>
      <c r="E171" s="1016"/>
      <c r="F171" s="1023"/>
      <c r="G171" s="71"/>
      <c r="H171" s="1019"/>
      <c r="I171" s="1019"/>
      <c r="J171" s="1020"/>
    </row>
    <row r="172" spans="1:10">
      <c r="A172" s="181">
        <v>12</v>
      </c>
      <c r="B172" s="411"/>
      <c r="C172" s="411"/>
      <c r="D172" s="1024"/>
      <c r="E172" s="1016"/>
      <c r="F172" s="1025"/>
      <c r="G172" s="71"/>
      <c r="H172" s="1019"/>
      <c r="I172" s="1019"/>
      <c r="J172" s="1020"/>
    </row>
    <row r="173" spans="1:10">
      <c r="A173" s="181">
        <v>13</v>
      </c>
      <c r="B173" s="1025"/>
      <c r="C173" s="1025"/>
      <c r="D173" s="1024"/>
      <c r="E173" s="1016"/>
      <c r="F173" s="1025"/>
      <c r="G173" s="71"/>
      <c r="H173" s="1019"/>
      <c r="I173" s="1019"/>
      <c r="J173" s="1020"/>
    </row>
    <row r="174" spans="1:10">
      <c r="A174" s="181">
        <v>14</v>
      </c>
      <c r="B174" s="1025"/>
      <c r="C174" s="1025"/>
      <c r="D174" s="1024"/>
      <c r="E174" s="1016"/>
      <c r="F174" s="1025"/>
      <c r="G174" s="71"/>
      <c r="H174" s="1019"/>
      <c r="I174" s="1019"/>
      <c r="J174" s="1020"/>
    </row>
    <row r="175" spans="1:10">
      <c r="A175" s="304">
        <v>15</v>
      </c>
      <c r="B175" s="1025"/>
      <c r="C175" s="1025"/>
      <c r="D175" s="1024"/>
      <c r="E175" s="1016"/>
      <c r="F175" s="1025"/>
      <c r="G175" s="71"/>
      <c r="H175" s="1019"/>
      <c r="I175" s="1019"/>
      <c r="J175" s="1020"/>
    </row>
    <row r="176" spans="1:10">
      <c r="A176" s="181">
        <v>16</v>
      </c>
      <c r="B176" s="1025"/>
      <c r="C176" s="1025"/>
      <c r="D176" s="1024"/>
      <c r="E176" s="1026"/>
      <c r="F176" s="1025"/>
      <c r="G176" s="71"/>
      <c r="H176" s="1019"/>
      <c r="I176" s="1019"/>
      <c r="J176" s="1020"/>
    </row>
    <row r="177" spans="1:10">
      <c r="A177" s="181">
        <v>17</v>
      </c>
      <c r="B177" s="1025"/>
      <c r="C177" s="1025"/>
      <c r="D177" s="1024"/>
      <c r="E177" s="1026"/>
      <c r="F177" s="1025"/>
      <c r="G177" s="71"/>
      <c r="H177" s="1019"/>
      <c r="I177" s="1019"/>
      <c r="J177" s="1020"/>
    </row>
    <row r="178" spans="1:10">
      <c r="A178" s="181">
        <v>18</v>
      </c>
      <c r="B178" s="1025"/>
      <c r="C178" s="1025"/>
      <c r="D178" s="1024"/>
      <c r="E178" s="1026"/>
      <c r="F178" s="1025"/>
      <c r="G178" s="71"/>
      <c r="H178" s="1019"/>
      <c r="I178" s="1019"/>
      <c r="J178" s="1020"/>
    </row>
    <row r="179" spans="1:10">
      <c r="A179" s="304">
        <v>19</v>
      </c>
      <c r="B179" s="411"/>
      <c r="C179" s="411"/>
      <c r="D179" s="1027"/>
      <c r="E179" s="1025"/>
      <c r="F179" s="1025"/>
      <c r="G179" s="71"/>
      <c r="H179" s="1028"/>
      <c r="I179" s="1028"/>
      <c r="J179" s="1029"/>
    </row>
    <row r="180" spans="1:10">
      <c r="A180" s="181"/>
      <c r="B180" s="411"/>
      <c r="C180" s="411"/>
      <c r="D180" s="1027"/>
      <c r="E180" s="1025"/>
      <c r="F180" s="1025"/>
      <c r="G180" s="71"/>
      <c r="H180" s="1028"/>
      <c r="I180" s="1028"/>
      <c r="J180" s="1029"/>
    </row>
    <row r="181" spans="1:10" ht="13.5" thickBot="1">
      <c r="A181" s="312"/>
      <c r="B181" s="1030" t="s">
        <v>741</v>
      </c>
      <c r="C181" s="1031"/>
      <c r="D181" s="1032"/>
      <c r="E181" s="1033"/>
      <c r="F181" s="1034">
        <f>SUM(F161:F180)</f>
        <v>5530807</v>
      </c>
      <c r="G181" s="1035"/>
      <c r="H181" s="1036"/>
      <c r="I181" s="1036"/>
      <c r="J181" s="1037"/>
    </row>
    <row r="182" spans="1:10">
      <c r="A182" s="23"/>
      <c r="B182" s="23"/>
      <c r="C182" s="23"/>
      <c r="D182" s="1038"/>
      <c r="E182" s="23"/>
      <c r="F182" s="1039"/>
      <c r="G182" s="23"/>
      <c r="H182" s="23"/>
      <c r="I182" s="23"/>
      <c r="J182" s="23"/>
    </row>
    <row r="183" spans="1:10">
      <c r="A183" s="23"/>
      <c r="B183" s="21"/>
      <c r="C183" s="23"/>
      <c r="D183" s="1038"/>
      <c r="E183" s="23"/>
      <c r="F183" s="1039"/>
      <c r="H183" s="23"/>
      <c r="I183" s="693"/>
      <c r="J183" s="23"/>
    </row>
    <row r="184" spans="1:10">
      <c r="A184" s="23"/>
      <c r="B184" s="2031" t="s">
        <v>1532</v>
      </c>
      <c r="C184" s="2031"/>
      <c r="D184" s="2031"/>
      <c r="E184" s="23"/>
      <c r="F184" s="1040">
        <v>5530807</v>
      </c>
      <c r="G184" t="s">
        <v>1559</v>
      </c>
      <c r="H184" s="101"/>
      <c r="I184" s="693"/>
      <c r="J184" s="23"/>
    </row>
    <row r="185" spans="1:10" ht="13.5" thickBot="1">
      <c r="A185" s="23"/>
      <c r="B185" s="21"/>
      <c r="C185" s="23"/>
      <c r="D185" s="1038"/>
      <c r="E185" s="23"/>
      <c r="F185" s="1039"/>
      <c r="G185" s="23"/>
      <c r="H185" s="1041"/>
      <c r="I185" s="693"/>
      <c r="J185" s="23"/>
    </row>
    <row r="186" spans="1:10" ht="13.5" thickBot="1">
      <c r="A186" s="23"/>
      <c r="B186" s="2031" t="s">
        <v>1534</v>
      </c>
      <c r="C186" s="2031"/>
      <c r="D186" s="2031"/>
      <c r="E186" s="23"/>
      <c r="F186" s="1042">
        <f>+F181-F184</f>
        <v>0</v>
      </c>
      <c r="G186" s="1043"/>
      <c r="H186" s="110">
        <f>SUM(H184:H185)</f>
        <v>0</v>
      </c>
      <c r="I186" s="693"/>
      <c r="J186" s="23"/>
    </row>
    <row r="187" spans="1:10">
      <c r="A187" s="23"/>
      <c r="B187" s="21"/>
      <c r="C187" s="23"/>
      <c r="D187" s="1038"/>
      <c r="E187" s="23"/>
      <c r="F187" s="1039"/>
      <c r="G187" s="23"/>
      <c r="H187" s="23"/>
      <c r="I187" s="1044"/>
      <c r="J187" s="23"/>
    </row>
    <row r="188" spans="1:10" ht="13.5" thickBot="1">
      <c r="A188" s="23"/>
      <c r="B188" s="21"/>
      <c r="C188" s="23"/>
      <c r="D188" s="1038"/>
      <c r="E188" s="23"/>
      <c r="F188" s="1039"/>
      <c r="G188" s="23"/>
      <c r="H188" s="23"/>
      <c r="I188" s="1044"/>
      <c r="J188" s="23"/>
    </row>
    <row r="189" spans="1:10" ht="13.5" thickBot="1">
      <c r="A189" s="23"/>
      <c r="B189" s="2031" t="s">
        <v>1535</v>
      </c>
      <c r="C189" s="2031"/>
      <c r="D189" s="2031"/>
      <c r="E189" s="23"/>
      <c r="F189" s="861">
        <v>316600</v>
      </c>
      <c r="G189" s="23"/>
      <c r="H189" s="23"/>
      <c r="I189" s="1044"/>
      <c r="J189" s="23"/>
    </row>
    <row r="190" spans="1:10" ht="13.5" thickBot="1">
      <c r="A190" s="23"/>
      <c r="B190" s="2031" t="s">
        <v>1536</v>
      </c>
      <c r="C190" s="2031"/>
      <c r="D190" s="2031"/>
      <c r="E190" s="23"/>
      <c r="F190" s="1045">
        <v>50217</v>
      </c>
      <c r="G190" s="23"/>
      <c r="H190" s="23"/>
      <c r="I190" s="1044"/>
      <c r="J190" s="23"/>
    </row>
    <row r="191" spans="1:10">
      <c r="A191" s="23"/>
      <c r="B191" s="21"/>
      <c r="C191" s="23"/>
      <c r="D191" s="1038"/>
      <c r="E191" s="23"/>
      <c r="F191" s="1039"/>
      <c r="G191" s="23"/>
      <c r="H191" s="23"/>
      <c r="I191" s="693"/>
      <c r="J191" s="23"/>
    </row>
    <row r="192" spans="1:10" ht="13.5" thickBot="1">
      <c r="A192" s="23"/>
      <c r="B192" s="21"/>
      <c r="C192" s="23"/>
      <c r="D192" s="1038"/>
      <c r="E192" s="23"/>
      <c r="F192" s="1039"/>
      <c r="G192" s="23"/>
      <c r="H192" s="23"/>
      <c r="I192" s="693"/>
      <c r="J192" s="23"/>
    </row>
    <row r="193" spans="1:10" ht="13.5" thickBot="1">
      <c r="A193" s="23"/>
      <c r="B193" s="2031" t="s">
        <v>1508</v>
      </c>
      <c r="C193" s="2031"/>
      <c r="D193" s="2031"/>
      <c r="E193" s="23"/>
      <c r="F193" s="1046">
        <f>SUM(F184:F190)</f>
        <v>5897624</v>
      </c>
      <c r="G193" s="23"/>
      <c r="H193" s="23"/>
      <c r="I193" s="693"/>
      <c r="J193" s="23"/>
    </row>
    <row r="194" spans="1:10">
      <c r="A194" s="23"/>
      <c r="B194" s="23"/>
      <c r="C194" s="23"/>
      <c r="D194" s="1038"/>
      <c r="E194" s="23"/>
      <c r="F194" s="1039"/>
      <c r="G194" s="23"/>
      <c r="H194" s="23"/>
      <c r="I194" s="693"/>
      <c r="J194" s="23"/>
    </row>
    <row r="196" spans="1:10" ht="15">
      <c r="A196" s="1001" t="s">
        <v>1501</v>
      </c>
      <c r="B196" s="1001"/>
      <c r="C196" s="1001"/>
      <c r="D196" s="1002"/>
      <c r="E196" s="1001"/>
      <c r="F196" s="1003"/>
      <c r="G196" s="1001" t="s">
        <v>1579</v>
      </c>
      <c r="H196" s="1004"/>
      <c r="I196" s="350"/>
      <c r="J196" s="58"/>
    </row>
    <row r="197" spans="1:10" ht="15.75" thickBot="1">
      <c r="A197" s="1005"/>
      <c r="B197" s="1005" t="s">
        <v>1580</v>
      </c>
      <c r="C197" s="1005"/>
      <c r="D197" s="1006"/>
      <c r="E197" s="1005"/>
      <c r="F197" s="1007"/>
      <c r="G197" s="1005"/>
      <c r="H197" s="1008"/>
      <c r="I197" s="23"/>
      <c r="J197" s="30"/>
    </row>
    <row r="198" spans="1:10">
      <c r="A198" s="1048" t="s">
        <v>1</v>
      </c>
      <c r="B198" s="1049" t="s">
        <v>1504</v>
      </c>
      <c r="C198" s="1049" t="s">
        <v>1505</v>
      </c>
      <c r="D198" s="1050" t="s">
        <v>381</v>
      </c>
      <c r="E198" s="1051" t="s">
        <v>904</v>
      </c>
      <c r="F198" s="1051" t="s">
        <v>1506</v>
      </c>
      <c r="G198" s="2079" t="s">
        <v>1507</v>
      </c>
      <c r="H198" s="2080"/>
      <c r="I198" s="2081"/>
      <c r="J198" s="1052" t="s">
        <v>1508</v>
      </c>
    </row>
    <row r="199" spans="1:10" ht="13.5" thickBot="1">
      <c r="A199" s="1053"/>
      <c r="B199" s="1054" t="s">
        <v>1509</v>
      </c>
      <c r="C199" s="1054" t="s">
        <v>1510</v>
      </c>
      <c r="D199" s="1055"/>
      <c r="E199" s="1056" t="s">
        <v>1511</v>
      </c>
      <c r="F199" s="1056" t="s">
        <v>1512</v>
      </c>
      <c r="G199" s="1054" t="s">
        <v>1513</v>
      </c>
      <c r="H199" s="1057" t="s">
        <v>1514</v>
      </c>
      <c r="I199" s="1058" t="s">
        <v>1515</v>
      </c>
      <c r="J199" s="1059" t="s">
        <v>1516</v>
      </c>
    </row>
    <row r="200" spans="1:10">
      <c r="A200" s="1060">
        <v>1</v>
      </c>
      <c r="B200" s="1061" t="s">
        <v>1459</v>
      </c>
      <c r="C200" s="1062" t="s">
        <v>961</v>
      </c>
      <c r="D200" s="1063">
        <v>60</v>
      </c>
      <c r="E200" s="1064">
        <v>875</v>
      </c>
      <c r="F200" s="1064">
        <f>+E200*D200</f>
        <v>52500</v>
      </c>
      <c r="G200" s="1062"/>
      <c r="H200" s="1065"/>
      <c r="I200" s="1065"/>
      <c r="J200" s="1066"/>
    </row>
    <row r="201" spans="1:10">
      <c r="A201" s="746">
        <v>2</v>
      </c>
      <c r="B201" s="309" t="s">
        <v>1460</v>
      </c>
      <c r="C201" s="1067" t="s">
        <v>962</v>
      </c>
      <c r="D201" s="310">
        <v>10</v>
      </c>
      <c r="E201" s="1068">
        <v>460</v>
      </c>
      <c r="F201" s="1068">
        <f t="shared" ref="F201:F218" si="5">+E201*D201</f>
        <v>4600</v>
      </c>
      <c r="G201" s="1067"/>
      <c r="H201" s="1069"/>
      <c r="I201" s="1069"/>
      <c r="J201" s="1070"/>
    </row>
    <row r="202" spans="1:10">
      <c r="A202" s="746">
        <v>3</v>
      </c>
      <c r="B202" s="309" t="s">
        <v>1581</v>
      </c>
      <c r="C202" s="1067" t="s">
        <v>962</v>
      </c>
      <c r="D202" s="310">
        <v>250</v>
      </c>
      <c r="E202" s="1068">
        <v>160</v>
      </c>
      <c r="F202" s="1068">
        <f t="shared" si="5"/>
        <v>40000</v>
      </c>
      <c r="G202" s="1067"/>
      <c r="H202" s="1069"/>
      <c r="I202" s="1069"/>
      <c r="J202" s="1070"/>
    </row>
    <row r="203" spans="1:10">
      <c r="A203" s="746">
        <v>4</v>
      </c>
      <c r="B203" s="309" t="s">
        <v>909</v>
      </c>
      <c r="C203" s="1067" t="s">
        <v>962</v>
      </c>
      <c r="D203" s="310">
        <v>9877</v>
      </c>
      <c r="E203" s="1068">
        <v>67.5</v>
      </c>
      <c r="F203" s="1068">
        <f t="shared" si="5"/>
        <v>666697.5</v>
      </c>
      <c r="G203" s="1067"/>
      <c r="H203" s="1069"/>
      <c r="I203" s="1069"/>
      <c r="J203" s="1070"/>
    </row>
    <row r="204" spans="1:10">
      <c r="A204" s="746">
        <v>5</v>
      </c>
      <c r="B204" s="309" t="s">
        <v>914</v>
      </c>
      <c r="C204" s="1067" t="s">
        <v>911</v>
      </c>
      <c r="D204" s="1071">
        <v>19.96</v>
      </c>
      <c r="E204" s="1068">
        <v>8350</v>
      </c>
      <c r="F204" s="1068">
        <f t="shared" si="5"/>
        <v>166666</v>
      </c>
      <c r="G204" s="1067"/>
      <c r="H204" s="1069"/>
      <c r="I204" s="1069"/>
      <c r="J204" s="1070"/>
    </row>
    <row r="205" spans="1:10">
      <c r="A205" s="746">
        <v>6</v>
      </c>
      <c r="B205" s="309" t="s">
        <v>1582</v>
      </c>
      <c r="C205" s="1067" t="s">
        <v>1283</v>
      </c>
      <c r="D205" s="310">
        <f>600+600+200+300</f>
        <v>1700</v>
      </c>
      <c r="E205" s="1068">
        <f>165000/D205</f>
        <v>97.058823529411768</v>
      </c>
      <c r="F205" s="1068">
        <f t="shared" si="5"/>
        <v>165000</v>
      </c>
      <c r="G205" s="1067"/>
      <c r="H205" s="1069"/>
      <c r="I205" s="1069"/>
      <c r="J205" s="1070"/>
    </row>
    <row r="206" spans="1:10">
      <c r="A206" s="746">
        <v>7</v>
      </c>
      <c r="B206" s="309" t="s">
        <v>1309</v>
      </c>
      <c r="C206" s="1067" t="s">
        <v>960</v>
      </c>
      <c r="D206" s="310">
        <v>77.2</v>
      </c>
      <c r="E206" s="1068">
        <v>5500</v>
      </c>
      <c r="F206" s="1068">
        <f>+E206*D206</f>
        <v>424600</v>
      </c>
      <c r="G206" s="1067"/>
      <c r="H206" s="1069"/>
      <c r="I206" s="1069"/>
      <c r="J206" s="1070"/>
    </row>
    <row r="207" spans="1:10">
      <c r="A207" s="746">
        <v>8</v>
      </c>
      <c r="B207" s="309" t="s">
        <v>1410</v>
      </c>
      <c r="C207" s="1067" t="s">
        <v>960</v>
      </c>
      <c r="D207" s="1071">
        <f>51.94+112</f>
        <v>163.94</v>
      </c>
      <c r="E207" s="1068">
        <f>+(38332+67088)/D207</f>
        <v>643.04013663535443</v>
      </c>
      <c r="F207" s="1068">
        <f t="shared" si="5"/>
        <v>105420</v>
      </c>
      <c r="G207" s="1067"/>
      <c r="H207" s="1069"/>
      <c r="I207" s="1069"/>
      <c r="J207" s="1070"/>
    </row>
    <row r="208" spans="1:10">
      <c r="A208" s="746">
        <v>9</v>
      </c>
      <c r="B208" s="309" t="s">
        <v>965</v>
      </c>
      <c r="C208" s="1067" t="s">
        <v>961</v>
      </c>
      <c r="D208" s="310">
        <f>9100+9002+8000</f>
        <v>26102</v>
      </c>
      <c r="E208" s="1068">
        <f>(253428+166720)/D208</f>
        <v>16.096391081143206</v>
      </c>
      <c r="F208" s="1068">
        <f>+E208*D208</f>
        <v>420148</v>
      </c>
      <c r="G208" s="1067"/>
      <c r="H208" s="1069"/>
      <c r="I208" s="1069"/>
      <c r="J208" s="1070"/>
    </row>
    <row r="209" spans="1:10">
      <c r="A209" s="746">
        <v>10</v>
      </c>
      <c r="B209" s="309" t="s">
        <v>1583</v>
      </c>
      <c r="C209" s="1067" t="s">
        <v>960</v>
      </c>
      <c r="D209" s="310">
        <f>126+126</f>
        <v>252</v>
      </c>
      <c r="E209" s="1068">
        <v>350</v>
      </c>
      <c r="F209" s="1068">
        <f t="shared" si="5"/>
        <v>88200</v>
      </c>
      <c r="G209" s="1067"/>
      <c r="H209" s="1069"/>
      <c r="I209" s="1069"/>
      <c r="J209" s="1070"/>
    </row>
    <row r="210" spans="1:10">
      <c r="A210" s="746">
        <v>11</v>
      </c>
      <c r="B210" s="309" t="s">
        <v>1584</v>
      </c>
      <c r="C210" s="1067" t="s">
        <v>1289</v>
      </c>
      <c r="D210" s="310">
        <f>85+360+95</f>
        <v>540</v>
      </c>
      <c r="E210" s="1068">
        <f>+F210/D210</f>
        <v>173.86111111111111</v>
      </c>
      <c r="F210" s="1068">
        <f>34170+21240+38475</f>
        <v>93885</v>
      </c>
      <c r="G210" s="1067"/>
      <c r="H210" s="1069"/>
      <c r="I210" s="1069"/>
      <c r="J210" s="1070"/>
    </row>
    <row r="211" spans="1:10">
      <c r="A211" s="746">
        <v>12</v>
      </c>
      <c r="B211" s="309" t="s">
        <v>1585</v>
      </c>
      <c r="C211" s="1067" t="s">
        <v>962</v>
      </c>
      <c r="D211" s="310">
        <f>248+530+102+250+505+465</f>
        <v>2100</v>
      </c>
      <c r="E211" s="1068">
        <f>+F211/D211</f>
        <v>424.63380952380953</v>
      </c>
      <c r="F211" s="310">
        <f>213590+100440+121250+65076+203515+187860</f>
        <v>891731</v>
      </c>
      <c r="G211" s="1067"/>
      <c r="H211" s="1069"/>
      <c r="I211" s="1069"/>
      <c r="J211" s="1070"/>
    </row>
    <row r="212" spans="1:10">
      <c r="A212" s="746">
        <v>13</v>
      </c>
      <c r="B212" s="309" t="s">
        <v>1586</v>
      </c>
      <c r="C212" s="1067" t="s">
        <v>961</v>
      </c>
      <c r="D212" s="310">
        <f>20+100+50</f>
        <v>170</v>
      </c>
      <c r="E212" s="1068">
        <f>+F212/D212</f>
        <v>37.647058823529413</v>
      </c>
      <c r="F212" s="1068">
        <f>3500+2200+700</f>
        <v>6400</v>
      </c>
      <c r="G212" s="1067"/>
      <c r="H212" s="1069"/>
      <c r="I212" s="1069"/>
      <c r="J212" s="1070"/>
    </row>
    <row r="213" spans="1:10">
      <c r="A213" s="746">
        <v>14</v>
      </c>
      <c r="B213" s="309" t="s">
        <v>1586</v>
      </c>
      <c r="C213" s="1067" t="s">
        <v>962</v>
      </c>
      <c r="D213" s="310">
        <f>15+8+42+35+16+7+18+24+19</f>
        <v>184</v>
      </c>
      <c r="E213" s="1068">
        <f>+F213/D213</f>
        <v>278.69021739130437</v>
      </c>
      <c r="F213" s="1068">
        <f>7410+1880+9534+8295+3760+1575+5640+4275+8910</f>
        <v>51279</v>
      </c>
      <c r="G213" s="1067"/>
      <c r="H213" s="1069"/>
      <c r="I213" s="1069"/>
      <c r="J213" s="1070"/>
    </row>
    <row r="214" spans="1:10">
      <c r="A214" s="746">
        <v>15</v>
      </c>
      <c r="B214" s="309" t="s">
        <v>1587</v>
      </c>
      <c r="C214" s="1067" t="s">
        <v>961</v>
      </c>
      <c r="D214" s="310">
        <v>1</v>
      </c>
      <c r="E214" s="1068">
        <v>3980</v>
      </c>
      <c r="F214" s="1068">
        <f>+E214*D214</f>
        <v>3980</v>
      </c>
      <c r="G214" s="1067"/>
      <c r="H214" s="1069"/>
      <c r="I214" s="1069"/>
      <c r="J214" s="1070"/>
    </row>
    <row r="215" spans="1:10">
      <c r="A215" s="746">
        <v>16</v>
      </c>
      <c r="B215" s="309" t="s">
        <v>1586</v>
      </c>
      <c r="C215" s="1067" t="s">
        <v>1270</v>
      </c>
      <c r="D215" s="310">
        <v>600</v>
      </c>
      <c r="E215" s="1068">
        <v>34</v>
      </c>
      <c r="F215" s="1068">
        <f t="shared" si="5"/>
        <v>20400</v>
      </c>
      <c r="G215" s="1067"/>
      <c r="H215" s="1069"/>
      <c r="I215" s="1069"/>
      <c r="J215" s="1070"/>
    </row>
    <row r="216" spans="1:10">
      <c r="A216" s="746">
        <v>17</v>
      </c>
      <c r="B216" s="309" t="s">
        <v>1312</v>
      </c>
      <c r="C216" s="1067"/>
      <c r="D216" s="310"/>
      <c r="E216" s="1068"/>
      <c r="F216" s="1068">
        <v>209343</v>
      </c>
      <c r="G216" s="1067"/>
      <c r="H216" s="1069"/>
      <c r="I216" s="1069"/>
      <c r="J216" s="1070"/>
    </row>
    <row r="217" spans="1:10">
      <c r="A217" s="746">
        <v>21</v>
      </c>
      <c r="B217" s="309" t="s">
        <v>1588</v>
      </c>
      <c r="C217" s="1067"/>
      <c r="D217" s="310"/>
      <c r="E217" s="1068"/>
      <c r="F217" s="1068">
        <f>78750+20416.67</f>
        <v>99166.67</v>
      </c>
      <c r="G217" s="1067"/>
      <c r="H217" s="1069"/>
      <c r="I217" s="1069"/>
      <c r="J217" s="1070"/>
    </row>
    <row r="218" spans="1:10">
      <c r="A218" s="746">
        <v>22</v>
      </c>
      <c r="B218" s="309"/>
      <c r="C218" s="1067"/>
      <c r="D218" s="310"/>
      <c r="E218" s="1068"/>
      <c r="F218" s="1068">
        <f t="shared" si="5"/>
        <v>0</v>
      </c>
      <c r="G218" s="1067"/>
      <c r="H218" s="1069"/>
      <c r="I218" s="1069"/>
      <c r="J218" s="1070"/>
    </row>
    <row r="219" spans="1:10">
      <c r="A219" s="1072"/>
      <c r="B219" s="1073"/>
      <c r="C219" s="1074"/>
      <c r="D219" s="1075"/>
      <c r="E219" s="1076"/>
      <c r="F219" s="1076">
        <f>SUM(F200:F218)</f>
        <v>3510016.17</v>
      </c>
      <c r="G219" s="1076">
        <f>SUM(G200:G218)</f>
        <v>0</v>
      </c>
      <c r="H219" s="1076">
        <f>SUM(H200:H218)</f>
        <v>0</v>
      </c>
      <c r="I219" s="1076">
        <f>SUM(I200:I218)</f>
        <v>0</v>
      </c>
      <c r="J219" s="1076">
        <f>SUM(J200:J218)</f>
        <v>0</v>
      </c>
    </row>
    <row r="220" spans="1:10">
      <c r="A220" s="691"/>
      <c r="B220" s="311" t="s">
        <v>1589</v>
      </c>
      <c r="C220" s="311"/>
      <c r="D220" s="310"/>
      <c r="E220" s="101"/>
      <c r="F220" s="101">
        <v>297500</v>
      </c>
      <c r="G220" s="182"/>
      <c r="H220" s="1077"/>
      <c r="I220" s="1077"/>
      <c r="J220" s="1078"/>
    </row>
    <row r="221" spans="1:10">
      <c r="A221" s="691"/>
      <c r="B221" s="311" t="s">
        <v>1590</v>
      </c>
      <c r="C221" s="311"/>
      <c r="D221" s="310"/>
      <c r="E221" s="101"/>
      <c r="F221" s="101">
        <v>47027.199999999997</v>
      </c>
      <c r="G221" s="182"/>
      <c r="H221" s="1077"/>
      <c r="I221" s="1077"/>
      <c r="J221" s="1078"/>
    </row>
    <row r="222" spans="1:10">
      <c r="A222" s="1079"/>
      <c r="B222" s="1080" t="s">
        <v>186</v>
      </c>
      <c r="C222" s="1081"/>
      <c r="D222" s="1082"/>
      <c r="E222" s="1083"/>
      <c r="F222" s="1083">
        <f>SUM(F220:F221)</f>
        <v>344527.2</v>
      </c>
      <c r="G222" s="1083">
        <f>SUM(G220:G221)</f>
        <v>0</v>
      </c>
      <c r="H222" s="1083">
        <f>SUM(H220:H221)</f>
        <v>0</v>
      </c>
      <c r="I222" s="1083">
        <f>SUM(I220:I221)</f>
        <v>0</v>
      </c>
      <c r="J222" s="1083">
        <f>SUM(J220:J221)</f>
        <v>0</v>
      </c>
    </row>
    <row r="223" spans="1:10" ht="13.5" thickBot="1">
      <c r="A223" s="1084"/>
      <c r="B223" s="1085"/>
      <c r="C223" s="1085"/>
      <c r="D223" s="1086"/>
      <c r="E223" s="561"/>
      <c r="F223" s="561"/>
      <c r="G223" s="684"/>
      <c r="H223" s="1087"/>
      <c r="I223" s="1087"/>
      <c r="J223" s="1088"/>
    </row>
    <row r="224" spans="1:10" ht="13.5" thickBot="1">
      <c r="A224" s="1089"/>
      <c r="B224" s="1090" t="s">
        <v>186</v>
      </c>
      <c r="C224" s="1091"/>
      <c r="D224" s="1092"/>
      <c r="E224" s="1093"/>
      <c r="F224" s="1094">
        <f>F219+F222</f>
        <v>3854543.37</v>
      </c>
      <c r="G224" s="1094">
        <f>G219+G222</f>
        <v>0</v>
      </c>
      <c r="H224" s="1094">
        <f>H219+H222</f>
        <v>0</v>
      </c>
      <c r="I224" s="1094">
        <f>I219+I222</f>
        <v>0</v>
      </c>
      <c r="J224" s="1094">
        <f>J219+J222</f>
        <v>0</v>
      </c>
    </row>
    <row r="225" spans="1:10">
      <c r="A225" s="23"/>
      <c r="B225" s="23"/>
      <c r="C225" s="23"/>
      <c r="D225" s="1095"/>
      <c r="E225" s="361" t="s">
        <v>230</v>
      </c>
      <c r="F225" s="113">
        <v>3510016.67</v>
      </c>
      <c r="G225" s="23"/>
      <c r="H225" s="1039"/>
      <c r="I225" s="1039"/>
      <c r="J225" s="1039"/>
    </row>
    <row r="226" spans="1:10">
      <c r="A226" s="349"/>
      <c r="B226" s="1096"/>
      <c r="C226" s="1096"/>
      <c r="D226" s="1097"/>
      <c r="E226" s="1098" t="s">
        <v>231</v>
      </c>
      <c r="F226" s="1098">
        <f>F219-F225</f>
        <v>-0.5</v>
      </c>
      <c r="G226" s="1096"/>
      <c r="H226" s="1099"/>
      <c r="I226" s="1099"/>
      <c r="J226" s="1000"/>
    </row>
    <row r="227" spans="1:10">
      <c r="F227"/>
    </row>
    <row r="228" spans="1:10">
      <c r="F228"/>
    </row>
    <row r="229" spans="1:10">
      <c r="A229" s="58"/>
      <c r="B229" s="1711"/>
      <c r="C229" s="1711"/>
      <c r="D229" s="1711"/>
      <c r="E229" s="58" t="s">
        <v>1591</v>
      </c>
      <c r="F229" s="1100">
        <v>702003.33399999992</v>
      </c>
      <c r="G229" s="89"/>
      <c r="H229" s="1101"/>
      <c r="I229" s="693"/>
      <c r="J229" s="58"/>
    </row>
    <row r="230" spans="1:10">
      <c r="A230" s="58"/>
      <c r="B230" s="3"/>
      <c r="C230" s="58"/>
      <c r="D230" s="1102"/>
      <c r="E230" s="58"/>
      <c r="F230" s="1100"/>
      <c r="G230" s="58"/>
      <c r="H230" s="58"/>
      <c r="I230" s="1044"/>
      <c r="J230" s="58"/>
    </row>
    <row r="231" spans="1:10">
      <c r="A231" s="58"/>
      <c r="B231" s="3"/>
      <c r="C231" s="58"/>
      <c r="D231" s="1102"/>
      <c r="E231" s="58"/>
      <c r="F231" s="1100"/>
      <c r="G231" s="58"/>
      <c r="H231" s="58"/>
      <c r="I231" s="1044"/>
      <c r="J231" s="58"/>
    </row>
    <row r="232" spans="1:10">
      <c r="A232" s="58"/>
      <c r="B232" s="1711"/>
      <c r="C232" s="1711"/>
      <c r="D232" s="1711"/>
      <c r="E232" s="58"/>
      <c r="F232" s="948"/>
      <c r="G232" s="58"/>
      <c r="H232" s="58"/>
      <c r="I232" s="1044"/>
      <c r="J232" s="58"/>
    </row>
    <row r="233" spans="1:10">
      <c r="A233" s="58"/>
      <c r="B233" s="1711"/>
      <c r="C233" s="1711"/>
      <c r="D233" s="1711"/>
      <c r="E233" s="58"/>
      <c r="F233" s="948"/>
      <c r="G233" s="58"/>
      <c r="H233" s="58"/>
      <c r="I233" s="1044"/>
      <c r="J233" s="58"/>
    </row>
    <row r="234" spans="1:10">
      <c r="A234" s="58"/>
      <c r="B234" s="3"/>
      <c r="C234" s="58"/>
      <c r="D234" s="1102"/>
      <c r="E234" s="58"/>
      <c r="F234" s="1100"/>
      <c r="G234" s="58"/>
      <c r="H234" s="58"/>
      <c r="I234" s="693"/>
      <c r="J234" s="58"/>
    </row>
    <row r="235" spans="1:10">
      <c r="A235" s="58"/>
      <c r="B235" s="3"/>
      <c r="C235" s="58"/>
      <c r="D235" s="1102"/>
      <c r="E235" s="58"/>
      <c r="F235" s="1100"/>
      <c r="G235" s="58"/>
      <c r="H235" s="58"/>
      <c r="I235" s="693"/>
      <c r="J235" s="58"/>
    </row>
    <row r="236" spans="1:10" ht="15">
      <c r="A236" s="1001" t="s">
        <v>1501</v>
      </c>
      <c r="B236" s="1001"/>
      <c r="C236" s="1001"/>
      <c r="D236" s="1002"/>
      <c r="E236" s="1001"/>
      <c r="F236" s="1003"/>
      <c r="G236" s="1001" t="s">
        <v>1579</v>
      </c>
      <c r="H236" s="1004"/>
      <c r="I236" s="350"/>
      <c r="J236" s="58"/>
    </row>
    <row r="237" spans="1:10" ht="15.75" thickBot="1">
      <c r="A237" s="1005"/>
      <c r="B237" s="1005" t="s">
        <v>1592</v>
      </c>
      <c r="C237" s="1005"/>
      <c r="D237" s="1006"/>
      <c r="E237" s="1005"/>
      <c r="F237" s="1007"/>
      <c r="G237" s="1005"/>
      <c r="H237" s="1008"/>
      <c r="I237" s="23"/>
      <c r="J237" s="30"/>
    </row>
    <row r="238" spans="1:10">
      <c r="A238" s="1048" t="s">
        <v>1</v>
      </c>
      <c r="B238" s="1049" t="s">
        <v>1504</v>
      </c>
      <c r="C238" s="1049" t="s">
        <v>1505</v>
      </c>
      <c r="D238" s="1050" t="s">
        <v>381</v>
      </c>
      <c r="E238" s="1051" t="s">
        <v>904</v>
      </c>
      <c r="F238" s="1051" t="s">
        <v>1506</v>
      </c>
      <c r="G238" s="2079" t="s">
        <v>1507</v>
      </c>
      <c r="H238" s="2080"/>
      <c r="I238" s="2081"/>
      <c r="J238" s="1052" t="s">
        <v>1508</v>
      </c>
    </row>
    <row r="239" spans="1:10" ht="13.5" thickBot="1">
      <c r="A239" s="1053"/>
      <c r="B239" s="1054" t="s">
        <v>1509</v>
      </c>
      <c r="C239" s="1054" t="s">
        <v>1510</v>
      </c>
      <c r="D239" s="1055"/>
      <c r="E239" s="1056" t="s">
        <v>1511</v>
      </c>
      <c r="F239" s="1056" t="s">
        <v>1512</v>
      </c>
      <c r="G239" s="1054" t="s">
        <v>1513</v>
      </c>
      <c r="H239" s="1057" t="s">
        <v>1514</v>
      </c>
      <c r="I239" s="1058" t="s">
        <v>1515</v>
      </c>
      <c r="J239" s="1059" t="s">
        <v>1516</v>
      </c>
    </row>
    <row r="240" spans="1:10">
      <c r="A240" s="1060">
        <v>1</v>
      </c>
      <c r="B240" s="1061" t="s">
        <v>1593</v>
      </c>
      <c r="C240" s="1062" t="s">
        <v>960</v>
      </c>
      <c r="D240" s="1063">
        <v>210</v>
      </c>
      <c r="E240" s="1103">
        <f>+F240/D240</f>
        <v>2400</v>
      </c>
      <c r="F240" s="1064">
        <v>504000</v>
      </c>
      <c r="G240" s="1062"/>
      <c r="H240" s="1065"/>
      <c r="I240" s="1065"/>
      <c r="J240" s="1066"/>
    </row>
    <row r="241" spans="1:10">
      <c r="A241" s="746">
        <v>2</v>
      </c>
      <c r="B241" s="309" t="s">
        <v>518</v>
      </c>
      <c r="C241" s="1067" t="s">
        <v>961</v>
      </c>
      <c r="D241" s="310">
        <v>4</v>
      </c>
      <c r="E241" s="1068">
        <f t="shared" ref="E241:E252" si="6">+F241/D241</f>
        <v>5833.335</v>
      </c>
      <c r="F241" s="1068">
        <v>23333.34</v>
      </c>
      <c r="G241" s="1067"/>
      <c r="H241" s="1069"/>
      <c r="I241" s="1069"/>
      <c r="J241" s="1070"/>
    </row>
    <row r="242" spans="1:10">
      <c r="A242" s="746">
        <v>3</v>
      </c>
      <c r="B242" s="309" t="s">
        <v>1481</v>
      </c>
      <c r="C242" s="1067" t="s">
        <v>960</v>
      </c>
      <c r="D242" s="310">
        <v>400</v>
      </c>
      <c r="E242" s="1068">
        <f t="shared" si="6"/>
        <v>200</v>
      </c>
      <c r="F242" s="1068">
        <v>80000</v>
      </c>
      <c r="G242" s="1067"/>
      <c r="H242" s="1069"/>
      <c r="I242" s="1069"/>
      <c r="J242" s="1070"/>
    </row>
    <row r="243" spans="1:10">
      <c r="A243" s="746">
        <v>4</v>
      </c>
      <c r="B243" s="309" t="s">
        <v>1594</v>
      </c>
      <c r="C243" s="1067" t="s">
        <v>1270</v>
      </c>
      <c r="D243" s="310">
        <f>600+700+150+120</f>
        <v>1570</v>
      </c>
      <c r="E243" s="1068">
        <f t="shared" si="6"/>
        <v>61.570700636942675</v>
      </c>
      <c r="F243" s="1068">
        <f>42500+29166+15000+10000</f>
        <v>96666</v>
      </c>
      <c r="G243" s="1067"/>
      <c r="H243" s="1069"/>
      <c r="I243" s="1069"/>
      <c r="J243" s="1070"/>
    </row>
    <row r="244" spans="1:10">
      <c r="A244" s="746">
        <v>5</v>
      </c>
      <c r="B244" s="309" t="s">
        <v>1460</v>
      </c>
      <c r="C244" s="1067" t="s">
        <v>1483</v>
      </c>
      <c r="D244" s="1071">
        <v>10</v>
      </c>
      <c r="E244" s="1068">
        <f t="shared" si="6"/>
        <v>1666.6</v>
      </c>
      <c r="F244" s="1068">
        <v>16666</v>
      </c>
      <c r="G244" s="1067"/>
      <c r="H244" s="1069"/>
      <c r="I244" s="1069"/>
      <c r="J244" s="1070"/>
    </row>
    <row r="245" spans="1:10">
      <c r="A245" s="746">
        <v>6</v>
      </c>
      <c r="B245" s="309" t="s">
        <v>1595</v>
      </c>
      <c r="C245" s="1067" t="s">
        <v>1487</v>
      </c>
      <c r="D245" s="310">
        <f>10+8</f>
        <v>18</v>
      </c>
      <c r="E245" s="1068">
        <f t="shared" si="6"/>
        <v>537.05555555555554</v>
      </c>
      <c r="F245" s="1068">
        <f>5000+4667</f>
        <v>9667</v>
      </c>
      <c r="G245" s="1067"/>
      <c r="H245" s="1069"/>
      <c r="I245" s="1069"/>
      <c r="J245" s="1070"/>
    </row>
    <row r="246" spans="1:10">
      <c r="A246" s="746">
        <v>7</v>
      </c>
      <c r="B246" s="309" t="s">
        <v>1489</v>
      </c>
      <c r="C246" s="1067" t="s">
        <v>517</v>
      </c>
      <c r="D246" s="310">
        <v>100</v>
      </c>
      <c r="E246" s="1068">
        <f t="shared" si="6"/>
        <v>166.66</v>
      </c>
      <c r="F246" s="1068">
        <v>16666</v>
      </c>
      <c r="G246" s="1067"/>
      <c r="H246" s="1069"/>
      <c r="I246" s="1069"/>
      <c r="J246" s="1070"/>
    </row>
    <row r="247" spans="1:10">
      <c r="A247" s="746">
        <v>8</v>
      </c>
      <c r="B247" s="309" t="s">
        <v>1596</v>
      </c>
      <c r="C247" s="1067" t="s">
        <v>517</v>
      </c>
      <c r="D247" s="1071">
        <v>43</v>
      </c>
      <c r="E247" s="1068">
        <f t="shared" si="6"/>
        <v>5500</v>
      </c>
      <c r="F247" s="1068">
        <v>236500</v>
      </c>
      <c r="G247" s="1067"/>
      <c r="H247" s="1069"/>
      <c r="I247" s="1069"/>
      <c r="J247" s="1070"/>
    </row>
    <row r="248" spans="1:10">
      <c r="A248" s="746">
        <v>9</v>
      </c>
      <c r="B248" s="309" t="s">
        <v>1459</v>
      </c>
      <c r="C248" s="1067" t="s">
        <v>1283</v>
      </c>
      <c r="D248" s="310">
        <f>400+300</f>
        <v>700</v>
      </c>
      <c r="E248" s="1068">
        <f t="shared" si="6"/>
        <v>62.857142857142854</v>
      </c>
      <c r="F248" s="1068">
        <v>44000</v>
      </c>
      <c r="G248" s="1067"/>
      <c r="H248" s="1069"/>
      <c r="I248" s="1069"/>
      <c r="J248" s="1070"/>
    </row>
    <row r="249" spans="1:10">
      <c r="A249" s="746">
        <v>10</v>
      </c>
      <c r="B249" s="309" t="s">
        <v>965</v>
      </c>
      <c r="C249" s="1067" t="s">
        <v>961</v>
      </c>
      <c r="D249" s="310">
        <f>2240+4160+2240+2240+4160+4480+1600</f>
        <v>21120</v>
      </c>
      <c r="E249" s="1068">
        <f t="shared" si="6"/>
        <v>31.040624999999999</v>
      </c>
      <c r="F249" s="1068">
        <f>74682+138694+74682+74682+138694+154144</f>
        <v>655578</v>
      </c>
      <c r="G249" s="1067"/>
      <c r="H249" s="1069"/>
      <c r="I249" s="1069"/>
      <c r="J249" s="1070"/>
    </row>
    <row r="250" spans="1:10">
      <c r="A250" s="746">
        <v>11</v>
      </c>
      <c r="B250" s="309" t="s">
        <v>1584</v>
      </c>
      <c r="C250" s="1067" t="s">
        <v>1289</v>
      </c>
      <c r="D250" s="310">
        <f>720+37</f>
        <v>757</v>
      </c>
      <c r="E250" s="1068">
        <f t="shared" si="6"/>
        <v>77.351387054161165</v>
      </c>
      <c r="F250" s="1068">
        <f>43200+15355</f>
        <v>58555</v>
      </c>
      <c r="G250" s="1067"/>
      <c r="H250" s="1069"/>
      <c r="I250" s="1069"/>
      <c r="J250" s="1070"/>
    </row>
    <row r="251" spans="1:10">
      <c r="A251" s="746">
        <v>12</v>
      </c>
      <c r="B251" s="309" t="s">
        <v>1585</v>
      </c>
      <c r="C251" s="1067" t="s">
        <v>962</v>
      </c>
      <c r="D251" s="310">
        <f>105+275+565</f>
        <v>945</v>
      </c>
      <c r="E251" s="1068">
        <f t="shared" si="6"/>
        <v>436.16402116402116</v>
      </c>
      <c r="F251" s="310">
        <f>66780+117700+227695</f>
        <v>412175</v>
      </c>
      <c r="G251" s="1067"/>
      <c r="H251" s="1069"/>
      <c r="I251" s="1069"/>
      <c r="J251" s="1070"/>
    </row>
    <row r="252" spans="1:10">
      <c r="A252" s="746">
        <v>13</v>
      </c>
      <c r="B252" s="309" t="s">
        <v>1586</v>
      </c>
      <c r="C252" s="1067" t="s">
        <v>962</v>
      </c>
      <c r="D252" s="310">
        <f>25+16+15+27</f>
        <v>83</v>
      </c>
      <c r="E252" s="1068">
        <f t="shared" si="6"/>
        <v>253.67469879518072</v>
      </c>
      <c r="F252" s="1068">
        <f>7455+3600+5950+4050</f>
        <v>21055</v>
      </c>
      <c r="G252" s="1067"/>
      <c r="H252" s="1069"/>
      <c r="I252" s="1069"/>
      <c r="J252" s="1070"/>
    </row>
    <row r="253" spans="1:10">
      <c r="A253" s="1072"/>
      <c r="B253" s="1073"/>
      <c r="C253" s="1074"/>
      <c r="D253" s="1075"/>
      <c r="E253" s="1076"/>
      <c r="F253" s="1076">
        <f>SUM(F240:F252)</f>
        <v>2174861.34</v>
      </c>
      <c r="G253" s="1076">
        <f>SUM(G240:G252)</f>
        <v>0</v>
      </c>
      <c r="H253" s="1076">
        <f>SUM(H240:H252)</f>
        <v>0</v>
      </c>
      <c r="I253" s="1076">
        <f>SUM(I240:I252)</f>
        <v>0</v>
      </c>
      <c r="J253" s="1076">
        <f>SUM(J240:J252)</f>
        <v>0</v>
      </c>
    </row>
    <row r="254" spans="1:10">
      <c r="A254" s="691"/>
      <c r="B254" s="311" t="s">
        <v>1589</v>
      </c>
      <c r="C254" s="311"/>
      <c r="D254" s="310"/>
      <c r="E254" s="101"/>
      <c r="F254" s="101">
        <v>302000</v>
      </c>
      <c r="G254" s="182"/>
      <c r="H254" s="1077"/>
      <c r="I254" s="1077"/>
      <c r="J254" s="1078"/>
    </row>
    <row r="255" spans="1:10">
      <c r="A255" s="691"/>
      <c r="B255" s="311" t="s">
        <v>1590</v>
      </c>
      <c r="C255" s="311"/>
      <c r="D255" s="310"/>
      <c r="E255" s="101"/>
      <c r="F255" s="101">
        <v>48379.9</v>
      </c>
      <c r="G255" s="182"/>
      <c r="H255" s="1077"/>
      <c r="I255" s="1077"/>
      <c r="J255" s="1078"/>
    </row>
    <row r="256" spans="1:10">
      <c r="A256" s="1079"/>
      <c r="B256" s="1080" t="s">
        <v>186</v>
      </c>
      <c r="C256" s="1081"/>
      <c r="D256" s="1082"/>
      <c r="E256" s="1083"/>
      <c r="F256" s="1083">
        <f>SUM(F254:F255)</f>
        <v>350379.9</v>
      </c>
      <c r="G256" s="1083">
        <f>SUM(G254:G255)</f>
        <v>0</v>
      </c>
      <c r="H256" s="1083">
        <f>SUM(H254:H255)</f>
        <v>0</v>
      </c>
      <c r="I256" s="1083">
        <f>SUM(I254:I255)</f>
        <v>0</v>
      </c>
      <c r="J256" s="1083">
        <f>SUM(J254:J255)</f>
        <v>0</v>
      </c>
    </row>
    <row r="257" spans="1:10" ht="13.5" thickBot="1">
      <c r="A257" s="1084"/>
      <c r="B257" s="1085"/>
      <c r="C257" s="1085"/>
      <c r="D257" s="1086"/>
      <c r="E257" s="561"/>
      <c r="F257" s="561"/>
      <c r="G257" s="684"/>
      <c r="H257" s="1087"/>
      <c r="I257" s="1087"/>
      <c r="J257" s="1088"/>
    </row>
    <row r="258" spans="1:10" ht="13.5" thickBot="1">
      <c r="A258" s="1089"/>
      <c r="B258" s="1090" t="s">
        <v>186</v>
      </c>
      <c r="C258" s="1091"/>
      <c r="D258" s="1092"/>
      <c r="E258" s="1093"/>
      <c r="F258" s="1094">
        <f>F253+F256</f>
        <v>2525241.2399999998</v>
      </c>
      <c r="G258" s="1094">
        <f>G253+G256</f>
        <v>0</v>
      </c>
      <c r="H258" s="1094">
        <f>H253+H256</f>
        <v>0</v>
      </c>
      <c r="I258" s="1094">
        <f>I253+I256</f>
        <v>0</v>
      </c>
      <c r="J258" s="1094">
        <f>J253+J256</f>
        <v>0</v>
      </c>
    </row>
    <row r="259" spans="1:10">
      <c r="A259" s="23"/>
      <c r="B259" s="23"/>
      <c r="C259" s="23"/>
      <c r="D259" s="1095"/>
      <c r="E259" s="361" t="s">
        <v>230</v>
      </c>
      <c r="F259" s="113">
        <v>2174860.34</v>
      </c>
      <c r="G259" s="23"/>
      <c r="H259" s="1039"/>
      <c r="I259" s="1039"/>
      <c r="J259" s="1039"/>
    </row>
    <row r="260" spans="1:10">
      <c r="A260" s="349"/>
      <c r="B260" s="1096"/>
      <c r="C260" s="1096"/>
      <c r="D260" s="1097"/>
      <c r="E260" s="1098" t="s">
        <v>231</v>
      </c>
      <c r="F260" s="1098">
        <f>F253-F259</f>
        <v>1</v>
      </c>
      <c r="G260" s="1096"/>
      <c r="H260" s="1099"/>
      <c r="I260" s="1099"/>
      <c r="J260" s="1000"/>
    </row>
    <row r="261" spans="1:10">
      <c r="F261"/>
    </row>
    <row r="262" spans="1:10">
      <c r="F262"/>
    </row>
    <row r="263" spans="1:10">
      <c r="A263" s="58"/>
      <c r="B263" s="1711"/>
      <c r="C263" s="1711"/>
      <c r="D263" s="1711"/>
      <c r="E263" s="58" t="s">
        <v>1591</v>
      </c>
      <c r="F263" s="693">
        <f>+F253*0.2</f>
        <v>434972.26799999998</v>
      </c>
      <c r="G263" s="89"/>
      <c r="H263" s="1101"/>
      <c r="I263" s="693"/>
      <c r="J263" s="58"/>
    </row>
    <row r="264" spans="1:10">
      <c r="A264" s="58"/>
      <c r="B264" s="3"/>
      <c r="C264" s="58"/>
      <c r="D264" s="1102"/>
      <c r="E264" s="58"/>
      <c r="F264" s="1100"/>
      <c r="G264" s="58"/>
      <c r="H264" s="58"/>
      <c r="I264" s="1044"/>
      <c r="J264" s="58"/>
    </row>
    <row r="276" spans="1:10" ht="15">
      <c r="A276" s="1001" t="s">
        <v>1501</v>
      </c>
      <c r="B276" s="1001"/>
      <c r="C276" s="1001"/>
      <c r="D276" s="1002"/>
      <c r="E276" s="1001"/>
      <c r="F276" s="1003"/>
      <c r="G276" s="1001" t="s">
        <v>1579</v>
      </c>
      <c r="H276" s="1004"/>
      <c r="I276" s="350"/>
      <c r="J276" s="58"/>
    </row>
    <row r="277" spans="1:10" ht="15.75" thickBot="1">
      <c r="A277" s="1005"/>
      <c r="B277" s="1005" t="s">
        <v>1597</v>
      </c>
      <c r="C277" s="1005"/>
      <c r="D277" s="1006"/>
      <c r="E277" s="1005"/>
      <c r="F277" s="1007"/>
      <c r="G277" s="1005"/>
      <c r="H277" s="1008"/>
      <c r="I277" s="23"/>
      <c r="J277" s="30"/>
    </row>
    <row r="278" spans="1:10">
      <c r="A278" s="1048" t="s">
        <v>1</v>
      </c>
      <c r="B278" s="1049" t="s">
        <v>1504</v>
      </c>
      <c r="C278" s="1049" t="s">
        <v>1505</v>
      </c>
      <c r="D278" s="1050" t="s">
        <v>381</v>
      </c>
      <c r="E278" s="1051" t="s">
        <v>904</v>
      </c>
      <c r="F278" s="1051" t="s">
        <v>1506</v>
      </c>
      <c r="G278" s="2079" t="s">
        <v>1507</v>
      </c>
      <c r="H278" s="2080"/>
      <c r="I278" s="2081"/>
      <c r="J278" s="1052" t="s">
        <v>1508</v>
      </c>
    </row>
    <row r="279" spans="1:10" ht="13.5" thickBot="1">
      <c r="A279" s="1053"/>
      <c r="B279" s="1054" t="s">
        <v>1509</v>
      </c>
      <c r="C279" s="1054" t="s">
        <v>1510</v>
      </c>
      <c r="D279" s="1055"/>
      <c r="E279" s="1056" t="s">
        <v>1511</v>
      </c>
      <c r="F279" s="1056" t="s">
        <v>1512</v>
      </c>
      <c r="G279" s="1054" t="s">
        <v>1513</v>
      </c>
      <c r="H279" s="1057" t="s">
        <v>1514</v>
      </c>
      <c r="I279" s="1058" t="s">
        <v>1515</v>
      </c>
      <c r="J279" s="1059" t="s">
        <v>1516</v>
      </c>
    </row>
    <row r="280" spans="1:10">
      <c r="A280" s="1060">
        <v>1</v>
      </c>
      <c r="B280" s="1061" t="s">
        <v>1228</v>
      </c>
      <c r="C280" s="1062" t="s">
        <v>517</v>
      </c>
      <c r="D280" s="1063">
        <v>83</v>
      </c>
      <c r="E280" s="1103">
        <f>+F280/D280</f>
        <v>697</v>
      </c>
      <c r="F280" s="1064">
        <v>57851</v>
      </c>
      <c r="G280" s="1062"/>
      <c r="H280" s="1065"/>
      <c r="I280" s="1065"/>
      <c r="J280" s="1066"/>
    </row>
    <row r="281" spans="1:10">
      <c r="A281" s="746">
        <v>2</v>
      </c>
      <c r="B281" s="309" t="s">
        <v>1598</v>
      </c>
      <c r="C281" s="1067" t="s">
        <v>964</v>
      </c>
      <c r="D281" s="310">
        <v>470</v>
      </c>
      <c r="E281" s="1068">
        <f>+F281/D281</f>
        <v>502</v>
      </c>
      <c r="F281" s="1068">
        <v>235940</v>
      </c>
      <c r="G281" s="1067"/>
      <c r="H281" s="1069"/>
      <c r="I281" s="1069"/>
      <c r="J281" s="1070"/>
    </row>
    <row r="282" spans="1:10">
      <c r="A282" s="746">
        <v>3</v>
      </c>
      <c r="B282" s="309" t="s">
        <v>1257</v>
      </c>
      <c r="C282" s="1067" t="s">
        <v>962</v>
      </c>
      <c r="D282" s="310">
        <v>35</v>
      </c>
      <c r="E282" s="1068">
        <f t="shared" ref="E282:E297" si="7">+F282/D282</f>
        <v>227</v>
      </c>
      <c r="F282" s="1068">
        <v>7945</v>
      </c>
      <c r="G282" s="1067"/>
      <c r="H282" s="1069"/>
      <c r="I282" s="1069"/>
      <c r="J282" s="1070"/>
    </row>
    <row r="283" spans="1:10">
      <c r="A283" s="746">
        <v>4</v>
      </c>
      <c r="B283" s="309" t="s">
        <v>1599</v>
      </c>
      <c r="C283" s="1067" t="s">
        <v>961</v>
      </c>
      <c r="D283" s="310">
        <v>20</v>
      </c>
      <c r="E283" s="1068">
        <f t="shared" si="7"/>
        <v>62.5</v>
      </c>
      <c r="F283" s="1068">
        <v>1250</v>
      </c>
      <c r="G283" s="1067"/>
      <c r="H283" s="1069"/>
      <c r="I283" s="1069"/>
      <c r="J283" s="1070"/>
    </row>
    <row r="284" spans="1:10">
      <c r="A284" s="746">
        <v>5</v>
      </c>
      <c r="B284" s="309" t="s">
        <v>1600</v>
      </c>
      <c r="C284" s="1067" t="s">
        <v>1601</v>
      </c>
      <c r="D284" s="1071">
        <v>90</v>
      </c>
      <c r="E284" s="1068">
        <f t="shared" si="7"/>
        <v>28</v>
      </c>
      <c r="F284" s="1068">
        <v>2520</v>
      </c>
      <c r="G284" s="1067"/>
      <c r="H284" s="1069"/>
      <c r="I284" s="1069"/>
      <c r="J284" s="1070"/>
    </row>
    <row r="285" spans="1:10">
      <c r="A285" s="746">
        <v>6</v>
      </c>
      <c r="B285" s="309" t="s">
        <v>1460</v>
      </c>
      <c r="C285" s="1067" t="s">
        <v>962</v>
      </c>
      <c r="D285" s="310">
        <f>15*100</f>
        <v>1500</v>
      </c>
      <c r="E285" s="1068">
        <f t="shared" si="7"/>
        <v>30.666666666666668</v>
      </c>
      <c r="F285" s="1068">
        <v>46000</v>
      </c>
      <c r="G285" s="1067"/>
      <c r="H285" s="1069"/>
      <c r="I285" s="1069"/>
      <c r="J285" s="1070"/>
    </row>
    <row r="286" spans="1:10">
      <c r="A286" s="746">
        <v>7</v>
      </c>
      <c r="B286" s="309" t="s">
        <v>1459</v>
      </c>
      <c r="C286" s="1067" t="s">
        <v>962</v>
      </c>
      <c r="D286" s="310">
        <f>15*100+5*100</f>
        <v>2000</v>
      </c>
      <c r="E286" s="1068">
        <f t="shared" si="7"/>
        <v>41.5</v>
      </c>
      <c r="F286" s="1068">
        <f>60000+23000</f>
        <v>83000</v>
      </c>
      <c r="G286" s="1067"/>
      <c r="H286" s="1069"/>
      <c r="I286" s="1069"/>
      <c r="J286" s="1070"/>
    </row>
    <row r="287" spans="1:10">
      <c r="A287" s="746">
        <v>8</v>
      </c>
      <c r="B287" s="309" t="s">
        <v>1602</v>
      </c>
      <c r="C287" s="1067" t="s">
        <v>1283</v>
      </c>
      <c r="D287" s="1071">
        <f>400+200+200+200</f>
        <v>1000</v>
      </c>
      <c r="E287" s="1068">
        <f t="shared" si="7"/>
        <v>94</v>
      </c>
      <c r="F287" s="1068">
        <v>94000</v>
      </c>
      <c r="G287" s="1067"/>
      <c r="H287" s="1069"/>
      <c r="I287" s="1069"/>
      <c r="J287" s="1070"/>
    </row>
    <row r="288" spans="1:10">
      <c r="A288" s="746">
        <v>9</v>
      </c>
      <c r="B288" s="309" t="s">
        <v>1603</v>
      </c>
      <c r="C288" s="1067" t="s">
        <v>962</v>
      </c>
      <c r="D288" s="310">
        <v>542.6</v>
      </c>
      <c r="E288" s="1068">
        <f t="shared" si="7"/>
        <v>225</v>
      </c>
      <c r="F288" s="1068">
        <v>122085</v>
      </c>
      <c r="G288" s="1067"/>
      <c r="H288" s="1069"/>
      <c r="I288" s="1069"/>
      <c r="J288" s="1070"/>
    </row>
    <row r="289" spans="1:10">
      <c r="A289" s="746">
        <v>10</v>
      </c>
      <c r="B289" s="309" t="s">
        <v>1605</v>
      </c>
      <c r="C289" s="1067" t="s">
        <v>517</v>
      </c>
      <c r="D289" s="310">
        <f>880+705.88</f>
        <v>1585.88</v>
      </c>
      <c r="E289" s="1068">
        <f t="shared" si="7"/>
        <v>759.19993946578552</v>
      </c>
      <c r="F289" s="1068">
        <f>704000+500000</f>
        <v>1204000</v>
      </c>
      <c r="G289" s="1067"/>
      <c r="H289" s="1069"/>
      <c r="I289" s="1069"/>
      <c r="J289" s="1070"/>
    </row>
    <row r="290" spans="1:10">
      <c r="A290" s="746">
        <v>11</v>
      </c>
      <c r="B290" s="309" t="s">
        <v>1253</v>
      </c>
      <c r="C290" s="1067"/>
      <c r="D290" s="310"/>
      <c r="E290" s="1068"/>
      <c r="F290" s="1068">
        <v>362524</v>
      </c>
      <c r="G290" s="1067"/>
      <c r="H290" s="1069"/>
      <c r="I290" s="1069"/>
      <c r="J290" s="1070"/>
    </row>
    <row r="291" spans="1:10">
      <c r="A291" s="746">
        <v>12</v>
      </c>
      <c r="B291" s="309" t="s">
        <v>909</v>
      </c>
      <c r="C291" s="1067" t="s">
        <v>964</v>
      </c>
      <c r="D291" s="310">
        <v>14938</v>
      </c>
      <c r="E291" s="1068">
        <f t="shared" si="7"/>
        <v>71.659258267505692</v>
      </c>
      <c r="F291" s="1068">
        <v>1070446</v>
      </c>
      <c r="G291" s="1067"/>
      <c r="H291" s="1069"/>
      <c r="I291" s="1069"/>
      <c r="J291" s="1070"/>
    </row>
    <row r="292" spans="1:10">
      <c r="A292" s="746">
        <v>13</v>
      </c>
      <c r="B292" s="309" t="s">
        <v>1606</v>
      </c>
      <c r="C292" s="1067" t="s">
        <v>960</v>
      </c>
      <c r="D292" s="310">
        <v>29</v>
      </c>
      <c r="E292" s="1068">
        <f t="shared" si="7"/>
        <v>8500</v>
      </c>
      <c r="F292" s="1068">
        <v>246500</v>
      </c>
      <c r="G292" s="1067"/>
      <c r="H292" s="1069"/>
      <c r="I292" s="1069"/>
      <c r="J292" s="1070"/>
    </row>
    <row r="293" spans="1:10">
      <c r="A293" s="746">
        <v>14</v>
      </c>
      <c r="B293" s="309" t="s">
        <v>965</v>
      </c>
      <c r="C293" s="1067" t="s">
        <v>961</v>
      </c>
      <c r="D293" s="310">
        <v>11083</v>
      </c>
      <c r="E293" s="1068">
        <f t="shared" si="7"/>
        <v>15</v>
      </c>
      <c r="F293" s="1068">
        <v>166245</v>
      </c>
      <c r="G293" s="1067"/>
      <c r="H293" s="1069"/>
      <c r="I293" s="1069"/>
      <c r="J293" s="1070"/>
    </row>
    <row r="294" spans="1:10">
      <c r="A294" s="746">
        <v>15</v>
      </c>
      <c r="B294" s="309" t="s">
        <v>1607</v>
      </c>
      <c r="C294" s="1067" t="s">
        <v>910</v>
      </c>
      <c r="D294" s="310">
        <v>222</v>
      </c>
      <c r="E294" s="1068">
        <f t="shared" si="7"/>
        <v>5866</v>
      </c>
      <c r="F294" s="1068">
        <v>1302252</v>
      </c>
      <c r="G294" s="1067"/>
      <c r="H294" s="1069"/>
      <c r="I294" s="1069"/>
      <c r="J294" s="1070"/>
    </row>
    <row r="295" spans="1:10">
      <c r="A295" s="746">
        <v>16</v>
      </c>
      <c r="B295" s="309" t="s">
        <v>1608</v>
      </c>
      <c r="C295" s="1067" t="s">
        <v>911</v>
      </c>
      <c r="D295" s="1071">
        <v>9.8000000000000007</v>
      </c>
      <c r="E295" s="1068">
        <f t="shared" si="7"/>
        <v>10000</v>
      </c>
      <c r="F295" s="1068">
        <v>98000</v>
      </c>
      <c r="G295" s="1067"/>
      <c r="H295" s="1069"/>
      <c r="I295" s="1069"/>
      <c r="J295" s="1070"/>
    </row>
    <row r="296" spans="1:10">
      <c r="A296" s="746">
        <v>17</v>
      </c>
      <c r="B296" s="309" t="s">
        <v>914</v>
      </c>
      <c r="C296" s="1067" t="s">
        <v>911</v>
      </c>
      <c r="D296" s="310">
        <f>35.2+35.2+33.8</f>
        <v>104.2</v>
      </c>
      <c r="E296" s="1068">
        <f t="shared" si="7"/>
        <v>7311.0801343570056</v>
      </c>
      <c r="F296" s="1068">
        <f>264000+264000+233814.55</f>
        <v>761814.55</v>
      </c>
      <c r="G296" s="1067"/>
      <c r="H296" s="1069"/>
      <c r="I296" s="1069"/>
      <c r="J296" s="1070"/>
    </row>
    <row r="297" spans="1:10">
      <c r="A297" s="746">
        <v>18</v>
      </c>
      <c r="B297" s="309" t="s">
        <v>965</v>
      </c>
      <c r="C297" s="1067" t="s">
        <v>961</v>
      </c>
      <c r="D297" s="310">
        <v>4160</v>
      </c>
      <c r="E297" s="1068">
        <f t="shared" si="7"/>
        <v>33.339903846153845</v>
      </c>
      <c r="F297" s="1068">
        <v>138694</v>
      </c>
      <c r="G297" s="1067"/>
      <c r="H297" s="1069"/>
      <c r="I297" s="1069"/>
      <c r="J297" s="1070"/>
    </row>
    <row r="298" spans="1:10">
      <c r="A298" s="1072"/>
      <c r="B298" s="1073"/>
      <c r="C298" s="1074"/>
      <c r="D298" s="1075"/>
      <c r="E298" s="1076"/>
      <c r="F298" s="1076">
        <f>SUM(F280:F297)</f>
        <v>6001066.5499999998</v>
      </c>
      <c r="G298" s="1076">
        <f>SUM(G280:G297)</f>
        <v>0</v>
      </c>
      <c r="H298" s="1076">
        <f>SUM(H280:H297)</f>
        <v>0</v>
      </c>
      <c r="I298" s="1076">
        <f>SUM(I280:I297)</f>
        <v>0</v>
      </c>
      <c r="J298" s="1076">
        <f>SUM(J280:J297)</f>
        <v>0</v>
      </c>
    </row>
    <row r="299" spans="1:10">
      <c r="A299" s="691"/>
      <c r="B299" s="311" t="s">
        <v>1589</v>
      </c>
      <c r="C299" s="311"/>
      <c r="D299" s="310"/>
      <c r="E299" s="101"/>
      <c r="F299" s="101">
        <v>302000</v>
      </c>
      <c r="G299" s="182"/>
      <c r="H299" s="1077"/>
      <c r="I299" s="1077"/>
      <c r="J299" s="1078"/>
    </row>
    <row r="300" spans="1:10">
      <c r="A300" s="691"/>
      <c r="B300" s="311" t="s">
        <v>1590</v>
      </c>
      <c r="C300" s="311"/>
      <c r="D300" s="310"/>
      <c r="E300" s="101"/>
      <c r="F300" s="101">
        <v>48379.9</v>
      </c>
      <c r="G300" s="182"/>
      <c r="H300" s="1077"/>
      <c r="I300" s="1077"/>
      <c r="J300" s="1078"/>
    </row>
    <row r="301" spans="1:10">
      <c r="A301" s="1079"/>
      <c r="B301" s="1080" t="s">
        <v>186</v>
      </c>
      <c r="C301" s="1081"/>
      <c r="D301" s="1082"/>
      <c r="E301" s="1083"/>
      <c r="F301" s="1083">
        <f>SUM(F299:F300)</f>
        <v>350379.9</v>
      </c>
      <c r="G301" s="1083">
        <f>SUM(G299:G300)</f>
        <v>0</v>
      </c>
      <c r="H301" s="1083">
        <f>SUM(H299:H300)</f>
        <v>0</v>
      </c>
      <c r="I301" s="1083">
        <f>SUM(I299:I300)</f>
        <v>0</v>
      </c>
      <c r="J301" s="1083">
        <f>SUM(J299:J300)</f>
        <v>0</v>
      </c>
    </row>
    <row r="302" spans="1:10" ht="13.5" thickBot="1">
      <c r="A302" s="1084"/>
      <c r="B302" s="1085"/>
      <c r="C302" s="1085"/>
      <c r="D302" s="1086"/>
      <c r="E302" s="561"/>
      <c r="F302" s="561"/>
      <c r="G302" s="684"/>
      <c r="H302" s="1087"/>
      <c r="I302" s="1087"/>
      <c r="J302" s="1088"/>
    </row>
    <row r="303" spans="1:10" ht="13.5" thickBot="1">
      <c r="A303" s="1089"/>
      <c r="B303" s="1090" t="s">
        <v>186</v>
      </c>
      <c r="C303" s="1091"/>
      <c r="D303" s="1092"/>
      <c r="E303" s="1093"/>
      <c r="F303" s="1094">
        <f>F298+F301</f>
        <v>6351446.4500000002</v>
      </c>
      <c r="G303" s="1094">
        <f>G298+G301</f>
        <v>0</v>
      </c>
      <c r="H303" s="1094">
        <f>H298+H301</f>
        <v>0</v>
      </c>
      <c r="I303" s="1094">
        <f>I298+I301</f>
        <v>0</v>
      </c>
      <c r="J303" s="1094">
        <f>J298+J301</f>
        <v>0</v>
      </c>
    </row>
    <row r="304" spans="1:10">
      <c r="A304" s="23"/>
      <c r="B304" s="23"/>
      <c r="C304" s="23"/>
      <c r="D304" s="1095"/>
      <c r="F304" s="113"/>
      <c r="G304" s="23"/>
      <c r="H304" s="1039"/>
      <c r="I304" s="1039"/>
      <c r="J304" s="1039"/>
    </row>
    <row r="305" spans="1:10">
      <c r="A305" s="349"/>
      <c r="B305" s="1096"/>
      <c r="C305" s="1096"/>
      <c r="D305" s="1097"/>
      <c r="F305" s="113"/>
      <c r="G305" s="1096"/>
      <c r="H305" s="1099"/>
      <c r="I305" s="1099"/>
      <c r="J305" s="1000"/>
    </row>
    <row r="306" spans="1:10">
      <c r="F306" s="113"/>
    </row>
    <row r="307" spans="1:10">
      <c r="F307" s="113"/>
      <c r="G307" s="113"/>
    </row>
    <row r="308" spans="1:10">
      <c r="A308" s="58"/>
      <c r="B308" s="1711"/>
      <c r="C308" s="1711"/>
      <c r="D308" s="1711"/>
      <c r="E308" s="58"/>
      <c r="F308" s="693"/>
      <c r="G308" s="1101"/>
      <c r="H308" s="1101"/>
      <c r="I308" s="693"/>
      <c r="J308" s="58"/>
    </row>
    <row r="309" spans="1:10">
      <c r="B309" t="s">
        <v>1325</v>
      </c>
      <c r="F309" s="1105">
        <v>37500</v>
      </c>
      <c r="G309" s="113"/>
    </row>
    <row r="310" spans="1:10">
      <c r="B310" t="s">
        <v>1604</v>
      </c>
      <c r="F310" s="1105">
        <v>51030</v>
      </c>
      <c r="G310" s="113"/>
    </row>
    <row r="311" spans="1:10">
      <c r="F311" s="113"/>
      <c r="G311" s="113"/>
    </row>
    <row r="312" spans="1:10">
      <c r="E312" s="361" t="s">
        <v>230</v>
      </c>
      <c r="F312" s="113">
        <v>6089596.5499999998</v>
      </c>
      <c r="G312" s="113">
        <v>1217919.31</v>
      </c>
      <c r="H312" s="23" t="s">
        <v>1609</v>
      </c>
    </row>
    <row r="313" spans="1:10">
      <c r="E313" s="1098" t="s">
        <v>231</v>
      </c>
      <c r="F313" s="1098">
        <f>+F298+F309+F310-F312</f>
        <v>0</v>
      </c>
      <c r="G313" s="113"/>
    </row>
    <row r="314" spans="1:10">
      <c r="F314" s="113"/>
      <c r="G314" s="113"/>
    </row>
    <row r="315" spans="1:10" ht="15">
      <c r="A315" s="1001" t="s">
        <v>1501</v>
      </c>
      <c r="B315" s="1001"/>
      <c r="C315" s="1001"/>
      <c r="D315" s="1002"/>
      <c r="E315" s="1001"/>
      <c r="F315" s="1003"/>
      <c r="G315" s="1001" t="s">
        <v>1579</v>
      </c>
      <c r="H315" s="1004"/>
      <c r="I315" s="350"/>
      <c r="J315" s="58"/>
    </row>
    <row r="316" spans="1:10" ht="15.75" thickBot="1">
      <c r="A316" s="1005"/>
      <c r="B316" s="1005" t="s">
        <v>1690</v>
      </c>
      <c r="C316" s="1005"/>
      <c r="D316" s="1006"/>
      <c r="E316" s="1005"/>
      <c r="F316" s="1007"/>
      <c r="G316" s="1005"/>
      <c r="H316" s="1008"/>
      <c r="I316" s="23"/>
      <c r="J316" s="30"/>
    </row>
    <row r="317" spans="1:10">
      <c r="A317" s="1048" t="s">
        <v>1</v>
      </c>
      <c r="B317" s="1049" t="s">
        <v>1504</v>
      </c>
      <c r="C317" s="1049" t="s">
        <v>1505</v>
      </c>
      <c r="D317" s="1050" t="s">
        <v>381</v>
      </c>
      <c r="E317" s="1051" t="s">
        <v>904</v>
      </c>
      <c r="F317" s="1051" t="s">
        <v>1506</v>
      </c>
      <c r="G317" s="2079" t="s">
        <v>1507</v>
      </c>
      <c r="H317" s="2080"/>
      <c r="I317" s="2081"/>
      <c r="J317" s="1052" t="s">
        <v>1508</v>
      </c>
    </row>
    <row r="318" spans="1:10" ht="13.5" thickBot="1">
      <c r="A318" s="1053"/>
      <c r="B318" s="1054" t="s">
        <v>1509</v>
      </c>
      <c r="C318" s="1054" t="s">
        <v>1510</v>
      </c>
      <c r="D318" s="1055"/>
      <c r="E318" s="1056" t="s">
        <v>1511</v>
      </c>
      <c r="F318" s="1056" t="s">
        <v>1512</v>
      </c>
      <c r="G318" s="1054" t="s">
        <v>1513</v>
      </c>
      <c r="H318" s="1057" t="s">
        <v>1514</v>
      </c>
      <c r="I318" s="1058" t="s">
        <v>1515</v>
      </c>
      <c r="J318" s="1059" t="s">
        <v>1516</v>
      </c>
    </row>
    <row r="319" spans="1:10">
      <c r="A319" s="1060">
        <v>1</v>
      </c>
      <c r="B319" s="1061" t="s">
        <v>1692</v>
      </c>
      <c r="C319" s="1062" t="s">
        <v>960</v>
      </c>
      <c r="D319" s="1063">
        <v>156</v>
      </c>
      <c r="E319" s="1064">
        <f>+F319/D319</f>
        <v>350</v>
      </c>
      <c r="F319" s="1064">
        <v>54600</v>
      </c>
      <c r="G319" s="1062"/>
      <c r="H319" s="1065"/>
      <c r="I319" s="1065"/>
      <c r="J319" s="1066"/>
    </row>
    <row r="320" spans="1:10">
      <c r="A320" s="746">
        <v>2</v>
      </c>
      <c r="B320" s="309" t="s">
        <v>1312</v>
      </c>
      <c r="C320" s="1067"/>
      <c r="D320" s="310"/>
      <c r="E320" s="1068"/>
      <c r="F320" s="1068">
        <v>208333</v>
      </c>
      <c r="G320" s="1067"/>
      <c r="H320" s="1069"/>
      <c r="I320" s="1069"/>
      <c r="J320" s="1070"/>
    </row>
    <row r="321" spans="1:10">
      <c r="A321" s="746">
        <v>3</v>
      </c>
      <c r="B321" s="309" t="s">
        <v>1693</v>
      </c>
      <c r="C321" s="1067" t="s">
        <v>962</v>
      </c>
      <c r="D321" s="310">
        <f>35*25</f>
        <v>875</v>
      </c>
      <c r="E321" s="1068">
        <f t="shared" ref="E321:E328" si="8">+F321/D321</f>
        <v>106.8</v>
      </c>
      <c r="F321" s="1068">
        <v>93450</v>
      </c>
      <c r="G321" s="1067"/>
      <c r="H321" s="1069"/>
      <c r="I321" s="1069"/>
      <c r="J321" s="1070"/>
    </row>
    <row r="322" spans="1:10">
      <c r="A322" s="746">
        <v>4</v>
      </c>
      <c r="B322" s="309" t="s">
        <v>1694</v>
      </c>
      <c r="C322" s="1067" t="s">
        <v>960</v>
      </c>
      <c r="D322" s="310">
        <v>32.5</v>
      </c>
      <c r="E322" s="1068">
        <f t="shared" si="8"/>
        <v>7600</v>
      </c>
      <c r="F322" s="1068">
        <v>247000</v>
      </c>
      <c r="G322" s="1067"/>
      <c r="H322" s="1069"/>
      <c r="I322" s="1069"/>
      <c r="J322" s="1070"/>
    </row>
    <row r="323" spans="1:10">
      <c r="A323" s="746">
        <v>5</v>
      </c>
      <c r="B323" s="309" t="s">
        <v>1695</v>
      </c>
      <c r="C323" s="1067"/>
      <c r="D323" s="1071"/>
      <c r="E323" s="1068"/>
      <c r="F323" s="1068">
        <v>72000</v>
      </c>
      <c r="G323" s="1067"/>
      <c r="H323" s="1069"/>
      <c r="I323" s="1069"/>
      <c r="J323" s="1070"/>
    </row>
    <row r="324" spans="1:10">
      <c r="A324" s="746">
        <v>6</v>
      </c>
      <c r="B324" s="309" t="s">
        <v>1239</v>
      </c>
      <c r="C324" s="1067" t="s">
        <v>962</v>
      </c>
      <c r="D324" s="310">
        <v>9604</v>
      </c>
      <c r="E324" s="1068">
        <f t="shared" si="8"/>
        <v>8.3298625572678056</v>
      </c>
      <c r="F324" s="1068">
        <v>80000</v>
      </c>
      <c r="G324" s="1067"/>
      <c r="H324" s="1069"/>
      <c r="I324" s="1069"/>
      <c r="J324" s="1070"/>
    </row>
    <row r="325" spans="1:10">
      <c r="A325" s="746">
        <v>7</v>
      </c>
      <c r="B325" s="309" t="s">
        <v>1696</v>
      </c>
      <c r="C325" s="1067" t="s">
        <v>961</v>
      </c>
      <c r="D325" s="310">
        <v>1</v>
      </c>
      <c r="E325" s="1068">
        <f t="shared" si="8"/>
        <v>137500</v>
      </c>
      <c r="F325" s="1068">
        <v>137500</v>
      </c>
      <c r="G325" s="1067"/>
      <c r="H325" s="1069"/>
      <c r="I325" s="1069"/>
      <c r="J325" s="1070"/>
    </row>
    <row r="326" spans="1:10">
      <c r="A326" s="746">
        <v>8</v>
      </c>
      <c r="B326" s="309" t="s">
        <v>1697</v>
      </c>
      <c r="C326" s="1067" t="s">
        <v>961</v>
      </c>
      <c r="D326" s="1071">
        <v>1</v>
      </c>
      <c r="E326" s="1068">
        <f t="shared" si="8"/>
        <v>41666</v>
      </c>
      <c r="F326" s="1068">
        <v>41666</v>
      </c>
      <c r="G326" s="1067"/>
      <c r="H326" s="1069"/>
      <c r="I326" s="1069"/>
      <c r="J326" s="1070"/>
    </row>
    <row r="327" spans="1:10">
      <c r="A327" s="746">
        <v>9</v>
      </c>
      <c r="B327" s="309" t="s">
        <v>1698</v>
      </c>
      <c r="C327" s="1067" t="s">
        <v>1283</v>
      </c>
      <c r="D327" s="310">
        <f>600+1000</f>
        <v>1600</v>
      </c>
      <c r="E327" s="1068">
        <f t="shared" si="8"/>
        <v>86.25</v>
      </c>
      <c r="F327" s="1068">
        <f>84000+54000</f>
        <v>138000</v>
      </c>
      <c r="G327" s="1067"/>
      <c r="H327" s="1069"/>
      <c r="I327" s="1069"/>
      <c r="J327" s="1070"/>
    </row>
    <row r="328" spans="1:10">
      <c r="A328" s="746">
        <v>10</v>
      </c>
      <c r="B328" s="309" t="s">
        <v>965</v>
      </c>
      <c r="C328" s="1067" t="s">
        <v>961</v>
      </c>
      <c r="D328" s="310">
        <f>3840+8320+3840+4160+8320+4160</f>
        <v>32640</v>
      </c>
      <c r="E328" s="1068">
        <f t="shared" si="8"/>
        <v>27.813725490196077</v>
      </c>
      <c r="F328" s="1068">
        <f>128026+187200+128026+138694+187200+138694</f>
        <v>907840</v>
      </c>
      <c r="G328" s="1067"/>
      <c r="H328" s="1069"/>
      <c r="I328" s="1069"/>
      <c r="J328" s="1070"/>
    </row>
    <row r="329" spans="1:10">
      <c r="A329" s="1072"/>
      <c r="B329" s="1073"/>
      <c r="C329" s="1074"/>
      <c r="D329" s="1075"/>
      <c r="E329" s="1076"/>
      <c r="F329" s="1076">
        <f>SUM(F319:F328)</f>
        <v>1980389</v>
      </c>
      <c r="G329" s="1076">
        <f>SUM(G319:G328)</f>
        <v>0</v>
      </c>
      <c r="H329" s="1076">
        <f>SUM(H319:H328)</f>
        <v>0</v>
      </c>
      <c r="I329" s="1076">
        <f>SUM(I319:I328)</f>
        <v>0</v>
      </c>
      <c r="J329" s="1121">
        <f>SUM(J319:J328)</f>
        <v>0</v>
      </c>
    </row>
    <row r="330" spans="1:10">
      <c r="A330" s="691"/>
      <c r="B330" s="311" t="s">
        <v>1589</v>
      </c>
      <c r="C330" s="311"/>
      <c r="D330" s="310"/>
      <c r="E330" s="101"/>
      <c r="F330" s="101">
        <v>302000</v>
      </c>
      <c r="G330" s="182"/>
      <c r="H330" s="1077"/>
      <c r="I330" s="1077"/>
      <c r="J330" s="1078"/>
    </row>
    <row r="331" spans="1:10">
      <c r="A331" s="691"/>
      <c r="B331" s="311" t="s">
        <v>1590</v>
      </c>
      <c r="C331" s="311"/>
      <c r="D331" s="310"/>
      <c r="E331" s="101"/>
      <c r="F331" s="101">
        <v>48379.9</v>
      </c>
      <c r="G331" s="182"/>
      <c r="H331" s="1077"/>
      <c r="I331" s="1077"/>
      <c r="J331" s="1078"/>
    </row>
    <row r="332" spans="1:10">
      <c r="A332" s="1079"/>
      <c r="B332" s="1080" t="s">
        <v>186</v>
      </c>
      <c r="C332" s="1081"/>
      <c r="D332" s="1082"/>
      <c r="E332" s="1083"/>
      <c r="F332" s="1083">
        <f>SUM(F330:F331)</f>
        <v>350379.9</v>
      </c>
      <c r="G332" s="1083">
        <f>SUM(G330:G331)</f>
        <v>0</v>
      </c>
      <c r="H332" s="1083">
        <f>SUM(H330:H331)</f>
        <v>0</v>
      </c>
      <c r="I332" s="1083">
        <f>SUM(I330:I331)</f>
        <v>0</v>
      </c>
      <c r="J332" s="1122">
        <f>SUM(J330:J331)</f>
        <v>0</v>
      </c>
    </row>
    <row r="333" spans="1:10" ht="13.5" thickBot="1">
      <c r="A333" s="1084"/>
      <c r="B333" s="1085"/>
      <c r="C333" s="1085"/>
      <c r="D333" s="1086"/>
      <c r="E333" s="561"/>
      <c r="F333" s="561"/>
      <c r="G333" s="684"/>
      <c r="H333" s="1087"/>
      <c r="I333" s="1087"/>
      <c r="J333" s="1088"/>
    </row>
    <row r="334" spans="1:10" ht="13.5" thickBot="1">
      <c r="A334" s="1089"/>
      <c r="B334" s="1090" t="s">
        <v>186</v>
      </c>
      <c r="C334" s="1091"/>
      <c r="D334" s="1092"/>
      <c r="E334" s="1093"/>
      <c r="F334" s="1094">
        <f>F329+F332</f>
        <v>2330768.9</v>
      </c>
      <c r="G334" s="1094">
        <f>G329+G332</f>
        <v>0</v>
      </c>
      <c r="H334" s="1094">
        <f>H329+H332</f>
        <v>0</v>
      </c>
      <c r="I334" s="1094">
        <f>I329+I332</f>
        <v>0</v>
      </c>
      <c r="J334" s="1094">
        <f>J329+J332</f>
        <v>0</v>
      </c>
    </row>
    <row r="335" spans="1:10">
      <c r="A335" s="23"/>
      <c r="B335" s="23"/>
      <c r="C335" s="23"/>
      <c r="D335" s="1095"/>
      <c r="F335" s="113"/>
      <c r="G335" s="23"/>
      <c r="H335" s="1039"/>
      <c r="I335" s="1039"/>
      <c r="J335" s="1039"/>
    </row>
    <row r="336" spans="1:10">
      <c r="A336" s="349"/>
      <c r="B336" s="1096"/>
      <c r="C336" s="1096"/>
      <c r="D336" s="1097"/>
      <c r="F336" s="113"/>
      <c r="G336" s="1096"/>
      <c r="H336" s="1099"/>
      <c r="I336" s="1099"/>
      <c r="J336" s="1000"/>
    </row>
    <row r="337" spans="1:10">
      <c r="F337" s="113"/>
    </row>
    <row r="338" spans="1:10">
      <c r="F338" s="113"/>
      <c r="G338" s="113"/>
    </row>
    <row r="339" spans="1:10">
      <c r="A339" s="58"/>
      <c r="B339" s="1711"/>
      <c r="C339" s="1711"/>
      <c r="D339" s="1711"/>
      <c r="E339" s="58"/>
      <c r="F339" s="693"/>
      <c r="G339" s="1101"/>
      <c r="H339" s="1101"/>
      <c r="I339" s="693"/>
      <c r="J339" s="58"/>
    </row>
    <row r="340" spans="1:10">
      <c r="B340" s="1711" t="s">
        <v>1691</v>
      </c>
      <c r="C340" s="1711"/>
      <c r="D340" s="1711"/>
      <c r="F340" s="1105">
        <v>26250</v>
      </c>
      <c r="G340" s="113"/>
    </row>
    <row r="341" spans="1:10">
      <c r="F341" s="1105"/>
      <c r="G341" s="113"/>
    </row>
    <row r="342" spans="1:10">
      <c r="F342" s="113"/>
      <c r="G342" s="113"/>
    </row>
    <row r="343" spans="1:10">
      <c r="E343" s="361" t="s">
        <v>230</v>
      </c>
      <c r="F343" s="113">
        <v>2006639</v>
      </c>
      <c r="G343" s="113">
        <v>401327.8</v>
      </c>
      <c r="H343" s="23" t="s">
        <v>1609</v>
      </c>
    </row>
    <row r="344" spans="1:10">
      <c r="E344" s="1098" t="s">
        <v>231</v>
      </c>
      <c r="F344" s="1098">
        <f>+F329+F340+F341-F343</f>
        <v>0</v>
      </c>
      <c r="G344" s="113"/>
    </row>
    <row r="355" spans="1:10" ht="15">
      <c r="A355" s="1001" t="s">
        <v>1501</v>
      </c>
      <c r="B355" s="1001"/>
      <c r="C355" s="1001"/>
      <c r="D355" s="1002"/>
      <c r="E355" s="1001"/>
      <c r="F355" s="1003"/>
      <c r="G355" s="1001" t="s">
        <v>1579</v>
      </c>
      <c r="H355" s="1004"/>
      <c r="I355" s="350"/>
      <c r="J355" s="58"/>
    </row>
    <row r="356" spans="1:10" ht="15.75" thickBot="1">
      <c r="A356" s="1005"/>
      <c r="B356" s="1005" t="s">
        <v>1756</v>
      </c>
      <c r="C356" s="1005"/>
      <c r="D356" s="1006"/>
      <c r="E356" s="1005"/>
      <c r="F356" s="1007"/>
      <c r="G356" s="1005"/>
      <c r="H356" s="1008"/>
      <c r="I356" s="23"/>
      <c r="J356" s="30"/>
    </row>
    <row r="357" spans="1:10">
      <c r="A357" s="1048" t="s">
        <v>1</v>
      </c>
      <c r="B357" s="1049" t="s">
        <v>1504</v>
      </c>
      <c r="C357" s="1049" t="s">
        <v>1505</v>
      </c>
      <c r="D357" s="1050" t="s">
        <v>381</v>
      </c>
      <c r="E357" s="1051" t="s">
        <v>904</v>
      </c>
      <c r="F357" s="1051" t="s">
        <v>1506</v>
      </c>
      <c r="G357" s="2079" t="s">
        <v>1507</v>
      </c>
      <c r="H357" s="2080"/>
      <c r="I357" s="2081"/>
      <c r="J357" s="1052" t="s">
        <v>1508</v>
      </c>
    </row>
    <row r="358" spans="1:10" ht="13.5" thickBot="1">
      <c r="A358" s="1053"/>
      <c r="B358" s="1054" t="s">
        <v>1509</v>
      </c>
      <c r="C358" s="1054" t="s">
        <v>1510</v>
      </c>
      <c r="D358" s="1055"/>
      <c r="E358" s="1056" t="s">
        <v>1511</v>
      </c>
      <c r="F358" s="1056" t="s">
        <v>1512</v>
      </c>
      <c r="G358" s="1054" t="s">
        <v>1513</v>
      </c>
      <c r="H358" s="1057" t="s">
        <v>1514</v>
      </c>
      <c r="I358" s="1058" t="s">
        <v>1515</v>
      </c>
      <c r="J358" s="1059" t="s">
        <v>1516</v>
      </c>
    </row>
    <row r="359" spans="1:10">
      <c r="A359" s="1060">
        <v>1</v>
      </c>
      <c r="B359" s="1061" t="s">
        <v>1757</v>
      </c>
      <c r="C359" s="1062" t="s">
        <v>962</v>
      </c>
      <c r="D359" s="1063">
        <v>598.20000000000005</v>
      </c>
      <c r="E359" s="1064">
        <f>+F359/D359</f>
        <v>2193.4570377800064</v>
      </c>
      <c r="F359" s="1064">
        <v>1312126</v>
      </c>
      <c r="G359" s="1062"/>
      <c r="H359" s="1065"/>
      <c r="I359" s="1065"/>
      <c r="J359" s="1066"/>
    </row>
    <row r="360" spans="1:10">
      <c r="A360" s="746">
        <v>2</v>
      </c>
      <c r="B360" s="309" t="s">
        <v>1758</v>
      </c>
      <c r="C360" s="1067" t="s">
        <v>961</v>
      </c>
      <c r="D360" s="310">
        <v>1260</v>
      </c>
      <c r="E360" s="1068"/>
      <c r="F360" s="1068">
        <v>145256</v>
      </c>
      <c r="G360" s="1067"/>
      <c r="H360" s="1069"/>
      <c r="I360" s="1069"/>
      <c r="J360" s="1070"/>
    </row>
    <row r="361" spans="1:10">
      <c r="A361" s="746">
        <v>3</v>
      </c>
      <c r="B361" s="309" t="s">
        <v>1759</v>
      </c>
      <c r="C361" s="1067" t="s">
        <v>961</v>
      </c>
      <c r="D361" s="310">
        <v>1</v>
      </c>
      <c r="E361" s="1068">
        <f t="shared" ref="E361:E362" si="9">+F361/D361</f>
        <v>271407</v>
      </c>
      <c r="F361" s="1068">
        <v>271407</v>
      </c>
      <c r="G361" s="1067"/>
      <c r="H361" s="1069"/>
      <c r="I361" s="1069"/>
      <c r="J361" s="1070"/>
    </row>
    <row r="362" spans="1:10">
      <c r="A362" s="746">
        <v>4</v>
      </c>
      <c r="B362" s="309" t="s">
        <v>1760</v>
      </c>
      <c r="C362" s="1067" t="s">
        <v>962</v>
      </c>
      <c r="D362" s="310">
        <v>1246</v>
      </c>
      <c r="E362" s="1068">
        <f t="shared" si="9"/>
        <v>280.45505617977528</v>
      </c>
      <c r="F362" s="1068">
        <v>349447</v>
      </c>
      <c r="G362" s="1067"/>
      <c r="H362" s="1069"/>
      <c r="I362" s="1069"/>
      <c r="J362" s="1070"/>
    </row>
    <row r="363" spans="1:10">
      <c r="A363" s="746">
        <v>5</v>
      </c>
      <c r="B363" s="309" t="s">
        <v>1761</v>
      </c>
      <c r="C363" s="1067" t="s">
        <v>1762</v>
      </c>
      <c r="D363" s="1071">
        <f>2000*125</f>
        <v>250000</v>
      </c>
      <c r="E363" s="2082">
        <f>+F363/(D363+D364)</f>
        <v>1.6396485953996418</v>
      </c>
      <c r="F363" s="2082">
        <v>410700</v>
      </c>
      <c r="G363" s="1067"/>
      <c r="H363" s="1069"/>
      <c r="I363" s="1069"/>
      <c r="J363" s="1070"/>
    </row>
    <row r="364" spans="1:10">
      <c r="A364" s="746">
        <v>6</v>
      </c>
      <c r="B364" s="309" t="s">
        <v>1763</v>
      </c>
      <c r="C364" s="1067" t="s">
        <v>962</v>
      </c>
      <c r="D364" s="310">
        <f>480+0.5</f>
        <v>480.5</v>
      </c>
      <c r="E364" s="2083"/>
      <c r="F364" s="2083"/>
      <c r="G364" s="1067"/>
      <c r="H364" s="1069"/>
      <c r="I364" s="1069"/>
      <c r="J364" s="1070"/>
    </row>
    <row r="365" spans="1:10">
      <c r="A365" s="746">
        <v>7</v>
      </c>
      <c r="B365" s="309" t="s">
        <v>1764</v>
      </c>
      <c r="C365" s="1067" t="s">
        <v>1270</v>
      </c>
      <c r="D365" s="310">
        <v>1920</v>
      </c>
      <c r="E365" s="2082">
        <f>F365/(D367+D366+D365)</f>
        <v>340.66857142857145</v>
      </c>
      <c r="F365" s="2082">
        <v>834638</v>
      </c>
      <c r="G365" s="1067"/>
      <c r="H365" s="1069"/>
      <c r="I365" s="1069"/>
      <c r="J365" s="1070"/>
    </row>
    <row r="366" spans="1:10">
      <c r="A366" s="746">
        <v>8</v>
      </c>
      <c r="B366" s="309" t="s">
        <v>1765</v>
      </c>
      <c r="C366" s="1067" t="s">
        <v>961</v>
      </c>
      <c r="D366" s="310">
        <v>400</v>
      </c>
      <c r="E366" s="2084"/>
      <c r="F366" s="2084"/>
      <c r="G366" s="1067"/>
      <c r="H366" s="1069"/>
      <c r="I366" s="1069"/>
      <c r="J366" s="1070"/>
    </row>
    <row r="367" spans="1:10">
      <c r="A367" s="746">
        <v>9</v>
      </c>
      <c r="B367" s="309" t="s">
        <v>1766</v>
      </c>
      <c r="C367" s="1067" t="s">
        <v>961</v>
      </c>
      <c r="D367" s="310">
        <v>130</v>
      </c>
      <c r="E367" s="2083"/>
      <c r="F367" s="2083"/>
      <c r="G367" s="1067"/>
      <c r="H367" s="1069"/>
      <c r="I367" s="1069"/>
      <c r="J367" s="1070"/>
    </row>
    <row r="368" spans="1:10">
      <c r="A368" s="746">
        <v>10</v>
      </c>
      <c r="B368" s="309" t="s">
        <v>1767</v>
      </c>
      <c r="C368" s="1067" t="s">
        <v>961</v>
      </c>
      <c r="D368" s="310">
        <f>5000+1000</f>
        <v>6000</v>
      </c>
      <c r="E368" s="1068"/>
      <c r="F368" s="1068">
        <f>381263+148106</f>
        <v>529369</v>
      </c>
      <c r="G368" s="1067"/>
      <c r="H368" s="1069"/>
      <c r="I368" s="1069"/>
      <c r="J368" s="1070"/>
    </row>
    <row r="369" spans="1:10">
      <c r="A369" s="746">
        <v>11</v>
      </c>
      <c r="B369" s="309" t="s">
        <v>1768</v>
      </c>
      <c r="C369" s="1067" t="s">
        <v>961</v>
      </c>
      <c r="D369" s="310">
        <v>90</v>
      </c>
      <c r="E369" s="1068"/>
      <c r="F369" s="1068">
        <v>150406</v>
      </c>
      <c r="G369" s="1067"/>
      <c r="H369" s="1069"/>
      <c r="I369" s="1069"/>
      <c r="J369" s="1070"/>
    </row>
    <row r="370" spans="1:10">
      <c r="A370" s="746">
        <v>12</v>
      </c>
      <c r="B370" s="309" t="s">
        <v>1769</v>
      </c>
      <c r="C370" s="1067" t="s">
        <v>1270</v>
      </c>
      <c r="D370" s="310">
        <f>2703*3</f>
        <v>8109</v>
      </c>
      <c r="E370" s="1068"/>
      <c r="F370" s="1068">
        <v>1035050</v>
      </c>
      <c r="G370" s="1067"/>
      <c r="H370" s="1069"/>
      <c r="I370" s="1069"/>
      <c r="J370" s="1070"/>
    </row>
    <row r="371" spans="1:10">
      <c r="A371" s="746">
        <v>13</v>
      </c>
      <c r="B371" s="309" t="s">
        <v>1770</v>
      </c>
      <c r="C371" s="1067"/>
      <c r="D371" s="310">
        <v>150</v>
      </c>
      <c r="E371" s="2082">
        <f>+F371/(D371+D375+D374+D373+D372)</f>
        <v>416.60444444444443</v>
      </c>
      <c r="F371" s="2082">
        <v>187472</v>
      </c>
      <c r="G371" s="1067"/>
      <c r="H371" s="1069"/>
      <c r="I371" s="1069"/>
      <c r="J371" s="1070"/>
    </row>
    <row r="372" spans="1:10">
      <c r="A372" s="746">
        <v>14</v>
      </c>
      <c r="B372" s="309" t="s">
        <v>1771</v>
      </c>
      <c r="C372" s="1067"/>
      <c r="D372" s="310">
        <v>150</v>
      </c>
      <c r="E372" s="2084"/>
      <c r="F372" s="2084"/>
      <c r="G372" s="1067"/>
      <c r="H372" s="1069"/>
      <c r="I372" s="1069"/>
      <c r="J372" s="1070"/>
    </row>
    <row r="373" spans="1:10">
      <c r="A373" s="746">
        <v>15</v>
      </c>
      <c r="B373" s="309" t="s">
        <v>1772</v>
      </c>
      <c r="C373" s="1067"/>
      <c r="D373" s="310">
        <v>50</v>
      </c>
      <c r="E373" s="2084"/>
      <c r="F373" s="2084"/>
      <c r="G373" s="1067"/>
      <c r="H373" s="1069"/>
      <c r="I373" s="1069"/>
      <c r="J373" s="1070"/>
    </row>
    <row r="374" spans="1:10">
      <c r="A374" s="746">
        <v>16</v>
      </c>
      <c r="B374" s="309" t="s">
        <v>1773</v>
      </c>
      <c r="C374" s="1067"/>
      <c r="D374" s="310">
        <v>50</v>
      </c>
      <c r="E374" s="2084"/>
      <c r="F374" s="2084"/>
      <c r="G374" s="1067"/>
      <c r="H374" s="1069"/>
      <c r="I374" s="1069"/>
      <c r="J374" s="1070"/>
    </row>
    <row r="375" spans="1:10">
      <c r="A375" s="746">
        <v>17</v>
      </c>
      <c r="B375" s="309" t="s">
        <v>1774</v>
      </c>
      <c r="C375" s="1067"/>
      <c r="D375" s="310">
        <v>50</v>
      </c>
      <c r="E375" s="2083"/>
      <c r="F375" s="2083"/>
      <c r="G375" s="1067"/>
      <c r="H375" s="1069"/>
      <c r="I375" s="1069"/>
      <c r="J375" s="1070"/>
    </row>
    <row r="376" spans="1:10">
      <c r="A376" s="746">
        <v>18</v>
      </c>
      <c r="B376" s="309" t="s">
        <v>1775</v>
      </c>
      <c r="C376" s="1067" t="s">
        <v>962</v>
      </c>
      <c r="D376" s="310">
        <v>1832</v>
      </c>
      <c r="E376" s="1068">
        <f>+F376/D376</f>
        <v>926.6129912663755</v>
      </c>
      <c r="F376" s="1068">
        <v>1697555</v>
      </c>
      <c r="G376" s="1067"/>
      <c r="H376" s="1069"/>
      <c r="I376" s="1069"/>
      <c r="J376" s="1070"/>
    </row>
    <row r="377" spans="1:10">
      <c r="A377" s="746">
        <v>19</v>
      </c>
      <c r="B377" s="309" t="s">
        <v>1776</v>
      </c>
      <c r="C377" s="1067" t="s">
        <v>962</v>
      </c>
      <c r="D377" s="310">
        <v>963</v>
      </c>
      <c r="E377" s="1068">
        <f t="shared" ref="E377:E383" si="10">+F377/D377</f>
        <v>142.17757009345794</v>
      </c>
      <c r="F377" s="1068">
        <v>136917</v>
      </c>
      <c r="G377" s="1067"/>
      <c r="H377" s="1069"/>
      <c r="I377" s="1069"/>
      <c r="J377" s="1070"/>
    </row>
    <row r="378" spans="1:10">
      <c r="A378" s="746">
        <v>20</v>
      </c>
      <c r="B378" s="309" t="s">
        <v>1777</v>
      </c>
      <c r="C378" s="1067" t="s">
        <v>962</v>
      </c>
      <c r="D378" s="310">
        <v>1098</v>
      </c>
      <c r="E378" s="1068">
        <f t="shared" si="10"/>
        <v>692.66848816029142</v>
      </c>
      <c r="F378" s="1068">
        <v>760550</v>
      </c>
      <c r="G378" s="1067"/>
      <c r="H378" s="1069"/>
      <c r="I378" s="1069"/>
      <c r="J378" s="1070"/>
    </row>
    <row r="379" spans="1:10">
      <c r="A379" s="746">
        <v>21</v>
      </c>
      <c r="B379" s="309" t="s">
        <v>1410</v>
      </c>
      <c r="C379" s="1067" t="s">
        <v>517</v>
      </c>
      <c r="D379" s="310">
        <f>232.6+277+53.6+57</f>
        <v>620.20000000000005</v>
      </c>
      <c r="E379" s="1068">
        <f t="shared" si="10"/>
        <v>963.56820380522402</v>
      </c>
      <c r="F379" s="1068">
        <f>79355+248192+218644+51414</f>
        <v>597605</v>
      </c>
      <c r="G379" s="1067"/>
      <c r="H379" s="1069"/>
      <c r="I379" s="1069"/>
      <c r="J379" s="1070"/>
    </row>
    <row r="380" spans="1:10">
      <c r="A380" s="746">
        <v>22</v>
      </c>
      <c r="B380" s="309" t="s">
        <v>1778</v>
      </c>
      <c r="C380" s="1067"/>
      <c r="D380" s="310"/>
      <c r="E380" s="1068"/>
      <c r="F380" s="1068">
        <f>240000+232500+236300</f>
        <v>708800</v>
      </c>
      <c r="G380" s="1067"/>
      <c r="H380" s="1069"/>
      <c r="I380" s="1069"/>
      <c r="J380" s="1070"/>
    </row>
    <row r="381" spans="1:10">
      <c r="A381" s="746">
        <v>23</v>
      </c>
      <c r="B381" s="309" t="s">
        <v>1779</v>
      </c>
      <c r="C381" s="1067" t="s">
        <v>960</v>
      </c>
      <c r="D381" s="310">
        <v>207</v>
      </c>
      <c r="E381" s="1068">
        <f t="shared" si="10"/>
        <v>460</v>
      </c>
      <c r="F381" s="1068">
        <v>95220</v>
      </c>
      <c r="G381" s="1067"/>
      <c r="H381" s="1069"/>
      <c r="I381" s="1069"/>
      <c r="J381" s="1070"/>
    </row>
    <row r="382" spans="1:10">
      <c r="A382" s="746">
        <v>24</v>
      </c>
      <c r="B382" s="309" t="s">
        <v>1234</v>
      </c>
      <c r="C382" s="1067" t="s">
        <v>962</v>
      </c>
      <c r="D382" s="310">
        <v>1435</v>
      </c>
      <c r="E382" s="1068">
        <f t="shared" si="10"/>
        <v>203</v>
      </c>
      <c r="F382" s="1068">
        <v>291305</v>
      </c>
      <c r="G382" s="1067"/>
      <c r="H382" s="1069"/>
      <c r="I382" s="1069"/>
      <c r="J382" s="1070"/>
    </row>
    <row r="383" spans="1:10">
      <c r="A383" s="746">
        <v>25</v>
      </c>
      <c r="B383" s="309" t="s">
        <v>909</v>
      </c>
      <c r="C383" s="1067" t="s">
        <v>1780</v>
      </c>
      <c r="D383" s="310">
        <v>102.85</v>
      </c>
      <c r="E383" s="1068">
        <f t="shared" si="10"/>
        <v>8102.4112785610114</v>
      </c>
      <c r="F383" s="1068">
        <v>833333</v>
      </c>
      <c r="G383" s="1067"/>
      <c r="H383" s="1069"/>
      <c r="I383" s="1069"/>
      <c r="J383" s="1070"/>
    </row>
    <row r="384" spans="1:10">
      <c r="A384" s="1072"/>
      <c r="B384" s="1073"/>
      <c r="C384" s="1074"/>
      <c r="D384" s="1075"/>
      <c r="E384" s="1076"/>
      <c r="F384" s="1076">
        <f>SUM(F359:F383)</f>
        <v>10347156</v>
      </c>
      <c r="G384" s="1076">
        <f>SUM(G359:G383)</f>
        <v>0</v>
      </c>
      <c r="H384" s="1076">
        <f>SUM(H359:H383)</f>
        <v>0</v>
      </c>
      <c r="I384" s="1076">
        <f>SUM(I359:I383)</f>
        <v>0</v>
      </c>
      <c r="J384" s="1121">
        <f>SUM(J359:J383)</f>
        <v>0</v>
      </c>
    </row>
    <row r="385" spans="1:10">
      <c r="A385" s="691"/>
      <c r="B385" s="311" t="s">
        <v>1589</v>
      </c>
      <c r="C385" s="311"/>
      <c r="D385" s="310"/>
      <c r="E385" s="101"/>
      <c r="F385" s="101">
        <v>302500</v>
      </c>
      <c r="G385" s="182"/>
      <c r="H385" s="1077"/>
      <c r="I385" s="1077"/>
      <c r="J385" s="1078"/>
    </row>
    <row r="386" spans="1:10">
      <c r="A386" s="691"/>
      <c r="B386" s="311" t="s">
        <v>1590</v>
      </c>
      <c r="C386" s="311"/>
      <c r="D386" s="310"/>
      <c r="E386" s="101"/>
      <c r="F386" s="101">
        <v>48463.4</v>
      </c>
      <c r="G386" s="182"/>
      <c r="H386" s="1077"/>
      <c r="I386" s="1077"/>
      <c r="J386" s="1078"/>
    </row>
    <row r="387" spans="1:10">
      <c r="A387" s="1079"/>
      <c r="B387" s="1080" t="s">
        <v>186</v>
      </c>
      <c r="C387" s="1081"/>
      <c r="D387" s="1082"/>
      <c r="E387" s="1083"/>
      <c r="F387" s="1083">
        <f>SUM(F385:F386)</f>
        <v>350963.4</v>
      </c>
      <c r="G387" s="1083">
        <f>SUM(G385:G386)</f>
        <v>0</v>
      </c>
      <c r="H387" s="1083">
        <f>SUM(H385:H386)</f>
        <v>0</v>
      </c>
      <c r="I387" s="1083">
        <f>SUM(I385:I386)</f>
        <v>0</v>
      </c>
      <c r="J387" s="1122">
        <f>SUM(J385:J386)</f>
        <v>0</v>
      </c>
    </row>
    <row r="388" spans="1:10" ht="13.5" thickBot="1">
      <c r="A388" s="1084"/>
      <c r="B388" s="1085"/>
      <c r="C388" s="1085"/>
      <c r="D388" s="1086"/>
      <c r="E388" s="561"/>
      <c r="F388" s="561"/>
      <c r="G388" s="684"/>
      <c r="H388" s="1087"/>
      <c r="I388" s="1087"/>
      <c r="J388" s="1088"/>
    </row>
    <row r="389" spans="1:10" ht="13.5" thickBot="1">
      <c r="A389" s="1089"/>
      <c r="B389" s="1090" t="s">
        <v>186</v>
      </c>
      <c r="C389" s="1091"/>
      <c r="D389" s="1092"/>
      <c r="E389" s="1093"/>
      <c r="F389" s="1094">
        <f>F384+F387</f>
        <v>10698119.4</v>
      </c>
      <c r="G389" s="1094">
        <f>G384+G387</f>
        <v>0</v>
      </c>
      <c r="H389" s="1094">
        <f>H384+H387</f>
        <v>0</v>
      </c>
      <c r="I389" s="1094">
        <f>I384+I387</f>
        <v>0</v>
      </c>
      <c r="J389" s="1094">
        <f>J384+J387</f>
        <v>0</v>
      </c>
    </row>
    <row r="390" spans="1:10">
      <c r="A390" s="23"/>
      <c r="B390" s="23"/>
      <c r="C390" s="23"/>
      <c r="D390" s="1095"/>
      <c r="F390" s="113"/>
      <c r="G390" s="23"/>
      <c r="H390" s="1039"/>
      <c r="I390" s="1039"/>
      <c r="J390" s="1039"/>
    </row>
    <row r="391" spans="1:10">
      <c r="E391" s="361" t="s">
        <v>230</v>
      </c>
      <c r="F391" s="113">
        <v>10347256</v>
      </c>
      <c r="G391" s="113">
        <f>+F391*0.2</f>
        <v>2069451.2000000002</v>
      </c>
      <c r="H391" s="23" t="s">
        <v>1609</v>
      </c>
    </row>
    <row r="392" spans="1:10">
      <c r="E392" s="1098" t="s">
        <v>231</v>
      </c>
      <c r="F392" s="1098">
        <f>+F391-F384</f>
        <v>100</v>
      </c>
      <c r="G392" s="113"/>
    </row>
    <row r="396" spans="1:10" ht="15">
      <c r="A396" s="1001" t="s">
        <v>1501</v>
      </c>
      <c r="B396" s="1001"/>
      <c r="C396" s="1001"/>
      <c r="D396" s="1002"/>
      <c r="E396" s="1001"/>
      <c r="F396" s="1003"/>
      <c r="G396" s="1001" t="s">
        <v>1579</v>
      </c>
      <c r="H396" s="1004"/>
      <c r="I396" s="350"/>
      <c r="J396" s="58"/>
    </row>
    <row r="397" spans="1:10" ht="15.75" thickBot="1">
      <c r="A397" s="1005"/>
      <c r="B397" s="1005" t="s">
        <v>1756</v>
      </c>
      <c r="C397" s="1005"/>
      <c r="D397" s="1006"/>
      <c r="E397" s="1005"/>
      <c r="F397" s="1007"/>
      <c r="G397" s="1005"/>
      <c r="H397" s="1008"/>
      <c r="I397" s="23"/>
      <c r="J397" s="30"/>
    </row>
    <row r="398" spans="1:10">
      <c r="A398" s="1048" t="s">
        <v>1</v>
      </c>
      <c r="B398" s="1049" t="s">
        <v>1504</v>
      </c>
      <c r="C398" s="1049" t="s">
        <v>1505</v>
      </c>
      <c r="D398" s="1050" t="s">
        <v>381</v>
      </c>
      <c r="E398" s="1051" t="s">
        <v>904</v>
      </c>
      <c r="F398" s="1051" t="s">
        <v>1506</v>
      </c>
      <c r="G398" s="2079" t="s">
        <v>1507</v>
      </c>
      <c r="H398" s="2080"/>
      <c r="I398" s="2081"/>
      <c r="J398" s="1052" t="s">
        <v>1508</v>
      </c>
    </row>
    <row r="399" spans="1:10">
      <c r="A399" s="1053"/>
      <c r="B399" s="1054" t="s">
        <v>1509</v>
      </c>
      <c r="C399" s="1054" t="s">
        <v>1510</v>
      </c>
      <c r="D399" s="1055"/>
      <c r="E399" s="1056" t="s">
        <v>1511</v>
      </c>
      <c r="F399" s="1056" t="s">
        <v>1512</v>
      </c>
      <c r="G399" s="1054" t="s">
        <v>1513</v>
      </c>
      <c r="H399" s="1057" t="s">
        <v>1514</v>
      </c>
      <c r="I399" s="1058" t="s">
        <v>1515</v>
      </c>
      <c r="J399" s="1059" t="s">
        <v>1516</v>
      </c>
    </row>
    <row r="400" spans="1:10" s="1" customFormat="1">
      <c r="A400" s="1067">
        <v>1</v>
      </c>
      <c r="B400" s="309" t="s">
        <v>1781</v>
      </c>
      <c r="C400" s="1067"/>
      <c r="D400" s="310"/>
      <c r="E400" s="1068"/>
      <c r="F400" s="1068">
        <v>7820893</v>
      </c>
      <c r="G400" s="1067"/>
      <c r="H400" s="1069"/>
      <c r="I400" s="1069"/>
      <c r="J400" s="1069"/>
    </row>
    <row r="401" spans="1:10">
      <c r="A401" s="1067">
        <v>2</v>
      </c>
      <c r="B401" s="309" t="s">
        <v>1410</v>
      </c>
      <c r="C401" s="1067" t="s">
        <v>517</v>
      </c>
      <c r="D401" s="310">
        <f>232.6+277+53.6+57</f>
        <v>620.20000000000005</v>
      </c>
      <c r="E401" s="1068">
        <f t="shared" ref="E401:E405" si="11">+F401/D401</f>
        <v>963.56820380522402</v>
      </c>
      <c r="F401" s="1068">
        <f>79355+248192+218644+51414</f>
        <v>597605</v>
      </c>
      <c r="G401" s="1067"/>
      <c r="H401" s="1069"/>
      <c r="I401" s="1069"/>
      <c r="J401" s="1069"/>
    </row>
    <row r="402" spans="1:10">
      <c r="A402" s="1067">
        <v>3</v>
      </c>
      <c r="B402" s="309" t="s">
        <v>1778</v>
      </c>
      <c r="C402" s="1067"/>
      <c r="D402" s="310"/>
      <c r="E402" s="1068"/>
      <c r="F402" s="1068">
        <f>240000+232500+236300</f>
        <v>708800</v>
      </c>
      <c r="G402" s="1067"/>
      <c r="H402" s="1069"/>
      <c r="I402" s="1069"/>
      <c r="J402" s="1069"/>
    </row>
    <row r="403" spans="1:10">
      <c r="A403" s="1067">
        <v>4</v>
      </c>
      <c r="B403" s="309" t="s">
        <v>1779</v>
      </c>
      <c r="C403" s="1067" t="s">
        <v>960</v>
      </c>
      <c r="D403" s="310">
        <v>207</v>
      </c>
      <c r="E403" s="1068">
        <f t="shared" si="11"/>
        <v>460</v>
      </c>
      <c r="F403" s="1068">
        <v>95220</v>
      </c>
      <c r="G403" s="1067"/>
      <c r="H403" s="1069"/>
      <c r="I403" s="1069"/>
      <c r="J403" s="1069"/>
    </row>
    <row r="404" spans="1:10">
      <c r="A404" s="1067">
        <v>5</v>
      </c>
      <c r="B404" s="309" t="s">
        <v>1234</v>
      </c>
      <c r="C404" s="1067" t="s">
        <v>962</v>
      </c>
      <c r="D404" s="310">
        <v>1435</v>
      </c>
      <c r="E404" s="1068">
        <f t="shared" si="11"/>
        <v>203</v>
      </c>
      <c r="F404" s="1068">
        <v>291305</v>
      </c>
      <c r="G404" s="1067"/>
      <c r="H404" s="1069"/>
      <c r="I404" s="1069"/>
      <c r="J404" s="1069"/>
    </row>
    <row r="405" spans="1:10">
      <c r="A405" s="1067">
        <v>6</v>
      </c>
      <c r="B405" s="309" t="s">
        <v>909</v>
      </c>
      <c r="C405" s="1067" t="s">
        <v>1780</v>
      </c>
      <c r="D405" s="310">
        <v>102.85</v>
      </c>
      <c r="E405" s="1068">
        <f t="shared" si="11"/>
        <v>8102.4112785610114</v>
      </c>
      <c r="F405" s="1068">
        <v>833333</v>
      </c>
      <c r="G405" s="1067"/>
      <c r="H405" s="1069"/>
      <c r="I405" s="1069"/>
      <c r="J405" s="1069"/>
    </row>
    <row r="406" spans="1:10">
      <c r="A406" s="1155"/>
      <c r="B406" s="1156"/>
      <c r="C406" s="1157"/>
      <c r="D406" s="1158"/>
      <c r="E406" s="1159"/>
      <c r="F406" s="1159">
        <f>SUM(F400:F405)</f>
        <v>10347156</v>
      </c>
      <c r="G406" s="1159">
        <f>SUM(G401:G405)</f>
        <v>0</v>
      </c>
      <c r="H406" s="1159">
        <f>SUM(H401:H405)</f>
        <v>0</v>
      </c>
      <c r="I406" s="1159">
        <f>SUM(I401:I405)</f>
        <v>0</v>
      </c>
      <c r="J406" s="1160">
        <f>SUM(J401:J405)</f>
        <v>0</v>
      </c>
    </row>
    <row r="407" spans="1:10">
      <c r="A407" s="691"/>
      <c r="B407" s="311" t="s">
        <v>1589</v>
      </c>
      <c r="C407" s="311"/>
      <c r="D407" s="310"/>
      <c r="E407" s="101"/>
      <c r="F407" s="101">
        <v>302500</v>
      </c>
      <c r="G407" s="182"/>
      <c r="H407" s="1077"/>
      <c r="I407" s="1077"/>
      <c r="J407" s="1078"/>
    </row>
    <row r="408" spans="1:10">
      <c r="A408" s="691"/>
      <c r="B408" s="311" t="s">
        <v>1590</v>
      </c>
      <c r="C408" s="311"/>
      <c r="D408" s="310"/>
      <c r="E408" s="101"/>
      <c r="F408" s="101">
        <v>48463.4</v>
      </c>
      <c r="G408" s="182"/>
      <c r="H408" s="1077"/>
      <c r="I408" s="1077"/>
      <c r="J408" s="1078"/>
    </row>
    <row r="409" spans="1:10">
      <c r="A409" s="1079"/>
      <c r="B409" s="1080" t="s">
        <v>186</v>
      </c>
      <c r="C409" s="1081"/>
      <c r="D409" s="1082"/>
      <c r="E409" s="1083"/>
      <c r="F409" s="1083">
        <f>SUM(F407:F408)</f>
        <v>350963.4</v>
      </c>
      <c r="G409" s="1083">
        <f>SUM(G407:G408)</f>
        <v>0</v>
      </c>
      <c r="H409" s="1083">
        <f>SUM(H407:H408)</f>
        <v>0</v>
      </c>
      <c r="I409" s="1083">
        <f>SUM(I407:I408)</f>
        <v>0</v>
      </c>
      <c r="J409" s="1122">
        <f>SUM(J407:J408)</f>
        <v>0</v>
      </c>
    </row>
    <row r="410" spans="1:10" ht="13.5" thickBot="1">
      <c r="A410" s="1084"/>
      <c r="B410" s="1085"/>
      <c r="C410" s="1085"/>
      <c r="D410" s="1086"/>
      <c r="E410" s="561"/>
      <c r="F410" s="561"/>
      <c r="G410" s="684"/>
      <c r="H410" s="1087"/>
      <c r="I410" s="1087"/>
      <c r="J410" s="1088"/>
    </row>
    <row r="411" spans="1:10" ht="13.5" thickBot="1">
      <c r="A411" s="1089"/>
      <c r="B411" s="1090" t="s">
        <v>186</v>
      </c>
      <c r="C411" s="1091"/>
      <c r="D411" s="1092"/>
      <c r="E411" s="1093"/>
      <c r="F411" s="1094">
        <f>F406+F409</f>
        <v>10698119.4</v>
      </c>
      <c r="G411" s="1094">
        <f>G406+G409</f>
        <v>0</v>
      </c>
      <c r="H411" s="1094">
        <f>H406+H409</f>
        <v>0</v>
      </c>
      <c r="I411" s="1094">
        <f>I406+I409</f>
        <v>0</v>
      </c>
      <c r="J411" s="1094">
        <f>J406+J409</f>
        <v>0</v>
      </c>
    </row>
    <row r="412" spans="1:10">
      <c r="A412" s="23"/>
      <c r="B412" s="23"/>
      <c r="C412" s="23"/>
      <c r="D412" s="1095"/>
      <c r="F412" s="113"/>
      <c r="G412" s="23"/>
      <c r="H412" s="1039"/>
      <c r="I412" s="1039"/>
      <c r="J412" s="1039"/>
    </row>
    <row r="413" spans="1:10">
      <c r="E413" s="361" t="s">
        <v>230</v>
      </c>
      <c r="F413" s="113">
        <v>10347256</v>
      </c>
      <c r="G413" s="113">
        <f>+F413*0.2</f>
        <v>2069451.2000000002</v>
      </c>
      <c r="H413" s="23" t="s">
        <v>1609</v>
      </c>
    </row>
    <row r="414" spans="1:10">
      <c r="E414" s="1098" t="s">
        <v>231</v>
      </c>
      <c r="F414" s="1098">
        <f>+F413-F406</f>
        <v>100</v>
      </c>
      <c r="G414" s="113"/>
    </row>
    <row r="415" spans="1:10" ht="15">
      <c r="A415" s="1001" t="s">
        <v>1501</v>
      </c>
      <c r="B415" s="1001"/>
      <c r="C415" s="1001"/>
      <c r="D415" s="1002"/>
      <c r="E415" s="1001"/>
      <c r="F415" s="1003"/>
      <c r="G415" s="1001" t="s">
        <v>1579</v>
      </c>
      <c r="H415" s="1004"/>
      <c r="I415" s="350"/>
      <c r="J415" s="58"/>
    </row>
    <row r="416" spans="1:10" ht="15.75" thickBot="1">
      <c r="A416" s="1005"/>
      <c r="B416" s="1005" t="s">
        <v>1782</v>
      </c>
      <c r="C416" s="1005"/>
      <c r="D416" s="1006"/>
      <c r="E416" s="1005"/>
      <c r="F416" s="1007"/>
      <c r="G416" s="1005"/>
      <c r="H416" s="1008"/>
      <c r="I416" s="23"/>
      <c r="J416" s="30"/>
    </row>
    <row r="417" spans="1:10">
      <c r="A417" s="1048" t="s">
        <v>1</v>
      </c>
      <c r="B417" s="1049" t="s">
        <v>1504</v>
      </c>
      <c r="C417" s="1049" t="s">
        <v>1505</v>
      </c>
      <c r="D417" s="1050" t="s">
        <v>381</v>
      </c>
      <c r="E417" s="1051" t="s">
        <v>904</v>
      </c>
      <c r="F417" s="1051" t="s">
        <v>1506</v>
      </c>
      <c r="G417" s="2079" t="s">
        <v>1507</v>
      </c>
      <c r="H417" s="2080"/>
      <c r="I417" s="2081"/>
      <c r="J417" s="1052" t="s">
        <v>1508</v>
      </c>
    </row>
    <row r="418" spans="1:10">
      <c r="A418" s="1053"/>
      <c r="B418" s="1054" t="s">
        <v>1509</v>
      </c>
      <c r="C418" s="1054" t="s">
        <v>1510</v>
      </c>
      <c r="D418" s="1055"/>
      <c r="E418" s="1056" t="s">
        <v>1511</v>
      </c>
      <c r="F418" s="1056" t="s">
        <v>1512</v>
      </c>
      <c r="G418" s="1054" t="s">
        <v>1513</v>
      </c>
      <c r="H418" s="1057" t="s">
        <v>1514</v>
      </c>
      <c r="I418" s="1058" t="s">
        <v>1515</v>
      </c>
      <c r="J418" s="1059" t="s">
        <v>1516</v>
      </c>
    </row>
    <row r="419" spans="1:10">
      <c r="A419" s="1067">
        <v>1</v>
      </c>
      <c r="B419" s="309" t="s">
        <v>1317</v>
      </c>
      <c r="C419" s="1067" t="s">
        <v>1783</v>
      </c>
      <c r="D419" s="310">
        <f>200+237</f>
        <v>437</v>
      </c>
      <c r="E419" s="1068">
        <f>+F419/D419</f>
        <v>100</v>
      </c>
      <c r="F419" s="1068">
        <v>43700</v>
      </c>
      <c r="G419" s="1067"/>
      <c r="H419" s="1069"/>
      <c r="I419" s="1069"/>
      <c r="J419" s="1069"/>
    </row>
    <row r="420" spans="1:10">
      <c r="A420" s="1067">
        <v>2</v>
      </c>
      <c r="B420" s="309" t="s">
        <v>1784</v>
      </c>
      <c r="C420" s="1067" t="s">
        <v>517</v>
      </c>
      <c r="D420" s="310">
        <v>334</v>
      </c>
      <c r="E420" s="1068">
        <f t="shared" ref="E420:E422" si="12">+F420/D420</f>
        <v>1250</v>
      </c>
      <c r="F420" s="1068">
        <v>417500</v>
      </c>
      <c r="G420" s="1067"/>
      <c r="H420" s="1069"/>
      <c r="I420" s="1069"/>
      <c r="J420" s="1069"/>
    </row>
    <row r="421" spans="1:10">
      <c r="A421" s="1067">
        <v>3</v>
      </c>
      <c r="B421" s="309" t="s">
        <v>1603</v>
      </c>
      <c r="C421" s="1067" t="s">
        <v>1289</v>
      </c>
      <c r="D421" s="310">
        <f>16000+13600+13500+2500+1000+2800+13600+24500</f>
        <v>87500</v>
      </c>
      <c r="E421" s="1068">
        <f t="shared" si="12"/>
        <v>5.6755428571428572</v>
      </c>
      <c r="F421" s="1068">
        <f>247205+249405</f>
        <v>496610</v>
      </c>
      <c r="G421" s="1067"/>
      <c r="H421" s="1069"/>
      <c r="I421" s="1069"/>
      <c r="J421" s="1069"/>
    </row>
    <row r="422" spans="1:10">
      <c r="A422" s="1067">
        <v>4</v>
      </c>
      <c r="B422" s="309" t="s">
        <v>914</v>
      </c>
      <c r="C422" s="1067" t="s">
        <v>911</v>
      </c>
      <c r="D422" s="310">
        <v>35.200000000000003</v>
      </c>
      <c r="E422" s="1068">
        <f t="shared" si="12"/>
        <v>7499.9999999999991</v>
      </c>
      <c r="F422" s="1068">
        <v>264000</v>
      </c>
      <c r="G422" s="1067"/>
      <c r="H422" s="1069"/>
      <c r="I422" s="1069"/>
      <c r="J422" s="1069"/>
    </row>
    <row r="423" spans="1:10">
      <c r="A423" s="1067">
        <v>5</v>
      </c>
      <c r="B423" s="309" t="s">
        <v>1253</v>
      </c>
      <c r="C423" s="1067"/>
      <c r="D423" s="310"/>
      <c r="E423" s="1068"/>
      <c r="F423" s="1068">
        <v>256035</v>
      </c>
      <c r="G423" s="1067"/>
      <c r="H423" s="1069"/>
      <c r="I423" s="1069"/>
      <c r="J423" s="1069"/>
    </row>
    <row r="424" spans="1:10">
      <c r="A424" s="1067">
        <v>6</v>
      </c>
      <c r="B424" s="309" t="s">
        <v>518</v>
      </c>
      <c r="C424" s="1067"/>
      <c r="D424" s="310"/>
      <c r="E424" s="1068"/>
      <c r="F424" s="1068">
        <f>31250+15000</f>
        <v>46250</v>
      </c>
      <c r="G424" s="1067"/>
      <c r="H424" s="1069"/>
      <c r="I424" s="1069"/>
      <c r="J424" s="1069"/>
    </row>
    <row r="425" spans="1:10">
      <c r="A425" s="1155"/>
      <c r="B425" s="1156"/>
      <c r="C425" s="1157"/>
      <c r="D425" s="1158"/>
      <c r="E425" s="1159"/>
      <c r="F425" s="1159">
        <f>SUM(F419:F424)</f>
        <v>1524095</v>
      </c>
      <c r="G425" s="1159">
        <f>SUM(G420:G424)</f>
        <v>0</v>
      </c>
      <c r="H425" s="1159">
        <f>SUM(H420:H424)</f>
        <v>0</v>
      </c>
      <c r="I425" s="1159">
        <f>SUM(I420:I424)</f>
        <v>0</v>
      </c>
      <c r="J425" s="1160">
        <f>SUM(J420:J424)</f>
        <v>0</v>
      </c>
    </row>
    <row r="426" spans="1:10">
      <c r="A426" s="691"/>
      <c r="B426" s="311" t="s">
        <v>1589</v>
      </c>
      <c r="C426" s="311"/>
      <c r="D426" s="310"/>
      <c r="E426" s="101"/>
      <c r="F426" s="101">
        <v>368500</v>
      </c>
      <c r="G426" s="182"/>
      <c r="H426" s="1077"/>
      <c r="I426" s="1077"/>
      <c r="J426" s="1078"/>
    </row>
    <row r="427" spans="1:10">
      <c r="A427" s="691"/>
      <c r="B427" s="311" t="s">
        <v>1590</v>
      </c>
      <c r="C427" s="311"/>
      <c r="D427" s="310"/>
      <c r="E427" s="101"/>
      <c r="F427" s="101">
        <v>59485.4</v>
      </c>
      <c r="G427" s="182"/>
      <c r="H427" s="1077"/>
      <c r="I427" s="1077"/>
      <c r="J427" s="1078"/>
    </row>
    <row r="428" spans="1:10">
      <c r="A428" s="1079"/>
      <c r="B428" s="1080" t="s">
        <v>186</v>
      </c>
      <c r="C428" s="1081"/>
      <c r="D428" s="1082"/>
      <c r="E428" s="1083"/>
      <c r="F428" s="1083">
        <f>SUM(F426:F427)</f>
        <v>427985.4</v>
      </c>
      <c r="G428" s="1083">
        <f>SUM(G426:G427)</f>
        <v>0</v>
      </c>
      <c r="H428" s="1083">
        <f>SUM(H426:H427)</f>
        <v>0</v>
      </c>
      <c r="I428" s="1083">
        <f>SUM(I426:I427)</f>
        <v>0</v>
      </c>
      <c r="J428" s="1122">
        <f>SUM(J426:J427)</f>
        <v>0</v>
      </c>
    </row>
    <row r="429" spans="1:10" ht="13.5" thickBot="1">
      <c r="A429" s="1084"/>
      <c r="B429" s="1085"/>
      <c r="C429" s="1085"/>
      <c r="D429" s="1086"/>
      <c r="E429" s="561"/>
      <c r="F429" s="561"/>
      <c r="G429" s="684"/>
      <c r="H429" s="1087"/>
      <c r="I429" s="1087"/>
      <c r="J429" s="1088"/>
    </row>
    <row r="430" spans="1:10" ht="13.5" thickBot="1">
      <c r="A430" s="1089"/>
      <c r="B430" s="1090" t="s">
        <v>186</v>
      </c>
      <c r="C430" s="1091"/>
      <c r="D430" s="1092"/>
      <c r="E430" s="1093"/>
      <c r="F430" s="1094">
        <f>F425+F428</f>
        <v>1952080.4</v>
      </c>
      <c r="G430" s="1094">
        <f>G425+G428</f>
        <v>0</v>
      </c>
      <c r="H430" s="1094">
        <f>H425+H428</f>
        <v>0</v>
      </c>
      <c r="I430" s="1094">
        <f>I425+I428</f>
        <v>0</v>
      </c>
      <c r="J430" s="1094">
        <f>J425+J428</f>
        <v>0</v>
      </c>
    </row>
    <row r="431" spans="1:10">
      <c r="A431" s="23"/>
      <c r="B431" s="23"/>
      <c r="C431" s="23"/>
      <c r="D431" s="1095"/>
      <c r="F431" s="113"/>
      <c r="G431" s="23"/>
      <c r="H431" s="1039"/>
      <c r="I431" s="1039"/>
      <c r="J431" s="1039"/>
    </row>
    <row r="432" spans="1:10">
      <c r="E432" s="361" t="s">
        <v>230</v>
      </c>
      <c r="F432" s="1047">
        <v>1524096</v>
      </c>
      <c r="G432" s="113">
        <f>+F432*0.2</f>
        <v>304819.20000000001</v>
      </c>
      <c r="H432" s="23" t="s">
        <v>1609</v>
      </c>
    </row>
    <row r="433" spans="1:10">
      <c r="E433" s="1098" t="s">
        <v>231</v>
      </c>
      <c r="F433" s="1098">
        <f>+F432-F425</f>
        <v>1</v>
      </c>
      <c r="G433" s="113"/>
    </row>
    <row r="434" spans="1:10" ht="15">
      <c r="A434" s="1001" t="s">
        <v>1501</v>
      </c>
      <c r="B434" s="1001"/>
      <c r="C434" s="1001"/>
      <c r="D434" s="1002"/>
      <c r="E434" s="1001"/>
      <c r="F434" s="1003"/>
      <c r="G434" s="1001" t="s">
        <v>1579</v>
      </c>
      <c r="H434" s="1004"/>
      <c r="I434" s="350"/>
      <c r="J434" s="58"/>
    </row>
    <row r="435" spans="1:10" ht="15.75" thickBot="1">
      <c r="A435" s="1005"/>
      <c r="B435" s="1005" t="s">
        <v>1785</v>
      </c>
      <c r="C435" s="1005"/>
      <c r="D435" s="1006"/>
      <c r="E435" s="1005"/>
      <c r="F435" s="1007"/>
      <c r="G435" s="1005"/>
      <c r="H435" s="1008"/>
      <c r="I435" s="23"/>
      <c r="J435" s="30"/>
    </row>
    <row r="436" spans="1:10">
      <c r="A436" s="1048" t="s">
        <v>1</v>
      </c>
      <c r="B436" s="1049" t="s">
        <v>1504</v>
      </c>
      <c r="C436" s="1049" t="s">
        <v>1505</v>
      </c>
      <c r="D436" s="1050" t="s">
        <v>381</v>
      </c>
      <c r="E436" s="1051" t="s">
        <v>904</v>
      </c>
      <c r="F436" s="1051" t="s">
        <v>1506</v>
      </c>
      <c r="G436" s="2079" t="s">
        <v>1507</v>
      </c>
      <c r="H436" s="2080"/>
      <c r="I436" s="2081"/>
      <c r="J436" s="1052" t="s">
        <v>1508</v>
      </c>
    </row>
    <row r="437" spans="1:10">
      <c r="A437" s="1053"/>
      <c r="B437" s="1054" t="s">
        <v>1509</v>
      </c>
      <c r="C437" s="1054" t="s">
        <v>1510</v>
      </c>
      <c r="D437" s="1055"/>
      <c r="E437" s="1056" t="s">
        <v>1511</v>
      </c>
      <c r="F437" s="1056" t="s">
        <v>1512</v>
      </c>
      <c r="G437" s="1054" t="s">
        <v>1513</v>
      </c>
      <c r="H437" s="1057" t="s">
        <v>1514</v>
      </c>
      <c r="I437" s="1058" t="s">
        <v>1515</v>
      </c>
      <c r="J437" s="1059" t="s">
        <v>1516</v>
      </c>
    </row>
    <row r="438" spans="1:10">
      <c r="A438" s="1067">
        <v>1</v>
      </c>
      <c r="B438" s="309" t="s">
        <v>1253</v>
      </c>
      <c r="C438" s="1067"/>
      <c r="D438" s="310"/>
      <c r="E438" s="1068"/>
      <c r="F438" s="1068">
        <v>291712</v>
      </c>
      <c r="G438" s="1067"/>
      <c r="H438" s="1069"/>
      <c r="I438" s="1069"/>
      <c r="J438" s="1069"/>
    </row>
    <row r="439" spans="1:10">
      <c r="A439" s="1067">
        <v>2</v>
      </c>
      <c r="B439" s="309" t="s">
        <v>1787</v>
      </c>
      <c r="C439" s="1067" t="s">
        <v>517</v>
      </c>
      <c r="D439" s="310">
        <v>54.823999999999998</v>
      </c>
      <c r="E439" s="1068">
        <v>7600</v>
      </c>
      <c r="F439" s="1068">
        <f>+E439*D439</f>
        <v>416662.39999999997</v>
      </c>
      <c r="G439" s="1067"/>
      <c r="H439" s="1069"/>
      <c r="I439" s="1069"/>
      <c r="J439" s="1069"/>
    </row>
    <row r="440" spans="1:10">
      <c r="A440" s="1067">
        <v>3</v>
      </c>
      <c r="B440" s="309" t="s">
        <v>914</v>
      </c>
      <c r="C440" s="1067" t="s">
        <v>911</v>
      </c>
      <c r="D440" s="310">
        <v>34.74</v>
      </c>
      <c r="E440" s="1068">
        <v>7600</v>
      </c>
      <c r="F440" s="1068">
        <f>+E440*D440</f>
        <v>264024</v>
      </c>
      <c r="G440" s="1067"/>
      <c r="H440" s="1069"/>
      <c r="I440" s="1069"/>
      <c r="J440" s="1069"/>
    </row>
    <row r="441" spans="1:10">
      <c r="A441" s="1067">
        <v>4</v>
      </c>
      <c r="B441" s="309"/>
      <c r="C441" s="1067"/>
      <c r="D441" s="310"/>
      <c r="E441" s="1068"/>
      <c r="F441" s="1068"/>
      <c r="G441" s="1067"/>
      <c r="H441" s="1069"/>
      <c r="I441" s="1069"/>
      <c r="J441" s="1069"/>
    </row>
    <row r="442" spans="1:10">
      <c r="A442" s="1067">
        <v>5</v>
      </c>
      <c r="B442" s="309"/>
      <c r="C442" s="1067"/>
      <c r="D442" s="310"/>
      <c r="E442" s="1068"/>
      <c r="F442" s="1068"/>
      <c r="G442" s="1067"/>
      <c r="H442" s="1069"/>
      <c r="I442" s="1069"/>
      <c r="J442" s="1069"/>
    </row>
    <row r="443" spans="1:10">
      <c r="A443" s="1067">
        <v>6</v>
      </c>
      <c r="B443" s="309"/>
      <c r="C443" s="1067"/>
      <c r="D443" s="310"/>
      <c r="E443" s="1068"/>
      <c r="F443" s="1068"/>
      <c r="G443" s="1067"/>
      <c r="H443" s="1069"/>
      <c r="I443" s="1069"/>
      <c r="J443" s="1069"/>
    </row>
    <row r="444" spans="1:10">
      <c r="A444" s="1155"/>
      <c r="B444" s="1156"/>
      <c r="C444" s="1157"/>
      <c r="D444" s="1158"/>
      <c r="E444" s="1159"/>
      <c r="F444" s="1159">
        <f>SUM(F438:F443)</f>
        <v>972398.39999999991</v>
      </c>
      <c r="G444" s="1159">
        <f>SUM(G439:G443)</f>
        <v>0</v>
      </c>
      <c r="H444" s="1159">
        <f>SUM(H439:H443)</f>
        <v>0</v>
      </c>
      <c r="I444" s="1159">
        <f>SUM(I439:I443)</f>
        <v>0</v>
      </c>
      <c r="J444" s="1160">
        <f>SUM(J439:J443)</f>
        <v>0</v>
      </c>
    </row>
    <row r="445" spans="1:10">
      <c r="A445" s="691"/>
      <c r="B445" s="311" t="s">
        <v>1589</v>
      </c>
      <c r="C445" s="311"/>
      <c r="D445" s="310"/>
      <c r="E445" s="101"/>
      <c r="F445" s="101">
        <v>396700</v>
      </c>
      <c r="G445" s="182"/>
      <c r="H445" s="1077"/>
      <c r="I445" s="1077"/>
      <c r="J445" s="1078"/>
    </row>
    <row r="446" spans="1:10">
      <c r="A446" s="691"/>
      <c r="B446" s="311" t="s">
        <v>1590</v>
      </c>
      <c r="C446" s="311"/>
      <c r="D446" s="310"/>
      <c r="E446" s="101"/>
      <c r="F446" s="101">
        <v>64194.8</v>
      </c>
      <c r="G446" s="182"/>
      <c r="H446" s="1077"/>
      <c r="I446" s="1077"/>
      <c r="J446" s="1078"/>
    </row>
    <row r="447" spans="1:10">
      <c r="A447" s="1079"/>
      <c r="B447" s="1080" t="s">
        <v>186</v>
      </c>
      <c r="C447" s="1081"/>
      <c r="D447" s="1082"/>
      <c r="E447" s="1083"/>
      <c r="F447" s="1083">
        <f>SUM(F445:F446)</f>
        <v>460894.8</v>
      </c>
      <c r="G447" s="1083"/>
      <c r="H447" s="1083">
        <f>SUM(H445:H446)</f>
        <v>0</v>
      </c>
      <c r="I447" s="1083">
        <f>SUM(I445:I446)</f>
        <v>0</v>
      </c>
      <c r="J447" s="1122">
        <f>SUM(J445:J446)</f>
        <v>0</v>
      </c>
    </row>
    <row r="448" spans="1:10" ht="13.5" thickBot="1">
      <c r="A448" s="1084"/>
      <c r="B448" s="1085"/>
      <c r="C448" s="1085"/>
      <c r="D448" s="1086"/>
      <c r="E448" s="561"/>
      <c r="F448" s="561"/>
      <c r="G448" s="684"/>
      <c r="H448" s="1087"/>
      <c r="I448" s="1087"/>
      <c r="J448" s="1088"/>
    </row>
    <row r="449" spans="1:10" ht="13.5" thickBot="1">
      <c r="A449" s="1089"/>
      <c r="B449" s="1090" t="s">
        <v>186</v>
      </c>
      <c r="C449" s="1091"/>
      <c r="D449" s="1092"/>
      <c r="E449" s="1093"/>
      <c r="F449" s="1094">
        <f>F444+F447</f>
        <v>1433293.2</v>
      </c>
      <c r="G449" s="1094">
        <f>G444+G447</f>
        <v>0</v>
      </c>
      <c r="H449" s="1094">
        <f>H444+H447</f>
        <v>0</v>
      </c>
      <c r="I449" s="1094">
        <f>I444+I447</f>
        <v>0</v>
      </c>
      <c r="J449" s="1094">
        <f>J444+J447</f>
        <v>0</v>
      </c>
    </row>
    <row r="450" spans="1:10">
      <c r="A450" s="23"/>
      <c r="B450" s="23"/>
      <c r="C450" s="23"/>
      <c r="D450" s="1095"/>
      <c r="E450" t="s">
        <v>1786</v>
      </c>
      <c r="F450" s="113">
        <v>13989.0977</v>
      </c>
      <c r="G450" s="23"/>
      <c r="H450" s="1039"/>
      <c r="I450" s="1039"/>
      <c r="J450" s="1039"/>
    </row>
    <row r="451" spans="1:10">
      <c r="E451" s="361" t="s">
        <v>230</v>
      </c>
      <c r="F451" s="1047">
        <v>986392.09699999995</v>
      </c>
      <c r="G451" s="113">
        <f>+F451*0.2</f>
        <v>197278.41940000001</v>
      </c>
      <c r="H451" s="23" t="s">
        <v>1609</v>
      </c>
    </row>
    <row r="452" spans="1:10">
      <c r="E452" s="1098" t="s">
        <v>231</v>
      </c>
      <c r="F452" s="1098">
        <f>+F444+F450-F451</f>
        <v>-4.5993000000016764</v>
      </c>
      <c r="G452" s="113"/>
    </row>
    <row r="453" spans="1:10">
      <c r="E453" s="1098"/>
      <c r="F453" s="1098"/>
      <c r="G453" s="113"/>
    </row>
    <row r="454" spans="1:10">
      <c r="E454" s="1098"/>
      <c r="F454" s="1098"/>
      <c r="G454" s="113"/>
    </row>
    <row r="455" spans="1:10">
      <c r="E455" s="1098"/>
      <c r="F455" s="1098"/>
      <c r="G455" s="113"/>
    </row>
    <row r="456" spans="1:10">
      <c r="E456" s="1098"/>
      <c r="F456" s="1098"/>
      <c r="G456" s="113"/>
    </row>
    <row r="457" spans="1:10">
      <c r="E457" s="1098"/>
      <c r="F457" s="1098"/>
      <c r="G457" s="113"/>
    </row>
    <row r="458" spans="1:10">
      <c r="E458" s="1098"/>
      <c r="F458" s="1098"/>
      <c r="G458" s="113"/>
    </row>
    <row r="459" spans="1:10">
      <c r="E459" s="1098"/>
      <c r="F459" s="1098"/>
      <c r="G459" s="113"/>
    </row>
    <row r="460" spans="1:10">
      <c r="E460" s="1098"/>
      <c r="F460" s="1098"/>
      <c r="G460" s="113"/>
    </row>
    <row r="461" spans="1:10">
      <c r="E461" s="1098"/>
      <c r="F461" s="1098"/>
      <c r="G461" s="113"/>
    </row>
    <row r="462" spans="1:10">
      <c r="E462" s="1098"/>
      <c r="F462" s="1098"/>
      <c r="G462" s="113"/>
    </row>
    <row r="463" spans="1:10">
      <c r="E463" s="1098"/>
      <c r="F463" s="1098"/>
      <c r="G463" s="113"/>
    </row>
    <row r="464" spans="1:10">
      <c r="E464" s="1098"/>
      <c r="F464" s="1098"/>
      <c r="G464" s="113"/>
    </row>
    <row r="465" spans="1:10">
      <c r="E465" s="1098"/>
      <c r="F465" s="1098"/>
      <c r="G465" s="113"/>
    </row>
    <row r="466" spans="1:10">
      <c r="E466" s="1098"/>
      <c r="F466" s="1098"/>
      <c r="G466" s="113"/>
    </row>
    <row r="467" spans="1:10">
      <c r="E467" s="1098"/>
      <c r="F467" s="1098"/>
      <c r="G467" s="113"/>
    </row>
    <row r="468" spans="1:10">
      <c r="E468" s="1098"/>
      <c r="F468" s="1098"/>
      <c r="G468" s="113"/>
    </row>
    <row r="469" spans="1:10">
      <c r="E469" s="1098"/>
      <c r="F469" s="1098"/>
      <c r="G469" s="113"/>
    </row>
    <row r="470" spans="1:10">
      <c r="E470" s="1098"/>
      <c r="F470" s="1098"/>
      <c r="G470" s="113"/>
    </row>
    <row r="471" spans="1:10">
      <c r="E471" s="1098"/>
      <c r="F471" s="1098"/>
      <c r="G471" s="113"/>
    </row>
    <row r="472" spans="1:10">
      <c r="E472" s="1098"/>
      <c r="F472" s="1098"/>
      <c r="G472" s="113"/>
    </row>
    <row r="476" spans="1:10" ht="15">
      <c r="A476" s="1001" t="s">
        <v>1501</v>
      </c>
      <c r="B476" s="1001"/>
      <c r="C476" s="1001"/>
      <c r="D476" s="1002"/>
      <c r="E476" s="1001"/>
      <c r="F476" s="1003"/>
      <c r="G476" s="1001" t="s">
        <v>1579</v>
      </c>
      <c r="H476" s="1004"/>
      <c r="I476" s="350"/>
      <c r="J476" s="58"/>
    </row>
    <row r="477" spans="1:10" ht="15.75" thickBot="1">
      <c r="A477" s="1005"/>
      <c r="B477" s="1005" t="s">
        <v>1970</v>
      </c>
      <c r="C477" s="1005"/>
      <c r="D477" s="1006"/>
      <c r="E477" s="1005"/>
      <c r="F477" s="1007"/>
      <c r="G477" s="1005"/>
      <c r="H477" s="1008"/>
      <c r="I477" s="23"/>
      <c r="J477" s="30"/>
    </row>
    <row r="478" spans="1:10">
      <c r="A478" s="1048" t="s">
        <v>1</v>
      </c>
      <c r="B478" s="1049" t="s">
        <v>1504</v>
      </c>
      <c r="C478" s="1049" t="s">
        <v>1505</v>
      </c>
      <c r="D478" s="1050" t="s">
        <v>381</v>
      </c>
      <c r="E478" s="1051" t="s">
        <v>904</v>
      </c>
      <c r="F478" s="1051" t="s">
        <v>1506</v>
      </c>
      <c r="G478" s="2079" t="s">
        <v>1507</v>
      </c>
      <c r="H478" s="2080"/>
      <c r="I478" s="2081"/>
      <c r="J478" s="1052" t="s">
        <v>1508</v>
      </c>
    </row>
    <row r="479" spans="1:10" ht="13.5" thickBot="1">
      <c r="A479" s="1053"/>
      <c r="B479" s="1054" t="s">
        <v>1509</v>
      </c>
      <c r="C479" s="1054" t="s">
        <v>1510</v>
      </c>
      <c r="D479" s="1055"/>
      <c r="E479" s="1056" t="s">
        <v>1511</v>
      </c>
      <c r="F479" s="1056" t="s">
        <v>1512</v>
      </c>
      <c r="G479" s="1054" t="s">
        <v>1513</v>
      </c>
      <c r="H479" s="1057" t="s">
        <v>1514</v>
      </c>
      <c r="I479" s="1058" t="s">
        <v>1515</v>
      </c>
      <c r="J479" s="1059" t="s">
        <v>1516</v>
      </c>
    </row>
    <row r="480" spans="1:10">
      <c r="A480" s="1060">
        <v>1</v>
      </c>
      <c r="B480" s="1061" t="s">
        <v>1228</v>
      </c>
      <c r="C480" s="1062" t="s">
        <v>960</v>
      </c>
      <c r="D480" s="1063">
        <v>42</v>
      </c>
      <c r="E480" s="1064">
        <f>+F480/D480</f>
        <v>926</v>
      </c>
      <c r="F480" s="1064">
        <v>38892</v>
      </c>
      <c r="G480" s="1062"/>
      <c r="H480" s="1065"/>
      <c r="I480" s="1065"/>
      <c r="J480" s="1066"/>
    </row>
    <row r="481" spans="1:10">
      <c r="A481" s="746">
        <v>2</v>
      </c>
      <c r="B481" s="309" t="s">
        <v>1914</v>
      </c>
      <c r="C481" s="1067" t="s">
        <v>1962</v>
      </c>
      <c r="D481" s="310">
        <v>647</v>
      </c>
      <c r="E481" s="1068">
        <f>+F481/D481</f>
        <v>6182.3802163833079</v>
      </c>
      <c r="F481" s="1068">
        <v>4000000</v>
      </c>
      <c r="G481" s="1067"/>
      <c r="H481" s="1069"/>
      <c r="I481" s="1069"/>
      <c r="J481" s="1070"/>
    </row>
    <row r="482" spans="1:10">
      <c r="A482" s="746">
        <v>3</v>
      </c>
      <c r="B482" s="309" t="s">
        <v>1312</v>
      </c>
      <c r="C482" s="1067" t="s">
        <v>350</v>
      </c>
      <c r="D482" s="310"/>
      <c r="E482" s="1068"/>
      <c r="F482" s="1068">
        <v>187421</v>
      </c>
      <c r="G482" s="1067"/>
      <c r="H482" s="1069"/>
      <c r="I482" s="1069"/>
      <c r="J482" s="1070"/>
    </row>
    <row r="483" spans="1:10">
      <c r="A483" s="746">
        <v>4</v>
      </c>
      <c r="B483" s="309" t="s">
        <v>1253</v>
      </c>
      <c r="C483" s="1067" t="s">
        <v>350</v>
      </c>
      <c r="D483" s="310"/>
      <c r="E483" s="1068"/>
      <c r="F483" s="1068">
        <v>254795.89</v>
      </c>
      <c r="G483" s="1067"/>
      <c r="H483" s="1069"/>
      <c r="I483" s="1069"/>
      <c r="J483" s="1070"/>
    </row>
    <row r="484" spans="1:10">
      <c r="A484" s="746">
        <v>5</v>
      </c>
      <c r="B484" s="309" t="s">
        <v>1233</v>
      </c>
      <c r="C484" s="1067" t="s">
        <v>962</v>
      </c>
      <c r="D484" s="310">
        <v>6173</v>
      </c>
      <c r="E484" s="1068">
        <f t="shared" ref="E484:E497" si="13">+F484/D484</f>
        <v>9.3309573951077276</v>
      </c>
      <c r="F484" s="1068">
        <v>57600</v>
      </c>
      <c r="G484" s="1067"/>
      <c r="H484" s="1069"/>
      <c r="I484" s="1069"/>
      <c r="J484" s="1070"/>
    </row>
    <row r="485" spans="1:10">
      <c r="A485" s="746">
        <v>6</v>
      </c>
      <c r="B485" s="309" t="s">
        <v>912</v>
      </c>
      <c r="C485" s="1067" t="s">
        <v>1962</v>
      </c>
      <c r="D485" s="310">
        <v>34</v>
      </c>
      <c r="E485" s="1068">
        <f t="shared" si="13"/>
        <v>6667</v>
      </c>
      <c r="F485" s="1068">
        <v>226678</v>
      </c>
      <c r="G485" s="1067"/>
      <c r="H485" s="1069"/>
      <c r="I485" s="1069"/>
      <c r="J485" s="1070"/>
    </row>
    <row r="486" spans="1:10">
      <c r="A486" s="746">
        <v>7</v>
      </c>
      <c r="B486" s="309" t="s">
        <v>1267</v>
      </c>
      <c r="C486" s="1067" t="s">
        <v>1963</v>
      </c>
      <c r="D486" s="310">
        <f>20+20</f>
        <v>40</v>
      </c>
      <c r="E486" s="1068">
        <f t="shared" si="13"/>
        <v>12350</v>
      </c>
      <c r="F486" s="1068">
        <f>247000+247000</f>
        <v>494000</v>
      </c>
      <c r="G486" s="1067"/>
      <c r="H486" s="1069"/>
      <c r="I486" s="1069"/>
      <c r="J486" s="1070"/>
    </row>
    <row r="487" spans="1:10">
      <c r="A487" s="746">
        <v>8</v>
      </c>
      <c r="B487" s="309" t="s">
        <v>1460</v>
      </c>
      <c r="C487" s="1067" t="s">
        <v>962</v>
      </c>
      <c r="D487" s="310">
        <v>195</v>
      </c>
      <c r="E487" s="1068">
        <f t="shared" si="13"/>
        <v>40</v>
      </c>
      <c r="F487" s="1068">
        <v>7800</v>
      </c>
      <c r="G487" s="1067"/>
      <c r="H487" s="1069"/>
      <c r="I487" s="1069"/>
      <c r="J487" s="1070"/>
    </row>
    <row r="488" spans="1:10">
      <c r="A488" s="746">
        <v>9</v>
      </c>
      <c r="B488" s="309" t="s">
        <v>1964</v>
      </c>
      <c r="C488" s="1067" t="s">
        <v>962</v>
      </c>
      <c r="D488" s="310">
        <v>378</v>
      </c>
      <c r="E488" s="1068">
        <f t="shared" si="13"/>
        <v>225</v>
      </c>
      <c r="F488" s="1068">
        <v>85050</v>
      </c>
      <c r="G488" s="1067"/>
      <c r="H488" s="1069"/>
      <c r="I488" s="1069"/>
      <c r="J488" s="1070"/>
    </row>
    <row r="489" spans="1:10">
      <c r="A489" s="746">
        <v>10</v>
      </c>
      <c r="B489" s="309" t="s">
        <v>1965</v>
      </c>
      <c r="C489" s="1067" t="s">
        <v>962</v>
      </c>
      <c r="D489" s="310">
        <v>57</v>
      </c>
      <c r="E489" s="1068">
        <f t="shared" si="13"/>
        <v>180</v>
      </c>
      <c r="F489" s="1068">
        <v>10260</v>
      </c>
      <c r="G489" s="1067"/>
      <c r="H489" s="1069"/>
      <c r="I489" s="1069"/>
      <c r="J489" s="1070"/>
    </row>
    <row r="490" spans="1:10">
      <c r="A490" s="746">
        <v>11</v>
      </c>
      <c r="B490" s="309" t="s">
        <v>1966</v>
      </c>
      <c r="C490" s="1067" t="s">
        <v>962</v>
      </c>
      <c r="D490" s="310">
        <v>55</v>
      </c>
      <c r="E490" s="1068">
        <f t="shared" si="13"/>
        <v>200</v>
      </c>
      <c r="F490" s="1068">
        <v>11000</v>
      </c>
      <c r="G490" s="1067"/>
      <c r="H490" s="1069"/>
      <c r="I490" s="1069"/>
      <c r="J490" s="1070"/>
    </row>
    <row r="491" spans="1:10">
      <c r="A491" s="746">
        <v>12</v>
      </c>
      <c r="B491" s="309" t="s">
        <v>1933</v>
      </c>
      <c r="C491" s="1067" t="s">
        <v>962</v>
      </c>
      <c r="D491" s="310">
        <v>40</v>
      </c>
      <c r="E491" s="1068">
        <f t="shared" si="13"/>
        <v>225</v>
      </c>
      <c r="F491" s="1068">
        <v>9000</v>
      </c>
      <c r="G491" s="1067"/>
      <c r="H491" s="1069"/>
      <c r="I491" s="1069"/>
      <c r="J491" s="1070"/>
    </row>
    <row r="492" spans="1:10">
      <c r="A492" s="746">
        <v>13</v>
      </c>
      <c r="B492" s="309" t="s">
        <v>1967</v>
      </c>
      <c r="C492" s="1067" t="s">
        <v>962</v>
      </c>
      <c r="D492" s="310">
        <v>27</v>
      </c>
      <c r="E492" s="1068">
        <f t="shared" si="13"/>
        <v>250</v>
      </c>
      <c r="F492" s="1068">
        <v>6750</v>
      </c>
      <c r="G492" s="1067"/>
      <c r="H492" s="1069"/>
      <c r="I492" s="1069"/>
      <c r="J492" s="1070"/>
    </row>
    <row r="493" spans="1:10">
      <c r="A493" s="746">
        <v>14</v>
      </c>
      <c r="B493" s="309" t="s">
        <v>1968</v>
      </c>
      <c r="C493" s="1067" t="s">
        <v>962</v>
      </c>
      <c r="D493" s="310">
        <v>6</v>
      </c>
      <c r="E493" s="1068">
        <f t="shared" si="13"/>
        <v>270</v>
      </c>
      <c r="F493" s="1068">
        <v>1620</v>
      </c>
      <c r="G493" s="1067"/>
      <c r="H493" s="1069"/>
      <c r="I493" s="1069"/>
      <c r="J493" s="1070"/>
    </row>
    <row r="494" spans="1:10">
      <c r="A494" s="746">
        <v>15</v>
      </c>
      <c r="B494" s="309" t="s">
        <v>1969</v>
      </c>
      <c r="C494" s="1067" t="s">
        <v>962</v>
      </c>
      <c r="D494" s="310">
        <v>4</v>
      </c>
      <c r="E494" s="1068">
        <f t="shared" si="13"/>
        <v>105</v>
      </c>
      <c r="F494" s="1068">
        <v>420</v>
      </c>
      <c r="G494" s="1067"/>
      <c r="H494" s="1069"/>
      <c r="I494" s="1069"/>
      <c r="J494" s="1070"/>
    </row>
    <row r="495" spans="1:10">
      <c r="A495" s="746">
        <v>16</v>
      </c>
      <c r="B495" s="309" t="s">
        <v>1971</v>
      </c>
      <c r="C495" s="1067" t="s">
        <v>517</v>
      </c>
      <c r="D495" s="310">
        <v>420</v>
      </c>
      <c r="E495" s="1068">
        <f t="shared" si="13"/>
        <v>416.66666666666669</v>
      </c>
      <c r="F495" s="1068">
        <v>175000</v>
      </c>
      <c r="G495" s="1067"/>
      <c r="H495" s="1069"/>
      <c r="I495" s="1069"/>
      <c r="J495" s="1070"/>
    </row>
    <row r="496" spans="1:10">
      <c r="A496" s="746">
        <v>17</v>
      </c>
      <c r="B496" s="309" t="s">
        <v>1459</v>
      </c>
      <c r="C496" s="1067" t="s">
        <v>962</v>
      </c>
      <c r="D496" s="310">
        <f>60*25+25*100</f>
        <v>4000</v>
      </c>
      <c r="E496" s="1068">
        <f t="shared" si="13"/>
        <v>81.75</v>
      </c>
      <c r="F496" s="1068">
        <f>60000+267000</f>
        <v>327000</v>
      </c>
      <c r="G496" s="1067"/>
      <c r="H496" s="1069"/>
      <c r="I496" s="1069"/>
      <c r="J496" s="1070"/>
    </row>
    <row r="497" spans="1:10">
      <c r="A497" s="746">
        <v>18</v>
      </c>
      <c r="B497" s="309" t="s">
        <v>965</v>
      </c>
      <c r="C497" s="1067" t="s">
        <v>961</v>
      </c>
      <c r="D497" s="310">
        <f>1600+2304+2048+2560+3200+8320+6048+1280+3328+2080</f>
        <v>32768</v>
      </c>
      <c r="E497" s="1068">
        <f t="shared" si="13"/>
        <v>19.58413705444336</v>
      </c>
      <c r="F497" s="1068">
        <f>122240+124266.67+145600+130373.333+119253</f>
        <v>641733.00300000003</v>
      </c>
      <c r="G497" s="1067"/>
      <c r="H497" s="1069"/>
      <c r="I497" s="1069"/>
      <c r="J497" s="1070"/>
    </row>
    <row r="498" spans="1:10">
      <c r="A498" s="1072"/>
      <c r="B498" s="1073"/>
      <c r="C498" s="1074"/>
      <c r="D498" s="1075"/>
      <c r="E498" s="1076"/>
      <c r="F498" s="1076">
        <f>SUM(F480:F497)</f>
        <v>6535019.8929999992</v>
      </c>
      <c r="G498" s="1076">
        <f>SUM(G481:G497)</f>
        <v>0</v>
      </c>
      <c r="H498" s="1076">
        <f>SUM(H481:H497)</f>
        <v>0</v>
      </c>
      <c r="I498" s="1076">
        <f>SUM(I481:I497)</f>
        <v>0</v>
      </c>
      <c r="J498" s="1121">
        <f>SUM(J481:J497)</f>
        <v>0</v>
      </c>
    </row>
    <row r="499" spans="1:10">
      <c r="A499" s="691"/>
      <c r="B499" s="311" t="s">
        <v>1589</v>
      </c>
      <c r="C499" s="311"/>
      <c r="D499" s="310"/>
      <c r="E499" s="101"/>
      <c r="F499" s="101">
        <v>396700</v>
      </c>
      <c r="G499" s="182"/>
      <c r="H499" s="1077"/>
      <c r="I499" s="1077"/>
      <c r="J499" s="1078"/>
    </row>
    <row r="500" spans="1:10">
      <c r="A500" s="691"/>
      <c r="B500" s="311" t="s">
        <v>1590</v>
      </c>
      <c r="C500" s="311"/>
      <c r="D500" s="310"/>
      <c r="E500" s="101"/>
      <c r="F500" s="101">
        <v>64194.8</v>
      </c>
      <c r="G500" s="182"/>
      <c r="H500" s="1077"/>
      <c r="I500" s="1077"/>
      <c r="J500" s="1078"/>
    </row>
    <row r="501" spans="1:10">
      <c r="A501" s="1079"/>
      <c r="B501" s="1080" t="s">
        <v>186</v>
      </c>
      <c r="C501" s="1081"/>
      <c r="D501" s="1082"/>
      <c r="E501" s="1083"/>
      <c r="F501" s="1083">
        <f>SUM(F499:F500)</f>
        <v>460894.8</v>
      </c>
      <c r="G501" s="1083"/>
      <c r="H501" s="1083">
        <f>SUM(H499:H500)</f>
        <v>0</v>
      </c>
      <c r="I501" s="1083">
        <f>SUM(I499:I500)</f>
        <v>0</v>
      </c>
      <c r="J501" s="1122">
        <f>SUM(J499:J500)</f>
        <v>0</v>
      </c>
    </row>
    <row r="502" spans="1:10" ht="13.5" thickBot="1">
      <c r="A502" s="1084"/>
      <c r="B502" s="1085"/>
      <c r="C502" s="1085"/>
      <c r="D502" s="1086"/>
      <c r="E502" s="561"/>
      <c r="F502" s="561"/>
      <c r="G502" s="684"/>
      <c r="H502" s="1087"/>
      <c r="I502" s="1087"/>
      <c r="J502" s="1088"/>
    </row>
    <row r="503" spans="1:10" ht="13.5" thickBot="1">
      <c r="A503" s="1089"/>
      <c r="B503" s="1090" t="s">
        <v>186</v>
      </c>
      <c r="C503" s="1091"/>
      <c r="D503" s="1092"/>
      <c r="E503" s="1093"/>
      <c r="F503" s="1094">
        <f>F498+F501</f>
        <v>6995914.692999999</v>
      </c>
      <c r="G503" s="1094">
        <f>G498+G501</f>
        <v>0</v>
      </c>
      <c r="H503" s="1094">
        <f>H498+H501</f>
        <v>0</v>
      </c>
      <c r="I503" s="1094">
        <f>I498+I501</f>
        <v>0</v>
      </c>
      <c r="J503" s="1094">
        <f>J498+J501</f>
        <v>0</v>
      </c>
    </row>
    <row r="504" spans="1:10">
      <c r="A504" s="23"/>
      <c r="B504" s="23"/>
      <c r="C504" s="23"/>
      <c r="D504" s="1095"/>
      <c r="E504" t="s">
        <v>518</v>
      </c>
      <c r="F504" s="113">
        <f>20000+26666.67</f>
        <v>46666.67</v>
      </c>
      <c r="G504" s="23"/>
      <c r="H504" s="1039"/>
      <c r="I504" s="1039"/>
      <c r="J504" s="1039"/>
    </row>
    <row r="505" spans="1:10">
      <c r="E505" s="361" t="s">
        <v>230</v>
      </c>
      <c r="F505" s="1047">
        <v>6581687.4949999992</v>
      </c>
      <c r="G505" s="113">
        <f>+F505*0.2</f>
        <v>1316337.4989999998</v>
      </c>
      <c r="H505" s="23" t="s">
        <v>1609</v>
      </c>
    </row>
    <row r="506" spans="1:10">
      <c r="E506" s="1098" t="s">
        <v>231</v>
      </c>
      <c r="F506" s="1098">
        <f>+F505-F498-F504</f>
        <v>0.93199999995704275</v>
      </c>
      <c r="G506" s="113"/>
    </row>
    <row r="512" spans="1:10" ht="14.25" customHeight="1"/>
    <row r="515" spans="1:10" ht="15">
      <c r="A515" s="1001" t="s">
        <v>1501</v>
      </c>
      <c r="B515" s="1001"/>
      <c r="C515" s="1001"/>
      <c r="D515" s="1002"/>
      <c r="E515" s="1001"/>
      <c r="F515" s="1003"/>
      <c r="G515" s="1001" t="s">
        <v>1579</v>
      </c>
      <c r="H515" s="1004"/>
      <c r="I515" s="350"/>
      <c r="J515" s="58"/>
    </row>
    <row r="516" spans="1:10" ht="15.75" thickBot="1">
      <c r="A516" s="1005"/>
      <c r="B516" s="1005" t="s">
        <v>1972</v>
      </c>
      <c r="C516" s="1005"/>
      <c r="D516" s="1006"/>
      <c r="E516" s="1005"/>
      <c r="F516" s="1007"/>
      <c r="G516" s="1005"/>
      <c r="H516" s="1008"/>
      <c r="I516" s="23"/>
      <c r="J516" s="30"/>
    </row>
    <row r="517" spans="1:10">
      <c r="A517" s="1048" t="s">
        <v>1</v>
      </c>
      <c r="B517" s="1049" t="s">
        <v>1504</v>
      </c>
      <c r="C517" s="1049" t="s">
        <v>1505</v>
      </c>
      <c r="D517" s="1050" t="s">
        <v>381</v>
      </c>
      <c r="E517" s="1051" t="s">
        <v>904</v>
      </c>
      <c r="F517" s="1051" t="s">
        <v>1506</v>
      </c>
      <c r="G517" s="2079" t="s">
        <v>1507</v>
      </c>
      <c r="H517" s="2080"/>
      <c r="I517" s="2081"/>
      <c r="J517" s="1052" t="s">
        <v>1508</v>
      </c>
    </row>
    <row r="518" spans="1:10" ht="13.5" thickBot="1">
      <c r="A518" s="1053"/>
      <c r="B518" s="1054" t="s">
        <v>1509</v>
      </c>
      <c r="C518" s="1054" t="s">
        <v>1510</v>
      </c>
      <c r="D518" s="1055"/>
      <c r="E518" s="1056" t="s">
        <v>1511</v>
      </c>
      <c r="F518" s="1056" t="s">
        <v>1512</v>
      </c>
      <c r="G518" s="1054" t="s">
        <v>1513</v>
      </c>
      <c r="H518" s="1057" t="s">
        <v>1514</v>
      </c>
      <c r="I518" s="1058" t="s">
        <v>1515</v>
      </c>
      <c r="J518" s="1059" t="s">
        <v>1516</v>
      </c>
    </row>
    <row r="519" spans="1:10">
      <c r="A519" s="1060">
        <v>1</v>
      </c>
      <c r="B519" s="1061" t="s">
        <v>909</v>
      </c>
      <c r="C519" s="1062" t="s">
        <v>911</v>
      </c>
      <c r="D519" s="1063">
        <v>23.846</v>
      </c>
      <c r="E519" s="1064">
        <f>+F519/D519</f>
        <v>78600.016774301766</v>
      </c>
      <c r="F519" s="1064">
        <v>1874296</v>
      </c>
      <c r="G519" s="1062"/>
      <c r="H519" s="1065"/>
      <c r="I519" s="1065"/>
      <c r="J519" s="1066"/>
    </row>
    <row r="520" spans="1:10">
      <c r="A520" s="746">
        <v>2</v>
      </c>
      <c r="B520" s="309" t="s">
        <v>965</v>
      </c>
      <c r="C520" s="1067" t="s">
        <v>961</v>
      </c>
      <c r="D520" s="310">
        <v>12480</v>
      </c>
      <c r="E520" s="1068">
        <f>+F520/D520</f>
        <v>14.583333333333334</v>
      </c>
      <c r="F520" s="1068">
        <v>182000</v>
      </c>
      <c r="G520" s="1067"/>
      <c r="H520" s="1069"/>
      <c r="I520" s="1069"/>
      <c r="J520" s="1070"/>
    </row>
    <row r="521" spans="1:10">
      <c r="A521" s="746">
        <v>3</v>
      </c>
      <c r="B521" s="309" t="s">
        <v>1973</v>
      </c>
      <c r="C521" s="1067" t="s">
        <v>962</v>
      </c>
      <c r="D521" s="310">
        <v>300</v>
      </c>
      <c r="E521" s="1068">
        <f t="shared" ref="E521:E540" si="14">+F521/D521</f>
        <v>30</v>
      </c>
      <c r="F521" s="1068">
        <v>9000</v>
      </c>
      <c r="G521" s="1067"/>
      <c r="H521" s="1069"/>
      <c r="I521" s="1069"/>
      <c r="J521" s="1070"/>
    </row>
    <row r="522" spans="1:10">
      <c r="A522" s="746">
        <v>4</v>
      </c>
      <c r="B522" s="309" t="s">
        <v>1974</v>
      </c>
      <c r="C522" s="1067" t="s">
        <v>1283</v>
      </c>
      <c r="D522" s="310">
        <f>200+200+230</f>
        <v>630</v>
      </c>
      <c r="E522" s="1068">
        <f t="shared" si="14"/>
        <v>78.571428571428569</v>
      </c>
      <c r="F522" s="1068">
        <f>11500+20000+18000</f>
        <v>49500</v>
      </c>
      <c r="G522" s="1067"/>
      <c r="H522" s="1069"/>
      <c r="I522" s="1069"/>
      <c r="J522" s="1070"/>
    </row>
    <row r="523" spans="1:10">
      <c r="A523" s="746">
        <v>5</v>
      </c>
      <c r="B523" s="309" t="s">
        <v>1975</v>
      </c>
      <c r="C523" s="1067" t="s">
        <v>962</v>
      </c>
      <c r="D523" s="310">
        <v>137</v>
      </c>
      <c r="E523" s="1068">
        <f t="shared" si="14"/>
        <v>530</v>
      </c>
      <c r="F523" s="1068">
        <v>72610</v>
      </c>
      <c r="G523" s="1067"/>
      <c r="H523" s="1069"/>
      <c r="I523" s="1069"/>
      <c r="J523" s="1070"/>
    </row>
    <row r="524" spans="1:10">
      <c r="A524" s="746">
        <v>6</v>
      </c>
      <c r="B524" s="309" t="s">
        <v>1976</v>
      </c>
      <c r="C524" s="1067" t="s">
        <v>962</v>
      </c>
      <c r="D524" s="310">
        <v>346</v>
      </c>
      <c r="E524" s="1068">
        <f t="shared" si="14"/>
        <v>390</v>
      </c>
      <c r="F524" s="1068">
        <v>134940</v>
      </c>
      <c r="G524" s="1067"/>
      <c r="H524" s="1069"/>
      <c r="I524" s="1069"/>
      <c r="J524" s="1070"/>
    </row>
    <row r="525" spans="1:10">
      <c r="A525" s="746">
        <v>7</v>
      </c>
      <c r="B525" s="309" t="s">
        <v>1977</v>
      </c>
      <c r="C525" s="1067" t="s">
        <v>961</v>
      </c>
      <c r="D525" s="310">
        <v>30</v>
      </c>
      <c r="E525" s="1068">
        <f t="shared" si="14"/>
        <v>6400</v>
      </c>
      <c r="F525" s="1068">
        <v>192000</v>
      </c>
      <c r="G525" s="1067"/>
      <c r="H525" s="1069"/>
      <c r="I525" s="1069"/>
      <c r="J525" s="1070"/>
    </row>
    <row r="526" spans="1:10">
      <c r="A526" s="746">
        <v>8</v>
      </c>
      <c r="B526" s="309" t="s">
        <v>1267</v>
      </c>
      <c r="C526" s="1067" t="s">
        <v>961</v>
      </c>
      <c r="D526" s="310">
        <v>5</v>
      </c>
      <c r="E526" s="1068">
        <f t="shared" si="14"/>
        <v>10200</v>
      </c>
      <c r="F526" s="1068">
        <v>51000</v>
      </c>
      <c r="G526" s="1067"/>
      <c r="H526" s="1069"/>
      <c r="I526" s="1069"/>
      <c r="J526" s="1070"/>
    </row>
    <row r="527" spans="1:10">
      <c r="A527" s="746">
        <v>9</v>
      </c>
      <c r="B527" s="309" t="s">
        <v>1978</v>
      </c>
      <c r="C527" s="1067"/>
      <c r="D527" s="310"/>
      <c r="E527" s="1068"/>
      <c r="F527" s="1068">
        <f>5830*139.58</f>
        <v>813751.4</v>
      </c>
      <c r="G527" s="1068"/>
      <c r="H527" s="1069"/>
      <c r="I527" s="1069"/>
      <c r="J527" s="1070"/>
    </row>
    <row r="528" spans="1:10">
      <c r="A528" s="746">
        <v>10</v>
      </c>
      <c r="B528" s="309" t="s">
        <v>1979</v>
      </c>
      <c r="C528" s="1067" t="s">
        <v>962</v>
      </c>
      <c r="D528" s="310">
        <v>20360</v>
      </c>
      <c r="E528" s="1068">
        <f t="shared" si="14"/>
        <v>8.3300589390962667</v>
      </c>
      <c r="F528" s="1068">
        <v>169600</v>
      </c>
      <c r="G528" s="1068"/>
      <c r="H528" s="1069"/>
      <c r="I528" s="1069"/>
      <c r="J528" s="1070"/>
    </row>
    <row r="529" spans="1:10">
      <c r="A529" s="746">
        <v>11</v>
      </c>
      <c r="B529" s="309" t="s">
        <v>1233</v>
      </c>
      <c r="C529" s="1067" t="s">
        <v>962</v>
      </c>
      <c r="D529" s="310">
        <v>32000</v>
      </c>
      <c r="E529" s="1280">
        <f t="shared" si="14"/>
        <v>8.5120000000000005</v>
      </c>
      <c r="F529" s="1068">
        <v>272384</v>
      </c>
      <c r="G529" s="1068"/>
      <c r="H529" s="1069"/>
      <c r="I529" s="1069"/>
      <c r="J529" s="1070"/>
    </row>
    <row r="530" spans="1:10">
      <c r="A530" s="746">
        <v>12</v>
      </c>
      <c r="B530" s="309" t="s">
        <v>1410</v>
      </c>
      <c r="C530" s="1067" t="s">
        <v>960</v>
      </c>
      <c r="D530" s="310">
        <f>300+269</f>
        <v>569</v>
      </c>
      <c r="E530" s="1068">
        <f t="shared" si="14"/>
        <v>902</v>
      </c>
      <c r="F530" s="1068">
        <f>270600+242638</f>
        <v>513238</v>
      </c>
      <c r="G530" s="1068"/>
      <c r="H530" s="1069"/>
      <c r="I530" s="1069"/>
      <c r="J530" s="1070"/>
    </row>
    <row r="531" spans="1:10">
      <c r="A531" s="746">
        <v>13</v>
      </c>
      <c r="B531" s="309" t="s">
        <v>1980</v>
      </c>
      <c r="C531" s="1067"/>
      <c r="D531" s="310"/>
      <c r="E531" s="1068"/>
      <c r="F531" s="1068">
        <f>237150+238530</f>
        <v>475680</v>
      </c>
      <c r="G531" s="1068"/>
      <c r="H531" s="1069"/>
      <c r="I531" s="1069"/>
      <c r="J531" s="1070"/>
    </row>
    <row r="532" spans="1:10">
      <c r="A532" s="746">
        <v>14</v>
      </c>
      <c r="B532" s="309" t="s">
        <v>914</v>
      </c>
      <c r="C532" s="1067" t="s">
        <v>911</v>
      </c>
      <c r="D532" s="310">
        <f>35.1+35.1</f>
        <v>70.2</v>
      </c>
      <c r="E532" s="1068">
        <f t="shared" si="14"/>
        <v>7000</v>
      </c>
      <c r="F532" s="1068">
        <f>245700+245700</f>
        <v>491400</v>
      </c>
      <c r="G532" s="1067"/>
      <c r="H532" s="1069"/>
      <c r="I532" s="1069"/>
      <c r="J532" s="1070"/>
    </row>
    <row r="533" spans="1:10">
      <c r="A533" s="746">
        <v>15</v>
      </c>
      <c r="B533" s="309" t="s">
        <v>1253</v>
      </c>
      <c r="C533" s="1067"/>
      <c r="D533" s="310"/>
      <c r="E533" s="1068"/>
      <c r="F533" s="1068">
        <f>249861+116181+249738</f>
        <v>615780</v>
      </c>
      <c r="G533" s="1067"/>
      <c r="H533" s="1069"/>
      <c r="I533" s="1069"/>
      <c r="J533" s="1070"/>
    </row>
    <row r="534" spans="1:10">
      <c r="A534" s="746">
        <v>16</v>
      </c>
      <c r="B534" s="309" t="s">
        <v>1981</v>
      </c>
      <c r="C534" s="1067" t="s">
        <v>961</v>
      </c>
      <c r="D534" s="310">
        <f>10+27</f>
        <v>37</v>
      </c>
      <c r="E534" s="1068">
        <f t="shared" si="14"/>
        <v>15000</v>
      </c>
      <c r="F534" s="1068">
        <f>150000+405000</f>
        <v>555000</v>
      </c>
      <c r="G534" s="1067"/>
      <c r="H534" s="1069"/>
      <c r="I534" s="1069"/>
      <c r="J534" s="1070"/>
    </row>
    <row r="535" spans="1:10">
      <c r="A535" s="746">
        <v>17</v>
      </c>
      <c r="B535" s="309" t="s">
        <v>1982</v>
      </c>
      <c r="C535" s="1067" t="s">
        <v>1962</v>
      </c>
      <c r="D535" s="310">
        <v>2</v>
      </c>
      <c r="E535" s="1068">
        <f t="shared" si="14"/>
        <v>24485</v>
      </c>
      <c r="F535" s="1068">
        <v>48970</v>
      </c>
      <c r="G535" s="1067"/>
      <c r="H535" s="1069"/>
      <c r="I535" s="1069"/>
      <c r="J535" s="1070"/>
    </row>
    <row r="536" spans="1:10">
      <c r="A536" s="746">
        <v>18</v>
      </c>
      <c r="B536" s="309" t="s">
        <v>1983</v>
      </c>
      <c r="C536" s="1067" t="s">
        <v>961</v>
      </c>
      <c r="D536" s="310">
        <f>1600+2320</f>
        <v>3920</v>
      </c>
      <c r="E536" s="1068">
        <f t="shared" si="14"/>
        <v>33.339795918367344</v>
      </c>
      <c r="F536" s="1068">
        <f>77348+53344</f>
        <v>130692</v>
      </c>
      <c r="G536" s="1067"/>
      <c r="H536" s="1069"/>
      <c r="I536" s="1069"/>
      <c r="J536" s="1070"/>
    </row>
    <row r="537" spans="1:10">
      <c r="A537" s="746">
        <v>19</v>
      </c>
      <c r="B537" s="309" t="s">
        <v>965</v>
      </c>
      <c r="C537" s="1067" t="s">
        <v>961</v>
      </c>
      <c r="D537" s="310">
        <v>4480</v>
      </c>
      <c r="E537" s="1068">
        <f t="shared" si="14"/>
        <v>20.829910714285713</v>
      </c>
      <c r="F537" s="1068">
        <v>93318</v>
      </c>
      <c r="G537" s="1067"/>
      <c r="H537" s="1069"/>
      <c r="I537" s="1069"/>
      <c r="J537" s="1070"/>
    </row>
    <row r="538" spans="1:10">
      <c r="A538" s="746">
        <v>20</v>
      </c>
      <c r="B538" s="309" t="s">
        <v>965</v>
      </c>
      <c r="C538" s="1067" t="s">
        <v>961</v>
      </c>
      <c r="D538" s="310">
        <v>912</v>
      </c>
      <c r="E538" s="1068">
        <f t="shared" si="14"/>
        <v>102.5</v>
      </c>
      <c r="F538" s="1068">
        <v>93480</v>
      </c>
      <c r="G538" s="1067"/>
      <c r="H538" s="1069"/>
      <c r="I538" s="1069"/>
      <c r="J538" s="1070"/>
    </row>
    <row r="539" spans="1:10">
      <c r="A539" s="746">
        <v>21</v>
      </c>
      <c r="B539" s="309" t="s">
        <v>1984</v>
      </c>
      <c r="C539" s="1067"/>
      <c r="D539" s="310"/>
      <c r="E539" s="1068"/>
      <c r="F539" s="1068">
        <v>600000</v>
      </c>
      <c r="G539" s="1067"/>
      <c r="H539" s="1069"/>
      <c r="I539" s="1069"/>
      <c r="J539" s="1070"/>
    </row>
    <row r="540" spans="1:10">
      <c r="A540" s="746">
        <v>22</v>
      </c>
      <c r="B540" s="309" t="s">
        <v>966</v>
      </c>
      <c r="C540" s="1067" t="s">
        <v>517</v>
      </c>
      <c r="D540" s="310">
        <v>4000</v>
      </c>
      <c r="E540" s="1068">
        <f t="shared" si="14"/>
        <v>200</v>
      </c>
      <c r="F540" s="1068">
        <v>800000</v>
      </c>
      <c r="G540" s="1067"/>
      <c r="H540" s="1069"/>
      <c r="I540" s="1069"/>
      <c r="J540" s="1070"/>
    </row>
    <row r="541" spans="1:10">
      <c r="A541" s="1072"/>
      <c r="B541" s="1073"/>
      <c r="C541" s="1074"/>
      <c r="D541" s="1075"/>
      <c r="E541" s="1076"/>
      <c r="F541" s="1076">
        <f>SUM(F519:F540)</f>
        <v>8238639.4000000004</v>
      </c>
      <c r="G541" s="1076">
        <f>SUM(G520:G540)</f>
        <v>0</v>
      </c>
      <c r="H541" s="1076">
        <f>SUM(H520:H540)</f>
        <v>0</v>
      </c>
      <c r="I541" s="1076">
        <f>SUM(I520:I540)</f>
        <v>0</v>
      </c>
      <c r="J541" s="1121">
        <f>SUM(J520:J540)</f>
        <v>0</v>
      </c>
    </row>
    <row r="542" spans="1:10">
      <c r="A542" s="691"/>
      <c r="B542" s="311" t="s">
        <v>1589</v>
      </c>
      <c r="C542" s="311"/>
      <c r="D542" s="310"/>
      <c r="E542" s="101"/>
      <c r="F542" s="101">
        <v>396700</v>
      </c>
      <c r="G542" s="182"/>
      <c r="H542" s="1077"/>
      <c r="I542" s="1077"/>
      <c r="J542" s="1078"/>
    </row>
    <row r="543" spans="1:10">
      <c r="A543" s="691"/>
      <c r="B543" s="311" t="s">
        <v>1590</v>
      </c>
      <c r="C543" s="311"/>
      <c r="D543" s="310"/>
      <c r="E543" s="101"/>
      <c r="F543" s="101">
        <v>64194.8</v>
      </c>
      <c r="G543" s="182"/>
      <c r="H543" s="1077"/>
      <c r="I543" s="1077"/>
      <c r="J543" s="1078"/>
    </row>
    <row r="544" spans="1:10">
      <c r="A544" s="1079"/>
      <c r="B544" s="1080" t="s">
        <v>186</v>
      </c>
      <c r="C544" s="1081"/>
      <c r="D544" s="1082"/>
      <c r="E544" s="1083"/>
      <c r="F544" s="1083">
        <f>SUM(F542:F543)</f>
        <v>460894.8</v>
      </c>
      <c r="G544" s="1083"/>
      <c r="H544" s="1083">
        <f>SUM(H542:H543)</f>
        <v>0</v>
      </c>
      <c r="I544" s="1083">
        <f>SUM(I542:I543)</f>
        <v>0</v>
      </c>
      <c r="J544" s="1122">
        <f>SUM(J542:J543)</f>
        <v>0</v>
      </c>
    </row>
    <row r="545" spans="1:10" ht="13.5" thickBot="1">
      <c r="A545" s="1084"/>
      <c r="B545" s="1085"/>
      <c r="C545" s="1085"/>
      <c r="D545" s="1086"/>
      <c r="E545" s="561"/>
      <c r="F545" s="561"/>
      <c r="G545" s="684"/>
      <c r="H545" s="1087"/>
      <c r="I545" s="1087"/>
      <c r="J545" s="1088"/>
    </row>
    <row r="546" spans="1:10" ht="13.5" thickBot="1">
      <c r="A546" s="1089"/>
      <c r="B546" s="1090" t="s">
        <v>186</v>
      </c>
      <c r="C546" s="1091"/>
      <c r="D546" s="1092"/>
      <c r="E546" s="1093"/>
      <c r="F546" s="1094">
        <f>F541+F544</f>
        <v>8699534.2000000011</v>
      </c>
      <c r="G546" s="1094">
        <f>G541+G544</f>
        <v>0</v>
      </c>
      <c r="H546" s="1094">
        <f>H541+H544</f>
        <v>0</v>
      </c>
      <c r="I546" s="1094">
        <f>I541+I544</f>
        <v>0</v>
      </c>
      <c r="J546" s="1094">
        <f>J541+J544</f>
        <v>0</v>
      </c>
    </row>
    <row r="547" spans="1:10">
      <c r="A547" s="23"/>
      <c r="B547" s="23"/>
      <c r="C547" s="23"/>
      <c r="D547" s="1095"/>
      <c r="F547" s="113"/>
      <c r="G547" s="23"/>
      <c r="H547" s="1039"/>
      <c r="I547" s="1039"/>
      <c r="J547" s="1039"/>
    </row>
    <row r="548" spans="1:10">
      <c r="E548" s="361" t="s">
        <v>230</v>
      </c>
      <c r="F548" s="1047">
        <v>8238639</v>
      </c>
      <c r="G548" s="113">
        <v>1647727.8</v>
      </c>
      <c r="H548" s="23"/>
    </row>
    <row r="549" spans="1:10">
      <c r="E549" s="1098" t="s">
        <v>231</v>
      </c>
      <c r="F549" s="1098">
        <f>+F548-F541-F547</f>
        <v>-0.40000000037252903</v>
      </c>
      <c r="G549" s="113"/>
    </row>
  </sheetData>
  <mergeCells count="63">
    <mergeCell ref="B189:D189"/>
    <mergeCell ref="B190:D190"/>
    <mergeCell ref="B193:D193"/>
    <mergeCell ref="B186:D186"/>
    <mergeCell ref="A4:A5"/>
    <mergeCell ref="D4:D5"/>
    <mergeCell ref="B38:D38"/>
    <mergeCell ref="A42:A43"/>
    <mergeCell ref="D42:D43"/>
    <mergeCell ref="A82:A83"/>
    <mergeCell ref="D82:D83"/>
    <mergeCell ref="B151:D151"/>
    <mergeCell ref="B116:D116"/>
    <mergeCell ref="A121:A122"/>
    <mergeCell ref="D121:D122"/>
    <mergeCell ref="A159:A160"/>
    <mergeCell ref="G4:I4"/>
    <mergeCell ref="B29:D29"/>
    <mergeCell ref="B31:D31"/>
    <mergeCell ref="B34:D34"/>
    <mergeCell ref="B35:D35"/>
    <mergeCell ref="G42:I42"/>
    <mergeCell ref="B69:D69"/>
    <mergeCell ref="B72:D72"/>
    <mergeCell ref="B73:D73"/>
    <mergeCell ref="B76:D76"/>
    <mergeCell ref="B67:D67"/>
    <mergeCell ref="G82:I82"/>
    <mergeCell ref="B107:D107"/>
    <mergeCell ref="B109:D109"/>
    <mergeCell ref="B112:D112"/>
    <mergeCell ref="B113:D113"/>
    <mergeCell ref="G121:I121"/>
    <mergeCell ref="B146:D146"/>
    <mergeCell ref="B148:D148"/>
    <mergeCell ref="G159:I159"/>
    <mergeCell ref="B184:D184"/>
    <mergeCell ref="B152:D152"/>
    <mergeCell ref="B155:D155"/>
    <mergeCell ref="D159:D160"/>
    <mergeCell ref="G198:I198"/>
    <mergeCell ref="B308:D308"/>
    <mergeCell ref="B232:D232"/>
    <mergeCell ref="B233:D233"/>
    <mergeCell ref="G238:I238"/>
    <mergeCell ref="B263:D263"/>
    <mergeCell ref="G278:I278"/>
    <mergeCell ref="B229:D229"/>
    <mergeCell ref="B339:D339"/>
    <mergeCell ref="B340:D340"/>
    <mergeCell ref="G398:I398"/>
    <mergeCell ref="G357:I357"/>
    <mergeCell ref="F363:F364"/>
    <mergeCell ref="E363:E364"/>
    <mergeCell ref="F365:F367"/>
    <mergeCell ref="E365:E367"/>
    <mergeCell ref="F371:F375"/>
    <mergeCell ref="E371:E375"/>
    <mergeCell ref="G517:I517"/>
    <mergeCell ref="G478:I478"/>
    <mergeCell ref="G436:I436"/>
    <mergeCell ref="G417:I417"/>
    <mergeCell ref="G317:I317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FFCC"/>
  </sheetPr>
  <dimension ref="A1:AF943"/>
  <sheetViews>
    <sheetView workbookViewId="0">
      <selection activeCell="Q117" sqref="Q117:Q128"/>
    </sheetView>
  </sheetViews>
  <sheetFormatPr defaultRowHeight="12.75"/>
  <cols>
    <col min="1" max="1" width="4.7109375" customWidth="1"/>
    <col min="2" max="2" width="12.85546875" style="905" customWidth="1"/>
    <col min="5" max="5" width="6" customWidth="1"/>
    <col min="8" max="8" width="11.28515625" bestFit="1" customWidth="1"/>
    <col min="9" max="9" width="9" style="113" customWidth="1"/>
    <col min="10" max="10" width="9.42578125" style="113" customWidth="1"/>
    <col min="11" max="11" width="13" style="113" customWidth="1"/>
    <col min="12" max="12" width="4.140625" style="361" customWidth="1"/>
    <col min="13" max="13" width="19.7109375" style="361" customWidth="1"/>
    <col min="14" max="28" width="11.140625" style="361" customWidth="1"/>
    <col min="29" max="29" width="9.28515625" style="361" bestFit="1" customWidth="1"/>
    <col min="30" max="30" width="10.28515625" style="361" bestFit="1" customWidth="1"/>
  </cols>
  <sheetData>
    <row r="1" spans="1:30" ht="13.5" thickBot="1">
      <c r="A1" s="666" t="s">
        <v>894</v>
      </c>
      <c r="B1" s="898"/>
      <c r="C1" s="666"/>
      <c r="D1" s="667"/>
      <c r="E1" s="666"/>
      <c r="F1" s="668"/>
      <c r="G1" s="668"/>
      <c r="H1" s="668"/>
      <c r="I1" s="669"/>
      <c r="J1" s="669"/>
      <c r="K1" s="669"/>
      <c r="L1" s="2090" t="s">
        <v>898</v>
      </c>
      <c r="M1" s="2090" t="s">
        <v>899</v>
      </c>
      <c r="N1" s="2092" t="s">
        <v>900</v>
      </c>
      <c r="O1" s="2092"/>
      <c r="P1" s="2093"/>
    </row>
    <row r="2" spans="1:30">
      <c r="A2" s="666" t="s">
        <v>895</v>
      </c>
      <c r="B2" s="898"/>
      <c r="C2" s="666"/>
      <c r="D2" s="667"/>
      <c r="E2" s="666"/>
      <c r="F2" s="668"/>
      <c r="G2" s="668"/>
      <c r="H2" s="668"/>
      <c r="I2" s="669"/>
      <c r="J2" s="669"/>
      <c r="K2" s="669"/>
      <c r="L2" s="2091"/>
      <c r="M2" s="2091"/>
      <c r="N2" s="2094" t="s">
        <v>906</v>
      </c>
      <c r="O2" s="2096" t="s">
        <v>904</v>
      </c>
      <c r="P2" s="2096" t="s">
        <v>905</v>
      </c>
      <c r="Q2" s="2096" t="s">
        <v>959</v>
      </c>
      <c r="R2" s="2096" t="s">
        <v>174</v>
      </c>
      <c r="S2" s="2096" t="s">
        <v>175</v>
      </c>
      <c r="T2" s="2096" t="s">
        <v>176</v>
      </c>
      <c r="U2" s="2096" t="s">
        <v>177</v>
      </c>
      <c r="V2" s="2096" t="s">
        <v>178</v>
      </c>
      <c r="W2" s="2096" t="s">
        <v>179</v>
      </c>
      <c r="X2" s="2096" t="s">
        <v>180</v>
      </c>
      <c r="Y2" s="2096" t="s">
        <v>181</v>
      </c>
      <c r="Z2" s="2096" t="s">
        <v>182</v>
      </c>
      <c r="AA2" s="2096" t="s">
        <v>183</v>
      </c>
      <c r="AB2" s="2096" t="s">
        <v>184</v>
      </c>
      <c r="AC2" s="2096" t="s">
        <v>1247</v>
      </c>
      <c r="AD2" s="2096" t="s">
        <v>1248</v>
      </c>
    </row>
    <row r="3" spans="1:30" ht="13.5" thickBot="1">
      <c r="A3" s="666"/>
      <c r="B3" s="898" t="s">
        <v>896</v>
      </c>
      <c r="C3" s="666"/>
      <c r="D3" s="667"/>
      <c r="E3" s="666"/>
      <c r="F3" s="668"/>
      <c r="G3" s="668"/>
      <c r="H3" s="668"/>
      <c r="I3" s="669"/>
      <c r="J3" s="669"/>
      <c r="K3" s="669"/>
      <c r="L3" s="2091"/>
      <c r="M3" s="2091"/>
      <c r="N3" s="2095"/>
      <c r="O3" s="2097"/>
      <c r="P3" s="2097"/>
      <c r="Q3" s="2097"/>
      <c r="R3" s="2097"/>
      <c r="S3" s="2097"/>
      <c r="T3" s="2097"/>
      <c r="U3" s="2097"/>
      <c r="V3" s="2097"/>
      <c r="W3" s="2097"/>
      <c r="X3" s="2097"/>
      <c r="Y3" s="2097"/>
      <c r="Z3" s="2097"/>
      <c r="AA3" s="2097"/>
      <c r="AB3" s="2097"/>
      <c r="AC3" s="2097"/>
      <c r="AD3" s="2097"/>
    </row>
    <row r="4" spans="1:30" ht="13.5" thickBot="1">
      <c r="A4" s="668"/>
      <c r="B4" s="899"/>
      <c r="C4" s="668"/>
      <c r="D4" s="670"/>
      <c r="E4" s="668"/>
      <c r="F4" s="668"/>
      <c r="G4" s="668"/>
      <c r="H4" s="668"/>
      <c r="I4" s="669"/>
      <c r="J4" s="669"/>
      <c r="K4" s="669"/>
      <c r="L4" s="375">
        <v>1</v>
      </c>
      <c r="M4" s="677" t="str">
        <f>+B8</f>
        <v>Pllaka</v>
      </c>
      <c r="N4" s="376">
        <f>+I35</f>
        <v>12373.140000000001</v>
      </c>
      <c r="O4" s="376">
        <f t="shared" ref="O4:P4" si="0">+J35</f>
        <v>437.78509440610867</v>
      </c>
      <c r="P4" s="376">
        <f t="shared" si="0"/>
        <v>5416776.2630000003</v>
      </c>
      <c r="Q4" s="376">
        <v>390</v>
      </c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>
        <f>SUM(Q4:AB4)</f>
        <v>390</v>
      </c>
      <c r="AD4" s="906">
        <f>+N4-AC4</f>
        <v>11983.140000000001</v>
      </c>
    </row>
    <row r="5" spans="1:30" ht="12.75" customHeight="1" thickBot="1">
      <c r="A5" s="2105" t="s">
        <v>1</v>
      </c>
      <c r="B5" s="2102" t="s">
        <v>897</v>
      </c>
      <c r="C5" s="2103"/>
      <c r="D5" s="2103"/>
      <c r="E5" s="2103"/>
      <c r="F5" s="2103"/>
      <c r="G5" s="2103"/>
      <c r="H5" s="2104"/>
      <c r="I5" s="2100"/>
      <c r="J5" s="2100"/>
      <c r="K5" s="2101"/>
      <c r="L5" s="102">
        <v>2</v>
      </c>
      <c r="M5" s="101" t="str">
        <f>+B37</f>
        <v>Dekore</v>
      </c>
      <c r="N5" s="99">
        <f>+I45</f>
        <v>860</v>
      </c>
      <c r="O5" s="99">
        <f t="shared" ref="O5:P5" si="1">+J45</f>
        <v>93.697674418604649</v>
      </c>
      <c r="P5" s="99">
        <f t="shared" si="1"/>
        <v>80580</v>
      </c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>
        <f t="shared" ref="AC5:AC22" si="2">SUM(Q5:AB5)</f>
        <v>0</v>
      </c>
      <c r="AD5" s="907">
        <f t="shared" ref="AD5:AD82" si="3">+N5-AC5</f>
        <v>860</v>
      </c>
    </row>
    <row r="6" spans="1:30" ht="12.75" customHeight="1">
      <c r="A6" s="2106"/>
      <c r="B6" s="900" t="s">
        <v>901</v>
      </c>
      <c r="C6" s="2107" t="s">
        <v>902</v>
      </c>
      <c r="D6" s="2108"/>
      <c r="E6" s="671" t="s">
        <v>903</v>
      </c>
      <c r="F6" s="2109" t="s">
        <v>381</v>
      </c>
      <c r="G6" s="2111" t="s">
        <v>904</v>
      </c>
      <c r="H6" s="2111" t="s">
        <v>905</v>
      </c>
      <c r="I6" s="2098" t="s">
        <v>906</v>
      </c>
      <c r="J6" s="2098" t="s">
        <v>904</v>
      </c>
      <c r="K6" s="2098" t="s">
        <v>905</v>
      </c>
      <c r="L6" s="102">
        <v>3</v>
      </c>
      <c r="M6" s="101" t="str">
        <f>+B47</f>
        <v>Ultra Color</v>
      </c>
      <c r="N6" s="99">
        <f>+I55</f>
        <v>217</v>
      </c>
      <c r="O6" s="99">
        <f t="shared" ref="O6:P6" si="4">+J55</f>
        <v>130</v>
      </c>
      <c r="P6" s="99">
        <f t="shared" si="4"/>
        <v>28210</v>
      </c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>
        <f t="shared" si="2"/>
        <v>0</v>
      </c>
      <c r="AD6" s="907">
        <f t="shared" si="3"/>
        <v>217</v>
      </c>
    </row>
    <row r="7" spans="1:30" ht="13.5" thickBot="1">
      <c r="A7" s="2106"/>
      <c r="B7" s="900" t="s">
        <v>907</v>
      </c>
      <c r="C7" s="672" t="s">
        <v>1</v>
      </c>
      <c r="D7" s="673" t="s">
        <v>830</v>
      </c>
      <c r="E7" s="671" t="s">
        <v>908</v>
      </c>
      <c r="F7" s="2110"/>
      <c r="G7" s="2112"/>
      <c r="H7" s="2112"/>
      <c r="I7" s="2099"/>
      <c r="J7" s="2099"/>
      <c r="K7" s="2099"/>
      <c r="L7" s="102">
        <v>4</v>
      </c>
      <c r="M7" s="101" t="str">
        <f>+B57</f>
        <v>Polistertol</v>
      </c>
      <c r="N7" s="99">
        <f>+I65</f>
        <v>115.25</v>
      </c>
      <c r="O7" s="99">
        <f t="shared" ref="O7:P7" si="5">+J65</f>
        <v>3112.2255965292843</v>
      </c>
      <c r="P7" s="99">
        <f t="shared" si="5"/>
        <v>358684</v>
      </c>
      <c r="Q7" s="99">
        <v>115</v>
      </c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>
        <f t="shared" si="2"/>
        <v>115</v>
      </c>
      <c r="AD7" s="907">
        <f t="shared" si="3"/>
        <v>0.25</v>
      </c>
    </row>
    <row r="8" spans="1:30">
      <c r="A8" s="674">
        <v>1</v>
      </c>
      <c r="B8" s="901" t="s">
        <v>1228</v>
      </c>
      <c r="C8" s="675">
        <v>568</v>
      </c>
      <c r="D8" s="676">
        <v>10.01</v>
      </c>
      <c r="E8" s="675" t="s">
        <v>960</v>
      </c>
      <c r="F8" s="675">
        <v>231</v>
      </c>
      <c r="G8" s="675">
        <f t="shared" ref="G8:G35" si="6">H8/F8</f>
        <v>633</v>
      </c>
      <c r="H8" s="675">
        <v>146223</v>
      </c>
      <c r="I8" s="677">
        <f t="shared" ref="I8:I9" si="7">+I7+F8</f>
        <v>231</v>
      </c>
      <c r="J8" s="677">
        <f t="shared" ref="J8:J9" si="8">+K8/I8</f>
        <v>633</v>
      </c>
      <c r="K8" s="678">
        <f t="shared" ref="K8:K9" si="9">(+H8+K7)</f>
        <v>146223</v>
      </c>
      <c r="L8" s="102">
        <v>5</v>
      </c>
      <c r="M8" s="101" t="str">
        <f>+B67</f>
        <v>Maxikol</v>
      </c>
      <c r="N8" s="99">
        <f>+I75</f>
        <v>105637</v>
      </c>
      <c r="O8" s="99">
        <f t="shared" ref="O8:P8" si="10">+J75</f>
        <v>8.3354790461675368</v>
      </c>
      <c r="P8" s="99">
        <f t="shared" si="10"/>
        <v>880535</v>
      </c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>
        <f t="shared" si="2"/>
        <v>0</v>
      </c>
      <c r="AD8" s="907">
        <f t="shared" si="3"/>
        <v>105637</v>
      </c>
    </row>
    <row r="9" spans="1:30">
      <c r="A9" s="681">
        <v>2</v>
      </c>
      <c r="B9" s="902"/>
      <c r="C9" s="679">
        <v>999</v>
      </c>
      <c r="D9" s="682">
        <v>29.01</v>
      </c>
      <c r="E9" s="679" t="s">
        <v>960</v>
      </c>
      <c r="F9" s="679">
        <v>162</v>
      </c>
      <c r="G9" s="679">
        <f>H9/F9</f>
        <v>641</v>
      </c>
      <c r="H9" s="679">
        <v>103842</v>
      </c>
      <c r="I9" s="101">
        <f t="shared" si="7"/>
        <v>393</v>
      </c>
      <c r="J9" s="101">
        <f t="shared" si="8"/>
        <v>636.29770992366412</v>
      </c>
      <c r="K9" s="683">
        <f t="shared" si="9"/>
        <v>250065</v>
      </c>
      <c r="L9" s="102">
        <v>6</v>
      </c>
      <c r="M9" s="101" t="str">
        <f>+B77</f>
        <v>profil Alumini I lyer</v>
      </c>
      <c r="N9" s="99">
        <f>+I100</f>
        <v>6202</v>
      </c>
      <c r="O9" s="99">
        <f t="shared" ref="O9:P9" si="11">+J100</f>
        <v>451.93131247984519</v>
      </c>
      <c r="P9" s="99">
        <f t="shared" si="11"/>
        <v>2802878</v>
      </c>
      <c r="Q9" s="99">
        <v>40</v>
      </c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>
        <f t="shared" si="2"/>
        <v>40</v>
      </c>
      <c r="AD9" s="907">
        <f t="shared" si="3"/>
        <v>6162</v>
      </c>
    </row>
    <row r="10" spans="1:30">
      <c r="A10" s="681">
        <v>3</v>
      </c>
      <c r="B10" s="902"/>
      <c r="C10" s="679">
        <v>8</v>
      </c>
      <c r="D10" s="682">
        <v>2.02</v>
      </c>
      <c r="E10" s="679" t="s">
        <v>960</v>
      </c>
      <c r="F10" s="679">
        <v>2500</v>
      </c>
      <c r="G10" s="679">
        <f t="shared" si="6"/>
        <v>379.65353319999997</v>
      </c>
      <c r="H10" s="679">
        <v>949133.83299999998</v>
      </c>
      <c r="I10" s="101">
        <f t="shared" ref="I10:I35" si="12">+I9+F10</f>
        <v>2893</v>
      </c>
      <c r="J10" s="101">
        <f t="shared" ref="J10:J35" si="13">+K10/I10</f>
        <v>414.51739820255796</v>
      </c>
      <c r="K10" s="683">
        <f t="shared" ref="K10:K35" si="14">(+H10+K9)</f>
        <v>1199198.8330000001</v>
      </c>
      <c r="L10" s="102">
        <v>7</v>
      </c>
      <c r="M10" s="101" t="str">
        <f>+B102</f>
        <v>Cimento</v>
      </c>
      <c r="N10" s="99">
        <f>+I115</f>
        <v>300.10000000000002</v>
      </c>
      <c r="O10" s="99">
        <f t="shared" ref="O10:P10" si="15">+J115</f>
        <v>7672.49353548817</v>
      </c>
      <c r="P10" s="99">
        <f t="shared" si="15"/>
        <v>2302515.31</v>
      </c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>
        <f t="shared" si="2"/>
        <v>0</v>
      </c>
      <c r="AD10" s="907">
        <f t="shared" si="3"/>
        <v>300.10000000000002</v>
      </c>
    </row>
    <row r="11" spans="1:30">
      <c r="A11" s="681">
        <v>4</v>
      </c>
      <c r="B11" s="902"/>
      <c r="C11" s="679">
        <v>10</v>
      </c>
      <c r="D11" s="682">
        <v>9.02</v>
      </c>
      <c r="E11" s="679" t="s">
        <v>960</v>
      </c>
      <c r="F11" s="679">
        <v>3000</v>
      </c>
      <c r="G11" s="679">
        <f t="shared" si="6"/>
        <v>379.65353333333337</v>
      </c>
      <c r="H11" s="679">
        <v>1138960.6000000001</v>
      </c>
      <c r="I11" s="101">
        <f t="shared" si="12"/>
        <v>5893</v>
      </c>
      <c r="J11" s="101">
        <f t="shared" si="13"/>
        <v>396.76895180722897</v>
      </c>
      <c r="K11" s="683">
        <f t="shared" si="14"/>
        <v>2338159.4330000002</v>
      </c>
      <c r="L11" s="102">
        <v>8</v>
      </c>
      <c r="M11" s="101" t="str">
        <f>+B117</f>
        <v>Astar +Boj +Hidromat</v>
      </c>
      <c r="N11" s="99">
        <f>+I125</f>
        <v>5637</v>
      </c>
      <c r="O11" s="99">
        <f t="shared" ref="O11:P11" si="16">+J125</f>
        <v>75.696292354089053</v>
      </c>
      <c r="P11" s="99">
        <f t="shared" si="16"/>
        <v>426700</v>
      </c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>
        <f t="shared" si="2"/>
        <v>0</v>
      </c>
      <c r="AD11" s="907">
        <f t="shared" si="3"/>
        <v>5637</v>
      </c>
    </row>
    <row r="12" spans="1:30">
      <c r="A12" s="681">
        <v>5</v>
      </c>
      <c r="B12" s="902"/>
      <c r="C12" s="679">
        <v>9</v>
      </c>
      <c r="D12" s="682">
        <v>6.02</v>
      </c>
      <c r="E12" s="679" t="s">
        <v>960</v>
      </c>
      <c r="F12" s="679">
        <v>2500</v>
      </c>
      <c r="G12" s="679">
        <f t="shared" si="6"/>
        <v>379.65353199999998</v>
      </c>
      <c r="H12" s="679">
        <v>949133.83</v>
      </c>
      <c r="I12" s="101">
        <f t="shared" si="12"/>
        <v>8393</v>
      </c>
      <c r="J12" s="101">
        <f t="shared" si="13"/>
        <v>391.6708284284523</v>
      </c>
      <c r="K12" s="683">
        <f t="shared" si="14"/>
        <v>3287293.2630000003</v>
      </c>
      <c r="L12" s="102">
        <v>9</v>
      </c>
      <c r="M12" s="101" t="str">
        <f>+B127</f>
        <v>Boj PlastikePlaster me ngjyra</v>
      </c>
      <c r="N12" s="99">
        <f>+I135</f>
        <v>1076</v>
      </c>
      <c r="O12" s="99">
        <f t="shared" ref="O12:P12" si="17">+J135</f>
        <v>536.14776951672866</v>
      </c>
      <c r="P12" s="99">
        <f t="shared" si="17"/>
        <v>576895</v>
      </c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>
        <f t="shared" si="2"/>
        <v>0</v>
      </c>
      <c r="AD12" s="907">
        <f t="shared" si="3"/>
        <v>1076</v>
      </c>
    </row>
    <row r="13" spans="1:30">
      <c r="A13" s="681">
        <v>6</v>
      </c>
      <c r="B13" s="902"/>
      <c r="C13" s="679">
        <v>11</v>
      </c>
      <c r="D13" s="682">
        <v>14.02</v>
      </c>
      <c r="E13" s="679" t="s">
        <v>960</v>
      </c>
      <c r="F13" s="679">
        <v>2000</v>
      </c>
      <c r="G13" s="679">
        <f t="shared" si="6"/>
        <v>379.65350000000001</v>
      </c>
      <c r="H13" s="679">
        <v>759307</v>
      </c>
      <c r="I13" s="101">
        <f t="shared" si="12"/>
        <v>10393</v>
      </c>
      <c r="J13" s="101">
        <f t="shared" si="13"/>
        <v>389.35824718560571</v>
      </c>
      <c r="K13" s="683">
        <f t="shared" si="14"/>
        <v>4046600.2630000003</v>
      </c>
      <c r="L13" s="102">
        <v>10</v>
      </c>
      <c r="M13" s="101" t="str">
        <f>+B137</f>
        <v>Fino</v>
      </c>
      <c r="N13" s="99">
        <f>+I145</f>
        <v>10633</v>
      </c>
      <c r="O13" s="99">
        <f t="shared" ref="O13:P13" si="18">+J145</f>
        <v>9.3294460641399422</v>
      </c>
      <c r="P13" s="99">
        <f t="shared" si="18"/>
        <v>99200</v>
      </c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>
        <f t="shared" si="2"/>
        <v>0</v>
      </c>
      <c r="AD13" s="907">
        <f t="shared" si="3"/>
        <v>10633</v>
      </c>
    </row>
    <row r="14" spans="1:30">
      <c r="A14" s="681">
        <v>7</v>
      </c>
      <c r="B14" s="902"/>
      <c r="C14" s="679">
        <v>34</v>
      </c>
      <c r="D14" s="682">
        <v>30.05</v>
      </c>
      <c r="E14" s="679" t="s">
        <v>960</v>
      </c>
      <c r="F14" s="679">
        <v>900</v>
      </c>
      <c r="G14" s="679">
        <f t="shared" si="6"/>
        <v>560</v>
      </c>
      <c r="H14" s="679">
        <v>504000</v>
      </c>
      <c r="I14" s="101">
        <f t="shared" si="12"/>
        <v>11293</v>
      </c>
      <c r="J14" s="101">
        <f t="shared" si="13"/>
        <v>402.95760763304702</v>
      </c>
      <c r="K14" s="683">
        <f t="shared" si="14"/>
        <v>4550600.2630000003</v>
      </c>
      <c r="L14" s="102">
        <v>11</v>
      </c>
      <c r="M14" s="101" t="str">
        <f>+B147</f>
        <v>Tubo +Rakorderi</v>
      </c>
      <c r="N14" s="99">
        <f>+I174</f>
        <v>108071</v>
      </c>
      <c r="O14" s="99">
        <f t="shared" ref="O14:P14" si="19">+J174</f>
        <v>64.486206752967945</v>
      </c>
      <c r="P14" s="99">
        <f t="shared" si="19"/>
        <v>6969088.8499999987</v>
      </c>
      <c r="Q14" s="99">
        <v>2633</v>
      </c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>
        <f t="shared" si="2"/>
        <v>2633</v>
      </c>
      <c r="AD14" s="907">
        <f t="shared" si="3"/>
        <v>105438</v>
      </c>
    </row>
    <row r="15" spans="1:30">
      <c r="A15" s="681">
        <v>8</v>
      </c>
      <c r="B15" s="902"/>
      <c r="C15" s="679">
        <v>32</v>
      </c>
      <c r="D15" s="682">
        <v>30.05</v>
      </c>
      <c r="E15" s="679" t="s">
        <v>960</v>
      </c>
      <c r="F15" s="679">
        <v>195</v>
      </c>
      <c r="G15" s="679">
        <f t="shared" si="6"/>
        <v>540</v>
      </c>
      <c r="H15" s="679">
        <v>105300</v>
      </c>
      <c r="I15" s="101">
        <f t="shared" si="12"/>
        <v>11488</v>
      </c>
      <c r="J15" s="101">
        <f t="shared" si="13"/>
        <v>405.28379726671312</v>
      </c>
      <c r="K15" s="683">
        <f t="shared" si="14"/>
        <v>4655900.2630000003</v>
      </c>
      <c r="L15" s="102">
        <v>12</v>
      </c>
      <c r="M15" s="101" t="str">
        <f>+B176</f>
        <v xml:space="preserve">F.V Dyer </v>
      </c>
      <c r="N15" s="99">
        <f>+I184</f>
        <v>54</v>
      </c>
      <c r="O15" s="99">
        <f t="shared" ref="O15:P15" si="20">+J184</f>
        <v>25000</v>
      </c>
      <c r="P15" s="99">
        <f t="shared" si="20"/>
        <v>1350000</v>
      </c>
      <c r="Q15" s="99">
        <v>23</v>
      </c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>
        <f t="shared" si="2"/>
        <v>23</v>
      </c>
      <c r="AD15" s="907">
        <f t="shared" si="3"/>
        <v>31</v>
      </c>
    </row>
    <row r="16" spans="1:30">
      <c r="A16" s="681">
        <v>9</v>
      </c>
      <c r="B16" s="976"/>
      <c r="C16" s="978">
        <v>73</v>
      </c>
      <c r="D16" s="972" t="s">
        <v>1339</v>
      </c>
      <c r="E16" s="975" t="s">
        <v>517</v>
      </c>
      <c r="F16" s="975">
        <v>51.94</v>
      </c>
      <c r="G16" s="975">
        <f>+H16/F16</f>
        <v>738.00539083557953</v>
      </c>
      <c r="H16" s="976">
        <v>38332</v>
      </c>
      <c r="I16" s="101">
        <f t="shared" si="12"/>
        <v>11539.94</v>
      </c>
      <c r="J16" s="101">
        <f t="shared" si="13"/>
        <v>406.78134054423163</v>
      </c>
      <c r="K16" s="683">
        <f t="shared" si="14"/>
        <v>4694232.2630000003</v>
      </c>
      <c r="L16" s="102">
        <v>13</v>
      </c>
      <c r="M16" s="101" t="str">
        <f>+B186</f>
        <v>Shkum Tubo</v>
      </c>
      <c r="N16" s="99">
        <f>+I194</f>
        <v>71</v>
      </c>
      <c r="O16" s="99">
        <f t="shared" ref="O16:P16" si="21">+J194</f>
        <v>199.6056338028169</v>
      </c>
      <c r="P16" s="99">
        <f t="shared" si="21"/>
        <v>14172</v>
      </c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>
        <f t="shared" si="2"/>
        <v>0</v>
      </c>
      <c r="AD16" s="907">
        <f t="shared" si="3"/>
        <v>71</v>
      </c>
    </row>
    <row r="17" spans="1:30">
      <c r="A17" s="681">
        <v>10</v>
      </c>
      <c r="B17" s="976"/>
      <c r="C17" s="978">
        <v>132</v>
      </c>
      <c r="D17" s="972" t="s">
        <v>1366</v>
      </c>
      <c r="E17" s="975" t="s">
        <v>517</v>
      </c>
      <c r="F17" s="975">
        <v>112</v>
      </c>
      <c r="G17" s="975">
        <f>+H17/F17</f>
        <v>599</v>
      </c>
      <c r="H17" s="976">
        <v>67088</v>
      </c>
      <c r="I17" s="101">
        <f t="shared" si="12"/>
        <v>11651.94</v>
      </c>
      <c r="J17" s="101">
        <f t="shared" si="13"/>
        <v>408.6289719136899</v>
      </c>
      <c r="K17" s="683">
        <f t="shared" si="14"/>
        <v>4761320.2630000003</v>
      </c>
      <c r="L17" s="102">
        <v>14</v>
      </c>
      <c r="M17" s="99" t="str">
        <f>+B196</f>
        <v>Tulla</v>
      </c>
      <c r="N17" s="99">
        <f>+I251</f>
        <v>249392</v>
      </c>
      <c r="O17" s="99">
        <f t="shared" ref="O17:P17" si="22">+J251</f>
        <v>25.857232790145634</v>
      </c>
      <c r="P17" s="99">
        <f t="shared" si="22"/>
        <v>6448587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>
        <f t="shared" si="2"/>
        <v>0</v>
      </c>
      <c r="AD17" s="907">
        <f t="shared" si="3"/>
        <v>249392</v>
      </c>
    </row>
    <row r="18" spans="1:30">
      <c r="A18" s="681">
        <v>11</v>
      </c>
      <c r="B18" s="902"/>
      <c r="C18" s="679">
        <v>2.08</v>
      </c>
      <c r="D18" s="682">
        <v>2.08</v>
      </c>
      <c r="E18" s="679" t="s">
        <v>960</v>
      </c>
      <c r="F18" s="679">
        <v>83</v>
      </c>
      <c r="G18" s="679">
        <f t="shared" si="6"/>
        <v>697</v>
      </c>
      <c r="H18" s="679">
        <v>57851</v>
      </c>
      <c r="I18" s="101">
        <f t="shared" si="12"/>
        <v>11734.94</v>
      </c>
      <c r="J18" s="101">
        <f t="shared" si="13"/>
        <v>410.66858995444375</v>
      </c>
      <c r="K18" s="683">
        <f t="shared" si="14"/>
        <v>4819171.2630000003</v>
      </c>
      <c r="L18" s="102">
        <v>15</v>
      </c>
      <c r="M18" s="99" t="str">
        <f>+B253</f>
        <v>Kontrata Noteriale</v>
      </c>
      <c r="N18" s="99">
        <f>+I268</f>
        <v>32</v>
      </c>
      <c r="O18" s="99">
        <f t="shared" ref="O18:P18" si="23">+J268</f>
        <v>16088.541875000001</v>
      </c>
      <c r="P18" s="99">
        <f t="shared" si="23"/>
        <v>514833.34</v>
      </c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>
        <f t="shared" si="2"/>
        <v>0</v>
      </c>
      <c r="AD18" s="907">
        <f t="shared" si="3"/>
        <v>32</v>
      </c>
    </row>
    <row r="19" spans="1:30">
      <c r="A19" s="681">
        <v>12</v>
      </c>
      <c r="B19" s="902"/>
      <c r="C19" s="679">
        <v>882</v>
      </c>
      <c r="D19" s="682">
        <v>1.1000000000000001</v>
      </c>
      <c r="E19" s="679" t="s">
        <v>960</v>
      </c>
      <c r="F19" s="679">
        <v>277</v>
      </c>
      <c r="G19" s="679">
        <f t="shared" si="6"/>
        <v>896</v>
      </c>
      <c r="H19" s="679">
        <v>248192</v>
      </c>
      <c r="I19" s="101">
        <f t="shared" si="12"/>
        <v>12011.94</v>
      </c>
      <c r="J19" s="101">
        <f t="shared" si="13"/>
        <v>421.86052069857158</v>
      </c>
      <c r="K19" s="683">
        <f t="shared" si="14"/>
        <v>5067363.2630000003</v>
      </c>
      <c r="L19" s="102">
        <v>16</v>
      </c>
      <c r="M19" s="99" t="str">
        <f>+B270</f>
        <v>Panela te Medhenj</v>
      </c>
      <c r="N19" s="99">
        <f>+I278</f>
        <v>4</v>
      </c>
      <c r="O19" s="99">
        <f t="shared" ref="O19:P19" si="24">+J278</f>
        <v>3982.5</v>
      </c>
      <c r="P19" s="99">
        <f t="shared" si="24"/>
        <v>15930</v>
      </c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>
        <f t="shared" si="2"/>
        <v>0</v>
      </c>
      <c r="AD19" s="907">
        <f t="shared" si="3"/>
        <v>4</v>
      </c>
    </row>
    <row r="20" spans="1:30">
      <c r="A20" s="681">
        <v>13</v>
      </c>
      <c r="B20" s="902"/>
      <c r="C20" s="679">
        <v>909</v>
      </c>
      <c r="D20" s="682">
        <v>6.1</v>
      </c>
      <c r="E20" s="679" t="s">
        <v>960</v>
      </c>
      <c r="F20" s="679">
        <v>53.6</v>
      </c>
      <c r="G20" s="679">
        <f t="shared" si="6"/>
        <v>1480.5037313432836</v>
      </c>
      <c r="H20" s="679">
        <v>79355</v>
      </c>
      <c r="I20" s="101">
        <f t="shared" si="12"/>
        <v>12065.54</v>
      </c>
      <c r="J20" s="101">
        <f t="shared" si="13"/>
        <v>426.56344125501221</v>
      </c>
      <c r="K20" s="683">
        <f t="shared" si="14"/>
        <v>5146718.2630000003</v>
      </c>
      <c r="L20" s="102">
        <v>17</v>
      </c>
      <c r="M20" s="99" t="str">
        <f>+B280</f>
        <v>Paneal te vegjel</v>
      </c>
      <c r="N20" s="99">
        <f>+I288</f>
        <v>2</v>
      </c>
      <c r="O20" s="99">
        <f t="shared" ref="O20:P20" si="25">+J288</f>
        <v>2969.5</v>
      </c>
      <c r="P20" s="99">
        <f t="shared" si="25"/>
        <v>5939</v>
      </c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>
        <f t="shared" si="2"/>
        <v>0</v>
      </c>
      <c r="AD20" s="907">
        <f t="shared" si="3"/>
        <v>2</v>
      </c>
    </row>
    <row r="21" spans="1:30">
      <c r="A21" s="681">
        <v>14</v>
      </c>
      <c r="B21" s="902"/>
      <c r="C21" s="679">
        <v>948</v>
      </c>
      <c r="D21" s="682">
        <v>15.1</v>
      </c>
      <c r="E21" s="679" t="s">
        <v>960</v>
      </c>
      <c r="F21" s="679">
        <v>232.6</v>
      </c>
      <c r="G21" s="679">
        <f t="shared" si="6"/>
        <v>940</v>
      </c>
      <c r="H21" s="679">
        <v>218644</v>
      </c>
      <c r="I21" s="101">
        <f t="shared" si="12"/>
        <v>12298.140000000001</v>
      </c>
      <c r="J21" s="101">
        <f t="shared" si="13"/>
        <v>436.27428724994184</v>
      </c>
      <c r="K21" s="683">
        <f t="shared" si="14"/>
        <v>5365362.2630000003</v>
      </c>
      <c r="L21" s="102">
        <v>18</v>
      </c>
      <c r="M21" s="99" t="str">
        <f>+B300</f>
        <v>Aksesore Metalik</v>
      </c>
      <c r="N21" s="99">
        <f>+I323</f>
        <v>337</v>
      </c>
      <c r="O21" s="99">
        <f t="shared" ref="O21:P21" si="26">+J323</f>
        <v>239.43620178041542</v>
      </c>
      <c r="P21" s="99">
        <f t="shared" si="26"/>
        <v>80690</v>
      </c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>
        <f t="shared" si="2"/>
        <v>0</v>
      </c>
      <c r="AD21" s="907">
        <f t="shared" si="3"/>
        <v>337</v>
      </c>
    </row>
    <row r="22" spans="1:30">
      <c r="A22" s="681">
        <v>15</v>
      </c>
      <c r="B22" s="902"/>
      <c r="C22" s="679">
        <v>590</v>
      </c>
      <c r="D22" s="682">
        <v>25.1</v>
      </c>
      <c r="E22" s="679" t="s">
        <v>960</v>
      </c>
      <c r="F22" s="679">
        <v>75</v>
      </c>
      <c r="G22" s="679">
        <f t="shared" si="6"/>
        <v>685.52</v>
      </c>
      <c r="H22" s="679">
        <v>51414</v>
      </c>
      <c r="I22" s="101">
        <f t="shared" si="12"/>
        <v>12373.140000000001</v>
      </c>
      <c r="J22" s="101">
        <f t="shared" si="13"/>
        <v>437.78509440610867</v>
      </c>
      <c r="K22" s="683">
        <f t="shared" si="14"/>
        <v>5416776.2630000003</v>
      </c>
      <c r="L22" s="102">
        <v>19</v>
      </c>
      <c r="M22" s="99" t="str">
        <f>+B290</f>
        <v>Aksesor Plastik</v>
      </c>
      <c r="N22" s="99">
        <f>+I298</f>
        <v>140</v>
      </c>
      <c r="O22" s="99">
        <f t="shared" ref="O22:P22" si="27">+J298</f>
        <v>225.8</v>
      </c>
      <c r="P22" s="99">
        <f t="shared" si="27"/>
        <v>31612</v>
      </c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>
        <f t="shared" si="2"/>
        <v>0</v>
      </c>
      <c r="AD22" s="907">
        <f t="shared" si="3"/>
        <v>140</v>
      </c>
    </row>
    <row r="23" spans="1:30">
      <c r="A23" s="681">
        <v>16</v>
      </c>
      <c r="B23" s="902"/>
      <c r="C23" s="679"/>
      <c r="D23" s="682"/>
      <c r="E23" s="679" t="s">
        <v>960</v>
      </c>
      <c r="F23" s="679"/>
      <c r="G23" s="679" t="e">
        <f t="shared" si="6"/>
        <v>#DIV/0!</v>
      </c>
      <c r="H23" s="679"/>
      <c r="I23" s="101">
        <f t="shared" si="12"/>
        <v>12373.140000000001</v>
      </c>
      <c r="J23" s="101">
        <f t="shared" si="13"/>
        <v>437.78509440610867</v>
      </c>
      <c r="K23" s="683">
        <f t="shared" si="14"/>
        <v>5416776.2630000003</v>
      </c>
      <c r="L23" s="102">
        <v>20</v>
      </c>
      <c r="M23" s="99" t="str">
        <f>+B325</f>
        <v>Elektrike</v>
      </c>
      <c r="N23" s="99">
        <f>+I337</f>
        <v>25161</v>
      </c>
      <c r="O23" s="99">
        <f t="shared" ref="O23:P23" si="28">+J337</f>
        <v>96.042985175469965</v>
      </c>
      <c r="P23" s="99">
        <f t="shared" si="28"/>
        <v>2416537.5499999998</v>
      </c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>
        <f t="shared" ref="AC23:AC82" si="29">SUM(Q23:AB23)</f>
        <v>0</v>
      </c>
      <c r="AD23" s="907">
        <f t="shared" si="3"/>
        <v>25161</v>
      </c>
    </row>
    <row r="24" spans="1:30">
      <c r="A24" s="681">
        <v>17</v>
      </c>
      <c r="B24" s="902"/>
      <c r="C24" s="679"/>
      <c r="D24" s="682"/>
      <c r="E24" s="679" t="s">
        <v>960</v>
      </c>
      <c r="F24" s="679"/>
      <c r="G24" s="679" t="e">
        <f t="shared" si="6"/>
        <v>#DIV/0!</v>
      </c>
      <c r="H24" s="679"/>
      <c r="I24" s="101">
        <f t="shared" si="12"/>
        <v>12373.140000000001</v>
      </c>
      <c r="J24" s="101">
        <f t="shared" si="13"/>
        <v>437.78509440610867</v>
      </c>
      <c r="K24" s="683">
        <f t="shared" si="14"/>
        <v>5416776.2630000003</v>
      </c>
      <c r="L24" s="102">
        <v>21</v>
      </c>
      <c r="M24" s="99" t="str">
        <f>+B339</f>
        <v>Gur I prere</v>
      </c>
      <c r="N24" s="99">
        <f>+I347</f>
        <v>544</v>
      </c>
      <c r="O24" s="99">
        <f t="shared" ref="O24:P24" si="30">+J347</f>
        <v>350</v>
      </c>
      <c r="P24" s="99">
        <f t="shared" si="30"/>
        <v>190400</v>
      </c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>
        <f t="shared" si="29"/>
        <v>0</v>
      </c>
      <c r="AD24" s="907">
        <f t="shared" si="3"/>
        <v>544</v>
      </c>
    </row>
    <row r="25" spans="1:30">
      <c r="A25" s="681">
        <v>18</v>
      </c>
      <c r="B25" s="902"/>
      <c r="C25" s="679"/>
      <c r="D25" s="682"/>
      <c r="E25" s="679" t="s">
        <v>960</v>
      </c>
      <c r="F25" s="679"/>
      <c r="G25" s="679" t="e">
        <f t="shared" si="6"/>
        <v>#DIV/0!</v>
      </c>
      <c r="H25" s="679"/>
      <c r="I25" s="101">
        <f t="shared" si="12"/>
        <v>12373.140000000001</v>
      </c>
      <c r="J25" s="101">
        <f t="shared" si="13"/>
        <v>437.78509440610867</v>
      </c>
      <c r="K25" s="683">
        <f t="shared" si="14"/>
        <v>5416776.2630000003</v>
      </c>
      <c r="L25" s="102">
        <v>22</v>
      </c>
      <c r="M25" s="99" t="str">
        <f>+B349</f>
        <v>Rrjete Kantieri</v>
      </c>
      <c r="N25" s="99">
        <f>+I357</f>
        <v>10000</v>
      </c>
      <c r="O25" s="99">
        <f t="shared" ref="O25:P25" si="31">+J357</f>
        <v>30</v>
      </c>
      <c r="P25" s="99">
        <f t="shared" si="31"/>
        <v>300000</v>
      </c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>
        <f t="shared" si="29"/>
        <v>0</v>
      </c>
      <c r="AD25" s="907">
        <f t="shared" si="3"/>
        <v>10000</v>
      </c>
    </row>
    <row r="26" spans="1:30">
      <c r="A26" s="681">
        <v>19</v>
      </c>
      <c r="B26" s="902"/>
      <c r="C26" s="679"/>
      <c r="D26" s="682"/>
      <c r="E26" s="679" t="s">
        <v>960</v>
      </c>
      <c r="F26" s="679"/>
      <c r="G26" s="679" t="e">
        <f t="shared" si="6"/>
        <v>#DIV/0!</v>
      </c>
      <c r="H26" s="679"/>
      <c r="I26" s="101">
        <f t="shared" si="12"/>
        <v>12373.140000000001</v>
      </c>
      <c r="J26" s="101">
        <f t="shared" si="13"/>
        <v>437.78509440610867</v>
      </c>
      <c r="K26" s="683">
        <f t="shared" si="14"/>
        <v>5416776.2630000003</v>
      </c>
      <c r="L26" s="102">
        <v>23</v>
      </c>
      <c r="M26" s="99" t="str">
        <f>+B359</f>
        <v>Hidrosanitare</v>
      </c>
      <c r="N26" s="99">
        <f>+I367</f>
        <v>8571</v>
      </c>
      <c r="O26" s="99">
        <f t="shared" ref="O26:P26" si="32">+J367</f>
        <v>400.72203943530513</v>
      </c>
      <c r="P26" s="99">
        <f t="shared" si="32"/>
        <v>3434588.6</v>
      </c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>
        <f t="shared" si="29"/>
        <v>0</v>
      </c>
      <c r="AD26" s="907">
        <f t="shared" si="3"/>
        <v>8571</v>
      </c>
    </row>
    <row r="27" spans="1:30">
      <c r="A27" s="681">
        <v>20</v>
      </c>
      <c r="B27" s="902"/>
      <c r="C27" s="679"/>
      <c r="D27" s="682"/>
      <c r="E27" s="679" t="s">
        <v>960</v>
      </c>
      <c r="F27" s="679"/>
      <c r="G27" s="679" t="e">
        <f t="shared" si="6"/>
        <v>#DIV/0!</v>
      </c>
      <c r="H27" s="679"/>
      <c r="I27" s="101">
        <f t="shared" si="12"/>
        <v>12373.140000000001</v>
      </c>
      <c r="J27" s="101">
        <f t="shared" si="13"/>
        <v>437.78509440610867</v>
      </c>
      <c r="K27" s="683">
        <f t="shared" si="14"/>
        <v>5416776.2630000003</v>
      </c>
      <c r="L27" s="102">
        <v>24</v>
      </c>
      <c r="M27" s="99" t="str">
        <f>+B369</f>
        <v>Aksesor</v>
      </c>
      <c r="N27" s="99">
        <f>+I377</f>
        <v>100</v>
      </c>
      <c r="O27" s="99">
        <f t="shared" ref="O27:P27" si="33">+J377</f>
        <v>12</v>
      </c>
      <c r="P27" s="99">
        <f t="shared" si="33"/>
        <v>1200</v>
      </c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>
        <f t="shared" si="29"/>
        <v>0</v>
      </c>
      <c r="AD27" s="907">
        <f t="shared" si="3"/>
        <v>100</v>
      </c>
    </row>
    <row r="28" spans="1:30">
      <c r="A28" s="681">
        <v>21</v>
      </c>
      <c r="B28" s="902"/>
      <c r="C28" s="679"/>
      <c r="D28" s="682"/>
      <c r="E28" s="679" t="s">
        <v>960</v>
      </c>
      <c r="F28" s="679"/>
      <c r="G28" s="679" t="e">
        <f t="shared" si="6"/>
        <v>#DIV/0!</v>
      </c>
      <c r="H28" s="679"/>
      <c r="I28" s="101">
        <f t="shared" si="12"/>
        <v>12373.140000000001</v>
      </c>
      <c r="J28" s="101">
        <f t="shared" si="13"/>
        <v>437.78509440610867</v>
      </c>
      <c r="K28" s="683">
        <f t="shared" si="14"/>
        <v>5416776.2630000003</v>
      </c>
      <c r="L28" s="102">
        <v>25</v>
      </c>
      <c r="M28" s="99" t="str">
        <f>+B379</f>
        <v>Grila</v>
      </c>
      <c r="N28" s="99">
        <f>+I387</f>
        <v>253.7</v>
      </c>
      <c r="O28" s="99">
        <f t="shared" ref="O28:P28" si="34">+J387</f>
        <v>5500.3941663381947</v>
      </c>
      <c r="P28" s="99">
        <f t="shared" si="34"/>
        <v>1395450</v>
      </c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>
        <f t="shared" si="29"/>
        <v>0</v>
      </c>
      <c r="AD28" s="907">
        <f t="shared" si="3"/>
        <v>253.7</v>
      </c>
    </row>
    <row r="29" spans="1:30">
      <c r="A29" s="681">
        <v>22</v>
      </c>
      <c r="B29" s="902"/>
      <c r="C29" s="679"/>
      <c r="D29" s="682"/>
      <c r="E29" s="679" t="s">
        <v>960</v>
      </c>
      <c r="F29" s="679"/>
      <c r="G29" s="679" t="e">
        <f t="shared" si="6"/>
        <v>#DIV/0!</v>
      </c>
      <c r="H29" s="679"/>
      <c r="I29" s="101">
        <f t="shared" si="12"/>
        <v>12373.140000000001</v>
      </c>
      <c r="J29" s="101">
        <f t="shared" si="13"/>
        <v>437.78509440610867</v>
      </c>
      <c r="K29" s="683">
        <f t="shared" si="14"/>
        <v>5416776.2630000003</v>
      </c>
      <c r="L29" s="102">
        <v>26</v>
      </c>
      <c r="M29" s="99" t="str">
        <f>+B389</f>
        <v>llastik Xhami</v>
      </c>
      <c r="N29" s="99">
        <f>+I397</f>
        <v>100</v>
      </c>
      <c r="O29" s="99">
        <f t="shared" ref="O29:P29" si="35">+J397</f>
        <v>37</v>
      </c>
      <c r="P29" s="99">
        <f t="shared" si="35"/>
        <v>3700</v>
      </c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>
        <f t="shared" si="29"/>
        <v>0</v>
      </c>
      <c r="AD29" s="907">
        <f t="shared" si="3"/>
        <v>100</v>
      </c>
    </row>
    <row r="30" spans="1:30">
      <c r="A30" s="681">
        <v>23</v>
      </c>
      <c r="B30" s="902"/>
      <c r="C30" s="679"/>
      <c r="D30" s="682"/>
      <c r="E30" s="679" t="s">
        <v>960</v>
      </c>
      <c r="F30" s="679"/>
      <c r="G30" s="679" t="e">
        <f t="shared" si="6"/>
        <v>#DIV/0!</v>
      </c>
      <c r="H30" s="679"/>
      <c r="I30" s="101">
        <f t="shared" si="12"/>
        <v>12373.140000000001</v>
      </c>
      <c r="J30" s="101">
        <f t="shared" si="13"/>
        <v>437.78509440610867</v>
      </c>
      <c r="K30" s="683">
        <f t="shared" si="14"/>
        <v>5416776.2630000003</v>
      </c>
      <c r="L30" s="102">
        <v>27</v>
      </c>
      <c r="M30" s="99" t="str">
        <f>+B399</f>
        <v>Goma</v>
      </c>
      <c r="N30" s="99">
        <f>+I407</f>
        <v>360</v>
      </c>
      <c r="O30" s="99">
        <f t="shared" ref="O30:P30" si="36">+J407</f>
        <v>34.611111111111114</v>
      </c>
      <c r="P30" s="99">
        <f t="shared" si="36"/>
        <v>12460</v>
      </c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>
        <f t="shared" si="29"/>
        <v>0</v>
      </c>
      <c r="AD30" s="907">
        <f t="shared" si="3"/>
        <v>360</v>
      </c>
    </row>
    <row r="31" spans="1:30">
      <c r="A31" s="681">
        <v>24</v>
      </c>
      <c r="B31" s="902"/>
      <c r="C31" s="679"/>
      <c r="D31" s="682"/>
      <c r="E31" s="679" t="s">
        <v>960</v>
      </c>
      <c r="F31" s="679"/>
      <c r="G31" s="679" t="e">
        <f t="shared" si="6"/>
        <v>#DIV/0!</v>
      </c>
      <c r="H31" s="679"/>
      <c r="I31" s="101">
        <f t="shared" si="12"/>
        <v>12373.140000000001</v>
      </c>
      <c r="J31" s="101">
        <f t="shared" si="13"/>
        <v>437.78509440610867</v>
      </c>
      <c r="K31" s="683">
        <f t="shared" si="14"/>
        <v>5416776.2630000003</v>
      </c>
      <c r="L31" s="102">
        <v>28</v>
      </c>
      <c r="M31" s="99" t="str">
        <f>+B409</f>
        <v>Qepen i thjeshte</v>
      </c>
      <c r="N31" s="99">
        <f>+I417</f>
        <v>380.49199999999996</v>
      </c>
      <c r="O31" s="99">
        <f t="shared" ref="O31:P31" si="37">+J417</f>
        <v>2310.3823470664302</v>
      </c>
      <c r="P31" s="99">
        <f t="shared" si="37"/>
        <v>879082</v>
      </c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>
        <f t="shared" si="29"/>
        <v>0</v>
      </c>
      <c r="AD31" s="907">
        <f t="shared" si="3"/>
        <v>380.49199999999996</v>
      </c>
    </row>
    <row r="32" spans="1:30">
      <c r="A32" s="681">
        <v>25</v>
      </c>
      <c r="B32" s="902"/>
      <c r="C32" s="679"/>
      <c r="D32" s="682"/>
      <c r="E32" s="679" t="s">
        <v>960</v>
      </c>
      <c r="F32" s="679"/>
      <c r="G32" s="679" t="e">
        <f t="shared" si="6"/>
        <v>#DIV/0!</v>
      </c>
      <c r="H32" s="679"/>
      <c r="I32" s="101">
        <f t="shared" si="12"/>
        <v>12373.140000000001</v>
      </c>
      <c r="J32" s="101">
        <f t="shared" si="13"/>
        <v>437.78509440610867</v>
      </c>
      <c r="K32" s="683">
        <f t="shared" si="14"/>
        <v>5416776.2630000003</v>
      </c>
      <c r="L32" s="102">
        <v>29</v>
      </c>
      <c r="M32" s="99" t="str">
        <f>+B419</f>
        <v>Kase</v>
      </c>
      <c r="N32" s="99">
        <f>+I427</f>
        <v>124</v>
      </c>
      <c r="O32" s="99">
        <f t="shared" ref="O32:P32" si="38">+J427</f>
        <v>1459.6774193548388</v>
      </c>
      <c r="P32" s="99">
        <f t="shared" si="38"/>
        <v>181000</v>
      </c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>
        <f t="shared" si="29"/>
        <v>0</v>
      </c>
      <c r="AD32" s="907">
        <f t="shared" si="3"/>
        <v>124</v>
      </c>
    </row>
    <row r="33" spans="1:30">
      <c r="A33" s="681">
        <v>26</v>
      </c>
      <c r="B33" s="902"/>
      <c r="C33" s="679"/>
      <c r="D33" s="682"/>
      <c r="E33" s="679" t="s">
        <v>960</v>
      </c>
      <c r="F33" s="679"/>
      <c r="G33" s="679" t="e">
        <f t="shared" si="6"/>
        <v>#DIV/0!</v>
      </c>
      <c r="H33" s="679"/>
      <c r="I33" s="101">
        <f t="shared" si="12"/>
        <v>12373.140000000001</v>
      </c>
      <c r="J33" s="101">
        <f t="shared" si="13"/>
        <v>437.78509440610867</v>
      </c>
      <c r="K33" s="683">
        <f t="shared" si="14"/>
        <v>5416776.2630000003</v>
      </c>
      <c r="L33" s="102">
        <v>30</v>
      </c>
      <c r="M33" s="99" t="str">
        <f>+B429</f>
        <v>Fasheta</v>
      </c>
      <c r="N33" s="99">
        <f>+I437</f>
        <v>6250</v>
      </c>
      <c r="O33" s="99">
        <f t="shared" ref="O33:P33" si="39">+J437</f>
        <v>94.078599999999994</v>
      </c>
      <c r="P33" s="99">
        <f t="shared" si="39"/>
        <v>587991.25</v>
      </c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>
        <f t="shared" si="29"/>
        <v>0</v>
      </c>
      <c r="AD33" s="907">
        <f t="shared" si="3"/>
        <v>6250</v>
      </c>
    </row>
    <row r="34" spans="1:30">
      <c r="A34" s="681">
        <v>27</v>
      </c>
      <c r="B34" s="902"/>
      <c r="C34" s="679"/>
      <c r="D34" s="682"/>
      <c r="E34" s="679" t="s">
        <v>960</v>
      </c>
      <c r="F34" s="679"/>
      <c r="G34" s="679" t="e">
        <f t="shared" si="6"/>
        <v>#DIV/0!</v>
      </c>
      <c r="H34" s="679"/>
      <c r="I34" s="101">
        <f t="shared" si="12"/>
        <v>12373.140000000001</v>
      </c>
      <c r="J34" s="101">
        <f t="shared" si="13"/>
        <v>437.78509440610867</v>
      </c>
      <c r="K34" s="683">
        <f t="shared" si="14"/>
        <v>5416776.2630000003</v>
      </c>
      <c r="L34" s="102">
        <v>31</v>
      </c>
      <c r="M34" s="99" t="str">
        <f>+B439</f>
        <v>Panel Sanduic</v>
      </c>
      <c r="N34" s="99">
        <f>+I447</f>
        <v>7</v>
      </c>
      <c r="O34" s="99">
        <f t="shared" ref="O34:P34" si="40">+J447</f>
        <v>573.57142857142856</v>
      </c>
      <c r="P34" s="99">
        <f t="shared" si="40"/>
        <v>4015</v>
      </c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>
        <f t="shared" si="29"/>
        <v>0</v>
      </c>
      <c r="AD34" s="907">
        <f t="shared" si="3"/>
        <v>7</v>
      </c>
    </row>
    <row r="35" spans="1:30">
      <c r="A35" s="681">
        <v>28</v>
      </c>
      <c r="B35" s="902"/>
      <c r="C35" s="679"/>
      <c r="D35" s="682"/>
      <c r="E35" s="679" t="s">
        <v>960</v>
      </c>
      <c r="F35" s="679"/>
      <c r="G35" s="679" t="e">
        <f t="shared" si="6"/>
        <v>#DIV/0!</v>
      </c>
      <c r="H35" s="679"/>
      <c r="I35" s="101">
        <f t="shared" si="12"/>
        <v>12373.140000000001</v>
      </c>
      <c r="J35" s="101">
        <f t="shared" si="13"/>
        <v>437.78509440610867</v>
      </c>
      <c r="K35" s="683">
        <f t="shared" si="14"/>
        <v>5416776.2630000003</v>
      </c>
      <c r="L35" s="102">
        <v>32</v>
      </c>
      <c r="M35" s="99" t="str">
        <f>+B449</f>
        <v xml:space="preserve">Box </v>
      </c>
      <c r="N35" s="99">
        <f>+I457</f>
        <v>1</v>
      </c>
      <c r="O35" s="99">
        <f t="shared" ref="O35:P35" si="41">+J457</f>
        <v>125400</v>
      </c>
      <c r="P35" s="99">
        <f t="shared" si="41"/>
        <v>125400</v>
      </c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>
        <f t="shared" si="29"/>
        <v>0</v>
      </c>
      <c r="AD35" s="907">
        <f t="shared" si="3"/>
        <v>1</v>
      </c>
    </row>
    <row r="36" spans="1:30">
      <c r="A36" s="681">
        <v>29</v>
      </c>
      <c r="B36" s="903"/>
      <c r="C36" s="894"/>
      <c r="D36" s="895"/>
      <c r="E36" s="894"/>
      <c r="F36" s="894"/>
      <c r="G36" s="894"/>
      <c r="H36" s="894"/>
      <c r="I36" s="896"/>
      <c r="J36" s="896"/>
      <c r="K36" s="897"/>
      <c r="L36" s="102">
        <v>33</v>
      </c>
      <c r="M36" s="99" t="str">
        <f>+B459</f>
        <v>Furcaqe</v>
      </c>
      <c r="N36" s="99">
        <f>+I467</f>
        <v>70</v>
      </c>
      <c r="O36" s="99">
        <f t="shared" ref="O36:P36" si="42">+J467</f>
        <v>156.85714285714286</v>
      </c>
      <c r="P36" s="99">
        <f t="shared" si="42"/>
        <v>10980</v>
      </c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07">
        <f t="shared" si="3"/>
        <v>70</v>
      </c>
    </row>
    <row r="37" spans="1:30">
      <c r="A37" s="681">
        <v>30</v>
      </c>
      <c r="B37" s="904" t="s">
        <v>1229</v>
      </c>
      <c r="C37" s="679">
        <v>568</v>
      </c>
      <c r="D37" s="682">
        <v>10.01</v>
      </c>
      <c r="E37" s="679" t="s">
        <v>961</v>
      </c>
      <c r="F37" s="679">
        <v>400</v>
      </c>
      <c r="G37" s="679">
        <f t="shared" ref="G37:G45" si="43">H37/F37</f>
        <v>60</v>
      </c>
      <c r="H37" s="679">
        <v>24000</v>
      </c>
      <c r="I37" s="101">
        <f t="shared" ref="I37:I38" si="44">+I36+F37</f>
        <v>400</v>
      </c>
      <c r="J37" s="101">
        <f t="shared" ref="J37:J38" si="45">+K37/I37</f>
        <v>60</v>
      </c>
      <c r="K37" s="683">
        <f t="shared" ref="K37:K38" si="46">(+H37+K36)</f>
        <v>24000</v>
      </c>
      <c r="L37" s="102">
        <v>34</v>
      </c>
      <c r="M37" s="99" t="str">
        <f>+B469</f>
        <v>Blindusa</v>
      </c>
      <c r="N37" s="99">
        <f>+I477</f>
        <v>10000</v>
      </c>
      <c r="O37" s="99">
        <f t="shared" ref="O37:P37" si="47">+J477</f>
        <v>50</v>
      </c>
      <c r="P37" s="99">
        <f t="shared" si="47"/>
        <v>500000</v>
      </c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07">
        <f t="shared" si="3"/>
        <v>10000</v>
      </c>
    </row>
    <row r="38" spans="1:30">
      <c r="A38" s="681">
        <v>31</v>
      </c>
      <c r="B38" s="902"/>
      <c r="C38" s="679">
        <v>999</v>
      </c>
      <c r="D38" s="682">
        <v>29.01</v>
      </c>
      <c r="E38" s="679" t="s">
        <v>961</v>
      </c>
      <c r="F38" s="679">
        <v>460</v>
      </c>
      <c r="G38" s="679">
        <f t="shared" si="43"/>
        <v>123</v>
      </c>
      <c r="H38" s="679">
        <v>56580</v>
      </c>
      <c r="I38" s="101">
        <f t="shared" si="44"/>
        <v>860</v>
      </c>
      <c r="J38" s="101">
        <f t="shared" si="45"/>
        <v>93.697674418604649</v>
      </c>
      <c r="K38" s="683">
        <f t="shared" si="46"/>
        <v>80580</v>
      </c>
      <c r="L38" s="102">
        <v>35</v>
      </c>
      <c r="M38" s="99" t="str">
        <f>+B479</f>
        <v>Sherbim  + Auditim</v>
      </c>
      <c r="N38" s="99">
        <f>+I487</f>
        <v>47</v>
      </c>
      <c r="O38" s="99">
        <f t="shared" ref="O38:P38" si="48">+J487</f>
        <v>4432.6170212765956</v>
      </c>
      <c r="P38" s="99">
        <f t="shared" si="48"/>
        <v>208333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07">
        <f t="shared" si="3"/>
        <v>47</v>
      </c>
    </row>
    <row r="39" spans="1:30">
      <c r="A39" s="681">
        <v>32</v>
      </c>
      <c r="B39" s="902"/>
      <c r="C39" s="679"/>
      <c r="D39" s="682"/>
      <c r="E39" s="679"/>
      <c r="F39" s="679"/>
      <c r="G39" s="679" t="e">
        <f t="shared" si="43"/>
        <v>#DIV/0!</v>
      </c>
      <c r="H39" s="679"/>
      <c r="I39" s="101">
        <f t="shared" ref="I39:I45" si="49">+I38+F39</f>
        <v>860</v>
      </c>
      <c r="J39" s="101">
        <f t="shared" ref="J39:J45" si="50">+K39/I39</f>
        <v>93.697674418604649</v>
      </c>
      <c r="K39" s="683">
        <f t="shared" ref="K39:K45" si="51">(+H39+K38)</f>
        <v>80580</v>
      </c>
      <c r="L39" s="102">
        <v>36</v>
      </c>
      <c r="M39" s="99" t="str">
        <f>+B489</f>
        <v>Aksesor Alumini</v>
      </c>
      <c r="N39" s="99">
        <f>+I497</f>
        <v>48</v>
      </c>
      <c r="O39" s="99">
        <f t="shared" ref="O39:P39" si="52">+J497</f>
        <v>495.3125</v>
      </c>
      <c r="P39" s="99">
        <f t="shared" si="52"/>
        <v>23775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07">
        <f t="shared" si="3"/>
        <v>48</v>
      </c>
    </row>
    <row r="40" spans="1:30">
      <c r="A40" s="681">
        <v>33</v>
      </c>
      <c r="B40" s="902"/>
      <c r="C40" s="679"/>
      <c r="D40" s="682"/>
      <c r="E40" s="679"/>
      <c r="F40" s="679"/>
      <c r="G40" s="679" t="e">
        <f t="shared" si="43"/>
        <v>#DIV/0!</v>
      </c>
      <c r="H40" s="679"/>
      <c r="I40" s="101">
        <f t="shared" si="49"/>
        <v>860</v>
      </c>
      <c r="J40" s="101">
        <f t="shared" si="50"/>
        <v>93.697674418604649</v>
      </c>
      <c r="K40" s="683">
        <f t="shared" si="51"/>
        <v>80580</v>
      </c>
      <c r="L40" s="102">
        <v>37</v>
      </c>
      <c r="M40" s="99" t="str">
        <f>+B499</f>
        <v>Boj e pregatitur</v>
      </c>
      <c r="N40" s="99">
        <f>+I507</f>
        <v>1950</v>
      </c>
      <c r="O40" s="99">
        <f t="shared" ref="O40:P40" si="53">+J507</f>
        <v>105.12820512820512</v>
      </c>
      <c r="P40" s="99">
        <f t="shared" si="53"/>
        <v>205000</v>
      </c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07">
        <f t="shared" si="3"/>
        <v>1950</v>
      </c>
    </row>
    <row r="41" spans="1:30">
      <c r="A41" s="681">
        <v>34</v>
      </c>
      <c r="B41" s="902"/>
      <c r="C41" s="679"/>
      <c r="D41" s="682"/>
      <c r="E41" s="679"/>
      <c r="F41" s="679"/>
      <c r="G41" s="679" t="e">
        <f t="shared" si="43"/>
        <v>#DIV/0!</v>
      </c>
      <c r="H41" s="679"/>
      <c r="I41" s="101">
        <f t="shared" si="49"/>
        <v>860</v>
      </c>
      <c r="J41" s="101">
        <f t="shared" si="50"/>
        <v>93.697674418604649</v>
      </c>
      <c r="K41" s="683">
        <f t="shared" si="51"/>
        <v>80580</v>
      </c>
      <c r="L41" s="102">
        <v>38</v>
      </c>
      <c r="M41" s="99">
        <f>+B510</f>
        <v>0</v>
      </c>
      <c r="N41" s="99">
        <f>+I517</f>
        <v>120.2</v>
      </c>
      <c r="O41" s="99">
        <f t="shared" ref="O41:P41" si="54">+J517</f>
        <v>5500</v>
      </c>
      <c r="P41" s="99">
        <f t="shared" si="54"/>
        <v>661100</v>
      </c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07">
        <f t="shared" si="3"/>
        <v>120.2</v>
      </c>
    </row>
    <row r="42" spans="1:30">
      <c r="A42" s="681">
        <v>35</v>
      </c>
      <c r="B42" s="902"/>
      <c r="C42" s="679"/>
      <c r="D42" s="682"/>
      <c r="E42" s="679"/>
      <c r="F42" s="679"/>
      <c r="G42" s="679" t="e">
        <f t="shared" si="43"/>
        <v>#DIV/0!</v>
      </c>
      <c r="H42" s="679"/>
      <c r="I42" s="101">
        <f t="shared" si="49"/>
        <v>860</v>
      </c>
      <c r="J42" s="101">
        <f t="shared" si="50"/>
        <v>93.697674418604649</v>
      </c>
      <c r="K42" s="683">
        <f t="shared" si="51"/>
        <v>80580</v>
      </c>
      <c r="L42" s="102">
        <v>39</v>
      </c>
      <c r="M42" s="99" t="str">
        <f>+B519</f>
        <v>Hekur</v>
      </c>
      <c r="N42" s="99">
        <f>+I527</f>
        <v>35100</v>
      </c>
      <c r="O42" s="99">
        <f t="shared" ref="O42:P42" si="55">+J527</f>
        <v>73.232962962962958</v>
      </c>
      <c r="P42" s="99">
        <f t="shared" si="55"/>
        <v>2570477</v>
      </c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07">
        <f t="shared" si="3"/>
        <v>35100</v>
      </c>
    </row>
    <row r="43" spans="1:30">
      <c r="A43" s="681">
        <v>36</v>
      </c>
      <c r="B43" s="902"/>
      <c r="C43" s="679"/>
      <c r="D43" s="682"/>
      <c r="E43" s="679"/>
      <c r="F43" s="679"/>
      <c r="G43" s="679" t="e">
        <f t="shared" si="43"/>
        <v>#DIV/0!</v>
      </c>
      <c r="H43" s="679"/>
      <c r="I43" s="101">
        <f t="shared" si="49"/>
        <v>860</v>
      </c>
      <c r="J43" s="101">
        <f t="shared" si="50"/>
        <v>93.697674418604649</v>
      </c>
      <c r="K43" s="683">
        <f t="shared" si="51"/>
        <v>80580</v>
      </c>
      <c r="L43" s="102">
        <v>40</v>
      </c>
      <c r="M43" s="99" t="str">
        <f>+B529</f>
        <v>Hidromat</v>
      </c>
      <c r="N43" s="99">
        <f>+I542</f>
        <v>4960</v>
      </c>
      <c r="O43" s="99">
        <f t="shared" ref="O43:P43" si="56">+J542</f>
        <v>82.963709677419359</v>
      </c>
      <c r="P43" s="99">
        <f t="shared" si="56"/>
        <v>411500</v>
      </c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07">
        <f t="shared" si="3"/>
        <v>4960</v>
      </c>
    </row>
    <row r="44" spans="1:30">
      <c r="A44" s="681">
        <v>37</v>
      </c>
      <c r="B44" s="902"/>
      <c r="C44" s="679"/>
      <c r="D44" s="682"/>
      <c r="E44" s="679"/>
      <c r="F44" s="679"/>
      <c r="G44" s="679" t="e">
        <f t="shared" si="43"/>
        <v>#DIV/0!</v>
      </c>
      <c r="H44" s="679"/>
      <c r="I44" s="101">
        <f t="shared" si="49"/>
        <v>860</v>
      </c>
      <c r="J44" s="101">
        <f t="shared" si="50"/>
        <v>93.697674418604649</v>
      </c>
      <c r="K44" s="683">
        <f t="shared" si="51"/>
        <v>80580</v>
      </c>
      <c r="L44" s="102">
        <v>41</v>
      </c>
      <c r="M44" s="99" t="str">
        <f>+B544</f>
        <v>Kite</v>
      </c>
      <c r="N44" s="99">
        <f>+I552</f>
        <v>50</v>
      </c>
      <c r="O44" s="99">
        <f t="shared" ref="O44:P44" si="57">+J552</f>
        <v>14</v>
      </c>
      <c r="P44" s="99">
        <f t="shared" si="57"/>
        <v>700</v>
      </c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07">
        <f t="shared" si="3"/>
        <v>50</v>
      </c>
    </row>
    <row r="45" spans="1:30">
      <c r="A45" s="681">
        <v>38</v>
      </c>
      <c r="B45" s="902"/>
      <c r="C45" s="679"/>
      <c r="D45" s="682"/>
      <c r="E45" s="679"/>
      <c r="F45" s="679"/>
      <c r="G45" s="679" t="e">
        <f t="shared" si="43"/>
        <v>#DIV/0!</v>
      </c>
      <c r="H45" s="679"/>
      <c r="I45" s="101">
        <f t="shared" si="49"/>
        <v>860</v>
      </c>
      <c r="J45" s="101">
        <f t="shared" si="50"/>
        <v>93.697674418604649</v>
      </c>
      <c r="K45" s="683">
        <f t="shared" si="51"/>
        <v>80580</v>
      </c>
      <c r="L45" s="102">
        <v>42</v>
      </c>
      <c r="M45" s="99" t="str">
        <f>+B554</f>
        <v>Komplete Brave</v>
      </c>
      <c r="N45" s="99">
        <f>+I562</f>
        <v>40</v>
      </c>
      <c r="O45" s="99">
        <f t="shared" ref="O45:P45" si="58">+J562</f>
        <v>118.75</v>
      </c>
      <c r="P45" s="99">
        <f t="shared" si="58"/>
        <v>4750</v>
      </c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07">
        <f t="shared" si="3"/>
        <v>40</v>
      </c>
    </row>
    <row r="46" spans="1:30">
      <c r="A46" s="681">
        <v>39</v>
      </c>
      <c r="B46" s="903"/>
      <c r="C46" s="894"/>
      <c r="D46" s="895"/>
      <c r="E46" s="894"/>
      <c r="F46" s="894"/>
      <c r="G46" s="894"/>
      <c r="H46" s="894"/>
      <c r="I46" s="896"/>
      <c r="J46" s="896"/>
      <c r="K46" s="897"/>
      <c r="L46" s="102">
        <v>43</v>
      </c>
      <c r="M46" s="99" t="str">
        <f>+B564</f>
        <v>Lesh Xhami</v>
      </c>
      <c r="N46" s="99">
        <f>+I572</f>
        <v>100</v>
      </c>
      <c r="O46" s="99">
        <f t="shared" ref="O46:P46" si="59">+J572</f>
        <v>166.66</v>
      </c>
      <c r="P46" s="99">
        <f t="shared" si="59"/>
        <v>16666</v>
      </c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07">
        <f t="shared" si="3"/>
        <v>100</v>
      </c>
    </row>
    <row r="47" spans="1:30">
      <c r="A47" s="681">
        <v>40</v>
      </c>
      <c r="B47" s="904" t="s">
        <v>1237</v>
      </c>
      <c r="C47" s="679">
        <v>569</v>
      </c>
      <c r="D47" s="682">
        <v>10.01</v>
      </c>
      <c r="E47" s="679" t="s">
        <v>962</v>
      </c>
      <c r="F47" s="679">
        <v>117</v>
      </c>
      <c r="G47" s="679">
        <f t="shared" ref="G47:G55" si="60">H47/F47</f>
        <v>130</v>
      </c>
      <c r="H47" s="679">
        <v>15210</v>
      </c>
      <c r="I47" s="101">
        <f t="shared" ref="I47:I49" si="61">+I46+F47</f>
        <v>117</v>
      </c>
      <c r="J47" s="101">
        <f t="shared" ref="J47:J49" si="62">+K47/I47</f>
        <v>130</v>
      </c>
      <c r="K47" s="683">
        <f t="shared" ref="K47:K49" si="63">(+H47+K46)</f>
        <v>15210</v>
      </c>
      <c r="L47" s="102">
        <v>44</v>
      </c>
      <c r="M47" s="99" t="str">
        <f>+B574</f>
        <v>Llastik xhami</v>
      </c>
      <c r="N47" s="99">
        <f>+I582</f>
        <v>600</v>
      </c>
      <c r="O47" s="99">
        <f t="shared" ref="O47:P47" si="64">+J582</f>
        <v>34</v>
      </c>
      <c r="P47" s="99">
        <f t="shared" si="64"/>
        <v>20400</v>
      </c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07">
        <f t="shared" si="3"/>
        <v>600</v>
      </c>
    </row>
    <row r="48" spans="1:30">
      <c r="A48" s="681">
        <v>41</v>
      </c>
      <c r="B48" s="902"/>
      <c r="C48" s="679">
        <v>999</v>
      </c>
      <c r="D48" s="682">
        <v>29.01</v>
      </c>
      <c r="E48" s="679" t="s">
        <v>962</v>
      </c>
      <c r="F48" s="679">
        <v>100</v>
      </c>
      <c r="G48" s="679">
        <f t="shared" si="60"/>
        <v>130</v>
      </c>
      <c r="H48" s="679">
        <v>13000</v>
      </c>
      <c r="I48" s="101">
        <f t="shared" si="61"/>
        <v>217</v>
      </c>
      <c r="J48" s="101">
        <f t="shared" si="62"/>
        <v>130</v>
      </c>
      <c r="K48" s="683">
        <f t="shared" si="63"/>
        <v>28210</v>
      </c>
      <c r="L48" s="102">
        <v>45</v>
      </c>
      <c r="M48" s="99" t="str">
        <f>+B584</f>
        <v>Pllaka Gipsi</v>
      </c>
      <c r="N48" s="99">
        <f>+I592</f>
        <v>400</v>
      </c>
      <c r="O48" s="99">
        <f t="shared" ref="O48:P48" si="65">+J592</f>
        <v>200</v>
      </c>
      <c r="P48" s="99">
        <f t="shared" si="65"/>
        <v>80000</v>
      </c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07">
        <f t="shared" si="3"/>
        <v>400</v>
      </c>
    </row>
    <row r="49" spans="1:30" ht="12.75" customHeight="1">
      <c r="A49" s="681">
        <v>42</v>
      </c>
      <c r="B49" s="902"/>
      <c r="C49" s="679"/>
      <c r="D49" s="682"/>
      <c r="E49" s="679"/>
      <c r="F49" s="679"/>
      <c r="G49" s="679" t="e">
        <f t="shared" si="60"/>
        <v>#DIV/0!</v>
      </c>
      <c r="H49" s="679"/>
      <c r="I49" s="101">
        <f t="shared" si="61"/>
        <v>217</v>
      </c>
      <c r="J49" s="101">
        <f t="shared" si="62"/>
        <v>130</v>
      </c>
      <c r="K49" s="683">
        <f t="shared" si="63"/>
        <v>28210</v>
      </c>
      <c r="L49" s="102">
        <v>46</v>
      </c>
      <c r="M49" s="99">
        <f>+B595</f>
        <v>0</v>
      </c>
      <c r="N49" s="99">
        <f>+I602</f>
        <v>672</v>
      </c>
      <c r="O49" s="99">
        <f t="shared" ref="O49:P49" si="66">+J602</f>
        <v>475.76785714285717</v>
      </c>
      <c r="P49" s="99">
        <f t="shared" si="66"/>
        <v>319716</v>
      </c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07">
        <f t="shared" si="3"/>
        <v>672</v>
      </c>
    </row>
    <row r="50" spans="1:30" ht="12.75" customHeight="1">
      <c r="A50" s="681">
        <v>43</v>
      </c>
      <c r="B50" s="902"/>
      <c r="C50" s="679"/>
      <c r="D50" s="682"/>
      <c r="E50" s="679"/>
      <c r="F50" s="679"/>
      <c r="G50" s="679" t="e">
        <f t="shared" si="60"/>
        <v>#DIV/0!</v>
      </c>
      <c r="H50" s="679"/>
      <c r="I50" s="101">
        <f t="shared" ref="I50:I55" si="67">+I49+F50</f>
        <v>217</v>
      </c>
      <c r="J50" s="101">
        <f t="shared" ref="J50:J55" si="68">+K50/I50</f>
        <v>130</v>
      </c>
      <c r="K50" s="683">
        <f t="shared" ref="K50:K55" si="69">(+H50+K49)</f>
        <v>28210</v>
      </c>
      <c r="L50" s="102">
        <v>47</v>
      </c>
      <c r="M50" s="99" t="str">
        <f>+B604</f>
        <v>Profil alumini i pa lyer</v>
      </c>
      <c r="N50" s="99">
        <f>+I612</f>
        <v>755</v>
      </c>
      <c r="O50" s="99">
        <f t="shared" ref="O50:P50" si="70">+J612</f>
        <v>430.15231788079473</v>
      </c>
      <c r="P50" s="99">
        <f t="shared" si="70"/>
        <v>324765</v>
      </c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07">
        <f t="shared" si="3"/>
        <v>755</v>
      </c>
    </row>
    <row r="51" spans="1:30">
      <c r="A51" s="681">
        <v>44</v>
      </c>
      <c r="B51" s="902"/>
      <c r="C51" s="679"/>
      <c r="D51" s="682"/>
      <c r="E51" s="679"/>
      <c r="F51" s="679"/>
      <c r="G51" s="679" t="e">
        <f t="shared" si="60"/>
        <v>#DIV/0!</v>
      </c>
      <c r="H51" s="679"/>
      <c r="I51" s="101">
        <f t="shared" si="67"/>
        <v>217</v>
      </c>
      <c r="J51" s="101">
        <f t="shared" si="68"/>
        <v>130</v>
      </c>
      <c r="K51" s="683">
        <f t="shared" si="69"/>
        <v>28210</v>
      </c>
      <c r="L51" s="102">
        <v>48</v>
      </c>
      <c r="M51" s="99">
        <f>+B617</f>
        <v>0</v>
      </c>
      <c r="N51" s="99">
        <f>+I622</f>
        <v>1080</v>
      </c>
      <c r="O51" s="99">
        <f t="shared" ref="O51:P51" si="71">+J622</f>
        <v>59.666666666666664</v>
      </c>
      <c r="P51" s="99">
        <f t="shared" si="71"/>
        <v>64440</v>
      </c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07">
        <f t="shared" si="3"/>
        <v>1080</v>
      </c>
    </row>
    <row r="52" spans="1:30">
      <c r="A52" s="681">
        <v>45</v>
      </c>
      <c r="B52" s="902"/>
      <c r="C52" s="679"/>
      <c r="D52" s="682"/>
      <c r="E52" s="679"/>
      <c r="F52" s="679"/>
      <c r="G52" s="679" t="e">
        <f t="shared" si="60"/>
        <v>#DIV/0!</v>
      </c>
      <c r="H52" s="679"/>
      <c r="I52" s="101">
        <f t="shared" si="67"/>
        <v>217</v>
      </c>
      <c r="J52" s="101">
        <f t="shared" si="68"/>
        <v>130</v>
      </c>
      <c r="K52" s="683">
        <f t="shared" si="69"/>
        <v>28210</v>
      </c>
      <c r="L52" s="102">
        <v>49</v>
      </c>
      <c r="M52" s="99" t="str">
        <f>+B624</f>
        <v>Profil CD</v>
      </c>
      <c r="N52" s="99">
        <f>+I632</f>
        <v>1570</v>
      </c>
      <c r="O52" s="99">
        <f t="shared" ref="O52:P52" si="72">+J632</f>
        <v>61.570700636942675</v>
      </c>
      <c r="P52" s="99">
        <f t="shared" si="72"/>
        <v>96666</v>
      </c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07">
        <f t="shared" si="3"/>
        <v>1570</v>
      </c>
    </row>
    <row r="53" spans="1:30">
      <c r="A53" s="681">
        <v>46</v>
      </c>
      <c r="B53" s="902"/>
      <c r="C53" s="679"/>
      <c r="D53" s="682"/>
      <c r="E53" s="679"/>
      <c r="F53" s="679"/>
      <c r="G53" s="679" t="e">
        <f t="shared" si="60"/>
        <v>#DIV/0!</v>
      </c>
      <c r="H53" s="679"/>
      <c r="I53" s="101">
        <f t="shared" si="67"/>
        <v>217</v>
      </c>
      <c r="J53" s="101">
        <f t="shared" si="68"/>
        <v>130</v>
      </c>
      <c r="K53" s="683">
        <f t="shared" si="69"/>
        <v>28210</v>
      </c>
      <c r="L53" s="102">
        <v>50</v>
      </c>
      <c r="M53" s="99" t="str">
        <f>+B634</f>
        <v>Profil alumini per grila</v>
      </c>
      <c r="N53" s="99">
        <f>+I642</f>
        <v>217</v>
      </c>
      <c r="O53" s="99">
        <f t="shared" ref="O53:P53" si="73">+J642</f>
        <v>405.5299539170507</v>
      </c>
      <c r="P53" s="99">
        <f t="shared" si="73"/>
        <v>88000</v>
      </c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07">
        <f t="shared" si="3"/>
        <v>217</v>
      </c>
    </row>
    <row r="54" spans="1:30">
      <c r="A54" s="681">
        <v>47</v>
      </c>
      <c r="B54" s="902"/>
      <c r="C54" s="679"/>
      <c r="D54" s="682"/>
      <c r="E54" s="679"/>
      <c r="F54" s="679"/>
      <c r="G54" s="679" t="e">
        <f t="shared" si="60"/>
        <v>#DIV/0!</v>
      </c>
      <c r="H54" s="679"/>
      <c r="I54" s="101">
        <f t="shared" si="67"/>
        <v>217</v>
      </c>
      <c r="J54" s="101">
        <f t="shared" si="68"/>
        <v>130</v>
      </c>
      <c r="K54" s="683">
        <f t="shared" si="69"/>
        <v>28210</v>
      </c>
      <c r="L54" s="102">
        <v>51</v>
      </c>
      <c r="M54" s="99" t="str">
        <f>+B644</f>
        <v>Stuko</v>
      </c>
      <c r="N54" s="99">
        <f>+I652</f>
        <v>120</v>
      </c>
      <c r="O54" s="99">
        <f t="shared" ref="O54:P54" si="74">+J652</f>
        <v>560.54999999999995</v>
      </c>
      <c r="P54" s="99">
        <f t="shared" si="74"/>
        <v>67266</v>
      </c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07">
        <f t="shared" si="3"/>
        <v>120</v>
      </c>
    </row>
    <row r="55" spans="1:30">
      <c r="A55" s="681">
        <v>48</v>
      </c>
      <c r="B55" s="902"/>
      <c r="C55" s="679"/>
      <c r="D55" s="682"/>
      <c r="E55" s="679"/>
      <c r="F55" s="679"/>
      <c r="G55" s="679" t="e">
        <f t="shared" si="60"/>
        <v>#DIV/0!</v>
      </c>
      <c r="H55" s="679"/>
      <c r="I55" s="101">
        <f t="shared" si="67"/>
        <v>217</v>
      </c>
      <c r="J55" s="101">
        <f t="shared" si="68"/>
        <v>130</v>
      </c>
      <c r="K55" s="683">
        <f t="shared" si="69"/>
        <v>28210</v>
      </c>
      <c r="L55" s="102">
        <v>52</v>
      </c>
      <c r="M55" s="99" t="str">
        <f>+B655</f>
        <v>Vida</v>
      </c>
      <c r="N55" s="99">
        <f>+I662</f>
        <v>10</v>
      </c>
      <c r="O55" s="99">
        <f t="shared" ref="O55:P55" si="75">+J662</f>
        <v>500</v>
      </c>
      <c r="P55" s="99">
        <f t="shared" si="75"/>
        <v>5000</v>
      </c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07">
        <f t="shared" si="3"/>
        <v>10</v>
      </c>
    </row>
    <row r="56" spans="1:30">
      <c r="A56" s="681">
        <v>49</v>
      </c>
      <c r="B56" s="903"/>
      <c r="C56" s="894"/>
      <c r="D56" s="895"/>
      <c r="E56" s="894"/>
      <c r="F56" s="894"/>
      <c r="G56" s="894"/>
      <c r="H56" s="894"/>
      <c r="I56" s="896"/>
      <c r="J56" s="896"/>
      <c r="K56" s="897"/>
      <c r="L56" s="102">
        <v>53</v>
      </c>
      <c r="M56" s="99" t="str">
        <f>+B664</f>
        <v>Upa</v>
      </c>
      <c r="N56" s="99">
        <f>+I672</f>
        <v>8</v>
      </c>
      <c r="O56" s="99">
        <f t="shared" ref="O56:P56" si="76">+J672</f>
        <v>583.375</v>
      </c>
      <c r="P56" s="99">
        <f t="shared" si="76"/>
        <v>4667</v>
      </c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07">
        <f t="shared" si="3"/>
        <v>8</v>
      </c>
    </row>
    <row r="57" spans="1:30">
      <c r="A57" s="681">
        <v>50</v>
      </c>
      <c r="B57" s="904" t="s">
        <v>1238</v>
      </c>
      <c r="C57" s="679">
        <v>75</v>
      </c>
      <c r="D57" s="682">
        <v>17.010000000000002</v>
      </c>
      <c r="E57" s="679" t="s">
        <v>910</v>
      </c>
      <c r="F57" s="679">
        <v>29</v>
      </c>
      <c r="G57" s="679">
        <f t="shared" ref="G57:G65" si="77">H57/F57</f>
        <v>6667</v>
      </c>
      <c r="H57" s="679">
        <v>193343</v>
      </c>
      <c r="I57" s="101">
        <f t="shared" ref="I57:I58" si="78">+I56+F57</f>
        <v>29</v>
      </c>
      <c r="J57" s="101">
        <f t="shared" ref="J57:J58" si="79">+K57/I57</f>
        <v>6667</v>
      </c>
      <c r="K57" s="683">
        <f t="shared" ref="K57:K58" si="80">(+H57+K56)</f>
        <v>193343</v>
      </c>
      <c r="L57" s="102">
        <v>54</v>
      </c>
      <c r="M57" s="99" t="str">
        <f>+B674</f>
        <v>Tapablime</v>
      </c>
      <c r="N57" s="99">
        <f>+I682</f>
        <v>90</v>
      </c>
      <c r="O57" s="99">
        <f t="shared" ref="O57:P57" si="81">+J682</f>
        <v>28</v>
      </c>
      <c r="P57" s="99">
        <f t="shared" si="81"/>
        <v>2520</v>
      </c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07">
        <f t="shared" si="3"/>
        <v>90</v>
      </c>
    </row>
    <row r="58" spans="1:30">
      <c r="A58" s="681">
        <v>51</v>
      </c>
      <c r="B58" s="902"/>
      <c r="C58" s="679">
        <v>90</v>
      </c>
      <c r="D58" s="682">
        <v>19.010000000000002</v>
      </c>
      <c r="E58" s="679" t="s">
        <v>910</v>
      </c>
      <c r="F58" s="679">
        <v>86.25</v>
      </c>
      <c r="G58" s="679">
        <f t="shared" si="77"/>
        <v>1916.9971014492753</v>
      </c>
      <c r="H58" s="679">
        <v>165341</v>
      </c>
      <c r="I58" s="101">
        <f t="shared" si="78"/>
        <v>115.25</v>
      </c>
      <c r="J58" s="101">
        <f t="shared" si="79"/>
        <v>3112.2255965292843</v>
      </c>
      <c r="K58" s="683">
        <f t="shared" si="80"/>
        <v>358684</v>
      </c>
      <c r="L58" s="102">
        <v>55</v>
      </c>
      <c r="M58" s="99" t="str">
        <f>+B684</f>
        <v>Sig Prone</v>
      </c>
      <c r="N58" s="99">
        <f>+I692</f>
        <v>1</v>
      </c>
      <c r="O58" s="99">
        <f t="shared" ref="O58:P58" si="82">+J692</f>
        <v>51030</v>
      </c>
      <c r="P58" s="99">
        <f t="shared" si="82"/>
        <v>51030</v>
      </c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07">
        <f t="shared" si="3"/>
        <v>1</v>
      </c>
    </row>
    <row r="59" spans="1:30">
      <c r="A59" s="681">
        <v>52</v>
      </c>
      <c r="B59" s="902"/>
      <c r="C59" s="679"/>
      <c r="D59" s="682"/>
      <c r="E59" s="679"/>
      <c r="F59" s="679"/>
      <c r="G59" s="679" t="e">
        <f t="shared" si="77"/>
        <v>#DIV/0!</v>
      </c>
      <c r="H59" s="679"/>
      <c r="I59" s="101">
        <f t="shared" ref="I59:I65" si="83">+I58+F59</f>
        <v>115.25</v>
      </c>
      <c r="J59" s="101">
        <f t="shared" ref="J59:J65" si="84">+K59/I59</f>
        <v>3112.2255965292843</v>
      </c>
      <c r="K59" s="683">
        <f t="shared" ref="K59:K65" si="85">(+H59+K58)</f>
        <v>358684</v>
      </c>
      <c r="L59" s="102">
        <v>56</v>
      </c>
      <c r="M59" s="99" t="str">
        <f>+B694</f>
        <v>Armature</v>
      </c>
      <c r="N59" s="99">
        <f>+I702</f>
        <v>1585.88</v>
      </c>
      <c r="O59" s="99">
        <f t="shared" ref="O59:P59" si="86">+J702</f>
        <v>759.19993946578552</v>
      </c>
      <c r="P59" s="99">
        <f t="shared" si="86"/>
        <v>1204000</v>
      </c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07">
        <f t="shared" si="3"/>
        <v>1585.88</v>
      </c>
    </row>
    <row r="60" spans="1:30">
      <c r="A60" s="681">
        <v>53</v>
      </c>
      <c r="B60" s="902"/>
      <c r="C60" s="679"/>
      <c r="D60" s="682"/>
      <c r="E60" s="679"/>
      <c r="F60" s="679"/>
      <c r="G60" s="679" t="e">
        <f t="shared" si="77"/>
        <v>#DIV/0!</v>
      </c>
      <c r="H60" s="679"/>
      <c r="I60" s="101">
        <f t="shared" si="83"/>
        <v>115.25</v>
      </c>
      <c r="J60" s="101">
        <f t="shared" si="84"/>
        <v>3112.2255965292843</v>
      </c>
      <c r="K60" s="683">
        <f t="shared" si="85"/>
        <v>358684</v>
      </c>
      <c r="L60" s="102">
        <v>57</v>
      </c>
      <c r="M60" s="99" t="str">
        <f>+B704</f>
        <v>F.V Alumin</v>
      </c>
      <c r="N60" s="99">
        <f>+I712</f>
        <v>29</v>
      </c>
      <c r="O60" s="99">
        <f t="shared" ref="O60:P60" si="87">+J712</f>
        <v>8500</v>
      </c>
      <c r="P60" s="99">
        <f t="shared" si="87"/>
        <v>246500</v>
      </c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07">
        <f t="shared" si="3"/>
        <v>29</v>
      </c>
    </row>
    <row r="61" spans="1:30">
      <c r="A61" s="681">
        <v>54</v>
      </c>
      <c r="B61" s="902"/>
      <c r="C61" s="679"/>
      <c r="D61" s="682"/>
      <c r="E61" s="679"/>
      <c r="F61" s="679"/>
      <c r="G61" s="679" t="e">
        <f t="shared" si="77"/>
        <v>#DIV/0!</v>
      </c>
      <c r="H61" s="679"/>
      <c r="I61" s="101">
        <f t="shared" si="83"/>
        <v>115.25</v>
      </c>
      <c r="J61" s="101">
        <f t="shared" si="84"/>
        <v>3112.2255965292843</v>
      </c>
      <c r="K61" s="683">
        <f t="shared" si="85"/>
        <v>358684</v>
      </c>
      <c r="L61" s="102">
        <v>58</v>
      </c>
      <c r="M61" s="99" t="str">
        <f>+B714</f>
        <v>Beton</v>
      </c>
      <c r="N61" s="99">
        <f>+I722</f>
        <v>222</v>
      </c>
      <c r="O61" s="99">
        <f t="shared" ref="O61:P61" si="88">+J722</f>
        <v>5866</v>
      </c>
      <c r="P61" s="99">
        <f t="shared" si="88"/>
        <v>1302252</v>
      </c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07">
        <f t="shared" si="3"/>
        <v>222</v>
      </c>
    </row>
    <row r="62" spans="1:30">
      <c r="A62" s="681">
        <v>55</v>
      </c>
      <c r="B62" s="902"/>
      <c r="C62" s="679"/>
      <c r="D62" s="682"/>
      <c r="E62" s="679"/>
      <c r="F62" s="679"/>
      <c r="G62" s="679" t="e">
        <f t="shared" si="77"/>
        <v>#DIV/0!</v>
      </c>
      <c r="H62" s="679"/>
      <c r="I62" s="101">
        <f t="shared" si="83"/>
        <v>115.25</v>
      </c>
      <c r="J62" s="101">
        <f t="shared" si="84"/>
        <v>3112.2255965292843</v>
      </c>
      <c r="K62" s="683">
        <f t="shared" si="85"/>
        <v>358684</v>
      </c>
      <c r="L62" s="102">
        <v>59</v>
      </c>
      <c r="M62" s="99" t="str">
        <f>+B724</f>
        <v>Lidhje hekuri</v>
      </c>
      <c r="N62" s="99">
        <f>+I732</f>
        <v>9.8000000000000007</v>
      </c>
      <c r="O62" s="99">
        <f t="shared" ref="O62:P62" si="89">+J732</f>
        <v>10000</v>
      </c>
      <c r="P62" s="99">
        <f t="shared" si="89"/>
        <v>98000</v>
      </c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07">
        <f t="shared" si="3"/>
        <v>9.8000000000000007</v>
      </c>
    </row>
    <row r="63" spans="1:30">
      <c r="A63" s="681">
        <v>56</v>
      </c>
      <c r="B63" s="902"/>
      <c r="C63" s="679"/>
      <c r="D63" s="682"/>
      <c r="E63" s="679"/>
      <c r="F63" s="679"/>
      <c r="G63" s="679" t="e">
        <f t="shared" si="77"/>
        <v>#DIV/0!</v>
      </c>
      <c r="H63" s="679"/>
      <c r="I63" s="101">
        <f t="shared" si="83"/>
        <v>115.25</v>
      </c>
      <c r="J63" s="101">
        <f t="shared" si="84"/>
        <v>3112.2255965292843</v>
      </c>
      <c r="K63" s="683">
        <f t="shared" si="85"/>
        <v>358684</v>
      </c>
      <c r="L63" s="102">
        <v>60</v>
      </c>
      <c r="M63" s="99" t="str">
        <f>+B734</f>
        <v>Grafiaro</v>
      </c>
      <c r="N63" s="99">
        <f>+I742</f>
        <v>35</v>
      </c>
      <c r="O63" s="99">
        <f t="shared" ref="O63:P63" si="90">+J742</f>
        <v>2670</v>
      </c>
      <c r="P63" s="99">
        <f t="shared" si="90"/>
        <v>93450</v>
      </c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07"/>
    </row>
    <row r="64" spans="1:30">
      <c r="A64" s="681">
        <v>57</v>
      </c>
      <c r="B64" s="902"/>
      <c r="C64" s="679"/>
      <c r="D64" s="682"/>
      <c r="E64" s="679"/>
      <c r="F64" s="679"/>
      <c r="G64" s="679" t="e">
        <f t="shared" si="77"/>
        <v>#DIV/0!</v>
      </c>
      <c r="H64" s="679"/>
      <c r="I64" s="101">
        <f t="shared" si="83"/>
        <v>115.25</v>
      </c>
      <c r="J64" s="101">
        <f t="shared" si="84"/>
        <v>3112.2255965292843</v>
      </c>
      <c r="K64" s="683">
        <f t="shared" si="85"/>
        <v>358684</v>
      </c>
      <c r="L64" s="102">
        <v>61</v>
      </c>
      <c r="M64" s="99" t="str">
        <f>+B744</f>
        <v>F.v Boxhit</v>
      </c>
      <c r="N64" s="99">
        <f>+I752</f>
        <v>87.323999999999998</v>
      </c>
      <c r="O64" s="99">
        <f t="shared" ref="O64:P64" si="91">+J752</f>
        <v>7600.0526773853699</v>
      </c>
      <c r="P64" s="99">
        <f t="shared" si="91"/>
        <v>663667</v>
      </c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07"/>
    </row>
    <row r="65" spans="1:32">
      <c r="A65" s="681">
        <v>58</v>
      </c>
      <c r="B65" s="902"/>
      <c r="C65" s="679"/>
      <c r="D65" s="682"/>
      <c r="E65" s="679"/>
      <c r="F65" s="679"/>
      <c r="G65" s="679" t="e">
        <f t="shared" si="77"/>
        <v>#DIV/0!</v>
      </c>
      <c r="H65" s="679"/>
      <c r="I65" s="101">
        <f t="shared" si="83"/>
        <v>115.25</v>
      </c>
      <c r="J65" s="101">
        <f t="shared" si="84"/>
        <v>3112.2255965292843</v>
      </c>
      <c r="K65" s="683">
        <f t="shared" si="85"/>
        <v>358684</v>
      </c>
      <c r="L65" s="102">
        <v>62</v>
      </c>
      <c r="M65" s="99" t="str">
        <f>+B754</f>
        <v>Vleresim Prone</v>
      </c>
      <c r="N65" s="99">
        <f>+I762</f>
        <v>1</v>
      </c>
      <c r="O65" s="99">
        <f t="shared" ref="O65:P65" si="92">+J762</f>
        <v>72000</v>
      </c>
      <c r="P65" s="99">
        <f t="shared" si="92"/>
        <v>72000</v>
      </c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07"/>
    </row>
    <row r="66" spans="1:32">
      <c r="A66" s="681">
        <v>59</v>
      </c>
      <c r="B66" s="903"/>
      <c r="C66" s="894"/>
      <c r="D66" s="895"/>
      <c r="E66" s="894"/>
      <c r="F66" s="894"/>
      <c r="G66" s="894"/>
      <c r="H66" s="894"/>
      <c r="I66" s="896"/>
      <c r="J66" s="896"/>
      <c r="K66" s="897"/>
      <c r="L66" s="102">
        <v>63</v>
      </c>
      <c r="M66" s="99" t="str">
        <f>+B764</f>
        <v>Lavazho+ Fshesa</v>
      </c>
      <c r="N66" s="99">
        <f>+I772</f>
        <v>2</v>
      </c>
      <c r="O66" s="99">
        <f t="shared" ref="O66:P66" si="93">+J772</f>
        <v>89583</v>
      </c>
      <c r="P66" s="99">
        <f t="shared" si="93"/>
        <v>179166</v>
      </c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07"/>
    </row>
    <row r="67" spans="1:32">
      <c r="A67" s="681">
        <v>60</v>
      </c>
      <c r="B67" s="904" t="s">
        <v>1239</v>
      </c>
      <c r="C67" s="679">
        <v>369</v>
      </c>
      <c r="D67" s="682">
        <v>7.01</v>
      </c>
      <c r="E67" s="679" t="s">
        <v>962</v>
      </c>
      <c r="F67" s="679">
        <v>28807</v>
      </c>
      <c r="G67" s="679">
        <f t="shared" ref="G67:G75" si="94">H67/F67</f>
        <v>8.3498802374422887</v>
      </c>
      <c r="H67" s="679">
        <v>240535</v>
      </c>
      <c r="I67" s="101">
        <f t="shared" ref="I67:I68" si="95">+I66+F67</f>
        <v>28807</v>
      </c>
      <c r="J67" s="101">
        <f t="shared" ref="J67:J68" si="96">+K67/I67</f>
        <v>8.3498802374422887</v>
      </c>
      <c r="K67" s="683">
        <f t="shared" ref="K67:K68" si="97">(+H67+K66)</f>
        <v>240535</v>
      </c>
      <c r="L67" s="102">
        <v>64</v>
      </c>
      <c r="M67" s="99" t="str">
        <f>+B774</f>
        <v>Prese Tubosh</v>
      </c>
      <c r="N67" s="99">
        <f>+I782</f>
        <v>3</v>
      </c>
      <c r="O67" s="99">
        <f t="shared" ref="O67:P67" si="98">+J782</f>
        <v>90208</v>
      </c>
      <c r="P67" s="99">
        <f t="shared" si="98"/>
        <v>270624</v>
      </c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07"/>
    </row>
    <row r="68" spans="1:32">
      <c r="A68" s="681">
        <v>61</v>
      </c>
      <c r="B68" s="902"/>
      <c r="C68" s="679">
        <v>374</v>
      </c>
      <c r="D68" s="682">
        <v>11.01</v>
      </c>
      <c r="E68" s="679" t="s">
        <v>962</v>
      </c>
      <c r="F68" s="679">
        <v>23050</v>
      </c>
      <c r="G68" s="679">
        <f t="shared" si="94"/>
        <v>8.3297180043383943</v>
      </c>
      <c r="H68" s="679">
        <v>192000</v>
      </c>
      <c r="I68" s="101">
        <f t="shared" si="95"/>
        <v>51857</v>
      </c>
      <c r="J68" s="101">
        <f t="shared" si="96"/>
        <v>8.3409182945407565</v>
      </c>
      <c r="K68" s="683">
        <f t="shared" si="97"/>
        <v>432535</v>
      </c>
      <c r="L68" s="102">
        <v>65</v>
      </c>
      <c r="M68" s="99" t="str">
        <f>+B794</f>
        <v>Ulluqe + kendore+ bashkues</v>
      </c>
      <c r="N68" s="99">
        <f>+I802</f>
        <v>1090</v>
      </c>
      <c r="O68" s="99">
        <f t="shared" ref="O68:P68" si="99">+J802</f>
        <v>896.13165137614681</v>
      </c>
      <c r="P68" s="99">
        <f t="shared" si="99"/>
        <v>976783.5</v>
      </c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07"/>
    </row>
    <row r="69" spans="1:32">
      <c r="A69" s="681">
        <v>62</v>
      </c>
      <c r="B69" s="902"/>
      <c r="C69" s="679">
        <v>396</v>
      </c>
      <c r="D69" s="682">
        <v>13.02</v>
      </c>
      <c r="E69" s="679" t="s">
        <v>962</v>
      </c>
      <c r="F69" s="679">
        <v>24969</v>
      </c>
      <c r="G69" s="679">
        <f t="shared" si="94"/>
        <v>8.3303296087148055</v>
      </c>
      <c r="H69" s="679">
        <v>208000</v>
      </c>
      <c r="I69" s="101">
        <f t="shared" ref="I69:I75" si="100">+I68+F69</f>
        <v>76826</v>
      </c>
      <c r="J69" s="101">
        <f t="shared" ref="J69:J75" si="101">+K69/I69</f>
        <v>8.3374768958425527</v>
      </c>
      <c r="K69" s="683">
        <f t="shared" ref="K69:K75" si="102">(+H69+K68)</f>
        <v>640535</v>
      </c>
      <c r="L69" s="102">
        <v>66</v>
      </c>
      <c r="M69" s="99" t="str">
        <f>+B804</f>
        <v>Puseta+ Kapake+ Grila plastike</v>
      </c>
      <c r="N69" s="99">
        <f>+I812</f>
        <v>400</v>
      </c>
      <c r="O69" s="99">
        <f t="shared" ref="O69:P69" si="103">+J812</f>
        <v>456.67799999999994</v>
      </c>
      <c r="P69" s="99">
        <f t="shared" si="103"/>
        <v>182671.19999999998</v>
      </c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07"/>
    </row>
    <row r="70" spans="1:32">
      <c r="A70" s="681">
        <v>63</v>
      </c>
      <c r="B70" s="902"/>
      <c r="C70" s="679">
        <v>357</v>
      </c>
      <c r="D70" s="682">
        <v>9.0299999999999994</v>
      </c>
      <c r="E70" s="679" t="s">
        <v>962</v>
      </c>
      <c r="F70" s="679">
        <v>19207</v>
      </c>
      <c r="G70" s="679">
        <f t="shared" si="94"/>
        <v>8.3302962461602537</v>
      </c>
      <c r="H70" s="679">
        <v>160000</v>
      </c>
      <c r="I70" s="101">
        <f t="shared" si="100"/>
        <v>96033</v>
      </c>
      <c r="J70" s="101">
        <f t="shared" si="101"/>
        <v>8.3360407359970008</v>
      </c>
      <c r="K70" s="683">
        <f t="shared" si="102"/>
        <v>800535</v>
      </c>
      <c r="L70" s="102">
        <v>67</v>
      </c>
      <c r="M70" s="99" t="str">
        <f>+B814</f>
        <v>Pllake trotuari</v>
      </c>
      <c r="N70" s="99">
        <f>+I822</f>
        <v>207</v>
      </c>
      <c r="O70" s="99">
        <f t="shared" ref="O70:P70" si="104">+J822</f>
        <v>460</v>
      </c>
      <c r="P70" s="99">
        <f t="shared" si="104"/>
        <v>95220</v>
      </c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07"/>
    </row>
    <row r="71" spans="1:32">
      <c r="A71" s="681">
        <v>64</v>
      </c>
      <c r="B71" s="902"/>
      <c r="C71" s="679">
        <v>484</v>
      </c>
      <c r="D71" s="682">
        <v>29.09</v>
      </c>
      <c r="E71" s="679" t="s">
        <v>962</v>
      </c>
      <c r="F71" s="679">
        <v>9604</v>
      </c>
      <c r="G71" s="679">
        <f t="shared" si="94"/>
        <v>8.3298625572678056</v>
      </c>
      <c r="H71" s="679">
        <v>80000</v>
      </c>
      <c r="I71" s="101">
        <f t="shared" si="100"/>
        <v>105637</v>
      </c>
      <c r="J71" s="101">
        <f t="shared" si="101"/>
        <v>8.3354790461675368</v>
      </c>
      <c r="K71" s="683">
        <f t="shared" si="102"/>
        <v>880535</v>
      </c>
      <c r="L71" s="102">
        <v>68</v>
      </c>
      <c r="M71" s="99" t="str">
        <f>+B824</f>
        <v>Mermer</v>
      </c>
      <c r="N71" s="99">
        <f>+I832</f>
        <v>334</v>
      </c>
      <c r="O71" s="99">
        <f t="shared" ref="O71:P71" si="105">+J832</f>
        <v>1250</v>
      </c>
      <c r="P71" s="99">
        <f t="shared" si="105"/>
        <v>417500</v>
      </c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07">
        <f t="shared" si="3"/>
        <v>334</v>
      </c>
    </row>
    <row r="72" spans="1:32">
      <c r="A72" s="681">
        <v>65</v>
      </c>
      <c r="B72" s="902"/>
      <c r="C72" s="679"/>
      <c r="D72" s="682"/>
      <c r="E72" s="679" t="s">
        <v>962</v>
      </c>
      <c r="F72" s="679"/>
      <c r="G72" s="679" t="e">
        <f t="shared" si="94"/>
        <v>#DIV/0!</v>
      </c>
      <c r="H72" s="679"/>
      <c r="I72" s="101">
        <f t="shared" si="100"/>
        <v>105637</v>
      </c>
      <c r="J72" s="101">
        <f t="shared" si="101"/>
        <v>8.3354790461675368</v>
      </c>
      <c r="K72" s="683">
        <f t="shared" si="102"/>
        <v>880535</v>
      </c>
      <c r="L72" s="102">
        <v>69</v>
      </c>
      <c r="M72" s="99" t="str">
        <f>+B784</f>
        <v>Ngjites Tubi</v>
      </c>
      <c r="N72" s="99">
        <f>+I792</f>
        <v>240</v>
      </c>
      <c r="O72" s="99">
        <f t="shared" ref="O72:P72" si="106">+J792</f>
        <v>1694.9237499999997</v>
      </c>
      <c r="P72" s="99">
        <f t="shared" si="106"/>
        <v>406781.69999999995</v>
      </c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07">
        <f t="shared" si="3"/>
        <v>240</v>
      </c>
    </row>
    <row r="73" spans="1:32">
      <c r="A73" s="681">
        <v>66</v>
      </c>
      <c r="B73" s="902"/>
      <c r="C73" s="679"/>
      <c r="D73" s="682"/>
      <c r="E73" s="679" t="s">
        <v>962</v>
      </c>
      <c r="F73" s="679"/>
      <c r="G73" s="679" t="e">
        <f t="shared" si="94"/>
        <v>#DIV/0!</v>
      </c>
      <c r="H73" s="679"/>
      <c r="I73" s="101">
        <f t="shared" si="100"/>
        <v>105637</v>
      </c>
      <c r="J73" s="101">
        <f t="shared" si="101"/>
        <v>8.3354790461675368</v>
      </c>
      <c r="K73" s="683">
        <f t="shared" si="102"/>
        <v>880535</v>
      </c>
      <c r="L73" s="102">
        <v>70</v>
      </c>
      <c r="M73" s="101" t="str">
        <f>+B834</f>
        <v>Telefoni</v>
      </c>
      <c r="N73" s="101">
        <f>+I842</f>
        <v>1</v>
      </c>
      <c r="O73" s="101">
        <f t="shared" ref="O73:P73" si="107">+J842</f>
        <v>13989.0977</v>
      </c>
      <c r="P73" s="101">
        <f t="shared" si="107"/>
        <v>13989.0977</v>
      </c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221"/>
      <c r="AE73" s="85"/>
      <c r="AF73" s="85"/>
    </row>
    <row r="74" spans="1:32">
      <c r="A74" s="681">
        <v>67</v>
      </c>
      <c r="B74" s="902"/>
      <c r="C74" s="679"/>
      <c r="D74" s="682"/>
      <c r="E74" s="679" t="s">
        <v>962</v>
      </c>
      <c r="F74" s="679"/>
      <c r="G74" s="679" t="e">
        <f t="shared" si="94"/>
        <v>#DIV/0!</v>
      </c>
      <c r="H74" s="679"/>
      <c r="I74" s="101">
        <f t="shared" si="100"/>
        <v>105637</v>
      </c>
      <c r="J74" s="101">
        <f t="shared" si="101"/>
        <v>8.3354790461675368</v>
      </c>
      <c r="K74" s="683">
        <f t="shared" si="102"/>
        <v>880535</v>
      </c>
      <c r="L74" s="102">
        <v>71</v>
      </c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221"/>
      <c r="AE74" s="85"/>
      <c r="AF74" s="85"/>
    </row>
    <row r="75" spans="1:32">
      <c r="A75" s="681">
        <v>68</v>
      </c>
      <c r="B75" s="902"/>
      <c r="C75" s="679"/>
      <c r="D75" s="682"/>
      <c r="E75" s="679"/>
      <c r="F75" s="679"/>
      <c r="G75" s="679" t="e">
        <f t="shared" si="94"/>
        <v>#DIV/0!</v>
      </c>
      <c r="H75" s="679"/>
      <c r="I75" s="101">
        <f t="shared" si="100"/>
        <v>105637</v>
      </c>
      <c r="J75" s="101">
        <f t="shared" si="101"/>
        <v>8.3354790461675368</v>
      </c>
      <c r="K75" s="683">
        <f t="shared" si="102"/>
        <v>880535</v>
      </c>
      <c r="L75" s="102">
        <v>72</v>
      </c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221"/>
      <c r="AE75" s="85"/>
      <c r="AF75" s="85"/>
    </row>
    <row r="76" spans="1:32">
      <c r="A76" s="681">
        <v>69</v>
      </c>
      <c r="B76" s="903"/>
      <c r="C76" s="894"/>
      <c r="D76" s="895"/>
      <c r="E76" s="894"/>
      <c r="F76" s="894"/>
      <c r="G76" s="894"/>
      <c r="H76" s="894"/>
      <c r="I76" s="896"/>
      <c r="J76" s="896"/>
      <c r="K76" s="897"/>
      <c r="L76" s="102">
        <v>73</v>
      </c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221"/>
      <c r="AE76" s="85"/>
      <c r="AF76" s="85"/>
    </row>
    <row r="77" spans="1:32">
      <c r="A77" s="681">
        <v>70</v>
      </c>
      <c r="B77" s="904" t="s">
        <v>1240</v>
      </c>
      <c r="C77" s="679">
        <v>34</v>
      </c>
      <c r="D77" s="682">
        <v>24.01</v>
      </c>
      <c r="E77" s="679" t="s">
        <v>962</v>
      </c>
      <c r="F77" s="679">
        <v>624</v>
      </c>
      <c r="G77" s="679">
        <f t="shared" ref="G77:G100" si="108">H77/F77</f>
        <v>400</v>
      </c>
      <c r="H77" s="679">
        <v>249600</v>
      </c>
      <c r="I77" s="101">
        <f t="shared" ref="I77:I79" si="109">+I76+F77</f>
        <v>624</v>
      </c>
      <c r="J77" s="101">
        <f t="shared" ref="J77:J79" si="110">+K77/I77</f>
        <v>400</v>
      </c>
      <c r="K77" s="683">
        <f t="shared" ref="K77:K79" si="111">(+H77+K76)</f>
        <v>249600</v>
      </c>
      <c r="L77" s="102">
        <v>74</v>
      </c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221"/>
      <c r="AE77" s="85"/>
      <c r="AF77" s="85"/>
    </row>
    <row r="78" spans="1:32">
      <c r="A78" s="681">
        <v>71</v>
      </c>
      <c r="B78" s="902"/>
      <c r="C78" s="679">
        <v>62</v>
      </c>
      <c r="D78" s="682">
        <v>9.02</v>
      </c>
      <c r="E78" s="679" t="s">
        <v>962</v>
      </c>
      <c r="F78" s="679">
        <v>483</v>
      </c>
      <c r="G78" s="679">
        <f t="shared" si="108"/>
        <v>480</v>
      </c>
      <c r="H78" s="679">
        <v>231840</v>
      </c>
      <c r="I78" s="101">
        <f t="shared" si="109"/>
        <v>1107</v>
      </c>
      <c r="J78" s="101">
        <f t="shared" si="110"/>
        <v>434.90514905149053</v>
      </c>
      <c r="K78" s="683">
        <f t="shared" si="111"/>
        <v>481440</v>
      </c>
      <c r="L78" s="102">
        <v>75</v>
      </c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221"/>
      <c r="AE78" s="85"/>
      <c r="AF78" s="85"/>
    </row>
    <row r="79" spans="1:32">
      <c r="A79" s="681">
        <v>72</v>
      </c>
      <c r="B79" s="902"/>
      <c r="C79" s="679">
        <v>146</v>
      </c>
      <c r="D79" s="682">
        <v>26.03</v>
      </c>
      <c r="E79" s="679" t="s">
        <v>962</v>
      </c>
      <c r="F79" s="679">
        <v>146</v>
      </c>
      <c r="G79" s="679">
        <f t="shared" si="108"/>
        <v>445</v>
      </c>
      <c r="H79" s="679">
        <v>64970</v>
      </c>
      <c r="I79" s="101">
        <f t="shared" si="109"/>
        <v>1253</v>
      </c>
      <c r="J79" s="101">
        <f t="shared" si="110"/>
        <v>436.08140462889065</v>
      </c>
      <c r="K79" s="683">
        <f t="shared" si="111"/>
        <v>546410</v>
      </c>
      <c r="L79" s="102">
        <v>76</v>
      </c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221"/>
      <c r="AE79" s="85"/>
      <c r="AF79" s="85"/>
    </row>
    <row r="80" spans="1:32">
      <c r="A80" s="681">
        <v>73</v>
      </c>
      <c r="B80" s="902"/>
      <c r="C80" s="679">
        <v>146</v>
      </c>
      <c r="D80" s="682">
        <v>26.03</v>
      </c>
      <c r="E80" s="679" t="s">
        <v>962</v>
      </c>
      <c r="F80" s="679">
        <v>345</v>
      </c>
      <c r="G80" s="679">
        <f t="shared" si="108"/>
        <v>491</v>
      </c>
      <c r="H80" s="679">
        <v>169395</v>
      </c>
      <c r="I80" s="101">
        <f t="shared" ref="I80:I100" si="112">+I79+F80</f>
        <v>1598</v>
      </c>
      <c r="J80" s="101">
        <f t="shared" ref="J80:J100" si="113">+K80/I80</f>
        <v>447.93804755944933</v>
      </c>
      <c r="K80" s="683">
        <f t="shared" ref="K80:K100" si="114">(+H80+K79)</f>
        <v>715805</v>
      </c>
      <c r="L80" s="102">
        <v>77</v>
      </c>
      <c r="M80" s="99" t="s">
        <v>966</v>
      </c>
      <c r="N80" s="99"/>
      <c r="O80" s="99"/>
      <c r="P80" s="99"/>
      <c r="Q80" s="99">
        <v>2500</v>
      </c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>
        <f t="shared" si="29"/>
        <v>2500</v>
      </c>
      <c r="AD80" s="907">
        <f t="shared" si="3"/>
        <v>-2500</v>
      </c>
    </row>
    <row r="81" spans="1:30">
      <c r="A81" s="681">
        <v>74</v>
      </c>
      <c r="B81" s="902"/>
      <c r="C81" s="679">
        <v>124</v>
      </c>
      <c r="D81" s="682">
        <v>8.0299999999999994</v>
      </c>
      <c r="E81" s="679" t="s">
        <v>962</v>
      </c>
      <c r="F81" s="679">
        <v>459</v>
      </c>
      <c r="G81" s="679">
        <f t="shared" si="108"/>
        <v>491</v>
      </c>
      <c r="H81" s="679">
        <v>225369</v>
      </c>
      <c r="I81" s="101">
        <f t="shared" si="112"/>
        <v>2057</v>
      </c>
      <c r="J81" s="101">
        <f t="shared" si="113"/>
        <v>457.54691298006804</v>
      </c>
      <c r="K81" s="683">
        <f t="shared" si="114"/>
        <v>941174</v>
      </c>
      <c r="L81" s="102">
        <v>78</v>
      </c>
      <c r="M81" s="101" t="s">
        <v>970</v>
      </c>
      <c r="N81" s="99"/>
      <c r="O81" s="99"/>
      <c r="P81" s="99"/>
      <c r="Q81" s="99">
        <v>23</v>
      </c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>
        <f t="shared" si="29"/>
        <v>23</v>
      </c>
      <c r="AD81" s="907">
        <f t="shared" si="3"/>
        <v>-23</v>
      </c>
    </row>
    <row r="82" spans="1:30" ht="13.5" thickBot="1">
      <c r="A82" s="681">
        <v>75</v>
      </c>
      <c r="B82" s="902"/>
      <c r="C82" s="679">
        <v>169</v>
      </c>
      <c r="D82" s="682">
        <v>7.04</v>
      </c>
      <c r="E82" s="679" t="s">
        <v>962</v>
      </c>
      <c r="F82" s="679">
        <v>542</v>
      </c>
      <c r="G82" s="679">
        <f t="shared" si="108"/>
        <v>424</v>
      </c>
      <c r="H82" s="679">
        <v>229808</v>
      </c>
      <c r="I82" s="101">
        <f t="shared" si="112"/>
        <v>2599</v>
      </c>
      <c r="J82" s="101">
        <f t="shared" si="113"/>
        <v>450.55098114659484</v>
      </c>
      <c r="K82" s="683">
        <f t="shared" si="114"/>
        <v>1170982</v>
      </c>
      <c r="L82" s="102">
        <v>79</v>
      </c>
      <c r="M82" s="685" t="s">
        <v>1246</v>
      </c>
      <c r="N82" s="685"/>
      <c r="O82" s="685"/>
      <c r="P82" s="685"/>
      <c r="Q82" s="685">
        <v>789</v>
      </c>
      <c r="R82" s="685"/>
      <c r="S82" s="685"/>
      <c r="T82" s="685"/>
      <c r="U82" s="685"/>
      <c r="V82" s="685"/>
      <c r="W82" s="685"/>
      <c r="X82" s="685"/>
      <c r="Y82" s="685"/>
      <c r="Z82" s="685"/>
      <c r="AA82" s="685"/>
      <c r="AB82" s="685"/>
      <c r="AC82" s="685">
        <f t="shared" si="29"/>
        <v>789</v>
      </c>
      <c r="AD82" s="1214">
        <f t="shared" si="3"/>
        <v>-789</v>
      </c>
    </row>
    <row r="83" spans="1:30">
      <c r="A83" s="681">
        <v>76</v>
      </c>
      <c r="B83" s="902"/>
      <c r="C83" s="679">
        <v>178</v>
      </c>
      <c r="D83" s="682">
        <v>12.04</v>
      </c>
      <c r="E83" s="679" t="s">
        <v>962</v>
      </c>
      <c r="F83" s="679">
        <v>366</v>
      </c>
      <c r="G83" s="679">
        <f t="shared" si="108"/>
        <v>638</v>
      </c>
      <c r="H83" s="679">
        <v>233508</v>
      </c>
      <c r="I83" s="101">
        <f t="shared" si="112"/>
        <v>2965</v>
      </c>
      <c r="J83" s="101">
        <f t="shared" si="113"/>
        <v>473.68971332209105</v>
      </c>
      <c r="K83" s="683">
        <f t="shared" si="114"/>
        <v>1404490</v>
      </c>
      <c r="N83" s="669"/>
      <c r="O83" s="669"/>
      <c r="P83" s="688">
        <f>SUM(P4:P82)</f>
        <v>49896005.660700008</v>
      </c>
    </row>
    <row r="84" spans="1:30">
      <c r="A84" s="681">
        <v>77</v>
      </c>
      <c r="B84" s="902"/>
      <c r="C84" s="679">
        <v>193</v>
      </c>
      <c r="D84" s="682">
        <v>23.04</v>
      </c>
      <c r="E84" s="679" t="s">
        <v>962</v>
      </c>
      <c r="F84" s="679">
        <v>496</v>
      </c>
      <c r="G84" s="679">
        <f t="shared" si="108"/>
        <v>424</v>
      </c>
      <c r="H84" s="679">
        <v>210304</v>
      </c>
      <c r="I84" s="101">
        <f t="shared" si="112"/>
        <v>3461</v>
      </c>
      <c r="J84" s="101">
        <f t="shared" si="113"/>
        <v>466.56862178561107</v>
      </c>
      <c r="K84" s="683">
        <f t="shared" si="114"/>
        <v>1614794</v>
      </c>
      <c r="P84" s="361">
        <f>+S!P20</f>
        <v>49890356.929500006</v>
      </c>
    </row>
    <row r="85" spans="1:30">
      <c r="A85" s="681">
        <v>78</v>
      </c>
      <c r="B85" s="902"/>
      <c r="C85" s="679">
        <v>221</v>
      </c>
      <c r="D85" s="682">
        <v>10.050000000000001</v>
      </c>
      <c r="E85" s="679" t="s">
        <v>962</v>
      </c>
      <c r="F85" s="679">
        <f>245+98</f>
        <v>343</v>
      </c>
      <c r="G85" s="679">
        <f t="shared" si="108"/>
        <v>481.57142857142856</v>
      </c>
      <c r="H85" s="679">
        <f>123235+41944</f>
        <v>165179</v>
      </c>
      <c r="I85" s="101">
        <f t="shared" si="112"/>
        <v>3804</v>
      </c>
      <c r="J85" s="101">
        <f t="shared" si="113"/>
        <v>467.92139852786539</v>
      </c>
      <c r="K85" s="683">
        <f t="shared" si="114"/>
        <v>1779973</v>
      </c>
      <c r="M85" s="361" t="s">
        <v>134</v>
      </c>
      <c r="P85" s="361">
        <f>+P84-P83</f>
        <v>-5648.7312000021338</v>
      </c>
    </row>
    <row r="86" spans="1:30">
      <c r="A86" s="681">
        <v>79</v>
      </c>
      <c r="B86" s="902"/>
      <c r="C86" s="679">
        <v>199</v>
      </c>
      <c r="D86" s="682">
        <v>30.04</v>
      </c>
      <c r="E86" s="679" t="s">
        <v>962</v>
      </c>
      <c r="F86" s="679">
        <v>78</v>
      </c>
      <c r="G86" s="679">
        <f t="shared" si="108"/>
        <v>410</v>
      </c>
      <c r="H86" s="679">
        <v>31980</v>
      </c>
      <c r="I86" s="101">
        <f t="shared" si="112"/>
        <v>3882</v>
      </c>
      <c r="J86" s="101">
        <f t="shared" si="113"/>
        <v>466.75759917568263</v>
      </c>
      <c r="K86" s="683">
        <f t="shared" si="114"/>
        <v>1811953</v>
      </c>
    </row>
    <row r="87" spans="1:30">
      <c r="A87" s="681">
        <v>80</v>
      </c>
      <c r="B87" s="902"/>
      <c r="C87" s="679">
        <v>199</v>
      </c>
      <c r="D87" s="682">
        <v>30.04</v>
      </c>
      <c r="E87" s="679" t="s">
        <v>962</v>
      </c>
      <c r="F87" s="679">
        <v>52</v>
      </c>
      <c r="G87" s="679">
        <f t="shared" si="108"/>
        <v>370</v>
      </c>
      <c r="H87" s="679">
        <v>19240</v>
      </c>
      <c r="I87" s="101">
        <f t="shared" si="112"/>
        <v>3934</v>
      </c>
      <c r="J87" s="101">
        <f t="shared" si="113"/>
        <v>465.47864768683274</v>
      </c>
      <c r="K87" s="683">
        <f t="shared" si="114"/>
        <v>1831193</v>
      </c>
    </row>
    <row r="88" spans="1:30">
      <c r="A88" s="681">
        <v>81</v>
      </c>
      <c r="B88" s="902"/>
      <c r="C88" s="679">
        <v>199</v>
      </c>
      <c r="D88" s="682">
        <v>30.04</v>
      </c>
      <c r="E88" s="679" t="s">
        <v>962</v>
      </c>
      <c r="F88" s="679">
        <v>180</v>
      </c>
      <c r="G88" s="679">
        <f t="shared" si="108"/>
        <v>424</v>
      </c>
      <c r="H88" s="679">
        <v>76320</v>
      </c>
      <c r="I88" s="101">
        <f t="shared" si="112"/>
        <v>4114</v>
      </c>
      <c r="J88" s="101">
        <f t="shared" si="113"/>
        <v>463.66383082158484</v>
      </c>
      <c r="K88" s="683">
        <f t="shared" si="114"/>
        <v>1907513</v>
      </c>
    </row>
    <row r="89" spans="1:30">
      <c r="A89" s="681">
        <v>82</v>
      </c>
      <c r="B89" s="976"/>
      <c r="C89" s="978">
        <v>372</v>
      </c>
      <c r="D89" s="972" t="s">
        <v>1438</v>
      </c>
      <c r="E89" s="975" t="s">
        <v>964</v>
      </c>
      <c r="F89" s="975">
        <v>275</v>
      </c>
      <c r="G89" s="679">
        <f t="shared" si="108"/>
        <v>428</v>
      </c>
      <c r="H89" s="976">
        <v>117700</v>
      </c>
      <c r="I89" s="101">
        <f t="shared" si="112"/>
        <v>4389</v>
      </c>
      <c r="J89" s="101">
        <f t="shared" si="113"/>
        <v>461.42925495557074</v>
      </c>
      <c r="K89" s="683">
        <f t="shared" si="114"/>
        <v>2025213</v>
      </c>
    </row>
    <row r="90" spans="1:30">
      <c r="A90" s="681">
        <v>83</v>
      </c>
      <c r="B90" s="976"/>
      <c r="C90" s="978">
        <v>398</v>
      </c>
      <c r="D90" s="972" t="s">
        <v>1442</v>
      </c>
      <c r="E90" s="975" t="s">
        <v>964</v>
      </c>
      <c r="F90" s="975">
        <v>565</v>
      </c>
      <c r="G90" s="679">
        <f t="shared" si="108"/>
        <v>403</v>
      </c>
      <c r="H90" s="976">
        <v>227695</v>
      </c>
      <c r="I90" s="101">
        <f t="shared" si="112"/>
        <v>4954</v>
      </c>
      <c r="J90" s="101">
        <f t="shared" si="113"/>
        <v>454.76544206701658</v>
      </c>
      <c r="K90" s="683">
        <f t="shared" si="114"/>
        <v>2252908</v>
      </c>
    </row>
    <row r="91" spans="1:30">
      <c r="A91" s="681">
        <v>84</v>
      </c>
      <c r="B91" s="976"/>
      <c r="C91" s="978">
        <v>330</v>
      </c>
      <c r="D91" s="972" t="s">
        <v>1387</v>
      </c>
      <c r="E91" s="975" t="s">
        <v>962</v>
      </c>
      <c r="F91" s="975">
        <v>530</v>
      </c>
      <c r="G91" s="679">
        <f t="shared" si="108"/>
        <v>403</v>
      </c>
      <c r="H91" s="976">
        <v>213590</v>
      </c>
      <c r="I91" s="101">
        <f t="shared" si="112"/>
        <v>5484</v>
      </c>
      <c r="J91" s="101">
        <f t="shared" si="113"/>
        <v>449.76258205689277</v>
      </c>
      <c r="K91" s="683">
        <f t="shared" si="114"/>
        <v>2466498</v>
      </c>
    </row>
    <row r="92" spans="1:30">
      <c r="A92" s="681">
        <v>85</v>
      </c>
      <c r="B92" s="976"/>
      <c r="C92" s="978">
        <v>314</v>
      </c>
      <c r="D92" s="972" t="s">
        <v>1391</v>
      </c>
      <c r="E92" s="975" t="s">
        <v>962</v>
      </c>
      <c r="F92" s="975">
        <v>248</v>
      </c>
      <c r="G92" s="679">
        <f t="shared" si="108"/>
        <v>405</v>
      </c>
      <c r="H92" s="976">
        <v>100440</v>
      </c>
      <c r="I92" s="101">
        <f t="shared" si="112"/>
        <v>5732</v>
      </c>
      <c r="J92" s="101">
        <f t="shared" si="113"/>
        <v>447.82588974180044</v>
      </c>
      <c r="K92" s="683">
        <f t="shared" si="114"/>
        <v>2566938</v>
      </c>
    </row>
    <row r="93" spans="1:30">
      <c r="A93" s="681">
        <v>86</v>
      </c>
      <c r="B93" s="976"/>
      <c r="C93" s="978">
        <v>461</v>
      </c>
      <c r="D93" s="972" t="s">
        <v>1912</v>
      </c>
      <c r="E93" s="975" t="s">
        <v>962</v>
      </c>
      <c r="F93" s="975">
        <v>470</v>
      </c>
      <c r="G93" s="679">
        <f t="shared" si="108"/>
        <v>502</v>
      </c>
      <c r="H93" s="976">
        <v>235940</v>
      </c>
      <c r="I93" s="101">
        <f t="shared" si="112"/>
        <v>6202</v>
      </c>
      <c r="J93" s="101">
        <f t="shared" si="113"/>
        <v>451.93131247984519</v>
      </c>
      <c r="K93" s="683">
        <f t="shared" si="114"/>
        <v>2802878</v>
      </c>
    </row>
    <row r="94" spans="1:30">
      <c r="A94" s="681">
        <v>87</v>
      </c>
      <c r="B94" s="976"/>
      <c r="C94" s="978"/>
      <c r="D94" s="972"/>
      <c r="E94" s="975"/>
      <c r="F94" s="975"/>
      <c r="G94" s="679" t="e">
        <f t="shared" si="108"/>
        <v>#DIV/0!</v>
      </c>
      <c r="H94" s="976"/>
      <c r="I94" s="101">
        <f t="shared" si="112"/>
        <v>6202</v>
      </c>
      <c r="J94" s="101">
        <f t="shared" si="113"/>
        <v>451.93131247984519</v>
      </c>
      <c r="K94" s="683">
        <f t="shared" si="114"/>
        <v>2802878</v>
      </c>
    </row>
    <row r="95" spans="1:30">
      <c r="A95" s="681">
        <v>88</v>
      </c>
      <c r="B95" s="976"/>
      <c r="C95" s="978"/>
      <c r="D95" s="972"/>
      <c r="E95" s="975"/>
      <c r="F95" s="975"/>
      <c r="G95" s="679" t="e">
        <f t="shared" si="108"/>
        <v>#DIV/0!</v>
      </c>
      <c r="H95" s="976"/>
      <c r="I95" s="101">
        <f t="shared" si="112"/>
        <v>6202</v>
      </c>
      <c r="J95" s="101">
        <f t="shared" si="113"/>
        <v>451.93131247984519</v>
      </c>
      <c r="K95" s="683">
        <f t="shared" si="114"/>
        <v>2802878</v>
      </c>
    </row>
    <row r="96" spans="1:30">
      <c r="A96" s="681">
        <v>89</v>
      </c>
      <c r="B96" s="976"/>
      <c r="C96" s="978"/>
      <c r="D96" s="972"/>
      <c r="E96" s="975"/>
      <c r="F96" s="975"/>
      <c r="G96" s="679" t="e">
        <f t="shared" si="108"/>
        <v>#DIV/0!</v>
      </c>
      <c r="H96" s="976"/>
      <c r="I96" s="101">
        <f t="shared" si="112"/>
        <v>6202</v>
      </c>
      <c r="J96" s="101">
        <f t="shared" si="113"/>
        <v>451.93131247984519</v>
      </c>
      <c r="K96" s="683">
        <f t="shared" si="114"/>
        <v>2802878</v>
      </c>
    </row>
    <row r="97" spans="1:11">
      <c r="A97" s="681">
        <v>90</v>
      </c>
      <c r="B97" s="976"/>
      <c r="C97" s="978"/>
      <c r="D97" s="972"/>
      <c r="E97" s="975"/>
      <c r="F97" s="975"/>
      <c r="G97" s="679" t="e">
        <f t="shared" si="108"/>
        <v>#DIV/0!</v>
      </c>
      <c r="H97" s="976"/>
      <c r="I97" s="101">
        <f t="shared" si="112"/>
        <v>6202</v>
      </c>
      <c r="J97" s="101">
        <f t="shared" si="113"/>
        <v>451.93131247984519</v>
      </c>
      <c r="K97" s="683">
        <f t="shared" si="114"/>
        <v>2802878</v>
      </c>
    </row>
    <row r="98" spans="1:11">
      <c r="A98" s="681">
        <v>91</v>
      </c>
      <c r="B98" s="976"/>
      <c r="C98" s="978"/>
      <c r="D98" s="972"/>
      <c r="E98" s="975"/>
      <c r="F98" s="975"/>
      <c r="G98" s="679" t="e">
        <f t="shared" si="108"/>
        <v>#DIV/0!</v>
      </c>
      <c r="H98" s="976"/>
      <c r="I98" s="101">
        <f t="shared" si="112"/>
        <v>6202</v>
      </c>
      <c r="J98" s="101">
        <f t="shared" si="113"/>
        <v>451.93131247984519</v>
      </c>
      <c r="K98" s="683">
        <f t="shared" si="114"/>
        <v>2802878</v>
      </c>
    </row>
    <row r="99" spans="1:11">
      <c r="A99" s="681">
        <v>92</v>
      </c>
      <c r="B99" s="976"/>
      <c r="C99" s="978"/>
      <c r="D99" s="972"/>
      <c r="E99" s="975"/>
      <c r="F99" s="975"/>
      <c r="G99" s="679" t="e">
        <f t="shared" si="108"/>
        <v>#DIV/0!</v>
      </c>
      <c r="H99" s="976"/>
      <c r="I99" s="101">
        <f t="shared" si="112"/>
        <v>6202</v>
      </c>
      <c r="J99" s="101">
        <f t="shared" si="113"/>
        <v>451.93131247984519</v>
      </c>
      <c r="K99" s="683">
        <f t="shared" si="114"/>
        <v>2802878</v>
      </c>
    </row>
    <row r="100" spans="1:11">
      <c r="A100" s="681">
        <v>93</v>
      </c>
      <c r="B100" s="976"/>
      <c r="C100" s="978"/>
      <c r="D100" s="972"/>
      <c r="E100" s="975"/>
      <c r="F100" s="975"/>
      <c r="G100" s="679" t="e">
        <f t="shared" si="108"/>
        <v>#DIV/0!</v>
      </c>
      <c r="H100" s="976"/>
      <c r="I100" s="101">
        <f t="shared" si="112"/>
        <v>6202</v>
      </c>
      <c r="J100" s="101">
        <f t="shared" si="113"/>
        <v>451.93131247984519</v>
      </c>
      <c r="K100" s="683">
        <f t="shared" si="114"/>
        <v>2802878</v>
      </c>
    </row>
    <row r="101" spans="1:11">
      <c r="A101" s="681">
        <v>94</v>
      </c>
      <c r="B101" s="903"/>
      <c r="C101" s="894"/>
      <c r="D101" s="895"/>
      <c r="E101" s="894"/>
      <c r="F101" s="894"/>
      <c r="G101" s="894"/>
      <c r="H101" s="894"/>
      <c r="I101" s="896"/>
      <c r="J101" s="896"/>
      <c r="K101" s="897"/>
    </row>
    <row r="102" spans="1:11">
      <c r="A102" s="681">
        <v>95</v>
      </c>
      <c r="B102" s="904" t="s">
        <v>914</v>
      </c>
      <c r="C102" s="679">
        <v>10</v>
      </c>
      <c r="D102" s="682">
        <v>26.01</v>
      </c>
      <c r="E102" s="679" t="s">
        <v>911</v>
      </c>
      <c r="F102" s="679">
        <v>32</v>
      </c>
      <c r="G102" s="679">
        <f t="shared" ref="G102:G115" si="115">H102/F102</f>
        <v>8000</v>
      </c>
      <c r="H102" s="679">
        <v>256000</v>
      </c>
      <c r="I102" s="101">
        <f t="shared" ref="I102:I106" si="116">+I101+F102</f>
        <v>32</v>
      </c>
      <c r="J102" s="101">
        <f t="shared" ref="J102:J106" si="117">+K102/I102</f>
        <v>8000</v>
      </c>
      <c r="K102" s="683">
        <f t="shared" ref="K102:K106" si="118">(+H102+K101)</f>
        <v>256000</v>
      </c>
    </row>
    <row r="103" spans="1:11">
      <c r="A103" s="681">
        <v>96</v>
      </c>
      <c r="B103" s="902"/>
      <c r="C103" s="679" t="s">
        <v>1250</v>
      </c>
      <c r="D103" s="682">
        <v>10.02</v>
      </c>
      <c r="E103" s="679" t="s">
        <v>911</v>
      </c>
      <c r="F103" s="679">
        <v>33</v>
      </c>
      <c r="G103" s="679">
        <f t="shared" si="115"/>
        <v>7666.9321212121213</v>
      </c>
      <c r="H103" s="679">
        <v>253008.76</v>
      </c>
      <c r="I103" s="101">
        <f t="shared" si="116"/>
        <v>65</v>
      </c>
      <c r="J103" s="101">
        <f t="shared" si="117"/>
        <v>7830.9040000000005</v>
      </c>
      <c r="K103" s="683">
        <f t="shared" si="118"/>
        <v>509008.76</v>
      </c>
    </row>
    <row r="104" spans="1:11">
      <c r="A104" s="681">
        <v>97</v>
      </c>
      <c r="B104" s="902"/>
      <c r="C104" s="679">
        <v>34</v>
      </c>
      <c r="D104" s="682">
        <v>29.03</v>
      </c>
      <c r="E104" s="679" t="s">
        <v>911</v>
      </c>
      <c r="F104" s="679">
        <v>2</v>
      </c>
      <c r="G104" s="679">
        <f t="shared" si="115"/>
        <v>17000</v>
      </c>
      <c r="H104" s="679">
        <v>34000</v>
      </c>
      <c r="I104" s="101">
        <f t="shared" si="116"/>
        <v>67</v>
      </c>
      <c r="J104" s="101">
        <f t="shared" si="117"/>
        <v>8104.608358208955</v>
      </c>
      <c r="K104" s="683">
        <f t="shared" si="118"/>
        <v>543008.76</v>
      </c>
    </row>
    <row r="105" spans="1:11">
      <c r="A105" s="681">
        <v>98</v>
      </c>
      <c r="B105" s="902"/>
      <c r="C105" s="679">
        <v>30</v>
      </c>
      <c r="D105" s="682">
        <v>28.03</v>
      </c>
      <c r="E105" s="679" t="s">
        <v>911</v>
      </c>
      <c r="F105" s="679">
        <v>3</v>
      </c>
      <c r="G105" s="679">
        <f t="shared" si="115"/>
        <v>15000</v>
      </c>
      <c r="H105" s="679">
        <v>45000</v>
      </c>
      <c r="I105" s="101">
        <f t="shared" si="116"/>
        <v>70</v>
      </c>
      <c r="J105" s="101">
        <f t="shared" si="117"/>
        <v>8400.1251428571431</v>
      </c>
      <c r="K105" s="683">
        <f t="shared" si="118"/>
        <v>588008.76</v>
      </c>
    </row>
    <row r="106" spans="1:11">
      <c r="A106" s="681">
        <v>99</v>
      </c>
      <c r="B106" s="902"/>
      <c r="C106" s="679"/>
      <c r="D106" s="682">
        <v>18.04</v>
      </c>
      <c r="E106" s="679" t="s">
        <v>911</v>
      </c>
      <c r="F106" s="679">
        <v>36</v>
      </c>
      <c r="G106" s="679">
        <f t="shared" si="115"/>
        <v>7166.666666666667</v>
      </c>
      <c r="H106" s="679">
        <v>258000</v>
      </c>
      <c r="I106" s="101">
        <f t="shared" si="116"/>
        <v>106</v>
      </c>
      <c r="J106" s="101">
        <f t="shared" si="117"/>
        <v>7981.2147169811324</v>
      </c>
      <c r="K106" s="683">
        <f t="shared" si="118"/>
        <v>846008.76</v>
      </c>
    </row>
    <row r="107" spans="1:11">
      <c r="A107" s="681">
        <v>100</v>
      </c>
      <c r="B107" s="976"/>
      <c r="C107" s="978">
        <v>169</v>
      </c>
      <c r="D107" s="972" t="s">
        <v>1347</v>
      </c>
      <c r="E107" s="679" t="s">
        <v>911</v>
      </c>
      <c r="F107" s="975">
        <v>19.96</v>
      </c>
      <c r="G107" s="679">
        <f t="shared" si="115"/>
        <v>8350</v>
      </c>
      <c r="H107" s="976">
        <v>166666</v>
      </c>
      <c r="I107" s="101">
        <f t="shared" ref="I107:I115" si="119">+I106+F107</f>
        <v>125.96000000000001</v>
      </c>
      <c r="J107" s="101">
        <f t="shared" ref="J107:J115" si="120">+K107/I107</f>
        <v>8039.6535408066047</v>
      </c>
      <c r="K107" s="683">
        <f t="shared" ref="K107:K115" si="121">(+H107+K106)</f>
        <v>1012674.76</v>
      </c>
    </row>
    <row r="108" spans="1:11">
      <c r="A108" s="681">
        <v>101</v>
      </c>
      <c r="B108" s="902"/>
      <c r="C108" s="679">
        <v>62</v>
      </c>
      <c r="D108" s="682">
        <v>4.08</v>
      </c>
      <c r="E108" s="679" t="s">
        <v>911</v>
      </c>
      <c r="F108" s="679">
        <v>35.200000000000003</v>
      </c>
      <c r="G108" s="679">
        <f t="shared" si="115"/>
        <v>7499.9999999999991</v>
      </c>
      <c r="H108" s="679">
        <v>264000</v>
      </c>
      <c r="I108" s="101">
        <f t="shared" si="119"/>
        <v>161.16000000000003</v>
      </c>
      <c r="J108" s="101">
        <f t="shared" si="120"/>
        <v>7921.7843137254886</v>
      </c>
      <c r="K108" s="683">
        <f t="shared" si="121"/>
        <v>1276674.76</v>
      </c>
    </row>
    <row r="109" spans="1:11">
      <c r="A109" s="681">
        <v>102</v>
      </c>
      <c r="B109" s="902"/>
      <c r="C109" s="679">
        <v>63</v>
      </c>
      <c r="D109" s="682">
        <v>4.08</v>
      </c>
      <c r="E109" s="679" t="s">
        <v>911</v>
      </c>
      <c r="F109" s="679">
        <v>35.200000000000003</v>
      </c>
      <c r="G109" s="679">
        <f t="shared" si="115"/>
        <v>7499.9999999999991</v>
      </c>
      <c r="H109" s="679">
        <v>264000</v>
      </c>
      <c r="I109" s="101">
        <f t="shared" si="119"/>
        <v>196.36</v>
      </c>
      <c r="J109" s="101">
        <f t="shared" si="120"/>
        <v>7846.1741698920341</v>
      </c>
      <c r="K109" s="683">
        <f t="shared" si="121"/>
        <v>1540674.76</v>
      </c>
    </row>
    <row r="110" spans="1:11">
      <c r="A110" s="681">
        <v>103</v>
      </c>
      <c r="B110" s="902"/>
      <c r="C110" s="679">
        <v>5738</v>
      </c>
      <c r="D110" s="682">
        <v>31.08</v>
      </c>
      <c r="E110" s="679" t="s">
        <v>911</v>
      </c>
      <c r="F110" s="679">
        <v>33.799999999999997</v>
      </c>
      <c r="G110" s="679">
        <f t="shared" si="115"/>
        <v>6917.5902366863911</v>
      </c>
      <c r="H110" s="679">
        <v>233814.55</v>
      </c>
      <c r="I110" s="101">
        <f t="shared" si="119"/>
        <v>230.16000000000003</v>
      </c>
      <c r="J110" s="101">
        <f t="shared" si="120"/>
        <v>7709.8075686478969</v>
      </c>
      <c r="K110" s="683">
        <f t="shared" si="121"/>
        <v>1774489.31</v>
      </c>
    </row>
    <row r="111" spans="1:11">
      <c r="A111" s="681">
        <v>104</v>
      </c>
      <c r="B111" s="902"/>
      <c r="C111" s="679">
        <v>536</v>
      </c>
      <c r="D111" s="682">
        <v>7.11</v>
      </c>
      <c r="E111" s="679" t="s">
        <v>911</v>
      </c>
      <c r="F111" s="679">
        <v>35.200000000000003</v>
      </c>
      <c r="G111" s="679">
        <f t="shared" si="115"/>
        <v>7499.9999999999991</v>
      </c>
      <c r="H111" s="679">
        <v>264000</v>
      </c>
      <c r="I111" s="101">
        <f t="shared" si="119"/>
        <v>265.36</v>
      </c>
      <c r="J111" s="101">
        <f t="shared" si="120"/>
        <v>7681.9765978293635</v>
      </c>
      <c r="K111" s="683">
        <f t="shared" si="121"/>
        <v>2038489.31</v>
      </c>
    </row>
    <row r="112" spans="1:11">
      <c r="A112" s="681">
        <v>105</v>
      </c>
      <c r="B112" s="902"/>
      <c r="C112" s="679">
        <v>599</v>
      </c>
      <c r="D112" s="682">
        <v>19.12</v>
      </c>
      <c r="E112" s="679" t="s">
        <v>911</v>
      </c>
      <c r="F112" s="679">
        <v>34.74</v>
      </c>
      <c r="G112" s="679">
        <f t="shared" si="115"/>
        <v>7600.0575705238916</v>
      </c>
      <c r="H112" s="679">
        <v>264026</v>
      </c>
      <c r="I112" s="101">
        <f t="shared" si="119"/>
        <v>300.10000000000002</v>
      </c>
      <c r="J112" s="101">
        <f t="shared" si="120"/>
        <v>7672.49353548817</v>
      </c>
      <c r="K112" s="683">
        <f t="shared" si="121"/>
        <v>2302515.31</v>
      </c>
    </row>
    <row r="113" spans="1:11">
      <c r="A113" s="681">
        <v>106</v>
      </c>
      <c r="B113" s="902"/>
      <c r="C113" s="679"/>
      <c r="D113" s="682"/>
      <c r="E113" s="679" t="s">
        <v>911</v>
      </c>
      <c r="F113" s="679"/>
      <c r="G113" s="679" t="e">
        <f t="shared" si="115"/>
        <v>#DIV/0!</v>
      </c>
      <c r="H113" s="679"/>
      <c r="I113" s="101">
        <f t="shared" si="119"/>
        <v>300.10000000000002</v>
      </c>
      <c r="J113" s="101">
        <f t="shared" si="120"/>
        <v>7672.49353548817</v>
      </c>
      <c r="K113" s="683">
        <f t="shared" si="121"/>
        <v>2302515.31</v>
      </c>
    </row>
    <row r="114" spans="1:11">
      <c r="A114" s="681">
        <v>107</v>
      </c>
      <c r="B114" s="902"/>
      <c r="C114" s="679"/>
      <c r="D114" s="682"/>
      <c r="E114" s="679" t="s">
        <v>911</v>
      </c>
      <c r="F114" s="679"/>
      <c r="G114" s="679" t="e">
        <f t="shared" si="115"/>
        <v>#DIV/0!</v>
      </c>
      <c r="H114" s="679"/>
      <c r="I114" s="101">
        <f t="shared" si="119"/>
        <v>300.10000000000002</v>
      </c>
      <c r="J114" s="101">
        <f t="shared" si="120"/>
        <v>7672.49353548817</v>
      </c>
      <c r="K114" s="683">
        <f t="shared" si="121"/>
        <v>2302515.31</v>
      </c>
    </row>
    <row r="115" spans="1:11">
      <c r="A115" s="681">
        <v>108</v>
      </c>
      <c r="B115" s="902"/>
      <c r="C115" s="679"/>
      <c r="D115" s="682"/>
      <c r="E115" s="679" t="s">
        <v>911</v>
      </c>
      <c r="F115" s="679"/>
      <c r="G115" s="679" t="e">
        <f t="shared" si="115"/>
        <v>#DIV/0!</v>
      </c>
      <c r="H115" s="679"/>
      <c r="I115" s="101">
        <f t="shared" si="119"/>
        <v>300.10000000000002</v>
      </c>
      <c r="J115" s="101">
        <f t="shared" si="120"/>
        <v>7672.49353548817</v>
      </c>
      <c r="K115" s="683">
        <f t="shared" si="121"/>
        <v>2302515.31</v>
      </c>
    </row>
    <row r="116" spans="1:11" ht="12.75" customHeight="1">
      <c r="A116" s="681">
        <v>109</v>
      </c>
      <c r="B116" s="903"/>
      <c r="C116" s="894"/>
      <c r="D116" s="895"/>
      <c r="E116" s="894"/>
      <c r="F116" s="894"/>
      <c r="G116" s="894"/>
      <c r="H116" s="894"/>
      <c r="I116" s="896"/>
      <c r="J116" s="896"/>
      <c r="K116" s="897"/>
    </row>
    <row r="117" spans="1:11" ht="12.75" customHeight="1">
      <c r="A117" s="681">
        <v>110</v>
      </c>
      <c r="B117" s="904" t="s">
        <v>1241</v>
      </c>
      <c r="C117" s="679">
        <v>13</v>
      </c>
      <c r="D117" s="682">
        <v>15.01</v>
      </c>
      <c r="E117" s="679" t="s">
        <v>962</v>
      </c>
      <c r="F117" s="679">
        <f>200+400+400+400</f>
        <v>1400</v>
      </c>
      <c r="G117" s="679">
        <f t="shared" ref="G117:G125" si="122">H117/F117</f>
        <v>75.714285714285708</v>
      </c>
      <c r="H117" s="679">
        <v>106000</v>
      </c>
      <c r="I117" s="101">
        <f t="shared" ref="I117:I125" si="123">+I116+F117</f>
        <v>1400</v>
      </c>
      <c r="J117" s="101">
        <f t="shared" ref="J117:J125" si="124">+K117/I117</f>
        <v>75.714285714285708</v>
      </c>
      <c r="K117" s="683">
        <f t="shared" ref="K117:K125" si="125">(+H117+K116)</f>
        <v>106000</v>
      </c>
    </row>
    <row r="118" spans="1:11">
      <c r="A118" s="681">
        <v>111</v>
      </c>
      <c r="B118" s="902"/>
      <c r="C118" s="679">
        <v>65</v>
      </c>
      <c r="D118" s="682">
        <v>28.02</v>
      </c>
      <c r="E118" s="679" t="s">
        <v>962</v>
      </c>
      <c r="F118" s="679">
        <f>300+500+300</f>
        <v>1100</v>
      </c>
      <c r="G118" s="679">
        <f t="shared" si="122"/>
        <v>76.36363636363636</v>
      </c>
      <c r="H118" s="679">
        <v>84000</v>
      </c>
      <c r="I118" s="101">
        <f t="shared" si="123"/>
        <v>2500</v>
      </c>
      <c r="J118" s="101">
        <f t="shared" si="124"/>
        <v>76</v>
      </c>
      <c r="K118" s="683">
        <f t="shared" si="125"/>
        <v>190000</v>
      </c>
    </row>
    <row r="119" spans="1:11">
      <c r="A119" s="681">
        <v>112</v>
      </c>
      <c r="B119" s="902"/>
      <c r="C119" s="679">
        <v>115</v>
      </c>
      <c r="D119" s="682">
        <v>1.04</v>
      </c>
      <c r="E119" s="679" t="s">
        <v>962</v>
      </c>
      <c r="F119" s="679">
        <f>1000+100+400</f>
        <v>1500</v>
      </c>
      <c r="G119" s="679">
        <f t="shared" si="122"/>
        <v>60.666666666666664</v>
      </c>
      <c r="H119" s="679">
        <v>91000</v>
      </c>
      <c r="I119" s="101">
        <f t="shared" si="123"/>
        <v>4000</v>
      </c>
      <c r="J119" s="101">
        <f t="shared" si="124"/>
        <v>70.25</v>
      </c>
      <c r="K119" s="683">
        <f t="shared" si="125"/>
        <v>281000</v>
      </c>
    </row>
    <row r="120" spans="1:11">
      <c r="A120" s="681">
        <v>113</v>
      </c>
      <c r="B120" s="902"/>
      <c r="C120" s="679">
        <v>182</v>
      </c>
      <c r="D120" s="682">
        <v>10.050000000000001</v>
      </c>
      <c r="E120" s="679" t="s">
        <v>1283</v>
      </c>
      <c r="F120" s="679">
        <f>600+400+200</f>
        <v>1200</v>
      </c>
      <c r="G120" s="679">
        <f t="shared" si="122"/>
        <v>85</v>
      </c>
      <c r="H120" s="679">
        <v>102000</v>
      </c>
      <c r="I120" s="101">
        <f t="shared" si="123"/>
        <v>5200</v>
      </c>
      <c r="J120" s="101">
        <f t="shared" si="124"/>
        <v>73.65384615384616</v>
      </c>
      <c r="K120" s="683">
        <f t="shared" si="125"/>
        <v>383000</v>
      </c>
    </row>
    <row r="121" spans="1:11">
      <c r="A121" s="681">
        <v>114</v>
      </c>
      <c r="B121" s="902"/>
      <c r="C121" s="679">
        <v>476</v>
      </c>
      <c r="D121" s="682">
        <v>27.1</v>
      </c>
      <c r="E121" s="679" t="s">
        <v>1283</v>
      </c>
      <c r="F121" s="679">
        <v>437</v>
      </c>
      <c r="G121" s="679">
        <f t="shared" si="122"/>
        <v>100</v>
      </c>
      <c r="H121" s="679">
        <v>43700</v>
      </c>
      <c r="I121" s="101">
        <f t="shared" si="123"/>
        <v>5637</v>
      </c>
      <c r="J121" s="101">
        <f t="shared" si="124"/>
        <v>75.696292354089053</v>
      </c>
      <c r="K121" s="683">
        <f t="shared" si="125"/>
        <v>426700</v>
      </c>
    </row>
    <row r="122" spans="1:11">
      <c r="A122" s="681">
        <v>115</v>
      </c>
      <c r="B122" s="902"/>
      <c r="C122" s="679"/>
      <c r="D122" s="682"/>
      <c r="E122" s="679"/>
      <c r="F122" s="679"/>
      <c r="G122" s="679" t="e">
        <f t="shared" si="122"/>
        <v>#DIV/0!</v>
      </c>
      <c r="H122" s="679"/>
      <c r="I122" s="101">
        <f t="shared" si="123"/>
        <v>5637</v>
      </c>
      <c r="J122" s="101">
        <f t="shared" si="124"/>
        <v>75.696292354089053</v>
      </c>
      <c r="K122" s="683">
        <f t="shared" si="125"/>
        <v>426700</v>
      </c>
    </row>
    <row r="123" spans="1:11">
      <c r="A123" s="681">
        <v>116</v>
      </c>
      <c r="B123" s="902"/>
      <c r="C123" s="679"/>
      <c r="D123" s="682"/>
      <c r="E123" s="679"/>
      <c r="F123" s="679"/>
      <c r="G123" s="679" t="e">
        <f t="shared" si="122"/>
        <v>#DIV/0!</v>
      </c>
      <c r="H123" s="679"/>
      <c r="I123" s="101">
        <f t="shared" si="123"/>
        <v>5637</v>
      </c>
      <c r="J123" s="101">
        <f t="shared" si="124"/>
        <v>75.696292354089053</v>
      </c>
      <c r="K123" s="683">
        <f t="shared" si="125"/>
        <v>426700</v>
      </c>
    </row>
    <row r="124" spans="1:11">
      <c r="A124" s="681">
        <v>117</v>
      </c>
      <c r="B124" s="902"/>
      <c r="C124" s="679"/>
      <c r="D124" s="682"/>
      <c r="E124" s="679"/>
      <c r="F124" s="679"/>
      <c r="G124" s="679" t="e">
        <f t="shared" si="122"/>
        <v>#DIV/0!</v>
      </c>
      <c r="H124" s="679"/>
      <c r="I124" s="101">
        <f t="shared" si="123"/>
        <v>5637</v>
      </c>
      <c r="J124" s="101">
        <f t="shared" si="124"/>
        <v>75.696292354089053</v>
      </c>
      <c r="K124" s="683">
        <f t="shared" si="125"/>
        <v>426700</v>
      </c>
    </row>
    <row r="125" spans="1:11">
      <c r="A125" s="681">
        <v>118</v>
      </c>
      <c r="B125" s="902"/>
      <c r="C125" s="679"/>
      <c r="D125" s="682"/>
      <c r="E125" s="679"/>
      <c r="F125" s="679"/>
      <c r="G125" s="679" t="e">
        <f t="shared" si="122"/>
        <v>#DIV/0!</v>
      </c>
      <c r="H125" s="679"/>
      <c r="I125" s="101">
        <f t="shared" si="123"/>
        <v>5637</v>
      </c>
      <c r="J125" s="101">
        <f t="shared" si="124"/>
        <v>75.696292354089053</v>
      </c>
      <c r="K125" s="683">
        <f t="shared" si="125"/>
        <v>426700</v>
      </c>
    </row>
    <row r="126" spans="1:11">
      <c r="A126" s="681">
        <v>119</v>
      </c>
      <c r="B126" s="903"/>
      <c r="C126" s="894"/>
      <c r="D126" s="895"/>
      <c r="E126" s="894"/>
      <c r="F126" s="894"/>
      <c r="G126" s="894"/>
      <c r="H126" s="894"/>
      <c r="I126" s="896"/>
      <c r="J126" s="896"/>
      <c r="K126" s="897"/>
    </row>
    <row r="127" spans="1:11">
      <c r="A127" s="681">
        <v>120</v>
      </c>
      <c r="B127" s="904" t="s">
        <v>1282</v>
      </c>
      <c r="C127" s="679">
        <v>232</v>
      </c>
      <c r="D127" s="682">
        <v>26.01</v>
      </c>
      <c r="E127" s="679" t="s">
        <v>961</v>
      </c>
      <c r="F127" s="679">
        <v>146</v>
      </c>
      <c r="G127" s="679">
        <f t="shared" ref="G127:G135" si="126">H127/F127</f>
        <v>2260</v>
      </c>
      <c r="H127" s="679">
        <v>329960</v>
      </c>
      <c r="I127" s="101">
        <f t="shared" ref="I127:I135" si="127">+I126+F127</f>
        <v>146</v>
      </c>
      <c r="J127" s="101">
        <f t="shared" ref="J127:J135" si="128">+K127/I127</f>
        <v>2260</v>
      </c>
      <c r="K127" s="683">
        <f t="shared" ref="K127:K135" si="129">(+H127+K126)</f>
        <v>329960</v>
      </c>
    </row>
    <row r="128" spans="1:11">
      <c r="A128" s="681">
        <v>121</v>
      </c>
      <c r="B128" s="902"/>
      <c r="C128" s="679">
        <v>31</v>
      </c>
      <c r="D128" s="682">
        <v>25.04</v>
      </c>
      <c r="E128" s="679" t="s">
        <v>1283</v>
      </c>
      <c r="F128" s="679">
        <f>65+30+70+50+10+100+150+10+420+25</f>
        <v>930</v>
      </c>
      <c r="G128" s="679">
        <f t="shared" si="126"/>
        <v>265.52150537634407</v>
      </c>
      <c r="H128" s="679">
        <v>246935</v>
      </c>
      <c r="I128" s="101">
        <f t="shared" si="127"/>
        <v>1076</v>
      </c>
      <c r="J128" s="101">
        <f t="shared" si="128"/>
        <v>536.14776951672866</v>
      </c>
      <c r="K128" s="683">
        <f t="shared" si="129"/>
        <v>576895</v>
      </c>
    </row>
    <row r="129" spans="1:11">
      <c r="A129" s="681">
        <v>122</v>
      </c>
      <c r="B129" s="902"/>
      <c r="C129" s="679"/>
      <c r="D129" s="682"/>
      <c r="E129" s="679"/>
      <c r="F129" s="679"/>
      <c r="G129" s="679" t="e">
        <f t="shared" si="126"/>
        <v>#DIV/0!</v>
      </c>
      <c r="H129" s="679"/>
      <c r="I129" s="101">
        <f t="shared" si="127"/>
        <v>1076</v>
      </c>
      <c r="J129" s="101">
        <f t="shared" si="128"/>
        <v>536.14776951672866</v>
      </c>
      <c r="K129" s="683">
        <f t="shared" si="129"/>
        <v>576895</v>
      </c>
    </row>
    <row r="130" spans="1:11">
      <c r="A130" s="681">
        <v>123</v>
      </c>
      <c r="B130" s="902"/>
      <c r="C130" s="679"/>
      <c r="D130" s="682"/>
      <c r="E130" s="679"/>
      <c r="F130" s="679"/>
      <c r="G130" s="679" t="e">
        <f t="shared" si="126"/>
        <v>#DIV/0!</v>
      </c>
      <c r="H130" s="679"/>
      <c r="I130" s="101">
        <f t="shared" si="127"/>
        <v>1076</v>
      </c>
      <c r="J130" s="101">
        <f t="shared" si="128"/>
        <v>536.14776951672866</v>
      </c>
      <c r="K130" s="683">
        <f t="shared" si="129"/>
        <v>576895</v>
      </c>
    </row>
    <row r="131" spans="1:11">
      <c r="A131" s="681">
        <v>124</v>
      </c>
      <c r="B131" s="902"/>
      <c r="C131" s="679"/>
      <c r="D131" s="682"/>
      <c r="E131" s="679"/>
      <c r="F131" s="679"/>
      <c r="G131" s="679" t="e">
        <f t="shared" si="126"/>
        <v>#DIV/0!</v>
      </c>
      <c r="H131" s="679"/>
      <c r="I131" s="101">
        <f t="shared" si="127"/>
        <v>1076</v>
      </c>
      <c r="J131" s="101">
        <f t="shared" si="128"/>
        <v>536.14776951672866</v>
      </c>
      <c r="K131" s="683">
        <f t="shared" si="129"/>
        <v>576895</v>
      </c>
    </row>
    <row r="132" spans="1:11">
      <c r="A132" s="681">
        <v>125</v>
      </c>
      <c r="B132" s="902"/>
      <c r="C132" s="679"/>
      <c r="D132" s="682"/>
      <c r="E132" s="679"/>
      <c r="F132" s="679"/>
      <c r="G132" s="679" t="e">
        <f t="shared" si="126"/>
        <v>#DIV/0!</v>
      </c>
      <c r="H132" s="679"/>
      <c r="I132" s="101">
        <f t="shared" si="127"/>
        <v>1076</v>
      </c>
      <c r="J132" s="101">
        <f t="shared" si="128"/>
        <v>536.14776951672866</v>
      </c>
      <c r="K132" s="683">
        <f t="shared" si="129"/>
        <v>576895</v>
      </c>
    </row>
    <row r="133" spans="1:11">
      <c r="A133" s="681">
        <v>126</v>
      </c>
      <c r="B133" s="902"/>
      <c r="C133" s="679"/>
      <c r="D133" s="682"/>
      <c r="E133" s="679"/>
      <c r="F133" s="679"/>
      <c r="G133" s="679" t="e">
        <f t="shared" si="126"/>
        <v>#DIV/0!</v>
      </c>
      <c r="H133" s="679"/>
      <c r="I133" s="101">
        <f t="shared" si="127"/>
        <v>1076</v>
      </c>
      <c r="J133" s="101">
        <f t="shared" si="128"/>
        <v>536.14776951672866</v>
      </c>
      <c r="K133" s="683">
        <f t="shared" si="129"/>
        <v>576895</v>
      </c>
    </row>
    <row r="134" spans="1:11">
      <c r="A134" s="681">
        <v>127</v>
      </c>
      <c r="B134" s="902"/>
      <c r="C134" s="679"/>
      <c r="D134" s="682"/>
      <c r="E134" s="679"/>
      <c r="F134" s="679"/>
      <c r="G134" s="679" t="e">
        <f t="shared" si="126"/>
        <v>#DIV/0!</v>
      </c>
      <c r="H134" s="679"/>
      <c r="I134" s="101">
        <f t="shared" si="127"/>
        <v>1076</v>
      </c>
      <c r="J134" s="101">
        <f t="shared" si="128"/>
        <v>536.14776951672866</v>
      </c>
      <c r="K134" s="683">
        <f t="shared" si="129"/>
        <v>576895</v>
      </c>
    </row>
    <row r="135" spans="1:11">
      <c r="A135" s="681">
        <v>128</v>
      </c>
      <c r="B135" s="902"/>
      <c r="C135" s="679"/>
      <c r="D135" s="682"/>
      <c r="E135" s="679"/>
      <c r="F135" s="679"/>
      <c r="G135" s="679" t="e">
        <f t="shared" si="126"/>
        <v>#DIV/0!</v>
      </c>
      <c r="H135" s="679"/>
      <c r="I135" s="101">
        <f t="shared" si="127"/>
        <v>1076</v>
      </c>
      <c r="J135" s="101">
        <f t="shared" si="128"/>
        <v>536.14776951672866</v>
      </c>
      <c r="K135" s="683">
        <f t="shared" si="129"/>
        <v>576895</v>
      </c>
    </row>
    <row r="136" spans="1:11">
      <c r="A136" s="681">
        <v>129</v>
      </c>
      <c r="B136" s="903"/>
      <c r="C136" s="894"/>
      <c r="D136" s="895"/>
      <c r="E136" s="894"/>
      <c r="F136" s="894"/>
      <c r="G136" s="894"/>
      <c r="H136" s="894"/>
      <c r="I136" s="896"/>
      <c r="J136" s="896"/>
      <c r="K136" s="897"/>
    </row>
    <row r="137" spans="1:11">
      <c r="A137" s="681">
        <v>130</v>
      </c>
      <c r="B137" s="904" t="s">
        <v>1233</v>
      </c>
      <c r="C137" s="679">
        <v>377</v>
      </c>
      <c r="D137" s="682">
        <v>14.01</v>
      </c>
      <c r="E137" s="679" t="s">
        <v>962</v>
      </c>
      <c r="F137" s="679">
        <v>10633</v>
      </c>
      <c r="G137" s="679">
        <f t="shared" ref="G137:G145" si="130">H137/F137</f>
        <v>9.3294460641399422</v>
      </c>
      <c r="H137" s="679">
        <v>99200</v>
      </c>
      <c r="I137" s="101">
        <f t="shared" ref="I137:I145" si="131">+I136+F137</f>
        <v>10633</v>
      </c>
      <c r="J137" s="101">
        <f t="shared" ref="J137:J145" si="132">+K137/I137</f>
        <v>9.3294460641399422</v>
      </c>
      <c r="K137" s="683">
        <f t="shared" ref="K137:K145" si="133">(+H137+K136)</f>
        <v>99200</v>
      </c>
    </row>
    <row r="138" spans="1:11">
      <c r="A138" s="681">
        <v>131</v>
      </c>
      <c r="B138" s="902"/>
      <c r="C138" s="679"/>
      <c r="D138" s="682"/>
      <c r="E138" s="679"/>
      <c r="F138" s="679"/>
      <c r="G138" s="679" t="e">
        <f t="shared" si="130"/>
        <v>#DIV/0!</v>
      </c>
      <c r="H138" s="679"/>
      <c r="I138" s="101">
        <f t="shared" si="131"/>
        <v>10633</v>
      </c>
      <c r="J138" s="101">
        <f t="shared" si="132"/>
        <v>9.3294460641399422</v>
      </c>
      <c r="K138" s="683">
        <f t="shared" si="133"/>
        <v>99200</v>
      </c>
    </row>
    <row r="139" spans="1:11">
      <c r="A139" s="681">
        <v>132</v>
      </c>
      <c r="B139" s="902"/>
      <c r="C139" s="679"/>
      <c r="D139" s="682"/>
      <c r="E139" s="679"/>
      <c r="F139" s="679"/>
      <c r="G139" s="679" t="e">
        <f t="shared" si="130"/>
        <v>#DIV/0!</v>
      </c>
      <c r="H139" s="679"/>
      <c r="I139" s="101">
        <f t="shared" si="131"/>
        <v>10633</v>
      </c>
      <c r="J139" s="101">
        <f t="shared" si="132"/>
        <v>9.3294460641399422</v>
      </c>
      <c r="K139" s="683">
        <f t="shared" si="133"/>
        <v>99200</v>
      </c>
    </row>
    <row r="140" spans="1:11">
      <c r="A140" s="681">
        <v>133</v>
      </c>
      <c r="B140" s="902"/>
      <c r="C140" s="679"/>
      <c r="D140" s="682"/>
      <c r="E140" s="679"/>
      <c r="F140" s="679"/>
      <c r="G140" s="679" t="e">
        <f t="shared" si="130"/>
        <v>#DIV/0!</v>
      </c>
      <c r="H140" s="679"/>
      <c r="I140" s="101">
        <f t="shared" si="131"/>
        <v>10633</v>
      </c>
      <c r="J140" s="101">
        <f t="shared" si="132"/>
        <v>9.3294460641399422</v>
      </c>
      <c r="K140" s="683">
        <f t="shared" si="133"/>
        <v>99200</v>
      </c>
    </row>
    <row r="141" spans="1:11">
      <c r="A141" s="681">
        <v>134</v>
      </c>
      <c r="B141" s="902"/>
      <c r="C141" s="679"/>
      <c r="D141" s="682"/>
      <c r="E141" s="679"/>
      <c r="F141" s="679"/>
      <c r="G141" s="679" t="e">
        <f t="shared" si="130"/>
        <v>#DIV/0!</v>
      </c>
      <c r="H141" s="679"/>
      <c r="I141" s="101">
        <f t="shared" si="131"/>
        <v>10633</v>
      </c>
      <c r="J141" s="101">
        <f t="shared" si="132"/>
        <v>9.3294460641399422</v>
      </c>
      <c r="K141" s="683">
        <f t="shared" si="133"/>
        <v>99200</v>
      </c>
    </row>
    <row r="142" spans="1:11">
      <c r="A142" s="681">
        <v>135</v>
      </c>
      <c r="B142" s="902"/>
      <c r="C142" s="679"/>
      <c r="D142" s="682"/>
      <c r="E142" s="679"/>
      <c r="F142" s="679"/>
      <c r="G142" s="679" t="e">
        <f t="shared" si="130"/>
        <v>#DIV/0!</v>
      </c>
      <c r="H142" s="679"/>
      <c r="I142" s="101">
        <f t="shared" si="131"/>
        <v>10633</v>
      </c>
      <c r="J142" s="101">
        <f t="shared" si="132"/>
        <v>9.3294460641399422</v>
      </c>
      <c r="K142" s="683">
        <f t="shared" si="133"/>
        <v>99200</v>
      </c>
    </row>
    <row r="143" spans="1:11">
      <c r="A143" s="681">
        <v>136</v>
      </c>
      <c r="B143" s="902"/>
      <c r="C143" s="679"/>
      <c r="D143" s="682"/>
      <c r="E143" s="679"/>
      <c r="F143" s="679"/>
      <c r="G143" s="679" t="e">
        <f t="shared" si="130"/>
        <v>#DIV/0!</v>
      </c>
      <c r="H143" s="679"/>
      <c r="I143" s="101">
        <f t="shared" si="131"/>
        <v>10633</v>
      </c>
      <c r="J143" s="101">
        <f t="shared" si="132"/>
        <v>9.3294460641399422</v>
      </c>
      <c r="K143" s="683">
        <f t="shared" si="133"/>
        <v>99200</v>
      </c>
    </row>
    <row r="144" spans="1:11">
      <c r="A144" s="681">
        <v>137</v>
      </c>
      <c r="B144" s="902"/>
      <c r="C144" s="679"/>
      <c r="D144" s="682"/>
      <c r="E144" s="679"/>
      <c r="F144" s="679"/>
      <c r="G144" s="679" t="e">
        <f t="shared" si="130"/>
        <v>#DIV/0!</v>
      </c>
      <c r="H144" s="679"/>
      <c r="I144" s="101">
        <f t="shared" si="131"/>
        <v>10633</v>
      </c>
      <c r="J144" s="101">
        <f t="shared" si="132"/>
        <v>9.3294460641399422</v>
      </c>
      <c r="K144" s="683">
        <f t="shared" si="133"/>
        <v>99200</v>
      </c>
    </row>
    <row r="145" spans="1:30">
      <c r="A145" s="681">
        <v>138</v>
      </c>
      <c r="B145" s="902"/>
      <c r="C145" s="679"/>
      <c r="D145" s="682"/>
      <c r="E145" s="679"/>
      <c r="F145" s="679"/>
      <c r="G145" s="679" t="e">
        <f t="shared" si="130"/>
        <v>#DIV/0!</v>
      </c>
      <c r="H145" s="679"/>
      <c r="I145" s="101">
        <f t="shared" si="131"/>
        <v>10633</v>
      </c>
      <c r="J145" s="101">
        <f t="shared" si="132"/>
        <v>9.3294460641399422</v>
      </c>
      <c r="K145" s="683">
        <f t="shared" si="133"/>
        <v>99200</v>
      </c>
    </row>
    <row r="146" spans="1:30">
      <c r="A146" s="681">
        <v>139</v>
      </c>
      <c r="B146" s="903"/>
      <c r="C146" s="894"/>
      <c r="D146" s="895"/>
      <c r="E146" s="894"/>
      <c r="F146" s="894"/>
      <c r="G146" s="894"/>
      <c r="H146" s="894"/>
      <c r="I146" s="896"/>
      <c r="J146" s="896"/>
      <c r="K146" s="897"/>
    </row>
    <row r="147" spans="1:30">
      <c r="A147" s="681">
        <v>140</v>
      </c>
      <c r="B147" s="904" t="s">
        <v>1242</v>
      </c>
      <c r="C147" s="679">
        <v>216</v>
      </c>
      <c r="D147" s="682">
        <v>28.01</v>
      </c>
      <c r="E147" s="679"/>
      <c r="F147" s="679">
        <v>2633</v>
      </c>
      <c r="G147" s="679">
        <f t="shared" ref="G147:G174" si="134">H147/F147</f>
        <v>89.251139384732241</v>
      </c>
      <c r="H147" s="679">
        <v>234998.25</v>
      </c>
      <c r="I147" s="101">
        <f t="shared" ref="I147:I150" si="135">+I146+F147</f>
        <v>2633</v>
      </c>
      <c r="J147" s="101">
        <f t="shared" ref="J147:J150" si="136">+K147/I147</f>
        <v>89.251139384732241</v>
      </c>
      <c r="K147" s="683">
        <f t="shared" ref="K147:K150" si="137">(+H147+K146)</f>
        <v>234998.25</v>
      </c>
    </row>
    <row r="148" spans="1:30">
      <c r="A148" s="681">
        <v>141</v>
      </c>
      <c r="B148" s="902"/>
      <c r="C148" s="679">
        <v>81</v>
      </c>
      <c r="D148" s="682">
        <v>26.08</v>
      </c>
      <c r="E148" s="679" t="s">
        <v>962</v>
      </c>
      <c r="F148" s="679">
        <v>542.6</v>
      </c>
      <c r="G148" s="679">
        <f t="shared" si="134"/>
        <v>225.00184297825285</v>
      </c>
      <c r="H148" s="679">
        <v>122086</v>
      </c>
      <c r="I148" s="101">
        <f t="shared" si="135"/>
        <v>3175.6</v>
      </c>
      <c r="J148" s="101">
        <f t="shared" si="136"/>
        <v>112.44623063358105</v>
      </c>
      <c r="K148" s="683">
        <f t="shared" si="137"/>
        <v>357084.25</v>
      </c>
    </row>
    <row r="149" spans="1:30">
      <c r="A149" s="681">
        <v>142</v>
      </c>
      <c r="B149" s="902"/>
      <c r="C149" s="679">
        <v>9745</v>
      </c>
      <c r="D149" s="682">
        <v>15.1</v>
      </c>
      <c r="E149" s="679" t="s">
        <v>962</v>
      </c>
      <c r="F149" s="679">
        <v>598.4</v>
      </c>
      <c r="G149" s="679">
        <f t="shared" si="134"/>
        <v>2184.4423462566842</v>
      </c>
      <c r="H149" s="1220">
        <f>9274*140.95</f>
        <v>1307170.2999999998</v>
      </c>
      <c r="I149" s="101">
        <f t="shared" si="135"/>
        <v>3774</v>
      </c>
      <c r="J149" s="101">
        <f t="shared" si="136"/>
        <v>440.9789480657127</v>
      </c>
      <c r="K149" s="683">
        <f t="shared" si="137"/>
        <v>1664254.5499999998</v>
      </c>
    </row>
    <row r="150" spans="1:30">
      <c r="A150" s="681">
        <v>143</v>
      </c>
      <c r="B150" s="902"/>
      <c r="C150" s="679">
        <v>9745</v>
      </c>
      <c r="D150" s="682">
        <v>15.1</v>
      </c>
      <c r="E150" s="679" t="s">
        <v>961</v>
      </c>
      <c r="F150" s="679">
        <v>1260</v>
      </c>
      <c r="G150" s="679">
        <f t="shared" si="134"/>
        <v>114.43797619047618</v>
      </c>
      <c r="H150" s="1220">
        <f>1023*140.95</f>
        <v>144191.84999999998</v>
      </c>
      <c r="I150" s="101">
        <f t="shared" si="135"/>
        <v>5034</v>
      </c>
      <c r="J150" s="101">
        <f t="shared" si="136"/>
        <v>359.24640444974176</v>
      </c>
      <c r="K150" s="683">
        <f t="shared" si="137"/>
        <v>1808446.4</v>
      </c>
    </row>
    <row r="151" spans="1:30">
      <c r="A151" s="681">
        <v>144</v>
      </c>
      <c r="B151" s="902"/>
      <c r="C151" s="679">
        <v>9737</v>
      </c>
      <c r="D151" s="682">
        <v>15.1</v>
      </c>
      <c r="E151" s="679" t="s">
        <v>962</v>
      </c>
      <c r="F151" s="679">
        <v>1246</v>
      </c>
      <c r="G151" s="679">
        <f t="shared" si="134"/>
        <v>272.62399678972713</v>
      </c>
      <c r="H151" s="1220">
        <f>140.95*2410</f>
        <v>339689.5</v>
      </c>
      <c r="I151" s="101">
        <f t="shared" ref="I151:I156" si="138">+I150+F151</f>
        <v>6280</v>
      </c>
      <c r="J151" s="101">
        <f t="shared" ref="J151:J156" si="139">+K151/I151</f>
        <v>342.05985668789805</v>
      </c>
      <c r="K151" s="683">
        <f t="shared" ref="K151:K156" si="140">(+H151+K150)</f>
        <v>2148135.9</v>
      </c>
      <c r="AD151"/>
    </row>
    <row r="152" spans="1:30">
      <c r="A152" s="681">
        <v>145</v>
      </c>
      <c r="B152" s="902"/>
      <c r="C152" s="679">
        <v>9751</v>
      </c>
      <c r="D152" s="682">
        <v>15.1</v>
      </c>
      <c r="E152" s="679" t="s">
        <v>962</v>
      </c>
      <c r="F152" s="679">
        <v>5698</v>
      </c>
      <c r="G152" s="679">
        <f t="shared" si="134"/>
        <v>173.75093015093015</v>
      </c>
      <c r="H152" s="1220">
        <f>7024*140.95</f>
        <v>990032.79999999993</v>
      </c>
      <c r="I152" s="101">
        <f t="shared" si="138"/>
        <v>11978</v>
      </c>
      <c r="J152" s="101">
        <f t="shared" si="139"/>
        <v>261.99438136583734</v>
      </c>
      <c r="K152" s="683">
        <f t="shared" si="140"/>
        <v>3138168.6999999997</v>
      </c>
      <c r="AD152"/>
    </row>
    <row r="153" spans="1:30">
      <c r="A153" s="681">
        <v>146</v>
      </c>
      <c r="B153" s="902"/>
      <c r="C153" s="679">
        <v>9755</v>
      </c>
      <c r="D153" s="682">
        <v>15.1</v>
      </c>
      <c r="E153" s="679" t="s">
        <v>1270</v>
      </c>
      <c r="F153" s="679">
        <v>4500</v>
      </c>
      <c r="G153" s="679">
        <f t="shared" si="134"/>
        <v>373.98733333333325</v>
      </c>
      <c r="H153" s="1220">
        <f>11940*140.95</f>
        <v>1682942.9999999998</v>
      </c>
      <c r="I153" s="101">
        <f t="shared" si="138"/>
        <v>16478</v>
      </c>
      <c r="J153" s="101">
        <f t="shared" si="139"/>
        <v>292.57869280252453</v>
      </c>
      <c r="K153" s="683">
        <f t="shared" si="140"/>
        <v>4821111.6999999993</v>
      </c>
      <c r="AD153"/>
    </row>
    <row r="154" spans="1:30">
      <c r="A154" s="681">
        <v>147</v>
      </c>
      <c r="B154" s="902"/>
      <c r="C154" s="679">
        <v>9755</v>
      </c>
      <c r="D154" s="682">
        <v>15.1</v>
      </c>
      <c r="E154" s="679" t="s">
        <v>962</v>
      </c>
      <c r="F154" s="679">
        <v>90</v>
      </c>
      <c r="G154" s="679">
        <f t="shared" si="134"/>
        <v>1508.1649999999997</v>
      </c>
      <c r="H154" s="1220">
        <f>963*140.95</f>
        <v>135734.84999999998</v>
      </c>
      <c r="I154" s="101">
        <f t="shared" si="138"/>
        <v>16568</v>
      </c>
      <c r="J154" s="101">
        <f t="shared" si="139"/>
        <v>299.18195014485747</v>
      </c>
      <c r="K154" s="683">
        <f t="shared" si="140"/>
        <v>4956846.5499999989</v>
      </c>
      <c r="AD154"/>
    </row>
    <row r="155" spans="1:30">
      <c r="A155" s="681">
        <v>148</v>
      </c>
      <c r="B155" s="902"/>
      <c r="C155" s="679">
        <v>9751</v>
      </c>
      <c r="D155" s="682">
        <v>15.1</v>
      </c>
      <c r="E155" s="679" t="s">
        <v>964</v>
      </c>
      <c r="F155" s="679">
        <v>1098</v>
      </c>
      <c r="G155" s="679">
        <f t="shared" si="134"/>
        <v>684.72431693989063</v>
      </c>
      <c r="H155" s="1220">
        <f>5334*140.95</f>
        <v>751827.29999999993</v>
      </c>
      <c r="I155" s="101">
        <f t="shared" si="138"/>
        <v>17666</v>
      </c>
      <c r="J155" s="101">
        <f t="shared" si="139"/>
        <v>323.14467621419669</v>
      </c>
      <c r="K155" s="683">
        <f t="shared" si="140"/>
        <v>5708673.8499999987</v>
      </c>
      <c r="AD155"/>
    </row>
    <row r="156" spans="1:30">
      <c r="A156" s="681">
        <v>149</v>
      </c>
      <c r="B156" s="902"/>
      <c r="C156" s="679">
        <v>666</v>
      </c>
      <c r="D156" s="682">
        <v>8.1</v>
      </c>
      <c r="E156" s="679" t="s">
        <v>962</v>
      </c>
      <c r="F156" s="679">
        <v>1435</v>
      </c>
      <c r="G156" s="679">
        <f t="shared" si="134"/>
        <v>203</v>
      </c>
      <c r="H156" s="679">
        <v>291305</v>
      </c>
      <c r="I156" s="101">
        <f t="shared" si="138"/>
        <v>19101</v>
      </c>
      <c r="J156" s="101">
        <f t="shared" si="139"/>
        <v>314.11857232605615</v>
      </c>
      <c r="K156" s="683">
        <f t="shared" si="140"/>
        <v>5999978.8499999987</v>
      </c>
      <c r="X156"/>
      <c r="Y156"/>
      <c r="Z156"/>
      <c r="AA156"/>
      <c r="AB156"/>
      <c r="AC156"/>
      <c r="AD156"/>
    </row>
    <row r="157" spans="1:30">
      <c r="A157" s="681">
        <v>150</v>
      </c>
      <c r="B157" s="902"/>
      <c r="C157" s="679">
        <v>860</v>
      </c>
      <c r="D157" s="682">
        <v>28.1</v>
      </c>
      <c r="E157" s="679" t="s">
        <v>962</v>
      </c>
      <c r="F157" s="679">
        <v>520</v>
      </c>
      <c r="G157" s="679">
        <f t="shared" si="134"/>
        <v>461.53846153846155</v>
      </c>
      <c r="H157" s="679">
        <v>240000</v>
      </c>
      <c r="I157" s="101">
        <f t="shared" ref="I157:I174" si="141">+I156+F157</f>
        <v>19621</v>
      </c>
      <c r="J157" s="101">
        <f t="shared" ref="J157:J174" si="142">+K157/I157</f>
        <v>318.02552622190501</v>
      </c>
      <c r="K157" s="683">
        <f t="shared" ref="K157:K174" si="143">(+H157+K156)</f>
        <v>6239978.8499999987</v>
      </c>
      <c r="X157"/>
      <c r="Y157"/>
      <c r="Z157"/>
      <c r="AA157"/>
      <c r="AB157"/>
      <c r="AC157"/>
      <c r="AD157"/>
    </row>
    <row r="158" spans="1:30">
      <c r="A158" s="681">
        <v>151</v>
      </c>
      <c r="B158" s="902"/>
      <c r="C158" s="679">
        <v>862</v>
      </c>
      <c r="D158" s="682">
        <v>29.1</v>
      </c>
      <c r="E158" s="679" t="s">
        <v>962</v>
      </c>
      <c r="F158" s="679">
        <f>300+10+40+100</f>
        <v>450</v>
      </c>
      <c r="G158" s="679">
        <f t="shared" si="134"/>
        <v>477.77777777777777</v>
      </c>
      <c r="H158" s="679">
        <f>232500-17500</f>
        <v>215000</v>
      </c>
      <c r="I158" s="101">
        <f t="shared" si="141"/>
        <v>20071</v>
      </c>
      <c r="J158" s="101">
        <f t="shared" si="142"/>
        <v>321.60723680932682</v>
      </c>
      <c r="K158" s="683">
        <f t="shared" si="143"/>
        <v>6454978.8499999987</v>
      </c>
      <c r="X158"/>
      <c r="Y158"/>
      <c r="Z158"/>
      <c r="AA158"/>
      <c r="AB158"/>
      <c r="AC158"/>
      <c r="AD158"/>
    </row>
    <row r="159" spans="1:30">
      <c r="A159" s="681">
        <v>152</v>
      </c>
      <c r="B159" s="902"/>
      <c r="C159" s="679">
        <v>862</v>
      </c>
      <c r="D159" s="682">
        <v>29.1</v>
      </c>
      <c r="E159" s="679" t="s">
        <v>1270</v>
      </c>
      <c r="F159" s="679">
        <v>500</v>
      </c>
      <c r="G159" s="679">
        <f t="shared" si="134"/>
        <v>35</v>
      </c>
      <c r="H159" s="679">
        <v>17500</v>
      </c>
      <c r="I159" s="101">
        <f t="shared" si="141"/>
        <v>20571</v>
      </c>
      <c r="J159" s="101">
        <f t="shared" si="142"/>
        <v>314.64094356132415</v>
      </c>
      <c r="K159" s="683">
        <f t="shared" si="143"/>
        <v>6472478.8499999987</v>
      </c>
      <c r="X159"/>
      <c r="Y159"/>
      <c r="Z159"/>
      <c r="AA159"/>
      <c r="AB159"/>
      <c r="AC159"/>
      <c r="AD159"/>
    </row>
    <row r="160" spans="1:30">
      <c r="A160" s="681">
        <v>153</v>
      </c>
      <c r="B160" s="902"/>
      <c r="C160" s="679">
        <v>172</v>
      </c>
      <c r="D160" s="682">
        <v>20.100000000000001</v>
      </c>
      <c r="E160" s="679" t="s">
        <v>1270</v>
      </c>
      <c r="F160" s="679">
        <f>16000+13600+13500+2500</f>
        <v>45600</v>
      </c>
      <c r="G160" s="679">
        <f t="shared" si="134"/>
        <v>5.4694078947368423</v>
      </c>
      <c r="H160" s="679">
        <v>249405</v>
      </c>
      <c r="I160" s="101">
        <f t="shared" si="141"/>
        <v>66171</v>
      </c>
      <c r="J160" s="101">
        <f t="shared" si="142"/>
        <v>101.58353130525455</v>
      </c>
      <c r="K160" s="683">
        <f t="shared" si="143"/>
        <v>6721883.8499999987</v>
      </c>
      <c r="X160"/>
      <c r="Y160"/>
      <c r="Z160"/>
      <c r="AA160"/>
      <c r="AB160"/>
      <c r="AC160"/>
      <c r="AD160"/>
    </row>
    <row r="161" spans="1:30">
      <c r="A161" s="681"/>
      <c r="B161" s="902"/>
      <c r="C161" s="679">
        <v>189</v>
      </c>
      <c r="D161" s="682">
        <v>27.1</v>
      </c>
      <c r="E161" s="679" t="s">
        <v>1270</v>
      </c>
      <c r="F161" s="679">
        <f>1000+2800+13600+24500</f>
        <v>41900</v>
      </c>
      <c r="G161" s="679">
        <f t="shared" si="134"/>
        <v>5.8998806682577563</v>
      </c>
      <c r="H161" s="679">
        <v>247205</v>
      </c>
      <c r="I161" s="101">
        <f t="shared" si="141"/>
        <v>108071</v>
      </c>
      <c r="J161" s="101">
        <f t="shared" si="142"/>
        <v>64.486206752967945</v>
      </c>
      <c r="K161" s="683">
        <f t="shared" si="143"/>
        <v>6969088.8499999987</v>
      </c>
      <c r="X161"/>
      <c r="Y161"/>
      <c r="Z161"/>
      <c r="AA161"/>
      <c r="AB161"/>
      <c r="AC161"/>
      <c r="AD161"/>
    </row>
    <row r="162" spans="1:30">
      <c r="A162" s="681"/>
      <c r="B162" s="902"/>
      <c r="C162" s="679"/>
      <c r="D162" s="682"/>
      <c r="E162" s="679"/>
      <c r="F162" s="679"/>
      <c r="G162" s="679" t="e">
        <f t="shared" si="134"/>
        <v>#DIV/0!</v>
      </c>
      <c r="H162" s="679"/>
      <c r="I162" s="101">
        <f t="shared" si="141"/>
        <v>108071</v>
      </c>
      <c r="J162" s="101">
        <f t="shared" si="142"/>
        <v>64.486206752967945</v>
      </c>
      <c r="K162" s="683">
        <f t="shared" si="143"/>
        <v>6969088.8499999987</v>
      </c>
      <c r="X162"/>
      <c r="Y162"/>
      <c r="Z162"/>
      <c r="AA162"/>
      <c r="AB162"/>
      <c r="AC162"/>
      <c r="AD162"/>
    </row>
    <row r="163" spans="1:30">
      <c r="A163" s="681"/>
      <c r="B163" s="902"/>
      <c r="C163" s="679"/>
      <c r="D163" s="682"/>
      <c r="E163" s="679"/>
      <c r="F163" s="679"/>
      <c r="G163" s="679" t="e">
        <f t="shared" si="134"/>
        <v>#DIV/0!</v>
      </c>
      <c r="H163" s="679"/>
      <c r="I163" s="101">
        <f t="shared" si="141"/>
        <v>108071</v>
      </c>
      <c r="J163" s="101">
        <f t="shared" si="142"/>
        <v>64.486206752967945</v>
      </c>
      <c r="K163" s="683">
        <f t="shared" si="143"/>
        <v>6969088.8499999987</v>
      </c>
      <c r="X163"/>
      <c r="Y163"/>
      <c r="Z163"/>
      <c r="AA163"/>
      <c r="AB163"/>
      <c r="AC163"/>
      <c r="AD163"/>
    </row>
    <row r="164" spans="1:30">
      <c r="A164" s="681"/>
      <c r="B164" s="902"/>
      <c r="C164" s="679"/>
      <c r="D164" s="682"/>
      <c r="E164" s="679"/>
      <c r="F164" s="679"/>
      <c r="G164" s="679" t="e">
        <f t="shared" si="134"/>
        <v>#DIV/0!</v>
      </c>
      <c r="H164" s="679"/>
      <c r="I164" s="101">
        <f t="shared" si="141"/>
        <v>108071</v>
      </c>
      <c r="J164" s="101">
        <f t="shared" si="142"/>
        <v>64.486206752967945</v>
      </c>
      <c r="K164" s="683">
        <f t="shared" si="143"/>
        <v>6969088.8499999987</v>
      </c>
      <c r="X164"/>
      <c r="Y164"/>
      <c r="Z164"/>
      <c r="AA164"/>
      <c r="AB164"/>
      <c r="AC164"/>
      <c r="AD164"/>
    </row>
    <row r="165" spans="1:30">
      <c r="A165" s="681"/>
      <c r="B165" s="902"/>
      <c r="C165" s="679"/>
      <c r="D165" s="682"/>
      <c r="E165" s="679"/>
      <c r="F165" s="679"/>
      <c r="G165" s="679" t="e">
        <f t="shared" si="134"/>
        <v>#DIV/0!</v>
      </c>
      <c r="H165" s="679"/>
      <c r="I165" s="101">
        <f t="shared" si="141"/>
        <v>108071</v>
      </c>
      <c r="J165" s="101">
        <f t="shared" si="142"/>
        <v>64.486206752967945</v>
      </c>
      <c r="K165" s="683">
        <f t="shared" si="143"/>
        <v>6969088.8499999987</v>
      </c>
      <c r="X165"/>
      <c r="Y165"/>
      <c r="Z165"/>
      <c r="AA165"/>
      <c r="AB165"/>
      <c r="AC165"/>
      <c r="AD165"/>
    </row>
    <row r="166" spans="1:30">
      <c r="A166" s="681"/>
      <c r="B166" s="902"/>
      <c r="C166" s="679"/>
      <c r="D166" s="682"/>
      <c r="E166" s="679"/>
      <c r="F166" s="679"/>
      <c r="G166" s="679" t="e">
        <f t="shared" si="134"/>
        <v>#DIV/0!</v>
      </c>
      <c r="H166" s="679"/>
      <c r="I166" s="101">
        <f t="shared" si="141"/>
        <v>108071</v>
      </c>
      <c r="J166" s="101">
        <f t="shared" si="142"/>
        <v>64.486206752967945</v>
      </c>
      <c r="K166" s="683">
        <f t="shared" si="143"/>
        <v>6969088.8499999987</v>
      </c>
      <c r="X166"/>
      <c r="Y166"/>
      <c r="Z166"/>
      <c r="AA166"/>
      <c r="AB166"/>
      <c r="AC166"/>
      <c r="AD166"/>
    </row>
    <row r="167" spans="1:30">
      <c r="A167" s="681"/>
      <c r="B167" s="902"/>
      <c r="C167" s="679"/>
      <c r="D167" s="682"/>
      <c r="E167" s="679"/>
      <c r="F167" s="679"/>
      <c r="G167" s="679" t="e">
        <f t="shared" si="134"/>
        <v>#DIV/0!</v>
      </c>
      <c r="H167" s="679"/>
      <c r="I167" s="101">
        <f t="shared" si="141"/>
        <v>108071</v>
      </c>
      <c r="J167" s="101">
        <f t="shared" si="142"/>
        <v>64.486206752967945</v>
      </c>
      <c r="K167" s="683">
        <f t="shared" si="143"/>
        <v>6969088.8499999987</v>
      </c>
      <c r="X167"/>
      <c r="Y167"/>
      <c r="Z167"/>
      <c r="AA167"/>
      <c r="AB167"/>
      <c r="AC167"/>
      <c r="AD167"/>
    </row>
    <row r="168" spans="1:30">
      <c r="A168" s="681"/>
      <c r="B168" s="902"/>
      <c r="C168" s="679"/>
      <c r="D168" s="682"/>
      <c r="E168" s="679"/>
      <c r="F168" s="679"/>
      <c r="G168" s="679" t="e">
        <f t="shared" si="134"/>
        <v>#DIV/0!</v>
      </c>
      <c r="H168" s="679"/>
      <c r="I168" s="101">
        <f t="shared" si="141"/>
        <v>108071</v>
      </c>
      <c r="J168" s="101">
        <f t="shared" si="142"/>
        <v>64.486206752967945</v>
      </c>
      <c r="K168" s="683">
        <f t="shared" si="143"/>
        <v>6969088.8499999987</v>
      </c>
      <c r="X168"/>
      <c r="Y168"/>
      <c r="Z168"/>
      <c r="AA168"/>
      <c r="AB168"/>
      <c r="AC168"/>
      <c r="AD168"/>
    </row>
    <row r="169" spans="1:30">
      <c r="A169" s="681"/>
      <c r="B169" s="902"/>
      <c r="C169" s="679"/>
      <c r="D169" s="682"/>
      <c r="E169" s="679"/>
      <c r="F169" s="679"/>
      <c r="G169" s="679" t="e">
        <f t="shared" si="134"/>
        <v>#DIV/0!</v>
      </c>
      <c r="H169" s="679"/>
      <c r="I169" s="101">
        <f t="shared" si="141"/>
        <v>108071</v>
      </c>
      <c r="J169" s="101">
        <f t="shared" si="142"/>
        <v>64.486206752967945</v>
      </c>
      <c r="K169" s="683">
        <f t="shared" si="143"/>
        <v>6969088.8499999987</v>
      </c>
      <c r="X169"/>
      <c r="Y169"/>
      <c r="Z169"/>
      <c r="AA169"/>
      <c r="AB169"/>
      <c r="AC169"/>
      <c r="AD169"/>
    </row>
    <row r="170" spans="1:30">
      <c r="A170" s="681"/>
      <c r="B170" s="902"/>
      <c r="C170" s="679"/>
      <c r="D170" s="682"/>
      <c r="E170" s="679"/>
      <c r="F170" s="679"/>
      <c r="G170" s="679" t="e">
        <f t="shared" si="134"/>
        <v>#DIV/0!</v>
      </c>
      <c r="H170" s="679"/>
      <c r="I170" s="101">
        <f t="shared" si="141"/>
        <v>108071</v>
      </c>
      <c r="J170" s="101">
        <f t="shared" si="142"/>
        <v>64.486206752967945</v>
      </c>
      <c r="K170" s="683">
        <f t="shared" si="143"/>
        <v>6969088.8499999987</v>
      </c>
      <c r="X170"/>
      <c r="Y170"/>
      <c r="Z170"/>
      <c r="AA170"/>
      <c r="AB170"/>
      <c r="AC170"/>
      <c r="AD170"/>
    </row>
    <row r="171" spans="1:30">
      <c r="A171" s="681"/>
      <c r="B171" s="902"/>
      <c r="C171" s="679"/>
      <c r="D171" s="682"/>
      <c r="E171" s="679"/>
      <c r="F171" s="679"/>
      <c r="G171" s="679" t="e">
        <f t="shared" si="134"/>
        <v>#DIV/0!</v>
      </c>
      <c r="H171" s="679"/>
      <c r="I171" s="101">
        <f t="shared" si="141"/>
        <v>108071</v>
      </c>
      <c r="J171" s="101">
        <f t="shared" si="142"/>
        <v>64.486206752967945</v>
      </c>
      <c r="K171" s="683">
        <f t="shared" si="143"/>
        <v>6969088.8499999987</v>
      </c>
      <c r="X171"/>
      <c r="Y171"/>
      <c r="Z171"/>
      <c r="AA171"/>
      <c r="AB171"/>
      <c r="AC171"/>
      <c r="AD171"/>
    </row>
    <row r="172" spans="1:30">
      <c r="A172" s="681"/>
      <c r="B172" s="902"/>
      <c r="C172" s="679"/>
      <c r="D172" s="682"/>
      <c r="E172" s="679"/>
      <c r="F172" s="679"/>
      <c r="G172" s="679" t="e">
        <f t="shared" si="134"/>
        <v>#DIV/0!</v>
      </c>
      <c r="H172" s="679"/>
      <c r="I172" s="101">
        <f t="shared" si="141"/>
        <v>108071</v>
      </c>
      <c r="J172" s="101">
        <f t="shared" si="142"/>
        <v>64.486206752967945</v>
      </c>
      <c r="K172" s="683">
        <f t="shared" si="143"/>
        <v>6969088.8499999987</v>
      </c>
      <c r="X172"/>
      <c r="Y172"/>
      <c r="Z172"/>
      <c r="AA172"/>
      <c r="AB172"/>
      <c r="AC172"/>
      <c r="AD172"/>
    </row>
    <row r="173" spans="1:30">
      <c r="A173" s="681">
        <v>154</v>
      </c>
      <c r="B173" s="902"/>
      <c r="C173" s="679"/>
      <c r="D173" s="682"/>
      <c r="E173" s="679"/>
      <c r="F173" s="679"/>
      <c r="G173" s="679" t="e">
        <f t="shared" si="134"/>
        <v>#DIV/0!</v>
      </c>
      <c r="H173" s="679"/>
      <c r="I173" s="101">
        <f t="shared" si="141"/>
        <v>108071</v>
      </c>
      <c r="J173" s="101">
        <f t="shared" si="142"/>
        <v>64.486206752967945</v>
      </c>
      <c r="K173" s="683">
        <f t="shared" si="143"/>
        <v>6969088.8499999987</v>
      </c>
      <c r="X173"/>
      <c r="Y173"/>
      <c r="Z173"/>
      <c r="AA173"/>
      <c r="AB173"/>
      <c r="AC173"/>
      <c r="AD173"/>
    </row>
    <row r="174" spans="1:30">
      <c r="A174" s="681">
        <v>155</v>
      </c>
      <c r="B174" s="902"/>
      <c r="C174" s="679"/>
      <c r="D174" s="682"/>
      <c r="E174" s="679"/>
      <c r="F174" s="679"/>
      <c r="G174" s="679" t="e">
        <f t="shared" si="134"/>
        <v>#DIV/0!</v>
      </c>
      <c r="H174" s="679"/>
      <c r="I174" s="101">
        <f t="shared" si="141"/>
        <v>108071</v>
      </c>
      <c r="J174" s="101">
        <f t="shared" si="142"/>
        <v>64.486206752967945</v>
      </c>
      <c r="K174" s="683">
        <f t="shared" si="143"/>
        <v>6969088.8499999987</v>
      </c>
      <c r="X174"/>
      <c r="Y174"/>
      <c r="Z174"/>
      <c r="AA174"/>
      <c r="AB174"/>
      <c r="AC174"/>
      <c r="AD174"/>
    </row>
    <row r="175" spans="1:30">
      <c r="A175" s="681">
        <v>156</v>
      </c>
      <c r="B175" s="903"/>
      <c r="C175" s="894"/>
      <c r="D175" s="895"/>
      <c r="E175" s="894"/>
      <c r="F175" s="894"/>
      <c r="G175" s="894"/>
      <c r="H175" s="894"/>
      <c r="I175" s="896"/>
      <c r="J175" s="896"/>
      <c r="K175" s="897"/>
      <c r="X175"/>
      <c r="Y175"/>
      <c r="Z175"/>
      <c r="AA175"/>
      <c r="AB175"/>
      <c r="AC175"/>
      <c r="AD175"/>
    </row>
    <row r="176" spans="1:30">
      <c r="A176" s="681">
        <v>157</v>
      </c>
      <c r="B176" s="904" t="s">
        <v>1243</v>
      </c>
      <c r="C176" s="679">
        <v>6</v>
      </c>
      <c r="D176" s="682">
        <v>19.010000000000002</v>
      </c>
      <c r="E176" s="679" t="s">
        <v>961</v>
      </c>
      <c r="F176" s="679">
        <v>8</v>
      </c>
      <c r="G176" s="679">
        <f>H176/F176</f>
        <v>25000</v>
      </c>
      <c r="H176" s="679">
        <v>200000</v>
      </c>
      <c r="I176" s="101">
        <f t="shared" ref="I176:I184" si="144">+I175+F176</f>
        <v>8</v>
      </c>
      <c r="J176" s="101">
        <f t="shared" ref="J176:J184" si="145">+K176/I176</f>
        <v>25000</v>
      </c>
      <c r="K176" s="683">
        <f t="shared" ref="K176:K184" si="146">(+H176+K175)</f>
        <v>200000</v>
      </c>
      <c r="X176"/>
      <c r="Y176"/>
      <c r="Z176"/>
      <c r="AA176"/>
      <c r="AB176"/>
      <c r="AC176"/>
      <c r="AD176"/>
    </row>
    <row r="177" spans="1:30">
      <c r="A177" s="681">
        <v>158</v>
      </c>
      <c r="B177" s="902"/>
      <c r="C177" s="679">
        <v>4</v>
      </c>
      <c r="D177" s="682">
        <v>6.01</v>
      </c>
      <c r="E177" s="679" t="s">
        <v>961</v>
      </c>
      <c r="F177" s="679">
        <v>15</v>
      </c>
      <c r="G177" s="679">
        <f t="shared" ref="G177:G184" si="147">H177/F177</f>
        <v>25000</v>
      </c>
      <c r="H177" s="679">
        <v>375000</v>
      </c>
      <c r="I177" s="101">
        <f t="shared" si="144"/>
        <v>23</v>
      </c>
      <c r="J177" s="101">
        <f t="shared" si="145"/>
        <v>25000</v>
      </c>
      <c r="K177" s="683">
        <f t="shared" si="146"/>
        <v>575000</v>
      </c>
      <c r="X177"/>
      <c r="Y177"/>
      <c r="Z177"/>
      <c r="AA177"/>
      <c r="AB177"/>
      <c r="AC177"/>
      <c r="AD177"/>
    </row>
    <row r="178" spans="1:30">
      <c r="A178" s="681">
        <v>159</v>
      </c>
      <c r="B178" s="902"/>
      <c r="C178" s="679">
        <v>8</v>
      </c>
      <c r="D178" s="682">
        <v>16.02</v>
      </c>
      <c r="E178" s="679" t="s">
        <v>961</v>
      </c>
      <c r="F178" s="679">
        <v>13</v>
      </c>
      <c r="G178" s="679">
        <f t="shared" si="147"/>
        <v>25000</v>
      </c>
      <c r="H178" s="679">
        <v>325000</v>
      </c>
      <c r="I178" s="101">
        <f t="shared" si="144"/>
        <v>36</v>
      </c>
      <c r="J178" s="101">
        <f t="shared" si="145"/>
        <v>25000</v>
      </c>
      <c r="K178" s="683">
        <f t="shared" si="146"/>
        <v>900000</v>
      </c>
      <c r="X178"/>
      <c r="Y178"/>
      <c r="Z178"/>
      <c r="AA178"/>
      <c r="AB178"/>
      <c r="AC178"/>
      <c r="AD178"/>
    </row>
    <row r="179" spans="1:30">
      <c r="A179" s="681">
        <v>160</v>
      </c>
      <c r="B179" s="902"/>
      <c r="C179" s="679">
        <v>15</v>
      </c>
      <c r="D179" s="682">
        <v>18.04</v>
      </c>
      <c r="E179" s="679" t="s">
        <v>961</v>
      </c>
      <c r="F179" s="679">
        <v>9</v>
      </c>
      <c r="G179" s="679">
        <f t="shared" si="147"/>
        <v>25000</v>
      </c>
      <c r="H179" s="679">
        <v>225000</v>
      </c>
      <c r="I179" s="101">
        <f t="shared" si="144"/>
        <v>45</v>
      </c>
      <c r="J179" s="101">
        <f t="shared" si="145"/>
        <v>25000</v>
      </c>
      <c r="K179" s="683">
        <f t="shared" si="146"/>
        <v>1125000</v>
      </c>
      <c r="X179"/>
      <c r="Y179"/>
      <c r="Z179"/>
      <c r="AA179"/>
      <c r="AB179"/>
      <c r="AC179"/>
      <c r="AD179"/>
    </row>
    <row r="180" spans="1:30">
      <c r="A180" s="681">
        <v>161</v>
      </c>
      <c r="B180" s="902"/>
      <c r="C180" s="679">
        <v>19</v>
      </c>
      <c r="D180" s="682">
        <v>20.05</v>
      </c>
      <c r="E180" s="679" t="s">
        <v>961</v>
      </c>
      <c r="F180" s="679">
        <v>9</v>
      </c>
      <c r="G180" s="679">
        <f t="shared" si="147"/>
        <v>25000</v>
      </c>
      <c r="H180" s="679">
        <v>225000</v>
      </c>
      <c r="I180" s="101">
        <f t="shared" si="144"/>
        <v>54</v>
      </c>
      <c r="J180" s="101">
        <f t="shared" si="145"/>
        <v>25000</v>
      </c>
      <c r="K180" s="683">
        <f t="shared" si="146"/>
        <v>1350000</v>
      </c>
      <c r="X180"/>
      <c r="Y180"/>
      <c r="Z180"/>
      <c r="AA180"/>
      <c r="AB180"/>
      <c r="AC180"/>
      <c r="AD180"/>
    </row>
    <row r="181" spans="1:30">
      <c r="A181" s="681">
        <v>162</v>
      </c>
      <c r="B181" s="902"/>
      <c r="C181" s="679"/>
      <c r="D181" s="682"/>
      <c r="E181" s="679" t="s">
        <v>961</v>
      </c>
      <c r="F181" s="679"/>
      <c r="G181" s="679" t="e">
        <f t="shared" si="147"/>
        <v>#DIV/0!</v>
      </c>
      <c r="H181" s="679"/>
      <c r="I181" s="101">
        <f t="shared" si="144"/>
        <v>54</v>
      </c>
      <c r="J181" s="101">
        <f t="shared" si="145"/>
        <v>25000</v>
      </c>
      <c r="K181" s="683">
        <f t="shared" si="146"/>
        <v>1350000</v>
      </c>
      <c r="X181"/>
      <c r="Y181"/>
      <c r="Z181"/>
      <c r="AA181"/>
      <c r="AB181"/>
      <c r="AC181"/>
      <c r="AD181"/>
    </row>
    <row r="182" spans="1:30" ht="12.75" customHeight="1">
      <c r="A182" s="681">
        <v>163</v>
      </c>
      <c r="B182" s="902"/>
      <c r="C182" s="679"/>
      <c r="D182" s="682"/>
      <c r="E182" s="679" t="s">
        <v>961</v>
      </c>
      <c r="F182" s="679"/>
      <c r="G182" s="679" t="e">
        <f t="shared" si="147"/>
        <v>#DIV/0!</v>
      </c>
      <c r="H182" s="679"/>
      <c r="I182" s="101">
        <f t="shared" si="144"/>
        <v>54</v>
      </c>
      <c r="J182" s="101">
        <f t="shared" si="145"/>
        <v>25000</v>
      </c>
      <c r="K182" s="683">
        <f t="shared" si="146"/>
        <v>1350000</v>
      </c>
      <c r="X182"/>
      <c r="Y182"/>
      <c r="Z182"/>
      <c r="AA182"/>
      <c r="AB182"/>
      <c r="AC182"/>
      <c r="AD182"/>
    </row>
    <row r="183" spans="1:30" ht="12.75" customHeight="1">
      <c r="A183" s="681">
        <v>164</v>
      </c>
      <c r="B183" s="902"/>
      <c r="C183" s="679"/>
      <c r="D183" s="682"/>
      <c r="E183" s="679" t="s">
        <v>961</v>
      </c>
      <c r="F183" s="679"/>
      <c r="G183" s="679" t="e">
        <f t="shared" si="147"/>
        <v>#DIV/0!</v>
      </c>
      <c r="H183" s="679"/>
      <c r="I183" s="101">
        <f t="shared" si="144"/>
        <v>54</v>
      </c>
      <c r="J183" s="101">
        <f t="shared" si="145"/>
        <v>25000</v>
      </c>
      <c r="K183" s="683">
        <f t="shared" si="146"/>
        <v>1350000</v>
      </c>
      <c r="X183"/>
      <c r="Y183"/>
      <c r="Z183"/>
      <c r="AA183"/>
      <c r="AB183"/>
      <c r="AC183"/>
      <c r="AD183"/>
    </row>
    <row r="184" spans="1:30">
      <c r="A184" s="681">
        <v>165</v>
      </c>
      <c r="B184" s="902"/>
      <c r="C184" s="679"/>
      <c r="D184" s="682"/>
      <c r="E184" s="679"/>
      <c r="F184" s="679"/>
      <c r="G184" s="679" t="e">
        <f t="shared" si="147"/>
        <v>#DIV/0!</v>
      </c>
      <c r="H184" s="679"/>
      <c r="I184" s="101">
        <f t="shared" si="144"/>
        <v>54</v>
      </c>
      <c r="J184" s="101">
        <f t="shared" si="145"/>
        <v>25000</v>
      </c>
      <c r="K184" s="683">
        <f t="shared" si="146"/>
        <v>1350000</v>
      </c>
      <c r="X184"/>
      <c r="Y184"/>
      <c r="Z184"/>
      <c r="AA184"/>
      <c r="AB184"/>
      <c r="AC184"/>
      <c r="AD184"/>
    </row>
    <row r="185" spans="1:30">
      <c r="A185" s="681">
        <v>166</v>
      </c>
      <c r="B185" s="903"/>
      <c r="C185" s="894"/>
      <c r="D185" s="895"/>
      <c r="E185" s="894"/>
      <c r="F185" s="894"/>
      <c r="G185" s="894"/>
      <c r="H185" s="894"/>
      <c r="I185" s="896"/>
      <c r="J185" s="896"/>
      <c r="K185" s="897"/>
      <c r="X185"/>
      <c r="Y185"/>
      <c r="Z185"/>
      <c r="AA185"/>
      <c r="AB185"/>
      <c r="AC185"/>
      <c r="AD185"/>
    </row>
    <row r="186" spans="1:30">
      <c r="A186" s="681">
        <v>167</v>
      </c>
      <c r="B186" s="904" t="s">
        <v>1244</v>
      </c>
      <c r="C186" s="679">
        <v>6</v>
      </c>
      <c r="D186" s="682">
        <v>19.010000000000002</v>
      </c>
      <c r="E186" s="679" t="s">
        <v>961</v>
      </c>
      <c r="F186" s="679">
        <v>6</v>
      </c>
      <c r="G186" s="679">
        <f t="shared" ref="G186:G194" si="148">H186/F186</f>
        <v>273</v>
      </c>
      <c r="H186" s="679">
        <v>1638</v>
      </c>
      <c r="I186" s="101">
        <f t="shared" ref="I186:I194" si="149">+I185+F186</f>
        <v>6</v>
      </c>
      <c r="J186" s="101">
        <f t="shared" ref="J186:J194" si="150">+K186/I186</f>
        <v>273</v>
      </c>
      <c r="K186" s="683">
        <f t="shared" ref="K186:K194" si="151">(+H186+K185)</f>
        <v>1638</v>
      </c>
      <c r="X186"/>
      <c r="Y186"/>
      <c r="Z186"/>
      <c r="AA186"/>
      <c r="AB186"/>
      <c r="AC186"/>
      <c r="AD186"/>
    </row>
    <row r="187" spans="1:30">
      <c r="A187" s="681">
        <v>168</v>
      </c>
      <c r="B187" s="902"/>
      <c r="C187" s="679">
        <v>4</v>
      </c>
      <c r="D187" s="682">
        <v>6.01</v>
      </c>
      <c r="E187" s="679" t="s">
        <v>961</v>
      </c>
      <c r="F187" s="679">
        <v>10</v>
      </c>
      <c r="G187" s="679">
        <f t="shared" si="148"/>
        <v>273</v>
      </c>
      <c r="H187" s="679">
        <v>2730</v>
      </c>
      <c r="I187" s="101">
        <f t="shared" si="149"/>
        <v>16</v>
      </c>
      <c r="J187" s="101">
        <f t="shared" si="150"/>
        <v>273</v>
      </c>
      <c r="K187" s="683">
        <f t="shared" si="151"/>
        <v>4368</v>
      </c>
      <c r="X187"/>
      <c r="Y187"/>
      <c r="Z187"/>
      <c r="AA187"/>
      <c r="AB187"/>
      <c r="AC187"/>
      <c r="AD187"/>
    </row>
    <row r="188" spans="1:30">
      <c r="A188" s="681">
        <v>169</v>
      </c>
      <c r="B188" s="902"/>
      <c r="C188" s="679">
        <v>8</v>
      </c>
      <c r="D188" s="682">
        <v>16.02</v>
      </c>
      <c r="E188" s="679" t="s">
        <v>961</v>
      </c>
      <c r="F188" s="679">
        <v>10</v>
      </c>
      <c r="G188" s="679">
        <f t="shared" si="148"/>
        <v>273</v>
      </c>
      <c r="H188" s="679">
        <v>2730</v>
      </c>
      <c r="I188" s="101">
        <f t="shared" si="149"/>
        <v>26</v>
      </c>
      <c r="J188" s="101">
        <f t="shared" si="150"/>
        <v>273</v>
      </c>
      <c r="K188" s="683">
        <f t="shared" si="151"/>
        <v>7098</v>
      </c>
      <c r="X188"/>
      <c r="Y188"/>
      <c r="Z188"/>
      <c r="AA188"/>
      <c r="AB188"/>
      <c r="AC188"/>
      <c r="AD188"/>
    </row>
    <row r="189" spans="1:30">
      <c r="A189" s="681">
        <v>170</v>
      </c>
      <c r="B189" s="902"/>
      <c r="C189" s="679">
        <v>19</v>
      </c>
      <c r="D189" s="682">
        <v>20.05</v>
      </c>
      <c r="E189" s="679" t="s">
        <v>961</v>
      </c>
      <c r="F189" s="679">
        <f>30+15</f>
        <v>45</v>
      </c>
      <c r="G189" s="679">
        <f t="shared" si="148"/>
        <v>157.19999999999999</v>
      </c>
      <c r="H189" s="679">
        <f>819+6255</f>
        <v>7074</v>
      </c>
      <c r="I189" s="101">
        <f t="shared" si="149"/>
        <v>71</v>
      </c>
      <c r="J189" s="101">
        <f t="shared" si="150"/>
        <v>199.6056338028169</v>
      </c>
      <c r="K189" s="683">
        <f t="shared" si="151"/>
        <v>14172</v>
      </c>
      <c r="X189"/>
      <c r="Y189"/>
      <c r="Z189"/>
      <c r="AA189"/>
      <c r="AB189"/>
      <c r="AC189"/>
      <c r="AD189"/>
    </row>
    <row r="190" spans="1:30">
      <c r="A190" s="681">
        <v>171</v>
      </c>
      <c r="B190" s="902"/>
      <c r="C190" s="679"/>
      <c r="D190" s="682"/>
      <c r="E190" s="679" t="s">
        <v>961</v>
      </c>
      <c r="F190" s="679"/>
      <c r="G190" s="679" t="e">
        <f t="shared" si="148"/>
        <v>#DIV/0!</v>
      </c>
      <c r="H190" s="679"/>
      <c r="I190" s="101">
        <f t="shared" si="149"/>
        <v>71</v>
      </c>
      <c r="J190" s="101">
        <f t="shared" si="150"/>
        <v>199.6056338028169</v>
      </c>
      <c r="K190" s="683">
        <f t="shared" si="151"/>
        <v>14172</v>
      </c>
      <c r="X190"/>
      <c r="Y190"/>
      <c r="Z190"/>
      <c r="AA190"/>
      <c r="AB190"/>
      <c r="AC190"/>
      <c r="AD190"/>
    </row>
    <row r="191" spans="1:30">
      <c r="A191" s="681">
        <v>172</v>
      </c>
      <c r="B191" s="902"/>
      <c r="C191" s="679"/>
      <c r="D191" s="682"/>
      <c r="E191" s="679" t="s">
        <v>961</v>
      </c>
      <c r="F191" s="679"/>
      <c r="G191" s="679" t="e">
        <f t="shared" si="148"/>
        <v>#DIV/0!</v>
      </c>
      <c r="H191" s="679"/>
      <c r="I191" s="101">
        <f t="shared" si="149"/>
        <v>71</v>
      </c>
      <c r="J191" s="101">
        <f t="shared" si="150"/>
        <v>199.6056338028169</v>
      </c>
      <c r="K191" s="683">
        <f t="shared" si="151"/>
        <v>14172</v>
      </c>
      <c r="X191"/>
      <c r="Y191"/>
      <c r="Z191"/>
      <c r="AA191"/>
      <c r="AB191"/>
      <c r="AC191"/>
      <c r="AD191"/>
    </row>
    <row r="192" spans="1:30">
      <c r="A192" s="681">
        <v>173</v>
      </c>
      <c r="B192" s="902"/>
      <c r="C192" s="679"/>
      <c r="D192" s="682"/>
      <c r="E192" s="679" t="s">
        <v>961</v>
      </c>
      <c r="F192" s="679"/>
      <c r="G192" s="679" t="e">
        <f t="shared" si="148"/>
        <v>#DIV/0!</v>
      </c>
      <c r="H192" s="679"/>
      <c r="I192" s="101">
        <f t="shared" si="149"/>
        <v>71</v>
      </c>
      <c r="J192" s="101">
        <f t="shared" si="150"/>
        <v>199.6056338028169</v>
      </c>
      <c r="K192" s="683">
        <f t="shared" si="151"/>
        <v>14172</v>
      </c>
      <c r="X192"/>
      <c r="Y192"/>
      <c r="Z192"/>
      <c r="AA192"/>
      <c r="AB192"/>
      <c r="AC192"/>
      <c r="AD192"/>
    </row>
    <row r="193" spans="1:30">
      <c r="A193" s="681">
        <v>174</v>
      </c>
      <c r="B193" s="902"/>
      <c r="C193" s="679"/>
      <c r="D193" s="682"/>
      <c r="E193" s="679" t="s">
        <v>961</v>
      </c>
      <c r="F193" s="679"/>
      <c r="G193" s="679" t="e">
        <f t="shared" si="148"/>
        <v>#DIV/0!</v>
      </c>
      <c r="H193" s="679"/>
      <c r="I193" s="101">
        <f t="shared" si="149"/>
        <v>71</v>
      </c>
      <c r="J193" s="101">
        <f t="shared" si="150"/>
        <v>199.6056338028169</v>
      </c>
      <c r="K193" s="683">
        <f t="shared" si="151"/>
        <v>14172</v>
      </c>
      <c r="X193"/>
      <c r="Y193"/>
      <c r="Z193"/>
      <c r="AA193"/>
      <c r="AB193"/>
      <c r="AC193"/>
      <c r="AD193"/>
    </row>
    <row r="194" spans="1:30">
      <c r="A194" s="681">
        <v>175</v>
      </c>
      <c r="B194" s="902"/>
      <c r="C194" s="679"/>
      <c r="D194" s="682"/>
      <c r="E194" s="679" t="s">
        <v>961</v>
      </c>
      <c r="F194" s="679"/>
      <c r="G194" s="679" t="e">
        <f t="shared" si="148"/>
        <v>#DIV/0!</v>
      </c>
      <c r="H194" s="679"/>
      <c r="I194" s="101">
        <f t="shared" si="149"/>
        <v>71</v>
      </c>
      <c r="J194" s="101">
        <f t="shared" si="150"/>
        <v>199.6056338028169</v>
      </c>
      <c r="K194" s="683">
        <f t="shared" si="151"/>
        <v>14172</v>
      </c>
      <c r="X194"/>
      <c r="Y194"/>
      <c r="Z194"/>
      <c r="AA194"/>
      <c r="AB194"/>
      <c r="AC194"/>
      <c r="AD194"/>
    </row>
    <row r="195" spans="1:30">
      <c r="A195" s="681">
        <v>176</v>
      </c>
      <c r="B195" s="903"/>
      <c r="C195" s="894"/>
      <c r="D195" s="895"/>
      <c r="E195" s="894"/>
      <c r="F195" s="894"/>
      <c r="G195" s="894"/>
      <c r="H195" s="894"/>
      <c r="I195" s="896"/>
      <c r="J195" s="896"/>
      <c r="K195" s="897"/>
      <c r="X195"/>
      <c r="Y195"/>
      <c r="Z195"/>
      <c r="AA195"/>
      <c r="AB195"/>
      <c r="AC195"/>
      <c r="AD195"/>
    </row>
    <row r="196" spans="1:30">
      <c r="A196" s="681">
        <v>177</v>
      </c>
      <c r="B196" s="904" t="s">
        <v>965</v>
      </c>
      <c r="C196" s="679">
        <v>55</v>
      </c>
      <c r="D196" s="682">
        <v>6.01</v>
      </c>
      <c r="E196" s="679" t="s">
        <v>961</v>
      </c>
      <c r="F196" s="679">
        <f>3360+1600</f>
        <v>4960</v>
      </c>
      <c r="G196" s="679">
        <f t="shared" ref="G196:G211" si="152">H196/F196</f>
        <v>26.921975806451613</v>
      </c>
      <c r="H196" s="679">
        <v>133533</v>
      </c>
      <c r="I196" s="101">
        <f t="shared" ref="I196:I199" si="153">+I195+F196</f>
        <v>4960</v>
      </c>
      <c r="J196" s="101">
        <f t="shared" ref="J196:J199" si="154">+K196/I196</f>
        <v>26.921975806451613</v>
      </c>
      <c r="K196" s="683">
        <f t="shared" ref="K196:K199" si="155">(+H196+K195)</f>
        <v>133533</v>
      </c>
      <c r="X196"/>
      <c r="Y196"/>
      <c r="Z196"/>
      <c r="AA196"/>
      <c r="AB196"/>
      <c r="AC196"/>
      <c r="AD196"/>
    </row>
    <row r="197" spans="1:30">
      <c r="A197" s="681">
        <v>178</v>
      </c>
      <c r="B197" s="902"/>
      <c r="C197" s="679">
        <v>1576</v>
      </c>
      <c r="D197" s="682">
        <v>17.03</v>
      </c>
      <c r="E197" s="679" t="s">
        <v>961</v>
      </c>
      <c r="F197" s="679">
        <f>2880+2560+2240+800</f>
        <v>8480</v>
      </c>
      <c r="G197" s="679">
        <f t="shared" si="152"/>
        <v>19.709080188679245</v>
      </c>
      <c r="H197" s="679">
        <v>167133</v>
      </c>
      <c r="I197" s="101">
        <f t="shared" si="153"/>
        <v>13440</v>
      </c>
      <c r="J197" s="101">
        <f t="shared" si="154"/>
        <v>22.370982142857144</v>
      </c>
      <c r="K197" s="683">
        <f t="shared" si="155"/>
        <v>300666</v>
      </c>
      <c r="X197"/>
      <c r="Y197"/>
      <c r="Z197"/>
      <c r="AA197"/>
      <c r="AB197"/>
      <c r="AC197"/>
      <c r="AD197"/>
    </row>
    <row r="198" spans="1:30">
      <c r="A198" s="681">
        <v>179</v>
      </c>
      <c r="B198" s="902"/>
      <c r="C198" s="679">
        <v>344</v>
      </c>
      <c r="D198" s="682">
        <v>15.04</v>
      </c>
      <c r="E198" s="679" t="s">
        <v>961</v>
      </c>
      <c r="F198" s="679">
        <v>8484</v>
      </c>
      <c r="G198" s="679">
        <f t="shared" si="152"/>
        <v>15.5999528524281</v>
      </c>
      <c r="H198" s="679">
        <v>132350</v>
      </c>
      <c r="I198" s="101">
        <f t="shared" si="153"/>
        <v>21924</v>
      </c>
      <c r="J198" s="101">
        <f t="shared" si="154"/>
        <v>19.75077540594782</v>
      </c>
      <c r="K198" s="683">
        <f t="shared" si="155"/>
        <v>433016</v>
      </c>
      <c r="X198"/>
      <c r="Y198"/>
      <c r="Z198"/>
      <c r="AA198"/>
      <c r="AB198"/>
      <c r="AC198"/>
      <c r="AD198"/>
    </row>
    <row r="199" spans="1:30">
      <c r="A199" s="681">
        <v>180</v>
      </c>
      <c r="B199" s="902"/>
      <c r="C199" s="679">
        <v>1491</v>
      </c>
      <c r="D199" s="682">
        <v>16.04</v>
      </c>
      <c r="E199" s="679" t="s">
        <v>961</v>
      </c>
      <c r="F199" s="679">
        <v>3840</v>
      </c>
      <c r="G199" s="679">
        <f t="shared" si="152"/>
        <v>34.170052083333331</v>
      </c>
      <c r="H199" s="679">
        <v>131213</v>
      </c>
      <c r="I199" s="101">
        <f t="shared" si="153"/>
        <v>25764</v>
      </c>
      <c r="J199" s="101">
        <f t="shared" si="154"/>
        <v>21.899899083993169</v>
      </c>
      <c r="K199" s="683">
        <f t="shared" si="155"/>
        <v>564229</v>
      </c>
      <c r="X199"/>
      <c r="Y199"/>
      <c r="Z199"/>
      <c r="AA199"/>
      <c r="AB199"/>
      <c r="AC199"/>
      <c r="AD199"/>
    </row>
    <row r="200" spans="1:30">
      <c r="A200" s="681">
        <v>181</v>
      </c>
      <c r="B200" s="902"/>
      <c r="C200" s="679">
        <v>110</v>
      </c>
      <c r="D200" s="682">
        <v>31.05</v>
      </c>
      <c r="E200" s="679" t="s">
        <v>961</v>
      </c>
      <c r="F200" s="679">
        <v>11904</v>
      </c>
      <c r="G200" s="679">
        <f t="shared" si="152"/>
        <v>14</v>
      </c>
      <c r="H200" s="679">
        <v>166656</v>
      </c>
      <c r="I200" s="101">
        <f t="shared" ref="I200:I211" si="156">+I199+F200</f>
        <v>37668</v>
      </c>
      <c r="J200" s="101">
        <f t="shared" ref="J200:J211" si="157">+K200/I200</f>
        <v>19.403339704789211</v>
      </c>
      <c r="K200" s="683">
        <f t="shared" ref="K200:K211" si="158">(+H200+K199)</f>
        <v>730885</v>
      </c>
      <c r="X200"/>
      <c r="Y200"/>
      <c r="Z200"/>
      <c r="AA200"/>
      <c r="AB200"/>
      <c r="AC200"/>
      <c r="AD200"/>
    </row>
    <row r="201" spans="1:30">
      <c r="A201" s="681">
        <v>182</v>
      </c>
      <c r="B201" s="902"/>
      <c r="C201" s="679">
        <v>111</v>
      </c>
      <c r="D201" s="682">
        <v>31.05</v>
      </c>
      <c r="E201" s="679" t="s">
        <v>961</v>
      </c>
      <c r="F201" s="679">
        <f>4860+9127</f>
        <v>13987</v>
      </c>
      <c r="G201" s="679">
        <f t="shared" si="152"/>
        <v>11.915206977908058</v>
      </c>
      <c r="H201" s="679">
        <v>166658</v>
      </c>
      <c r="I201" s="101">
        <f t="shared" si="156"/>
        <v>51655</v>
      </c>
      <c r="J201" s="101">
        <f t="shared" si="157"/>
        <v>17.37572355047914</v>
      </c>
      <c r="K201" s="683">
        <f t="shared" si="158"/>
        <v>897543</v>
      </c>
      <c r="X201"/>
      <c r="Y201"/>
      <c r="Z201"/>
      <c r="AA201"/>
      <c r="AB201"/>
      <c r="AC201"/>
      <c r="AD201"/>
    </row>
    <row r="202" spans="1:30">
      <c r="A202" s="681">
        <v>183</v>
      </c>
      <c r="B202" s="902"/>
      <c r="C202" s="679">
        <v>112</v>
      </c>
      <c r="D202" s="682">
        <v>31.05</v>
      </c>
      <c r="E202" s="679" t="s">
        <v>961</v>
      </c>
      <c r="F202" s="679">
        <v>8232</v>
      </c>
      <c r="G202" s="679">
        <f t="shared" si="152"/>
        <v>14</v>
      </c>
      <c r="H202" s="679">
        <v>115248</v>
      </c>
      <c r="I202" s="101">
        <f t="shared" si="156"/>
        <v>59887</v>
      </c>
      <c r="J202" s="101">
        <f t="shared" si="157"/>
        <v>16.911700369028338</v>
      </c>
      <c r="K202" s="683">
        <f t="shared" si="158"/>
        <v>1012791</v>
      </c>
      <c r="X202"/>
      <c r="Y202"/>
      <c r="Z202"/>
      <c r="AA202"/>
      <c r="AB202"/>
      <c r="AC202"/>
      <c r="AD202"/>
    </row>
    <row r="203" spans="1:30">
      <c r="A203" s="681">
        <v>184</v>
      </c>
      <c r="B203" s="902"/>
      <c r="C203" s="93">
        <v>33110</v>
      </c>
      <c r="D203" s="93">
        <v>2.0499999999999998</v>
      </c>
      <c r="E203" s="679" t="s">
        <v>961</v>
      </c>
      <c r="F203" s="679">
        <v>4160</v>
      </c>
      <c r="G203" s="679">
        <f t="shared" si="152"/>
        <v>33.339903846153845</v>
      </c>
      <c r="H203" s="88">
        <v>138694</v>
      </c>
      <c r="I203" s="101">
        <f t="shared" si="156"/>
        <v>64047</v>
      </c>
      <c r="J203" s="101">
        <f t="shared" si="157"/>
        <v>17.978749980483084</v>
      </c>
      <c r="K203" s="683">
        <f t="shared" si="158"/>
        <v>1151485</v>
      </c>
      <c r="X203"/>
      <c r="Y203"/>
      <c r="Z203"/>
      <c r="AA203"/>
      <c r="AB203"/>
      <c r="AC203"/>
      <c r="AD203"/>
    </row>
    <row r="204" spans="1:30">
      <c r="A204" s="681">
        <v>185</v>
      </c>
      <c r="B204" s="902"/>
      <c r="C204" s="93">
        <v>33111</v>
      </c>
      <c r="D204" s="93">
        <v>2.0499999999999998</v>
      </c>
      <c r="E204" s="679" t="s">
        <v>961</v>
      </c>
      <c r="F204" s="679">
        <v>4480</v>
      </c>
      <c r="G204" s="679">
        <f t="shared" si="152"/>
        <v>33.339955357142856</v>
      </c>
      <c r="H204" s="88">
        <v>149363</v>
      </c>
      <c r="I204" s="101">
        <f t="shared" si="156"/>
        <v>68527</v>
      </c>
      <c r="J204" s="101">
        <f t="shared" si="157"/>
        <v>18.982999401695682</v>
      </c>
      <c r="K204" s="683">
        <f t="shared" si="158"/>
        <v>1300848</v>
      </c>
      <c r="X204"/>
      <c r="Y204"/>
      <c r="Z204"/>
      <c r="AA204"/>
      <c r="AB204"/>
      <c r="AC204"/>
      <c r="AD204"/>
    </row>
    <row r="205" spans="1:30">
      <c r="A205" s="681">
        <v>186</v>
      </c>
      <c r="B205" s="902"/>
      <c r="C205" s="93">
        <v>33112</v>
      </c>
      <c r="D205" s="93">
        <v>2.0499999999999998</v>
      </c>
      <c r="E205" s="679" t="s">
        <v>961</v>
      </c>
      <c r="F205" s="679">
        <v>4000</v>
      </c>
      <c r="G205" s="679">
        <f t="shared" si="152"/>
        <v>33.340000000000003</v>
      </c>
      <c r="H205" s="88">
        <v>133360</v>
      </c>
      <c r="I205" s="101">
        <f t="shared" si="156"/>
        <v>72527</v>
      </c>
      <c r="J205" s="101">
        <f t="shared" si="157"/>
        <v>19.774814896521296</v>
      </c>
      <c r="K205" s="683">
        <f t="shared" si="158"/>
        <v>1434208</v>
      </c>
      <c r="X205"/>
      <c r="Y205"/>
      <c r="Z205"/>
      <c r="AA205"/>
      <c r="AB205"/>
      <c r="AC205"/>
      <c r="AD205"/>
    </row>
    <row r="206" spans="1:30">
      <c r="A206" s="681">
        <v>187</v>
      </c>
      <c r="B206" s="902"/>
      <c r="C206" s="93">
        <v>33114</v>
      </c>
      <c r="D206" s="93">
        <v>2.0499999999999998</v>
      </c>
      <c r="E206" s="679" t="s">
        <v>961</v>
      </c>
      <c r="F206" s="679">
        <v>3840</v>
      </c>
      <c r="G206" s="679">
        <f t="shared" si="152"/>
        <v>33.34010416666667</v>
      </c>
      <c r="H206" s="88">
        <v>128026</v>
      </c>
      <c r="I206" s="101">
        <f t="shared" si="156"/>
        <v>76367</v>
      </c>
      <c r="J206" s="101">
        <f t="shared" si="157"/>
        <v>20.456925111631989</v>
      </c>
      <c r="K206" s="683">
        <f t="shared" si="158"/>
        <v>1562234</v>
      </c>
      <c r="X206"/>
      <c r="Y206"/>
      <c r="Z206"/>
      <c r="AA206"/>
      <c r="AB206"/>
      <c r="AC206"/>
      <c r="AD206"/>
    </row>
    <row r="207" spans="1:30">
      <c r="A207" s="681">
        <v>188</v>
      </c>
      <c r="B207" s="902"/>
      <c r="C207" s="93">
        <v>33124</v>
      </c>
      <c r="D207" s="93">
        <v>3.05</v>
      </c>
      <c r="E207" s="679" t="s">
        <v>961</v>
      </c>
      <c r="F207" s="679">
        <v>3840</v>
      </c>
      <c r="G207" s="679">
        <f t="shared" si="152"/>
        <v>33.34010416666667</v>
      </c>
      <c r="H207" s="88">
        <v>128026</v>
      </c>
      <c r="I207" s="101">
        <f t="shared" si="156"/>
        <v>80207</v>
      </c>
      <c r="J207" s="101">
        <f t="shared" si="157"/>
        <v>21.073721744984852</v>
      </c>
      <c r="K207" s="683">
        <f t="shared" si="158"/>
        <v>1690260</v>
      </c>
      <c r="X207"/>
      <c r="Y207"/>
      <c r="Z207"/>
      <c r="AA207"/>
      <c r="AB207"/>
      <c r="AC207"/>
      <c r="AD207"/>
    </row>
    <row r="208" spans="1:30">
      <c r="A208" s="681">
        <v>189</v>
      </c>
      <c r="B208" s="902"/>
      <c r="C208" s="93">
        <v>33125</v>
      </c>
      <c r="D208" s="93">
        <v>3.05</v>
      </c>
      <c r="E208" s="679" t="s">
        <v>961</v>
      </c>
      <c r="F208" s="679">
        <v>4160</v>
      </c>
      <c r="G208" s="679">
        <f t="shared" si="152"/>
        <v>33.339903846153845</v>
      </c>
      <c r="H208" s="88">
        <v>138694</v>
      </c>
      <c r="I208" s="101">
        <f t="shared" si="156"/>
        <v>84367</v>
      </c>
      <c r="J208" s="101">
        <f t="shared" si="157"/>
        <v>21.678547299299488</v>
      </c>
      <c r="K208" s="683">
        <f t="shared" si="158"/>
        <v>1828954</v>
      </c>
      <c r="X208"/>
      <c r="Y208"/>
      <c r="Z208"/>
      <c r="AA208"/>
      <c r="AB208"/>
      <c r="AC208"/>
      <c r="AD208"/>
    </row>
    <row r="209" spans="1:30">
      <c r="A209" s="681">
        <v>190</v>
      </c>
      <c r="B209" s="902"/>
      <c r="C209" s="93">
        <v>33126</v>
      </c>
      <c r="D209" s="93">
        <v>3.05</v>
      </c>
      <c r="E209" s="679" t="s">
        <v>961</v>
      </c>
      <c r="F209" s="679">
        <v>4160</v>
      </c>
      <c r="G209" s="679">
        <f t="shared" si="152"/>
        <v>33.339903846153845</v>
      </c>
      <c r="H209" s="88">
        <v>138694</v>
      </c>
      <c r="I209" s="101">
        <f t="shared" si="156"/>
        <v>88527</v>
      </c>
      <c r="J209" s="101">
        <f t="shared" si="157"/>
        <v>22.226529759282478</v>
      </c>
      <c r="K209" s="683">
        <f t="shared" si="158"/>
        <v>1967648</v>
      </c>
      <c r="X209"/>
      <c r="Y209"/>
      <c r="Z209"/>
      <c r="AA209"/>
      <c r="AB209"/>
      <c r="AC209"/>
      <c r="AD209"/>
    </row>
    <row r="210" spans="1:30">
      <c r="A210" s="681">
        <v>191</v>
      </c>
      <c r="B210" s="902"/>
      <c r="C210" s="93">
        <v>33129</v>
      </c>
      <c r="D210" s="93">
        <v>3.05</v>
      </c>
      <c r="E210" s="679" t="s">
        <v>961</v>
      </c>
      <c r="F210" s="679">
        <v>4160</v>
      </c>
      <c r="G210" s="679">
        <f t="shared" si="152"/>
        <v>33.339903846153845</v>
      </c>
      <c r="H210" s="88">
        <v>138694</v>
      </c>
      <c r="I210" s="101">
        <f t="shared" si="156"/>
        <v>92687</v>
      </c>
      <c r="J210" s="101">
        <f t="shared" si="157"/>
        <v>22.725322860811119</v>
      </c>
      <c r="K210" s="683">
        <f t="shared" si="158"/>
        <v>2106342</v>
      </c>
      <c r="X210"/>
      <c r="Y210"/>
      <c r="Z210"/>
      <c r="AA210"/>
      <c r="AB210"/>
      <c r="AC210"/>
      <c r="AD210"/>
    </row>
    <row r="211" spans="1:30">
      <c r="A211" s="681">
        <v>192</v>
      </c>
      <c r="B211" s="902"/>
      <c r="C211" s="93">
        <v>33136</v>
      </c>
      <c r="D211" s="93">
        <v>4.05</v>
      </c>
      <c r="E211" s="679" t="s">
        <v>961</v>
      </c>
      <c r="F211" s="679">
        <v>4160</v>
      </c>
      <c r="G211" s="679">
        <f t="shared" si="152"/>
        <v>33.339903846153845</v>
      </c>
      <c r="H211" s="88">
        <v>138694</v>
      </c>
      <c r="I211" s="101">
        <f t="shared" si="156"/>
        <v>96847</v>
      </c>
      <c r="J211" s="101">
        <f t="shared" si="157"/>
        <v>23.181265294743255</v>
      </c>
      <c r="K211" s="683">
        <f t="shared" si="158"/>
        <v>2245036</v>
      </c>
      <c r="X211"/>
      <c r="Y211"/>
      <c r="Z211"/>
      <c r="AA211"/>
      <c r="AB211"/>
      <c r="AC211"/>
      <c r="AD211"/>
    </row>
    <row r="212" spans="1:30">
      <c r="A212" s="681">
        <v>193</v>
      </c>
      <c r="B212" s="902"/>
      <c r="C212" s="93">
        <v>33137</v>
      </c>
      <c r="D212" s="93">
        <v>4.05</v>
      </c>
      <c r="E212" s="679" t="s">
        <v>961</v>
      </c>
      <c r="F212" s="679">
        <v>3840</v>
      </c>
      <c r="G212" s="679">
        <f t="shared" ref="G212:G251" si="159">H212/F212</f>
        <v>33.34010416666667</v>
      </c>
      <c r="H212" s="88">
        <v>128026</v>
      </c>
      <c r="I212" s="101">
        <f t="shared" ref="I212:I219" si="160">+I211+F212</f>
        <v>100687</v>
      </c>
      <c r="J212" s="101">
        <f t="shared" ref="J212:J219" si="161">+K212/I212</f>
        <v>23.568703010319108</v>
      </c>
      <c r="K212" s="683">
        <f t="shared" ref="K212:K219" si="162">(+H212+K211)</f>
        <v>2373062</v>
      </c>
      <c r="X212"/>
      <c r="Y212"/>
      <c r="Z212"/>
      <c r="AA212"/>
      <c r="AB212"/>
      <c r="AC212"/>
      <c r="AD212"/>
    </row>
    <row r="213" spans="1:30">
      <c r="A213" s="681">
        <v>194</v>
      </c>
      <c r="B213" s="902"/>
      <c r="C213" s="93">
        <v>33138</v>
      </c>
      <c r="D213" s="93">
        <v>4.05</v>
      </c>
      <c r="E213" s="679" t="s">
        <v>961</v>
      </c>
      <c r="F213" s="679">
        <v>4160</v>
      </c>
      <c r="G213" s="679">
        <f t="shared" si="159"/>
        <v>33.339903846153845</v>
      </c>
      <c r="H213" s="88">
        <v>138694</v>
      </c>
      <c r="I213" s="101">
        <f t="shared" si="160"/>
        <v>104847</v>
      </c>
      <c r="J213" s="101">
        <f t="shared" si="161"/>
        <v>23.956393602105926</v>
      </c>
      <c r="K213" s="683">
        <f t="shared" si="162"/>
        <v>2511756</v>
      </c>
      <c r="X213"/>
      <c r="Y213"/>
      <c r="Z213"/>
      <c r="AA213"/>
      <c r="AB213"/>
      <c r="AC213"/>
      <c r="AD213"/>
    </row>
    <row r="214" spans="1:30">
      <c r="A214" s="681">
        <v>195</v>
      </c>
      <c r="B214" s="902"/>
      <c r="C214" s="93">
        <v>33142</v>
      </c>
      <c r="D214" s="93">
        <v>4.05</v>
      </c>
      <c r="E214" s="679" t="s">
        <v>961</v>
      </c>
      <c r="F214" s="679">
        <v>4160</v>
      </c>
      <c r="G214" s="679">
        <f t="shared" si="159"/>
        <v>33.339903846153845</v>
      </c>
      <c r="H214" s="88">
        <v>138694</v>
      </c>
      <c r="I214" s="101">
        <f t="shared" si="160"/>
        <v>109007</v>
      </c>
      <c r="J214" s="101">
        <f t="shared" si="161"/>
        <v>24.314493564633462</v>
      </c>
      <c r="K214" s="683">
        <f t="shared" si="162"/>
        <v>2650450</v>
      </c>
      <c r="X214"/>
      <c r="Y214"/>
      <c r="Z214"/>
      <c r="AA214"/>
      <c r="AB214"/>
      <c r="AC214"/>
      <c r="AD214"/>
    </row>
    <row r="215" spans="1:30">
      <c r="A215" s="681">
        <v>196</v>
      </c>
      <c r="B215" s="902"/>
      <c r="C215" s="93">
        <v>33165</v>
      </c>
      <c r="D215" s="93">
        <v>4.05</v>
      </c>
      <c r="E215" s="679" t="s">
        <v>961</v>
      </c>
      <c r="F215" s="679">
        <v>4160</v>
      </c>
      <c r="G215" s="679">
        <f t="shared" si="159"/>
        <v>33.339903846153845</v>
      </c>
      <c r="H215" s="88">
        <v>138694</v>
      </c>
      <c r="I215" s="101">
        <f t="shared" si="160"/>
        <v>113167</v>
      </c>
      <c r="J215" s="101">
        <f t="shared" si="161"/>
        <v>24.646266137654969</v>
      </c>
      <c r="K215" s="683">
        <f t="shared" si="162"/>
        <v>2789144</v>
      </c>
      <c r="X215"/>
      <c r="Y215"/>
      <c r="Z215"/>
      <c r="AA215"/>
      <c r="AB215"/>
      <c r="AC215"/>
      <c r="AD215"/>
    </row>
    <row r="216" spans="1:30">
      <c r="A216" s="681">
        <v>197</v>
      </c>
      <c r="B216" s="902"/>
      <c r="C216" s="93">
        <v>33166</v>
      </c>
      <c r="D216" s="93">
        <v>5.05</v>
      </c>
      <c r="E216" s="679" t="s">
        <v>961</v>
      </c>
      <c r="F216" s="679">
        <v>4160</v>
      </c>
      <c r="G216" s="679">
        <f t="shared" si="159"/>
        <v>33.339903846153845</v>
      </c>
      <c r="H216" s="88">
        <v>138694</v>
      </c>
      <c r="I216" s="101">
        <f t="shared" si="160"/>
        <v>117327</v>
      </c>
      <c r="J216" s="101">
        <f t="shared" si="161"/>
        <v>24.954511749213736</v>
      </c>
      <c r="K216" s="683">
        <f t="shared" si="162"/>
        <v>2927838</v>
      </c>
      <c r="X216"/>
      <c r="Y216"/>
      <c r="Z216"/>
      <c r="AA216"/>
      <c r="AB216"/>
      <c r="AC216"/>
      <c r="AD216"/>
    </row>
    <row r="217" spans="1:30">
      <c r="A217" s="681">
        <v>198</v>
      </c>
      <c r="B217" s="902"/>
      <c r="C217" s="93">
        <v>33194</v>
      </c>
      <c r="D217" s="93">
        <v>9.0500000000000007</v>
      </c>
      <c r="E217" s="679" t="s">
        <v>961</v>
      </c>
      <c r="F217" s="679">
        <v>4000</v>
      </c>
      <c r="G217" s="679">
        <f t="shared" si="159"/>
        <v>33.340000000000003</v>
      </c>
      <c r="H217" s="88">
        <v>133360</v>
      </c>
      <c r="I217" s="101">
        <f t="shared" si="160"/>
        <v>121327</v>
      </c>
      <c r="J217" s="101">
        <f t="shared" si="161"/>
        <v>25.230970847379396</v>
      </c>
      <c r="K217" s="683">
        <f t="shared" si="162"/>
        <v>3061198</v>
      </c>
      <c r="X217"/>
      <c r="Y217"/>
      <c r="Z217"/>
      <c r="AA217"/>
      <c r="AB217"/>
      <c r="AC217"/>
      <c r="AD217"/>
    </row>
    <row r="218" spans="1:30">
      <c r="A218" s="681">
        <v>199</v>
      </c>
      <c r="B218" s="902"/>
      <c r="C218" s="93">
        <v>33205</v>
      </c>
      <c r="D218" s="93">
        <v>9.0500000000000007</v>
      </c>
      <c r="E218" s="679" t="s">
        <v>961</v>
      </c>
      <c r="F218" s="679">
        <v>4160</v>
      </c>
      <c r="G218" s="679">
        <f t="shared" si="159"/>
        <v>33.339903846153845</v>
      </c>
      <c r="H218" s="88">
        <v>138694</v>
      </c>
      <c r="I218" s="101">
        <f t="shared" si="160"/>
        <v>125487</v>
      </c>
      <c r="J218" s="101">
        <f t="shared" si="161"/>
        <v>25.499788822746581</v>
      </c>
      <c r="K218" s="683">
        <f t="shared" si="162"/>
        <v>3199892</v>
      </c>
      <c r="X218"/>
      <c r="Y218"/>
      <c r="Z218"/>
      <c r="AA218"/>
      <c r="AB218"/>
      <c r="AC218"/>
      <c r="AD218"/>
    </row>
    <row r="219" spans="1:30">
      <c r="A219" s="681">
        <v>200</v>
      </c>
      <c r="B219" s="902"/>
      <c r="C219" s="93">
        <v>33209</v>
      </c>
      <c r="D219" s="93">
        <v>10.050000000000001</v>
      </c>
      <c r="E219" s="679" t="s">
        <v>961</v>
      </c>
      <c r="F219" s="679">
        <v>3840</v>
      </c>
      <c r="G219" s="679">
        <f t="shared" si="159"/>
        <v>33.34010416666667</v>
      </c>
      <c r="H219" s="88">
        <v>128026</v>
      </c>
      <c r="I219" s="101">
        <f t="shared" si="160"/>
        <v>129327</v>
      </c>
      <c r="J219" s="101">
        <f t="shared" si="161"/>
        <v>25.732584843072214</v>
      </c>
      <c r="K219" s="683">
        <f t="shared" si="162"/>
        <v>3327918</v>
      </c>
      <c r="X219"/>
      <c r="Y219"/>
      <c r="Z219"/>
      <c r="AA219"/>
      <c r="AB219"/>
      <c r="AC219"/>
      <c r="AD219"/>
    </row>
    <row r="220" spans="1:30">
      <c r="A220" s="681">
        <v>201</v>
      </c>
      <c r="B220" s="902"/>
      <c r="C220" s="93">
        <v>33207</v>
      </c>
      <c r="D220" s="93">
        <v>10.050000000000001</v>
      </c>
      <c r="E220" s="679" t="s">
        <v>961</v>
      </c>
      <c r="F220" s="679">
        <v>4160</v>
      </c>
      <c r="G220" s="679">
        <f t="shared" si="159"/>
        <v>33.339903846153845</v>
      </c>
      <c r="H220" s="88">
        <v>138694</v>
      </c>
      <c r="I220" s="101">
        <f t="shared" ref="I220:I251" si="163">+I219+F220</f>
        <v>133487</v>
      </c>
      <c r="J220" s="101">
        <f t="shared" ref="J220:J251" si="164">+K220/I220</f>
        <v>25.969659966888162</v>
      </c>
      <c r="K220" s="683">
        <f t="shared" ref="K220:K251" si="165">(+H220+K219)</f>
        <v>3466612</v>
      </c>
      <c r="X220"/>
      <c r="Y220"/>
      <c r="Z220"/>
      <c r="AA220"/>
      <c r="AB220"/>
      <c r="AC220"/>
      <c r="AD220"/>
    </row>
    <row r="221" spans="1:30">
      <c r="A221" s="681">
        <v>202</v>
      </c>
      <c r="B221" s="902"/>
      <c r="C221" s="93">
        <v>33224</v>
      </c>
      <c r="D221" s="93">
        <v>11.05</v>
      </c>
      <c r="E221" s="679" t="s">
        <v>961</v>
      </c>
      <c r="F221" s="679">
        <v>4160</v>
      </c>
      <c r="G221" s="679">
        <f t="shared" si="159"/>
        <v>33.339903846153845</v>
      </c>
      <c r="H221" s="88">
        <v>138694</v>
      </c>
      <c r="I221" s="101">
        <f t="shared" si="163"/>
        <v>137647</v>
      </c>
      <c r="J221" s="101">
        <f t="shared" si="164"/>
        <v>26.192405210429577</v>
      </c>
      <c r="K221" s="683">
        <f t="shared" si="165"/>
        <v>3605306</v>
      </c>
      <c r="X221"/>
      <c r="Y221"/>
      <c r="Z221"/>
      <c r="AA221"/>
      <c r="AB221"/>
      <c r="AC221"/>
      <c r="AD221"/>
    </row>
    <row r="222" spans="1:30">
      <c r="A222" s="681">
        <v>203</v>
      </c>
      <c r="B222" s="902"/>
      <c r="C222" s="93">
        <v>33225</v>
      </c>
      <c r="D222" s="93">
        <v>11.05</v>
      </c>
      <c r="E222" s="679" t="s">
        <v>961</v>
      </c>
      <c r="F222" s="679">
        <v>4160</v>
      </c>
      <c r="G222" s="679">
        <f t="shared" si="159"/>
        <v>33.339903846153845</v>
      </c>
      <c r="H222" s="88">
        <v>138694</v>
      </c>
      <c r="I222" s="101">
        <f t="shared" si="163"/>
        <v>141807</v>
      </c>
      <c r="J222" s="101">
        <f t="shared" si="164"/>
        <v>26.402081702595783</v>
      </c>
      <c r="K222" s="683">
        <f t="shared" si="165"/>
        <v>3744000</v>
      </c>
      <c r="X222"/>
      <c r="Y222"/>
      <c r="Z222"/>
      <c r="AA222"/>
      <c r="AB222"/>
      <c r="AC222"/>
      <c r="AD222"/>
    </row>
    <row r="223" spans="1:30">
      <c r="A223" s="681">
        <v>204</v>
      </c>
      <c r="B223" s="902"/>
      <c r="C223" s="93">
        <v>33234</v>
      </c>
      <c r="D223" s="93">
        <v>12.05</v>
      </c>
      <c r="E223" s="679" t="s">
        <v>961</v>
      </c>
      <c r="F223" s="679">
        <v>4160</v>
      </c>
      <c r="G223" s="679">
        <f t="shared" si="159"/>
        <v>33.339903846153845</v>
      </c>
      <c r="H223" s="88">
        <v>138694</v>
      </c>
      <c r="I223" s="101">
        <f t="shared" si="163"/>
        <v>145967</v>
      </c>
      <c r="J223" s="101">
        <f t="shared" si="164"/>
        <v>26.599806805647852</v>
      </c>
      <c r="K223" s="683">
        <f t="shared" si="165"/>
        <v>3882694</v>
      </c>
      <c r="X223"/>
      <c r="Y223"/>
      <c r="Z223"/>
      <c r="AA223"/>
      <c r="AB223"/>
      <c r="AC223"/>
      <c r="AD223"/>
    </row>
    <row r="224" spans="1:30">
      <c r="A224" s="681">
        <v>205</v>
      </c>
      <c r="B224" s="902"/>
      <c r="C224" s="93">
        <v>33235</v>
      </c>
      <c r="D224" s="93">
        <v>12.05</v>
      </c>
      <c r="E224" s="679" t="s">
        <v>961</v>
      </c>
      <c r="F224" s="679">
        <v>4160</v>
      </c>
      <c r="G224" s="679">
        <f t="shared" si="159"/>
        <v>33.339903846153845</v>
      </c>
      <c r="H224" s="88">
        <v>138694</v>
      </c>
      <c r="I224" s="101">
        <f t="shared" si="163"/>
        <v>150127</v>
      </c>
      <c r="J224" s="101">
        <f t="shared" si="164"/>
        <v>26.786574033984561</v>
      </c>
      <c r="K224" s="683">
        <f t="shared" si="165"/>
        <v>4021388</v>
      </c>
      <c r="X224"/>
      <c r="Y224"/>
      <c r="Z224"/>
      <c r="AA224"/>
      <c r="AB224"/>
      <c r="AC224"/>
      <c r="AD224"/>
    </row>
    <row r="225" spans="1:30">
      <c r="A225" s="681">
        <v>206</v>
      </c>
      <c r="B225" s="902"/>
      <c r="C225" s="93">
        <v>33300</v>
      </c>
      <c r="D225" s="93">
        <v>17.05</v>
      </c>
      <c r="E225" s="679" t="s">
        <v>961</v>
      </c>
      <c r="F225" s="679">
        <v>4160</v>
      </c>
      <c r="G225" s="679">
        <f t="shared" si="159"/>
        <v>33.339903846153845</v>
      </c>
      <c r="H225" s="88">
        <v>138694</v>
      </c>
      <c r="I225" s="101">
        <f t="shared" si="163"/>
        <v>154287</v>
      </c>
      <c r="J225" s="101">
        <f t="shared" si="164"/>
        <v>26.963269750529857</v>
      </c>
      <c r="K225" s="683">
        <f t="shared" si="165"/>
        <v>4160082</v>
      </c>
      <c r="X225"/>
      <c r="Y225"/>
      <c r="Z225"/>
      <c r="AA225"/>
      <c r="AB225"/>
      <c r="AC225"/>
      <c r="AD225"/>
    </row>
    <row r="226" spans="1:30">
      <c r="A226" s="681">
        <v>207</v>
      </c>
      <c r="B226" s="976"/>
      <c r="C226" s="978">
        <v>131</v>
      </c>
      <c r="D226" s="972" t="s">
        <v>1369</v>
      </c>
      <c r="E226" s="975" t="s">
        <v>961</v>
      </c>
      <c r="F226" s="975">
        <v>9100</v>
      </c>
      <c r="G226" s="975">
        <f t="shared" ref="G226:G250" si="166">+H226/F226</f>
        <v>14</v>
      </c>
      <c r="H226" s="976">
        <v>127400</v>
      </c>
      <c r="I226" s="101">
        <f t="shared" si="163"/>
        <v>163387</v>
      </c>
      <c r="J226" s="101">
        <f t="shared" si="164"/>
        <v>26.241267665114115</v>
      </c>
      <c r="K226" s="683">
        <f t="shared" si="165"/>
        <v>4287482</v>
      </c>
      <c r="X226"/>
      <c r="Y226"/>
      <c r="Z226"/>
      <c r="AA226"/>
      <c r="AB226"/>
      <c r="AC226"/>
      <c r="AD226"/>
    </row>
    <row r="227" spans="1:30">
      <c r="A227" s="681">
        <v>208</v>
      </c>
      <c r="B227" s="976"/>
      <c r="C227" s="978">
        <v>132</v>
      </c>
      <c r="D227" s="972" t="s">
        <v>1369</v>
      </c>
      <c r="E227" s="975" t="s">
        <v>961</v>
      </c>
      <c r="F227" s="975">
        <v>9002</v>
      </c>
      <c r="G227" s="975">
        <f t="shared" si="166"/>
        <v>14</v>
      </c>
      <c r="H227" s="976">
        <v>126028</v>
      </c>
      <c r="I227" s="101">
        <f t="shared" si="163"/>
        <v>172389</v>
      </c>
      <c r="J227" s="101">
        <f t="shared" si="164"/>
        <v>25.602039573290639</v>
      </c>
      <c r="K227" s="683">
        <f t="shared" si="165"/>
        <v>4413510</v>
      </c>
      <c r="X227"/>
      <c r="Y227"/>
      <c r="Z227"/>
      <c r="AA227"/>
      <c r="AB227"/>
      <c r="AC227"/>
      <c r="AD227"/>
    </row>
    <row r="228" spans="1:30">
      <c r="A228" s="681">
        <v>209</v>
      </c>
      <c r="B228" s="976"/>
      <c r="C228" s="978">
        <v>2116</v>
      </c>
      <c r="D228" s="972" t="s">
        <v>1342</v>
      </c>
      <c r="E228" s="975" t="s">
        <v>961</v>
      </c>
      <c r="F228" s="975">
        <v>8000</v>
      </c>
      <c r="G228" s="975">
        <f t="shared" si="166"/>
        <v>20.84</v>
      </c>
      <c r="H228" s="976">
        <v>166720</v>
      </c>
      <c r="I228" s="101">
        <f t="shared" si="163"/>
        <v>180389</v>
      </c>
      <c r="J228" s="101">
        <f t="shared" si="164"/>
        <v>25.390849774653667</v>
      </c>
      <c r="K228" s="683">
        <f t="shared" si="165"/>
        <v>4580230</v>
      </c>
      <c r="X228"/>
      <c r="Y228"/>
      <c r="Z228"/>
      <c r="AA228"/>
      <c r="AB228"/>
      <c r="AC228"/>
      <c r="AD228"/>
    </row>
    <row r="229" spans="1:30">
      <c r="A229" s="681">
        <v>210</v>
      </c>
      <c r="B229" s="976"/>
      <c r="C229" s="978">
        <v>2434</v>
      </c>
      <c r="D229" s="972" t="s">
        <v>1445</v>
      </c>
      <c r="E229" s="975" t="s">
        <v>1494</v>
      </c>
      <c r="F229" s="975">
        <v>2240</v>
      </c>
      <c r="G229" s="975">
        <f t="shared" si="166"/>
        <v>33.340178571428574</v>
      </c>
      <c r="H229" s="976">
        <v>74682</v>
      </c>
      <c r="I229" s="101">
        <f t="shared" ref="I229:I250" si="167">+I228+F229</f>
        <v>182629</v>
      </c>
      <c r="J229" s="101">
        <f t="shared" ref="J229:J250" si="168">+K229/I229</f>
        <v>25.488350700053115</v>
      </c>
      <c r="K229" s="683">
        <f t="shared" ref="K229:K250" si="169">(+H229+K228)</f>
        <v>4654912</v>
      </c>
      <c r="X229"/>
      <c r="Y229"/>
      <c r="Z229"/>
      <c r="AA229"/>
      <c r="AB229"/>
      <c r="AC229"/>
      <c r="AD229"/>
    </row>
    <row r="230" spans="1:30">
      <c r="A230" s="681">
        <v>211</v>
      </c>
      <c r="B230" s="976"/>
      <c r="C230" s="978">
        <v>2412</v>
      </c>
      <c r="D230" s="972" t="s">
        <v>1448</v>
      </c>
      <c r="E230" s="975" t="s">
        <v>1494</v>
      </c>
      <c r="F230" s="975">
        <v>4160</v>
      </c>
      <c r="G230" s="975">
        <f t="shared" si="166"/>
        <v>33.339903846153845</v>
      </c>
      <c r="H230" s="976">
        <v>138694</v>
      </c>
      <c r="I230" s="101">
        <f t="shared" si="167"/>
        <v>186789</v>
      </c>
      <c r="J230" s="101">
        <f t="shared" si="168"/>
        <v>25.663213572533714</v>
      </c>
      <c r="K230" s="683">
        <f t="shared" si="169"/>
        <v>4793606</v>
      </c>
      <c r="X230"/>
      <c r="Y230"/>
      <c r="Z230"/>
      <c r="AA230"/>
      <c r="AB230"/>
      <c r="AC230"/>
      <c r="AD230"/>
    </row>
    <row r="231" spans="1:30">
      <c r="A231" s="681">
        <v>212</v>
      </c>
      <c r="B231" s="976"/>
      <c r="C231" s="978">
        <v>2466</v>
      </c>
      <c r="D231" s="972" t="s">
        <v>1451</v>
      </c>
      <c r="E231" s="975" t="s">
        <v>1494</v>
      </c>
      <c r="F231" s="975">
        <v>2240</v>
      </c>
      <c r="G231" s="975">
        <f t="shared" si="166"/>
        <v>33.340178571428574</v>
      </c>
      <c r="H231" s="976">
        <v>74682</v>
      </c>
      <c r="I231" s="101">
        <f t="shared" si="167"/>
        <v>189029</v>
      </c>
      <c r="J231" s="101">
        <f t="shared" si="168"/>
        <v>25.754185865660826</v>
      </c>
      <c r="K231" s="683">
        <f t="shared" si="169"/>
        <v>4868288</v>
      </c>
      <c r="X231"/>
      <c r="Y231"/>
      <c r="Z231"/>
      <c r="AA231"/>
      <c r="AB231"/>
      <c r="AC231"/>
      <c r="AD231"/>
    </row>
    <row r="232" spans="1:30">
      <c r="A232" s="681">
        <v>213</v>
      </c>
      <c r="B232" s="976"/>
      <c r="C232" s="978">
        <v>2461</v>
      </c>
      <c r="D232" s="972" t="s">
        <v>1451</v>
      </c>
      <c r="E232" s="975" t="s">
        <v>1494</v>
      </c>
      <c r="F232" s="975">
        <v>2240</v>
      </c>
      <c r="G232" s="975">
        <f t="shared" si="166"/>
        <v>33.340178571428574</v>
      </c>
      <c r="H232" s="976">
        <v>74682</v>
      </c>
      <c r="I232" s="101">
        <f t="shared" si="167"/>
        <v>191269</v>
      </c>
      <c r="J232" s="101">
        <f t="shared" si="168"/>
        <v>25.843027359373448</v>
      </c>
      <c r="K232" s="683">
        <f t="shared" si="169"/>
        <v>4942970</v>
      </c>
      <c r="X232"/>
      <c r="Y232"/>
      <c r="Z232"/>
      <c r="AA232"/>
      <c r="AB232"/>
      <c r="AC232"/>
      <c r="AD232"/>
    </row>
    <row r="233" spans="1:30">
      <c r="A233" s="681">
        <v>214</v>
      </c>
      <c r="B233" s="976"/>
      <c r="C233" s="978">
        <v>2326</v>
      </c>
      <c r="D233" s="972" t="s">
        <v>1387</v>
      </c>
      <c r="E233" s="975" t="s">
        <v>1494</v>
      </c>
      <c r="F233" s="975">
        <v>4160</v>
      </c>
      <c r="G233" s="975">
        <f t="shared" si="166"/>
        <v>33.339903846153845</v>
      </c>
      <c r="H233" s="976">
        <v>138694</v>
      </c>
      <c r="I233" s="101">
        <f t="shared" si="167"/>
        <v>195429</v>
      </c>
      <c r="J233" s="101">
        <f t="shared" si="168"/>
        <v>26.002609643399904</v>
      </c>
      <c r="K233" s="683">
        <f t="shared" si="169"/>
        <v>5081664</v>
      </c>
      <c r="X233"/>
      <c r="Y233"/>
      <c r="Z233"/>
      <c r="AA233"/>
      <c r="AB233"/>
      <c r="AC233"/>
      <c r="AD233"/>
    </row>
    <row r="234" spans="1:30">
      <c r="A234" s="681">
        <v>215</v>
      </c>
      <c r="B234" s="976"/>
      <c r="C234" s="978">
        <v>2387</v>
      </c>
      <c r="D234" s="972" t="s">
        <v>1458</v>
      </c>
      <c r="E234" s="975" t="s">
        <v>1494</v>
      </c>
      <c r="F234" s="975">
        <f>1600+4480</f>
        <v>6080</v>
      </c>
      <c r="G234" s="975">
        <f t="shared" si="166"/>
        <v>25.352631578947367</v>
      </c>
      <c r="H234" s="976">
        <v>154144</v>
      </c>
      <c r="I234" s="101">
        <f t="shared" si="167"/>
        <v>201509</v>
      </c>
      <c r="J234" s="101">
        <f t="shared" si="168"/>
        <v>25.982998277992547</v>
      </c>
      <c r="K234" s="683">
        <f t="shared" si="169"/>
        <v>5235808</v>
      </c>
      <c r="X234"/>
      <c r="Y234"/>
      <c r="Z234"/>
      <c r="AA234"/>
      <c r="AB234"/>
      <c r="AC234"/>
      <c r="AD234"/>
    </row>
    <row r="235" spans="1:30">
      <c r="A235" s="681">
        <v>216</v>
      </c>
      <c r="B235" s="902"/>
      <c r="C235" s="679">
        <v>667</v>
      </c>
      <c r="D235" s="682">
        <v>4.08</v>
      </c>
      <c r="E235" s="975" t="s">
        <v>1494</v>
      </c>
      <c r="F235" s="679">
        <v>11083</v>
      </c>
      <c r="G235" s="975">
        <f t="shared" si="166"/>
        <v>15</v>
      </c>
      <c r="H235" s="679">
        <v>166245</v>
      </c>
      <c r="I235" s="101">
        <f t="shared" si="167"/>
        <v>212592</v>
      </c>
      <c r="J235" s="101">
        <f t="shared" si="168"/>
        <v>25.410424663204637</v>
      </c>
      <c r="K235" s="683">
        <f t="shared" si="169"/>
        <v>5402053</v>
      </c>
      <c r="X235"/>
      <c r="Y235"/>
      <c r="Z235"/>
      <c r="AA235"/>
      <c r="AB235"/>
      <c r="AC235"/>
      <c r="AD235"/>
    </row>
    <row r="236" spans="1:30">
      <c r="A236" s="681">
        <v>217</v>
      </c>
      <c r="B236" s="902"/>
      <c r="C236" s="679">
        <v>33998</v>
      </c>
      <c r="D236" s="682">
        <v>22.08</v>
      </c>
      <c r="E236" s="975" t="s">
        <v>1494</v>
      </c>
      <c r="F236" s="679">
        <v>4160</v>
      </c>
      <c r="G236" s="975">
        <f t="shared" si="166"/>
        <v>33.339903846153845</v>
      </c>
      <c r="H236" s="679">
        <v>138694</v>
      </c>
      <c r="I236" s="101">
        <f t="shared" si="167"/>
        <v>216752</v>
      </c>
      <c r="J236" s="101">
        <f t="shared" si="168"/>
        <v>25.562610725621909</v>
      </c>
      <c r="K236" s="683">
        <f t="shared" si="169"/>
        <v>5540747</v>
      </c>
      <c r="X236"/>
      <c r="Y236"/>
      <c r="Z236"/>
      <c r="AA236"/>
      <c r="AB236"/>
      <c r="AC236"/>
      <c r="AD236"/>
    </row>
    <row r="237" spans="1:30">
      <c r="A237" s="681">
        <v>218</v>
      </c>
      <c r="B237" s="902"/>
      <c r="C237" s="679">
        <v>2831</v>
      </c>
      <c r="D237" s="682">
        <v>4.09</v>
      </c>
      <c r="E237" s="975" t="s">
        <v>1494</v>
      </c>
      <c r="F237" s="679">
        <v>3840</v>
      </c>
      <c r="G237" s="975">
        <f t="shared" si="166"/>
        <v>33.34010416666667</v>
      </c>
      <c r="H237" s="679">
        <v>128026</v>
      </c>
      <c r="I237" s="101">
        <f t="shared" si="167"/>
        <v>220592</v>
      </c>
      <c r="J237" s="101">
        <f t="shared" si="168"/>
        <v>25.697999020816713</v>
      </c>
      <c r="K237" s="683">
        <f t="shared" si="169"/>
        <v>5668773</v>
      </c>
      <c r="X237"/>
      <c r="Y237"/>
      <c r="Z237"/>
      <c r="AA237"/>
      <c r="AB237"/>
      <c r="AC237"/>
      <c r="AD237"/>
    </row>
    <row r="238" spans="1:30">
      <c r="A238" s="681">
        <v>219</v>
      </c>
      <c r="B238" s="902"/>
      <c r="C238" s="679">
        <v>2838</v>
      </c>
      <c r="D238" s="682">
        <v>4.09</v>
      </c>
      <c r="E238" s="975" t="s">
        <v>1494</v>
      </c>
      <c r="F238" s="679">
        <v>8320</v>
      </c>
      <c r="G238" s="975">
        <f t="shared" si="166"/>
        <v>22.5</v>
      </c>
      <c r="H238" s="679">
        <v>187200</v>
      </c>
      <c r="I238" s="101">
        <f t="shared" si="167"/>
        <v>228912</v>
      </c>
      <c r="J238" s="101">
        <f t="shared" si="168"/>
        <v>25.581765045082825</v>
      </c>
      <c r="K238" s="683">
        <f t="shared" si="169"/>
        <v>5855973</v>
      </c>
      <c r="X238"/>
      <c r="Y238"/>
      <c r="Z238"/>
      <c r="AA238"/>
      <c r="AB238"/>
      <c r="AC238"/>
      <c r="AD238"/>
    </row>
    <row r="239" spans="1:30">
      <c r="A239" s="681">
        <v>220</v>
      </c>
      <c r="B239" s="902"/>
      <c r="C239" s="679">
        <v>2847</v>
      </c>
      <c r="D239" s="682">
        <v>5.09</v>
      </c>
      <c r="E239" s="975" t="s">
        <v>1494</v>
      </c>
      <c r="F239" s="679">
        <v>3840</v>
      </c>
      <c r="G239" s="975">
        <f t="shared" si="166"/>
        <v>33.34010416666667</v>
      </c>
      <c r="H239" s="679">
        <v>128026</v>
      </c>
      <c r="I239" s="101">
        <f t="shared" si="167"/>
        <v>232752</v>
      </c>
      <c r="J239" s="101">
        <f t="shared" si="168"/>
        <v>25.709764040695678</v>
      </c>
      <c r="K239" s="683">
        <f t="shared" si="169"/>
        <v>5983999</v>
      </c>
      <c r="X239"/>
      <c r="Y239"/>
      <c r="Z239"/>
      <c r="AA239"/>
      <c r="AB239"/>
      <c r="AC239"/>
      <c r="AD239"/>
    </row>
    <row r="240" spans="1:30">
      <c r="A240" s="681">
        <v>221</v>
      </c>
      <c r="B240" s="902"/>
      <c r="C240" s="679">
        <v>2852</v>
      </c>
      <c r="D240" s="682">
        <v>5.09</v>
      </c>
      <c r="E240" s="975" t="s">
        <v>1494</v>
      </c>
      <c r="F240" s="679">
        <v>4160</v>
      </c>
      <c r="G240" s="975">
        <f t="shared" si="166"/>
        <v>33.339903846153845</v>
      </c>
      <c r="H240" s="679">
        <v>138694</v>
      </c>
      <c r="I240" s="101">
        <f t="shared" si="167"/>
        <v>236912</v>
      </c>
      <c r="J240" s="101">
        <f t="shared" si="168"/>
        <v>25.843743668535151</v>
      </c>
      <c r="K240" s="683">
        <f t="shared" si="169"/>
        <v>6122693</v>
      </c>
      <c r="X240"/>
      <c r="Y240"/>
      <c r="Z240"/>
      <c r="AA240"/>
      <c r="AB240"/>
      <c r="AC240"/>
      <c r="AD240"/>
    </row>
    <row r="241" spans="1:30">
      <c r="A241" s="681">
        <v>222</v>
      </c>
      <c r="B241" s="902"/>
      <c r="C241" s="679">
        <v>2875</v>
      </c>
      <c r="D241" s="682">
        <v>7.09</v>
      </c>
      <c r="E241" s="975" t="s">
        <v>1494</v>
      </c>
      <c r="F241" s="679">
        <v>8320</v>
      </c>
      <c r="G241" s="975">
        <f t="shared" si="166"/>
        <v>22.5</v>
      </c>
      <c r="H241" s="679">
        <v>187200</v>
      </c>
      <c r="I241" s="101">
        <f t="shared" si="167"/>
        <v>245232</v>
      </c>
      <c r="J241" s="101">
        <f t="shared" si="168"/>
        <v>25.730300287075096</v>
      </c>
      <c r="K241" s="683">
        <f t="shared" si="169"/>
        <v>6309893</v>
      </c>
      <c r="X241"/>
      <c r="Y241"/>
      <c r="Z241"/>
      <c r="AA241"/>
      <c r="AB241"/>
      <c r="AC241"/>
      <c r="AD241"/>
    </row>
    <row r="242" spans="1:30">
      <c r="A242" s="681">
        <v>223</v>
      </c>
      <c r="B242" s="902"/>
      <c r="C242" s="679">
        <v>2876</v>
      </c>
      <c r="D242" s="682">
        <v>7.09</v>
      </c>
      <c r="E242" s="975" t="s">
        <v>1494</v>
      </c>
      <c r="F242" s="679">
        <v>4160</v>
      </c>
      <c r="G242" s="975">
        <f t="shared" si="166"/>
        <v>33.339903846153845</v>
      </c>
      <c r="H242" s="679">
        <v>138694</v>
      </c>
      <c r="I242" s="101">
        <f t="shared" si="167"/>
        <v>249392</v>
      </c>
      <c r="J242" s="101">
        <f t="shared" si="168"/>
        <v>25.857232790145634</v>
      </c>
      <c r="K242" s="683">
        <f t="shared" si="169"/>
        <v>6448587</v>
      </c>
      <c r="X242"/>
      <c r="Y242"/>
      <c r="Z242"/>
      <c r="AA242"/>
      <c r="AB242"/>
      <c r="AC242"/>
      <c r="AD242"/>
    </row>
    <row r="243" spans="1:30">
      <c r="A243" s="681">
        <v>224</v>
      </c>
      <c r="B243" s="902"/>
      <c r="C243" s="679"/>
      <c r="D243" s="682"/>
      <c r="E243" s="975" t="s">
        <v>1494</v>
      </c>
      <c r="F243" s="679"/>
      <c r="G243" s="975" t="e">
        <f t="shared" si="166"/>
        <v>#DIV/0!</v>
      </c>
      <c r="H243" s="679"/>
      <c r="I243" s="101">
        <f t="shared" si="167"/>
        <v>249392</v>
      </c>
      <c r="J243" s="101">
        <f t="shared" si="168"/>
        <v>25.857232790145634</v>
      </c>
      <c r="K243" s="683">
        <f t="shared" si="169"/>
        <v>6448587</v>
      </c>
      <c r="X243"/>
      <c r="Y243"/>
      <c r="Z243"/>
      <c r="AA243"/>
      <c r="AB243"/>
      <c r="AC243"/>
      <c r="AD243"/>
    </row>
    <row r="244" spans="1:30">
      <c r="A244" s="681">
        <v>225</v>
      </c>
      <c r="B244" s="902"/>
      <c r="C244" s="679"/>
      <c r="D244" s="682"/>
      <c r="E244" s="975" t="s">
        <v>1494</v>
      </c>
      <c r="F244" s="679"/>
      <c r="G244" s="975" t="e">
        <f t="shared" si="166"/>
        <v>#DIV/0!</v>
      </c>
      <c r="H244" s="679"/>
      <c r="I244" s="101">
        <f t="shared" si="167"/>
        <v>249392</v>
      </c>
      <c r="J244" s="101">
        <f t="shared" si="168"/>
        <v>25.857232790145634</v>
      </c>
      <c r="K244" s="683">
        <f t="shared" si="169"/>
        <v>6448587</v>
      </c>
      <c r="X244"/>
      <c r="Y244"/>
      <c r="Z244"/>
      <c r="AA244"/>
      <c r="AB244"/>
      <c r="AC244"/>
      <c r="AD244"/>
    </row>
    <row r="245" spans="1:30">
      <c r="A245" s="681">
        <v>226</v>
      </c>
      <c r="B245" s="902"/>
      <c r="C245" s="679"/>
      <c r="D245" s="682"/>
      <c r="E245" s="975" t="s">
        <v>1494</v>
      </c>
      <c r="F245" s="679"/>
      <c r="G245" s="975" t="e">
        <f t="shared" si="166"/>
        <v>#DIV/0!</v>
      </c>
      <c r="H245" s="679"/>
      <c r="I245" s="101">
        <f t="shared" si="167"/>
        <v>249392</v>
      </c>
      <c r="J245" s="101">
        <f t="shared" si="168"/>
        <v>25.857232790145634</v>
      </c>
      <c r="K245" s="683">
        <f t="shared" si="169"/>
        <v>6448587</v>
      </c>
      <c r="X245"/>
      <c r="Y245"/>
      <c r="Z245"/>
      <c r="AA245"/>
      <c r="AB245"/>
      <c r="AC245"/>
      <c r="AD245"/>
    </row>
    <row r="246" spans="1:30">
      <c r="A246" s="681">
        <v>227</v>
      </c>
      <c r="B246" s="902"/>
      <c r="C246" s="679"/>
      <c r="D246" s="682"/>
      <c r="E246" s="975" t="s">
        <v>1494</v>
      </c>
      <c r="F246" s="679"/>
      <c r="G246" s="975" t="e">
        <f t="shared" si="166"/>
        <v>#DIV/0!</v>
      </c>
      <c r="H246" s="679"/>
      <c r="I246" s="101">
        <f t="shared" si="167"/>
        <v>249392</v>
      </c>
      <c r="J246" s="101">
        <f t="shared" si="168"/>
        <v>25.857232790145634</v>
      </c>
      <c r="K246" s="683">
        <f t="shared" si="169"/>
        <v>6448587</v>
      </c>
      <c r="X246"/>
      <c r="Y246"/>
      <c r="Z246"/>
      <c r="AA246"/>
      <c r="AB246"/>
      <c r="AC246"/>
      <c r="AD246"/>
    </row>
    <row r="247" spans="1:30">
      <c r="A247" s="681">
        <v>228</v>
      </c>
      <c r="B247" s="902"/>
      <c r="C247" s="679"/>
      <c r="D247" s="682"/>
      <c r="E247" s="975" t="s">
        <v>1494</v>
      </c>
      <c r="F247" s="679"/>
      <c r="G247" s="975" t="e">
        <f t="shared" si="166"/>
        <v>#DIV/0!</v>
      </c>
      <c r="H247" s="679"/>
      <c r="I247" s="101">
        <f t="shared" si="167"/>
        <v>249392</v>
      </c>
      <c r="J247" s="101">
        <f t="shared" si="168"/>
        <v>25.857232790145634</v>
      </c>
      <c r="K247" s="683">
        <f t="shared" si="169"/>
        <v>6448587</v>
      </c>
      <c r="X247"/>
      <c r="Y247"/>
      <c r="Z247"/>
      <c r="AA247"/>
      <c r="AB247"/>
      <c r="AC247"/>
      <c r="AD247"/>
    </row>
    <row r="248" spans="1:30">
      <c r="A248" s="681">
        <v>229</v>
      </c>
      <c r="B248" s="902"/>
      <c r="C248" s="679"/>
      <c r="D248" s="682"/>
      <c r="E248" s="975" t="s">
        <v>1494</v>
      </c>
      <c r="F248" s="679"/>
      <c r="G248" s="975" t="e">
        <f t="shared" si="166"/>
        <v>#DIV/0!</v>
      </c>
      <c r="H248" s="679"/>
      <c r="I248" s="101">
        <f t="shared" si="167"/>
        <v>249392</v>
      </c>
      <c r="J248" s="101">
        <f t="shared" si="168"/>
        <v>25.857232790145634</v>
      </c>
      <c r="K248" s="683">
        <f t="shared" si="169"/>
        <v>6448587</v>
      </c>
      <c r="X248"/>
      <c r="Y248"/>
      <c r="Z248"/>
      <c r="AA248"/>
      <c r="AB248"/>
      <c r="AC248"/>
      <c r="AD248"/>
    </row>
    <row r="249" spans="1:30">
      <c r="A249" s="681">
        <v>230</v>
      </c>
      <c r="B249" s="902"/>
      <c r="C249" s="679"/>
      <c r="D249" s="682"/>
      <c r="E249" s="975" t="s">
        <v>1494</v>
      </c>
      <c r="F249" s="679"/>
      <c r="G249" s="975" t="e">
        <f t="shared" si="166"/>
        <v>#DIV/0!</v>
      </c>
      <c r="H249" s="679"/>
      <c r="I249" s="101">
        <f t="shared" si="167"/>
        <v>249392</v>
      </c>
      <c r="J249" s="101">
        <f t="shared" si="168"/>
        <v>25.857232790145634</v>
      </c>
      <c r="K249" s="683">
        <f t="shared" si="169"/>
        <v>6448587</v>
      </c>
      <c r="X249"/>
      <c r="Y249"/>
      <c r="Z249"/>
      <c r="AA249"/>
      <c r="AB249"/>
      <c r="AC249"/>
      <c r="AD249"/>
    </row>
    <row r="250" spans="1:30">
      <c r="A250" s="681">
        <v>231</v>
      </c>
      <c r="B250" s="902"/>
      <c r="C250" s="679"/>
      <c r="D250" s="682"/>
      <c r="E250" s="975" t="s">
        <v>1494</v>
      </c>
      <c r="F250" s="679"/>
      <c r="G250" s="975" t="e">
        <f t="shared" si="166"/>
        <v>#DIV/0!</v>
      </c>
      <c r="H250" s="679"/>
      <c r="I250" s="101">
        <f t="shared" si="167"/>
        <v>249392</v>
      </c>
      <c r="J250" s="101">
        <f t="shared" si="168"/>
        <v>25.857232790145634</v>
      </c>
      <c r="K250" s="683">
        <f t="shared" si="169"/>
        <v>6448587</v>
      </c>
      <c r="X250"/>
      <c r="Y250"/>
      <c r="Z250"/>
      <c r="AA250"/>
      <c r="AB250"/>
      <c r="AC250"/>
      <c r="AD250"/>
    </row>
    <row r="251" spans="1:30">
      <c r="A251" s="681">
        <v>232</v>
      </c>
      <c r="B251" s="902"/>
      <c r="C251" s="679"/>
      <c r="D251" s="682"/>
      <c r="E251" s="679" t="s">
        <v>961</v>
      </c>
      <c r="F251" s="679"/>
      <c r="G251" s="679" t="e">
        <f t="shared" si="159"/>
        <v>#DIV/0!</v>
      </c>
      <c r="H251" s="679"/>
      <c r="I251" s="101">
        <f t="shared" si="163"/>
        <v>249392</v>
      </c>
      <c r="J251" s="101">
        <f t="shared" si="164"/>
        <v>25.857232790145634</v>
      </c>
      <c r="K251" s="683">
        <f t="shared" si="165"/>
        <v>6448587</v>
      </c>
      <c r="X251"/>
      <c r="Y251"/>
      <c r="Z251"/>
      <c r="AA251"/>
      <c r="AB251"/>
      <c r="AC251"/>
      <c r="AD251"/>
    </row>
    <row r="252" spans="1:30">
      <c r="A252" s="681">
        <v>233</v>
      </c>
      <c r="B252" s="903"/>
      <c r="C252" s="894"/>
      <c r="D252" s="895"/>
      <c r="E252" s="894"/>
      <c r="F252" s="894"/>
      <c r="G252" s="894"/>
      <c r="H252" s="894"/>
      <c r="I252" s="896"/>
      <c r="J252" s="896"/>
      <c r="K252" s="897"/>
      <c r="X252"/>
      <c r="Y252"/>
      <c r="Z252"/>
      <c r="AA252"/>
      <c r="AB252"/>
      <c r="AC252"/>
      <c r="AD252"/>
    </row>
    <row r="253" spans="1:30">
      <c r="A253" s="681">
        <v>234</v>
      </c>
      <c r="B253" s="904" t="s">
        <v>1245</v>
      </c>
      <c r="C253" s="679">
        <v>147</v>
      </c>
      <c r="D253" s="682">
        <v>13.12</v>
      </c>
      <c r="E253" s="679" t="s">
        <v>961</v>
      </c>
      <c r="F253" s="679">
        <v>3</v>
      </c>
      <c r="G253" s="679">
        <f t="shared" ref="G253:G268" si="170">H253/F253</f>
        <v>6000</v>
      </c>
      <c r="H253" s="679">
        <v>18000</v>
      </c>
      <c r="I253" s="101">
        <f t="shared" ref="I253:I256" si="171">+I252+F253</f>
        <v>3</v>
      </c>
      <c r="J253" s="101">
        <f t="shared" ref="J253:J256" si="172">+K253/I253</f>
        <v>6000</v>
      </c>
      <c r="K253" s="683">
        <f t="shared" ref="K253:K256" si="173">(+H253+K252)</f>
        <v>18000</v>
      </c>
      <c r="X253"/>
      <c r="Y253"/>
      <c r="Z253"/>
      <c r="AA253"/>
      <c r="AB253"/>
      <c r="AC253"/>
      <c r="AD253"/>
    </row>
    <row r="254" spans="1:30">
      <c r="A254" s="681">
        <v>235</v>
      </c>
      <c r="B254" s="902"/>
      <c r="C254" s="679">
        <v>18</v>
      </c>
      <c r="D254" s="682">
        <v>9.02</v>
      </c>
      <c r="E254" s="679" t="s">
        <v>961</v>
      </c>
      <c r="F254" s="679">
        <v>6</v>
      </c>
      <c r="G254" s="679">
        <f t="shared" si="170"/>
        <v>7083.333333333333</v>
      </c>
      <c r="H254" s="679">
        <v>42500</v>
      </c>
      <c r="I254" s="101">
        <f t="shared" si="171"/>
        <v>9</v>
      </c>
      <c r="J254" s="101">
        <f t="shared" si="172"/>
        <v>6722.2222222222226</v>
      </c>
      <c r="K254" s="683">
        <f t="shared" si="173"/>
        <v>60500</v>
      </c>
      <c r="X254"/>
      <c r="Y254"/>
      <c r="Z254"/>
      <c r="AA254"/>
      <c r="AB254"/>
      <c r="AC254"/>
      <c r="AD254"/>
    </row>
    <row r="255" spans="1:30">
      <c r="A255" s="681">
        <v>236</v>
      </c>
      <c r="B255" s="902"/>
      <c r="C255" s="679">
        <v>33</v>
      </c>
      <c r="D255" s="682">
        <v>26.03</v>
      </c>
      <c r="E255" s="679" t="s">
        <v>961</v>
      </c>
      <c r="F255" s="679">
        <v>4</v>
      </c>
      <c r="G255" s="679">
        <f t="shared" si="170"/>
        <v>11604.165000000001</v>
      </c>
      <c r="H255" s="679">
        <v>46416.66</v>
      </c>
      <c r="I255" s="101">
        <f t="shared" si="171"/>
        <v>13</v>
      </c>
      <c r="J255" s="101">
        <f t="shared" si="172"/>
        <v>8224.3584615384625</v>
      </c>
      <c r="K255" s="683">
        <f t="shared" si="173"/>
        <v>106916.66</v>
      </c>
      <c r="X255"/>
      <c r="Y255"/>
      <c r="Z255"/>
      <c r="AA255"/>
      <c r="AB255"/>
      <c r="AC255"/>
      <c r="AD255"/>
    </row>
    <row r="256" spans="1:30">
      <c r="A256" s="681">
        <v>237</v>
      </c>
      <c r="B256" s="902"/>
      <c r="C256" s="679">
        <v>38</v>
      </c>
      <c r="D256" s="682">
        <v>14.04</v>
      </c>
      <c r="E256" s="679" t="s">
        <v>961</v>
      </c>
      <c r="F256" s="679">
        <v>9</v>
      </c>
      <c r="G256" s="679">
        <f t="shared" si="170"/>
        <v>8148.1488888888889</v>
      </c>
      <c r="H256" s="679">
        <v>73333.34</v>
      </c>
      <c r="I256" s="101">
        <f t="shared" si="171"/>
        <v>22</v>
      </c>
      <c r="J256" s="101">
        <f t="shared" si="172"/>
        <v>8193.181818181818</v>
      </c>
      <c r="K256" s="683">
        <f t="shared" si="173"/>
        <v>180250</v>
      </c>
      <c r="X256"/>
      <c r="Y256"/>
      <c r="Z256"/>
      <c r="AA256"/>
      <c r="AB256"/>
      <c r="AC256"/>
      <c r="AD256"/>
    </row>
    <row r="257" spans="1:30">
      <c r="A257" s="681">
        <v>238</v>
      </c>
      <c r="B257" s="976"/>
      <c r="C257" s="978">
        <v>67</v>
      </c>
      <c r="D257" s="972" t="s">
        <v>1380</v>
      </c>
      <c r="E257" s="679" t="s">
        <v>961</v>
      </c>
      <c r="F257" s="975">
        <v>1</v>
      </c>
      <c r="G257" s="679">
        <f t="shared" si="170"/>
        <v>78750</v>
      </c>
      <c r="H257" s="976">
        <v>78750</v>
      </c>
      <c r="I257" s="101">
        <f t="shared" ref="I257:I268" si="174">+I256+F257</f>
        <v>23</v>
      </c>
      <c r="J257" s="101">
        <f t="shared" ref="J257:J268" si="175">+K257/I257</f>
        <v>11260.869565217392</v>
      </c>
      <c r="K257" s="683">
        <f t="shared" ref="K257:K268" si="176">(+H257+K256)</f>
        <v>259000</v>
      </c>
      <c r="X257"/>
      <c r="Y257"/>
      <c r="Z257"/>
      <c r="AA257"/>
      <c r="AB257"/>
      <c r="AC257"/>
      <c r="AD257"/>
    </row>
    <row r="258" spans="1:30">
      <c r="A258" s="681">
        <v>239</v>
      </c>
      <c r="B258" s="976"/>
      <c r="C258" s="978">
        <v>51</v>
      </c>
      <c r="D258" s="972" t="s">
        <v>1384</v>
      </c>
      <c r="E258" s="679" t="s">
        <v>961</v>
      </c>
      <c r="F258" s="975">
        <v>1</v>
      </c>
      <c r="G258" s="679">
        <f t="shared" si="170"/>
        <v>20416.669999999998</v>
      </c>
      <c r="H258" s="976">
        <v>20416.669999999998</v>
      </c>
      <c r="I258" s="101">
        <f t="shared" si="174"/>
        <v>24</v>
      </c>
      <c r="J258" s="101">
        <f t="shared" si="175"/>
        <v>11642.36125</v>
      </c>
      <c r="K258" s="683">
        <f t="shared" si="176"/>
        <v>279416.67</v>
      </c>
      <c r="X258"/>
      <c r="Y258"/>
      <c r="Z258"/>
      <c r="AA258"/>
      <c r="AB258"/>
      <c r="AC258"/>
      <c r="AD258"/>
    </row>
    <row r="259" spans="1:30">
      <c r="A259" s="681">
        <v>240</v>
      </c>
      <c r="B259" s="976"/>
      <c r="C259" s="978">
        <v>74</v>
      </c>
      <c r="D259" s="972" t="s">
        <v>1423</v>
      </c>
      <c r="E259" s="679" t="s">
        <v>961</v>
      </c>
      <c r="F259" s="975">
        <v>1</v>
      </c>
      <c r="G259" s="679">
        <f t="shared" si="170"/>
        <v>23333.34</v>
      </c>
      <c r="H259" s="976">
        <v>23333.34</v>
      </c>
      <c r="I259" s="101">
        <f t="shared" si="174"/>
        <v>25</v>
      </c>
      <c r="J259" s="101">
        <f t="shared" si="175"/>
        <v>12110.000400000001</v>
      </c>
      <c r="K259" s="683">
        <f t="shared" si="176"/>
        <v>302750.01</v>
      </c>
      <c r="X259"/>
      <c r="Y259"/>
      <c r="Z259"/>
      <c r="AA259"/>
      <c r="AB259"/>
      <c r="AC259"/>
      <c r="AD259"/>
    </row>
    <row r="260" spans="1:30">
      <c r="A260" s="681">
        <v>241</v>
      </c>
      <c r="B260" s="976"/>
      <c r="C260" s="978">
        <v>86</v>
      </c>
      <c r="D260" s="972" t="s">
        <v>1915</v>
      </c>
      <c r="E260" s="679" t="s">
        <v>961</v>
      </c>
      <c r="F260" s="975">
        <v>1</v>
      </c>
      <c r="G260" s="679">
        <f t="shared" si="170"/>
        <v>114583.33</v>
      </c>
      <c r="H260" s="976">
        <v>114583.33</v>
      </c>
      <c r="I260" s="101">
        <f t="shared" si="174"/>
        <v>26</v>
      </c>
      <c r="J260" s="101">
        <f t="shared" si="175"/>
        <v>16051.282307692309</v>
      </c>
      <c r="K260" s="683">
        <f t="shared" si="176"/>
        <v>417333.34</v>
      </c>
      <c r="X260"/>
      <c r="Y260"/>
      <c r="Z260"/>
      <c r="AA260"/>
      <c r="AB260"/>
      <c r="AC260"/>
      <c r="AD260"/>
    </row>
    <row r="261" spans="1:30">
      <c r="A261" s="681">
        <v>242</v>
      </c>
      <c r="B261" s="976"/>
      <c r="C261" s="978">
        <v>94</v>
      </c>
      <c r="D261" s="972" t="s">
        <v>1916</v>
      </c>
      <c r="E261" s="679" t="s">
        <v>961</v>
      </c>
      <c r="F261" s="975">
        <v>1</v>
      </c>
      <c r="G261" s="679">
        <f t="shared" si="170"/>
        <v>25000</v>
      </c>
      <c r="H261" s="976">
        <v>25000</v>
      </c>
      <c r="I261" s="101">
        <f t="shared" si="174"/>
        <v>27</v>
      </c>
      <c r="J261" s="101">
        <f t="shared" si="175"/>
        <v>16382.716296296298</v>
      </c>
      <c r="K261" s="683">
        <f t="shared" si="176"/>
        <v>442333.34</v>
      </c>
      <c r="X261"/>
      <c r="Y261"/>
      <c r="Z261"/>
      <c r="AA261"/>
      <c r="AB261"/>
      <c r="AC261"/>
      <c r="AD261"/>
    </row>
    <row r="262" spans="1:30">
      <c r="A262" s="681">
        <v>243</v>
      </c>
      <c r="B262" s="976"/>
      <c r="C262" s="978">
        <v>102</v>
      </c>
      <c r="D262" s="972" t="s">
        <v>1927</v>
      </c>
      <c r="E262" s="679" t="s">
        <v>961</v>
      </c>
      <c r="F262" s="975">
        <v>1</v>
      </c>
      <c r="G262" s="679">
        <f t="shared" si="170"/>
        <v>26250</v>
      </c>
      <c r="H262" s="976">
        <v>26250</v>
      </c>
      <c r="I262" s="101">
        <f t="shared" si="174"/>
        <v>28</v>
      </c>
      <c r="J262" s="101">
        <f t="shared" si="175"/>
        <v>16735.119285714285</v>
      </c>
      <c r="K262" s="683">
        <f t="shared" si="176"/>
        <v>468583.34</v>
      </c>
      <c r="X262"/>
      <c r="Y262"/>
      <c r="Z262"/>
      <c r="AA262"/>
      <c r="AB262"/>
      <c r="AC262"/>
      <c r="AD262"/>
    </row>
    <row r="263" spans="1:30">
      <c r="A263" s="681">
        <v>244</v>
      </c>
      <c r="B263" s="976"/>
      <c r="C263" s="978">
        <v>118</v>
      </c>
      <c r="D263" s="972" t="s">
        <v>1946</v>
      </c>
      <c r="E263" s="679" t="s">
        <v>961</v>
      </c>
      <c r="F263" s="975">
        <v>1</v>
      </c>
      <c r="G263" s="679">
        <f t="shared" si="170"/>
        <v>31250</v>
      </c>
      <c r="H263" s="976">
        <v>31250</v>
      </c>
      <c r="I263" s="101">
        <f t="shared" si="174"/>
        <v>29</v>
      </c>
      <c r="J263" s="101">
        <f t="shared" si="175"/>
        <v>17235.632413793104</v>
      </c>
      <c r="K263" s="683">
        <f t="shared" si="176"/>
        <v>499833.34</v>
      </c>
      <c r="X263"/>
      <c r="Y263"/>
      <c r="Z263"/>
      <c r="AA263"/>
      <c r="AB263"/>
      <c r="AC263"/>
      <c r="AD263"/>
    </row>
    <row r="264" spans="1:30">
      <c r="A264" s="681">
        <v>245</v>
      </c>
      <c r="B264" s="976"/>
      <c r="C264" s="978">
        <v>136</v>
      </c>
      <c r="D264" s="972" t="s">
        <v>1947</v>
      </c>
      <c r="E264" s="679" t="s">
        <v>961</v>
      </c>
      <c r="F264" s="975">
        <v>3</v>
      </c>
      <c r="G264" s="679">
        <f t="shared" si="170"/>
        <v>5000</v>
      </c>
      <c r="H264" s="976">
        <v>15000</v>
      </c>
      <c r="I264" s="101">
        <f t="shared" si="174"/>
        <v>32</v>
      </c>
      <c r="J264" s="101">
        <f t="shared" si="175"/>
        <v>16088.541875000001</v>
      </c>
      <c r="K264" s="683">
        <f t="shared" si="176"/>
        <v>514833.34</v>
      </c>
      <c r="X264"/>
      <c r="Y264"/>
      <c r="Z264"/>
      <c r="AA264"/>
      <c r="AB264"/>
      <c r="AC264"/>
      <c r="AD264"/>
    </row>
    <row r="265" spans="1:30">
      <c r="A265" s="681">
        <v>246</v>
      </c>
      <c r="B265" s="976"/>
      <c r="C265" s="978"/>
      <c r="D265" s="972"/>
      <c r="E265" s="679" t="s">
        <v>961</v>
      </c>
      <c r="F265" s="975"/>
      <c r="G265" s="679" t="e">
        <f t="shared" si="170"/>
        <v>#DIV/0!</v>
      </c>
      <c r="H265" s="976"/>
      <c r="I265" s="101">
        <f t="shared" si="174"/>
        <v>32</v>
      </c>
      <c r="J265" s="101">
        <f t="shared" si="175"/>
        <v>16088.541875000001</v>
      </c>
      <c r="K265" s="683">
        <f t="shared" si="176"/>
        <v>514833.34</v>
      </c>
      <c r="X265"/>
      <c r="Y265"/>
      <c r="Z265"/>
      <c r="AA265"/>
      <c r="AB265"/>
      <c r="AC265"/>
      <c r="AD265"/>
    </row>
    <row r="266" spans="1:30">
      <c r="A266" s="681">
        <v>247</v>
      </c>
      <c r="B266" s="976"/>
      <c r="C266" s="978"/>
      <c r="D266" s="972"/>
      <c r="E266" s="679" t="s">
        <v>961</v>
      </c>
      <c r="F266" s="975"/>
      <c r="G266" s="679" t="e">
        <f t="shared" si="170"/>
        <v>#DIV/0!</v>
      </c>
      <c r="H266" s="976"/>
      <c r="I266" s="101">
        <f t="shared" si="174"/>
        <v>32</v>
      </c>
      <c r="J266" s="101">
        <f t="shared" si="175"/>
        <v>16088.541875000001</v>
      </c>
      <c r="K266" s="683">
        <f t="shared" si="176"/>
        <v>514833.34</v>
      </c>
      <c r="X266"/>
      <c r="Y266"/>
      <c r="Z266"/>
      <c r="AA266"/>
      <c r="AB266"/>
      <c r="AC266"/>
      <c r="AD266"/>
    </row>
    <row r="267" spans="1:30">
      <c r="A267" s="681">
        <v>248</v>
      </c>
      <c r="B267" s="902"/>
      <c r="C267" s="679"/>
      <c r="D267" s="682"/>
      <c r="E267" s="679" t="s">
        <v>961</v>
      </c>
      <c r="F267" s="679"/>
      <c r="G267" s="679" t="e">
        <f t="shared" si="170"/>
        <v>#DIV/0!</v>
      </c>
      <c r="H267" s="679"/>
      <c r="I267" s="101">
        <f t="shared" si="174"/>
        <v>32</v>
      </c>
      <c r="J267" s="101">
        <f t="shared" si="175"/>
        <v>16088.541875000001</v>
      </c>
      <c r="K267" s="683">
        <f t="shared" si="176"/>
        <v>514833.34</v>
      </c>
      <c r="X267"/>
      <c r="Y267"/>
      <c r="Z267"/>
      <c r="AA267"/>
      <c r="AB267"/>
      <c r="AC267"/>
      <c r="AD267"/>
    </row>
    <row r="268" spans="1:30">
      <c r="A268" s="681">
        <v>249</v>
      </c>
      <c r="B268" s="902"/>
      <c r="C268" s="679"/>
      <c r="D268" s="682"/>
      <c r="E268" s="679" t="s">
        <v>961</v>
      </c>
      <c r="F268" s="679"/>
      <c r="G268" s="679" t="e">
        <f t="shared" si="170"/>
        <v>#DIV/0!</v>
      </c>
      <c r="H268" s="679"/>
      <c r="I268" s="101">
        <f t="shared" si="174"/>
        <v>32</v>
      </c>
      <c r="J268" s="101">
        <f t="shared" si="175"/>
        <v>16088.541875000001</v>
      </c>
      <c r="K268" s="683">
        <f t="shared" si="176"/>
        <v>514833.34</v>
      </c>
      <c r="X268"/>
      <c r="Y268"/>
      <c r="Z268"/>
      <c r="AA268"/>
      <c r="AB268"/>
      <c r="AC268"/>
      <c r="AD268"/>
    </row>
    <row r="269" spans="1:30">
      <c r="A269" s="681">
        <v>250</v>
      </c>
      <c r="B269" s="903"/>
      <c r="C269" s="894"/>
      <c r="D269" s="895"/>
      <c r="E269" s="894"/>
      <c r="F269" s="894"/>
      <c r="G269" s="894"/>
      <c r="H269" s="894"/>
      <c r="I269" s="896"/>
      <c r="J269" s="896"/>
      <c r="K269" s="897"/>
      <c r="X269"/>
      <c r="Y269"/>
      <c r="Z269"/>
      <c r="AA269"/>
      <c r="AB269"/>
      <c r="AC269"/>
      <c r="AD269"/>
    </row>
    <row r="270" spans="1:30">
      <c r="A270" s="681">
        <v>251</v>
      </c>
      <c r="B270" s="904" t="s">
        <v>1255</v>
      </c>
      <c r="C270" s="679">
        <v>62</v>
      </c>
      <c r="D270" s="682">
        <v>9.02</v>
      </c>
      <c r="E270" s="679" t="s">
        <v>961</v>
      </c>
      <c r="F270" s="679">
        <v>1</v>
      </c>
      <c r="G270" s="679">
        <f t="shared" ref="G270:G278" si="177">H270/F270</f>
        <v>3920</v>
      </c>
      <c r="H270" s="679">
        <v>3920</v>
      </c>
      <c r="I270" s="101">
        <f t="shared" ref="I270:I278" si="178">+I269+F270</f>
        <v>1</v>
      </c>
      <c r="J270" s="101">
        <f t="shared" ref="J270:J278" si="179">+K270/I270</f>
        <v>3920</v>
      </c>
      <c r="K270" s="683">
        <f t="shared" ref="K270:K278" si="180">(+H270+K269)</f>
        <v>3920</v>
      </c>
      <c r="X270"/>
      <c r="Y270"/>
      <c r="Z270"/>
      <c r="AA270"/>
      <c r="AB270"/>
      <c r="AC270"/>
      <c r="AD270"/>
    </row>
    <row r="271" spans="1:30">
      <c r="A271" s="681">
        <v>252</v>
      </c>
      <c r="B271" s="902"/>
      <c r="C271" s="679">
        <v>199</v>
      </c>
      <c r="D271" s="682">
        <v>30.04</v>
      </c>
      <c r="E271" s="679" t="s">
        <v>961</v>
      </c>
      <c r="F271" s="679">
        <v>2</v>
      </c>
      <c r="G271" s="679">
        <f t="shared" si="177"/>
        <v>4015</v>
      </c>
      <c r="H271" s="679">
        <v>8030</v>
      </c>
      <c r="I271" s="101">
        <f t="shared" si="178"/>
        <v>3</v>
      </c>
      <c r="J271" s="101">
        <f t="shared" si="179"/>
        <v>3983.3333333333335</v>
      </c>
      <c r="K271" s="683">
        <f t="shared" si="180"/>
        <v>11950</v>
      </c>
      <c r="X271"/>
      <c r="Y271"/>
      <c r="Z271"/>
      <c r="AA271"/>
      <c r="AB271"/>
      <c r="AC271"/>
      <c r="AD271"/>
    </row>
    <row r="272" spans="1:30">
      <c r="A272" s="681">
        <v>253</v>
      </c>
      <c r="B272" s="976"/>
      <c r="C272" s="978">
        <v>314</v>
      </c>
      <c r="D272" s="972" t="s">
        <v>1391</v>
      </c>
      <c r="E272" s="975" t="s">
        <v>961</v>
      </c>
      <c r="F272" s="975">
        <v>1</v>
      </c>
      <c r="G272" s="975">
        <f>+H272/F272</f>
        <v>3980</v>
      </c>
      <c r="H272" s="976">
        <v>3980</v>
      </c>
      <c r="I272" s="101">
        <f t="shared" si="178"/>
        <v>4</v>
      </c>
      <c r="J272" s="101">
        <f t="shared" si="179"/>
        <v>3982.5</v>
      </c>
      <c r="K272" s="683">
        <f t="shared" si="180"/>
        <v>15930</v>
      </c>
      <c r="X272"/>
      <c r="Y272"/>
      <c r="Z272"/>
      <c r="AA272"/>
      <c r="AB272"/>
      <c r="AC272"/>
      <c r="AD272"/>
    </row>
    <row r="273" spans="1:30">
      <c r="A273" s="681">
        <v>254</v>
      </c>
      <c r="B273" s="902"/>
      <c r="C273" s="679"/>
      <c r="D273" s="682"/>
      <c r="E273" s="679" t="s">
        <v>961</v>
      </c>
      <c r="F273" s="679"/>
      <c r="G273" s="679" t="e">
        <f t="shared" si="177"/>
        <v>#DIV/0!</v>
      </c>
      <c r="H273" s="679"/>
      <c r="I273" s="101">
        <f t="shared" si="178"/>
        <v>4</v>
      </c>
      <c r="J273" s="101">
        <f t="shared" si="179"/>
        <v>3982.5</v>
      </c>
      <c r="K273" s="683">
        <f t="shared" si="180"/>
        <v>15930</v>
      </c>
      <c r="X273"/>
      <c r="Y273"/>
      <c r="Z273"/>
      <c r="AA273"/>
      <c r="AB273"/>
      <c r="AC273"/>
      <c r="AD273"/>
    </row>
    <row r="274" spans="1:30">
      <c r="A274" s="681">
        <v>255</v>
      </c>
      <c r="B274" s="902"/>
      <c r="C274" s="679"/>
      <c r="D274" s="682"/>
      <c r="E274" s="679"/>
      <c r="F274" s="679"/>
      <c r="G274" s="679" t="e">
        <f t="shared" si="177"/>
        <v>#DIV/0!</v>
      </c>
      <c r="H274" s="679"/>
      <c r="I274" s="101">
        <f t="shared" si="178"/>
        <v>4</v>
      </c>
      <c r="J274" s="101">
        <f t="shared" si="179"/>
        <v>3982.5</v>
      </c>
      <c r="K274" s="683">
        <f t="shared" si="180"/>
        <v>15930</v>
      </c>
      <c r="X274"/>
      <c r="Y274"/>
      <c r="Z274"/>
      <c r="AA274"/>
      <c r="AB274"/>
      <c r="AC274"/>
      <c r="AD274"/>
    </row>
    <row r="275" spans="1:30">
      <c r="A275" s="681">
        <v>256</v>
      </c>
      <c r="B275" s="902"/>
      <c r="C275" s="679"/>
      <c r="D275" s="682"/>
      <c r="E275" s="679"/>
      <c r="F275" s="679"/>
      <c r="G275" s="679" t="e">
        <f t="shared" si="177"/>
        <v>#DIV/0!</v>
      </c>
      <c r="H275" s="679"/>
      <c r="I275" s="101">
        <f t="shared" si="178"/>
        <v>4</v>
      </c>
      <c r="J275" s="101">
        <f t="shared" si="179"/>
        <v>3982.5</v>
      </c>
      <c r="K275" s="683">
        <f t="shared" si="180"/>
        <v>15930</v>
      </c>
      <c r="X275"/>
      <c r="Y275"/>
      <c r="Z275"/>
      <c r="AA275"/>
      <c r="AB275"/>
      <c r="AC275"/>
      <c r="AD275"/>
    </row>
    <row r="276" spans="1:30">
      <c r="A276" s="681">
        <v>257</v>
      </c>
      <c r="B276" s="902"/>
      <c r="C276" s="679"/>
      <c r="D276" s="682"/>
      <c r="E276" s="679"/>
      <c r="F276" s="679"/>
      <c r="G276" s="679" t="e">
        <f t="shared" si="177"/>
        <v>#DIV/0!</v>
      </c>
      <c r="H276" s="679"/>
      <c r="I276" s="101">
        <f t="shared" si="178"/>
        <v>4</v>
      </c>
      <c r="J276" s="101">
        <f t="shared" si="179"/>
        <v>3982.5</v>
      </c>
      <c r="K276" s="683">
        <f t="shared" si="180"/>
        <v>15930</v>
      </c>
      <c r="X276"/>
      <c r="Y276"/>
      <c r="Z276"/>
      <c r="AA276"/>
      <c r="AB276"/>
      <c r="AC276"/>
      <c r="AD276"/>
    </row>
    <row r="277" spans="1:30">
      <c r="A277" s="681">
        <v>258</v>
      </c>
      <c r="B277" s="902"/>
      <c r="C277" s="679"/>
      <c r="D277" s="682"/>
      <c r="E277" s="679"/>
      <c r="F277" s="679"/>
      <c r="G277" s="679" t="e">
        <f t="shared" si="177"/>
        <v>#DIV/0!</v>
      </c>
      <c r="H277" s="679"/>
      <c r="I277" s="101">
        <f t="shared" si="178"/>
        <v>4</v>
      </c>
      <c r="J277" s="101">
        <f t="shared" si="179"/>
        <v>3982.5</v>
      </c>
      <c r="K277" s="683">
        <f t="shared" si="180"/>
        <v>15930</v>
      </c>
      <c r="X277"/>
      <c r="Y277"/>
      <c r="Z277"/>
      <c r="AA277"/>
      <c r="AB277"/>
      <c r="AC277"/>
      <c r="AD277"/>
    </row>
    <row r="278" spans="1:30">
      <c r="A278" s="681">
        <v>259</v>
      </c>
      <c r="B278" s="902"/>
      <c r="C278" s="679"/>
      <c r="D278" s="682"/>
      <c r="E278" s="679"/>
      <c r="F278" s="679"/>
      <c r="G278" s="679" t="e">
        <f t="shared" si="177"/>
        <v>#DIV/0!</v>
      </c>
      <c r="H278" s="679"/>
      <c r="I278" s="101">
        <f t="shared" si="178"/>
        <v>4</v>
      </c>
      <c r="J278" s="101">
        <f t="shared" si="179"/>
        <v>3982.5</v>
      </c>
      <c r="K278" s="683">
        <f t="shared" si="180"/>
        <v>15930</v>
      </c>
      <c r="X278"/>
      <c r="Y278"/>
      <c r="Z278"/>
      <c r="AA278"/>
      <c r="AB278"/>
      <c r="AC278"/>
      <c r="AD278"/>
    </row>
    <row r="279" spans="1:30">
      <c r="A279" s="681">
        <v>260</v>
      </c>
      <c r="B279" s="903"/>
      <c r="C279" s="894"/>
      <c r="D279" s="895"/>
      <c r="E279" s="894"/>
      <c r="F279" s="894"/>
      <c r="G279" s="894"/>
      <c r="H279" s="894"/>
      <c r="I279" s="896"/>
      <c r="J279" s="896"/>
      <c r="K279" s="897"/>
      <c r="X279"/>
      <c r="Y279"/>
      <c r="Z279"/>
      <c r="AA279"/>
      <c r="AB279"/>
      <c r="AC279"/>
      <c r="AD279"/>
    </row>
    <row r="280" spans="1:30">
      <c r="A280" s="681">
        <v>261</v>
      </c>
      <c r="B280" s="904" t="s">
        <v>1256</v>
      </c>
      <c r="C280" s="679">
        <v>62</v>
      </c>
      <c r="D280" s="682">
        <v>9.02</v>
      </c>
      <c r="E280" s="679" t="s">
        <v>961</v>
      </c>
      <c r="F280" s="679">
        <v>1</v>
      </c>
      <c r="G280" s="679">
        <f t="shared" ref="G280:G288" si="181">H280/F280</f>
        <v>2936</v>
      </c>
      <c r="H280" s="679">
        <v>2936</v>
      </c>
      <c r="I280" s="101">
        <f t="shared" ref="I280:I288" si="182">+I279+F280</f>
        <v>1</v>
      </c>
      <c r="J280" s="101">
        <f t="shared" ref="J280:J288" si="183">+K280/I280</f>
        <v>2936</v>
      </c>
      <c r="K280" s="683">
        <f t="shared" ref="K280:K288" si="184">(+H280+K279)</f>
        <v>2936</v>
      </c>
      <c r="X280"/>
      <c r="Y280"/>
      <c r="Z280"/>
      <c r="AA280"/>
      <c r="AB280"/>
      <c r="AC280"/>
      <c r="AD280"/>
    </row>
    <row r="281" spans="1:30">
      <c r="A281" s="681">
        <v>262</v>
      </c>
      <c r="B281" s="902"/>
      <c r="C281" s="679">
        <v>199</v>
      </c>
      <c r="D281" s="682">
        <v>30.04</v>
      </c>
      <c r="E281" s="679" t="s">
        <v>961</v>
      </c>
      <c r="F281" s="679">
        <v>1</v>
      </c>
      <c r="G281" s="679">
        <f t="shared" si="181"/>
        <v>3003</v>
      </c>
      <c r="H281" s="679">
        <v>3003</v>
      </c>
      <c r="I281" s="101">
        <f t="shared" si="182"/>
        <v>2</v>
      </c>
      <c r="J281" s="101">
        <f t="shared" si="183"/>
        <v>2969.5</v>
      </c>
      <c r="K281" s="683">
        <f t="shared" si="184"/>
        <v>5939</v>
      </c>
      <c r="X281"/>
      <c r="Y281"/>
      <c r="Z281"/>
      <c r="AA281"/>
      <c r="AB281"/>
      <c r="AC281"/>
      <c r="AD281"/>
    </row>
    <row r="282" spans="1:30">
      <c r="A282" s="681">
        <v>263</v>
      </c>
      <c r="B282" s="902"/>
      <c r="C282" s="679"/>
      <c r="D282" s="682"/>
      <c r="E282" s="679"/>
      <c r="F282" s="679"/>
      <c r="G282" s="679" t="e">
        <f t="shared" si="181"/>
        <v>#DIV/0!</v>
      </c>
      <c r="H282" s="679"/>
      <c r="I282" s="101">
        <f t="shared" si="182"/>
        <v>2</v>
      </c>
      <c r="J282" s="101">
        <f t="shared" si="183"/>
        <v>2969.5</v>
      </c>
      <c r="K282" s="683">
        <f t="shared" si="184"/>
        <v>5939</v>
      </c>
      <c r="X282"/>
      <c r="Y282"/>
      <c r="Z282"/>
      <c r="AA282"/>
      <c r="AB282"/>
      <c r="AC282"/>
      <c r="AD282"/>
    </row>
    <row r="283" spans="1:30" ht="12.75" customHeight="1">
      <c r="A283" s="681">
        <v>264</v>
      </c>
      <c r="B283" s="902"/>
      <c r="C283" s="679"/>
      <c r="D283" s="682"/>
      <c r="E283" s="679"/>
      <c r="F283" s="679"/>
      <c r="G283" s="679" t="e">
        <f t="shared" si="181"/>
        <v>#DIV/0!</v>
      </c>
      <c r="H283" s="679"/>
      <c r="I283" s="101">
        <f t="shared" si="182"/>
        <v>2</v>
      </c>
      <c r="J283" s="101">
        <f t="shared" si="183"/>
        <v>2969.5</v>
      </c>
      <c r="K283" s="683">
        <f t="shared" si="184"/>
        <v>5939</v>
      </c>
      <c r="X283"/>
      <c r="Y283"/>
      <c r="Z283"/>
      <c r="AA283"/>
      <c r="AB283"/>
      <c r="AC283"/>
      <c r="AD283"/>
    </row>
    <row r="284" spans="1:30" ht="12.75" customHeight="1">
      <c r="A284" s="681">
        <v>265</v>
      </c>
      <c r="B284" s="902"/>
      <c r="C284" s="679"/>
      <c r="D284" s="682"/>
      <c r="E284" s="679"/>
      <c r="F284" s="679"/>
      <c r="G284" s="679" t="e">
        <f t="shared" si="181"/>
        <v>#DIV/0!</v>
      </c>
      <c r="H284" s="679"/>
      <c r="I284" s="101">
        <f t="shared" si="182"/>
        <v>2</v>
      </c>
      <c r="J284" s="101">
        <f t="shared" si="183"/>
        <v>2969.5</v>
      </c>
      <c r="K284" s="683">
        <f t="shared" si="184"/>
        <v>5939</v>
      </c>
      <c r="X284"/>
      <c r="Y284"/>
      <c r="Z284"/>
      <c r="AA284"/>
      <c r="AB284"/>
      <c r="AC284"/>
      <c r="AD284"/>
    </row>
    <row r="285" spans="1:30">
      <c r="A285" s="681">
        <v>266</v>
      </c>
      <c r="B285" s="902"/>
      <c r="C285" s="679"/>
      <c r="D285" s="682"/>
      <c r="E285" s="679"/>
      <c r="F285" s="679"/>
      <c r="G285" s="679" t="e">
        <f t="shared" si="181"/>
        <v>#DIV/0!</v>
      </c>
      <c r="H285" s="679"/>
      <c r="I285" s="101">
        <f t="shared" si="182"/>
        <v>2</v>
      </c>
      <c r="J285" s="101">
        <f t="shared" si="183"/>
        <v>2969.5</v>
      </c>
      <c r="K285" s="683">
        <f t="shared" si="184"/>
        <v>5939</v>
      </c>
      <c r="X285"/>
      <c r="Y285"/>
      <c r="Z285"/>
      <c r="AA285"/>
      <c r="AB285"/>
      <c r="AC285"/>
      <c r="AD285"/>
    </row>
    <row r="286" spans="1:30">
      <c r="A286" s="681">
        <v>267</v>
      </c>
      <c r="B286" s="902"/>
      <c r="C286" s="679"/>
      <c r="D286" s="682"/>
      <c r="E286" s="679"/>
      <c r="F286" s="679"/>
      <c r="G286" s="679" t="e">
        <f t="shared" si="181"/>
        <v>#DIV/0!</v>
      </c>
      <c r="H286" s="679"/>
      <c r="I286" s="101">
        <f t="shared" si="182"/>
        <v>2</v>
      </c>
      <c r="J286" s="101">
        <f t="shared" si="183"/>
        <v>2969.5</v>
      </c>
      <c r="K286" s="683">
        <f t="shared" si="184"/>
        <v>5939</v>
      </c>
      <c r="X286"/>
      <c r="Y286"/>
      <c r="Z286"/>
      <c r="AA286"/>
      <c r="AB286"/>
      <c r="AC286"/>
      <c r="AD286"/>
    </row>
    <row r="287" spans="1:30">
      <c r="A287" s="681">
        <v>268</v>
      </c>
      <c r="B287" s="902"/>
      <c r="C287" s="679"/>
      <c r="D287" s="682"/>
      <c r="E287" s="679"/>
      <c r="F287" s="679"/>
      <c r="G287" s="679" t="e">
        <f t="shared" si="181"/>
        <v>#DIV/0!</v>
      </c>
      <c r="H287" s="679"/>
      <c r="I287" s="101">
        <f t="shared" si="182"/>
        <v>2</v>
      </c>
      <c r="J287" s="101">
        <f t="shared" si="183"/>
        <v>2969.5</v>
      </c>
      <c r="K287" s="683">
        <f t="shared" si="184"/>
        <v>5939</v>
      </c>
      <c r="X287"/>
      <c r="Y287"/>
      <c r="Z287"/>
      <c r="AA287"/>
      <c r="AB287"/>
      <c r="AC287"/>
      <c r="AD287"/>
    </row>
    <row r="288" spans="1:30">
      <c r="A288" s="681">
        <v>269</v>
      </c>
      <c r="B288" s="902"/>
      <c r="C288" s="679"/>
      <c r="D288" s="682"/>
      <c r="E288" s="679"/>
      <c r="F288" s="679"/>
      <c r="G288" s="679" t="e">
        <f t="shared" si="181"/>
        <v>#DIV/0!</v>
      </c>
      <c r="H288" s="679"/>
      <c r="I288" s="101">
        <f t="shared" si="182"/>
        <v>2</v>
      </c>
      <c r="J288" s="101">
        <f t="shared" si="183"/>
        <v>2969.5</v>
      </c>
      <c r="K288" s="683">
        <f t="shared" si="184"/>
        <v>5939</v>
      </c>
      <c r="X288"/>
      <c r="Y288"/>
      <c r="Z288"/>
      <c r="AA288"/>
      <c r="AB288"/>
      <c r="AC288"/>
      <c r="AD288"/>
    </row>
    <row r="289" spans="1:30">
      <c r="A289" s="681">
        <v>270</v>
      </c>
      <c r="B289" s="903"/>
      <c r="C289" s="894"/>
      <c r="D289" s="895"/>
      <c r="E289" s="894"/>
      <c r="F289" s="894"/>
      <c r="G289" s="894"/>
      <c r="H289" s="894"/>
      <c r="I289" s="896"/>
      <c r="J289" s="896"/>
      <c r="K289" s="897"/>
      <c r="X289"/>
      <c r="Y289"/>
      <c r="Z289"/>
      <c r="AA289"/>
      <c r="AB289"/>
      <c r="AC289"/>
      <c r="AD289"/>
    </row>
    <row r="290" spans="1:30">
      <c r="A290" s="681">
        <v>271</v>
      </c>
      <c r="B290" s="904" t="s">
        <v>1257</v>
      </c>
      <c r="C290" s="679">
        <v>62</v>
      </c>
      <c r="D290" s="682">
        <v>9.02</v>
      </c>
      <c r="E290" s="679" t="s">
        <v>962</v>
      </c>
      <c r="F290" s="679">
        <v>21</v>
      </c>
      <c r="G290" s="679">
        <f t="shared" ref="G290:G298" si="185">H290/F290</f>
        <v>223</v>
      </c>
      <c r="H290" s="679">
        <v>4683</v>
      </c>
      <c r="I290" s="101">
        <f t="shared" ref="I290:I291" si="186">+I289+F290</f>
        <v>21</v>
      </c>
      <c r="J290" s="101">
        <f t="shared" ref="J290:J291" si="187">+K290/I290</f>
        <v>223</v>
      </c>
      <c r="K290" s="683">
        <f t="shared" ref="K290:K291" si="188">(+H290+K289)</f>
        <v>4683</v>
      </c>
      <c r="X290"/>
      <c r="Y290"/>
      <c r="Z290"/>
      <c r="AA290"/>
      <c r="AB290"/>
      <c r="AC290"/>
      <c r="AD290"/>
    </row>
    <row r="291" spans="1:30">
      <c r="A291" s="681">
        <v>272</v>
      </c>
      <c r="B291" s="976"/>
      <c r="C291" s="978">
        <v>261</v>
      </c>
      <c r="D291" s="972" t="s">
        <v>1342</v>
      </c>
      <c r="E291" s="975" t="s">
        <v>962</v>
      </c>
      <c r="F291" s="975">
        <v>42</v>
      </c>
      <c r="G291" s="975">
        <f>+H291/F291</f>
        <v>227</v>
      </c>
      <c r="H291" s="976">
        <v>9534</v>
      </c>
      <c r="I291" s="101">
        <f t="shared" si="186"/>
        <v>63</v>
      </c>
      <c r="J291" s="101">
        <f t="shared" si="187"/>
        <v>225.66666666666666</v>
      </c>
      <c r="K291" s="683">
        <f t="shared" si="188"/>
        <v>14217</v>
      </c>
      <c r="X291"/>
      <c r="Y291"/>
      <c r="Z291"/>
      <c r="AA291"/>
      <c r="AB291"/>
      <c r="AC291"/>
      <c r="AD291"/>
    </row>
    <row r="292" spans="1:30">
      <c r="A292" s="681">
        <v>273</v>
      </c>
      <c r="B292" s="976"/>
      <c r="C292" s="978">
        <v>297</v>
      </c>
      <c r="D292" s="972" t="s">
        <v>1396</v>
      </c>
      <c r="E292" s="975" t="s">
        <v>962</v>
      </c>
      <c r="F292" s="975">
        <v>7</v>
      </c>
      <c r="G292" s="975">
        <f>+H292/F292</f>
        <v>225</v>
      </c>
      <c r="H292" s="976">
        <v>1575</v>
      </c>
      <c r="I292" s="101">
        <f t="shared" ref="I292:I298" si="189">+I291+F292</f>
        <v>70</v>
      </c>
      <c r="J292" s="101">
        <f t="shared" ref="J292:J298" si="190">+K292/I292</f>
        <v>225.6</v>
      </c>
      <c r="K292" s="683">
        <f t="shared" ref="K292:K298" si="191">(+H292+K291)</f>
        <v>15792</v>
      </c>
      <c r="X292"/>
      <c r="Y292"/>
      <c r="Z292"/>
      <c r="AA292"/>
      <c r="AB292"/>
      <c r="AC292"/>
      <c r="AD292"/>
    </row>
    <row r="293" spans="1:30">
      <c r="A293" s="681">
        <v>274</v>
      </c>
      <c r="B293" s="976"/>
      <c r="C293" s="978">
        <v>288</v>
      </c>
      <c r="D293" s="972" t="s">
        <v>1399</v>
      </c>
      <c r="E293" s="975" t="s">
        <v>962</v>
      </c>
      <c r="F293" s="975">
        <v>19</v>
      </c>
      <c r="G293" s="975">
        <f>+H293/F293</f>
        <v>225</v>
      </c>
      <c r="H293" s="976">
        <v>4275</v>
      </c>
      <c r="I293" s="101">
        <f t="shared" si="189"/>
        <v>89</v>
      </c>
      <c r="J293" s="101">
        <f t="shared" si="190"/>
        <v>225.47191011235955</v>
      </c>
      <c r="K293" s="683">
        <f t="shared" si="191"/>
        <v>20067</v>
      </c>
      <c r="X293"/>
      <c r="Y293"/>
      <c r="Z293"/>
      <c r="AA293"/>
      <c r="AB293"/>
      <c r="AC293"/>
      <c r="AD293"/>
    </row>
    <row r="294" spans="1:30">
      <c r="A294" s="681">
        <v>275</v>
      </c>
      <c r="B294" s="976"/>
      <c r="C294" s="978">
        <v>372</v>
      </c>
      <c r="D294" s="972" t="s">
        <v>1438</v>
      </c>
      <c r="E294" s="975" t="s">
        <v>964</v>
      </c>
      <c r="F294" s="975">
        <v>16</v>
      </c>
      <c r="G294" s="975">
        <f>+H294/F294</f>
        <v>225</v>
      </c>
      <c r="H294" s="976">
        <v>3600</v>
      </c>
      <c r="I294" s="101">
        <f t="shared" si="189"/>
        <v>105</v>
      </c>
      <c r="J294" s="101">
        <f t="shared" si="190"/>
        <v>225.4</v>
      </c>
      <c r="K294" s="683">
        <f t="shared" si="191"/>
        <v>23667</v>
      </c>
      <c r="X294"/>
      <c r="Y294"/>
      <c r="Z294"/>
      <c r="AA294"/>
      <c r="AB294"/>
      <c r="AC294"/>
      <c r="AD294"/>
    </row>
    <row r="295" spans="1:30">
      <c r="A295" s="681">
        <v>276</v>
      </c>
      <c r="B295" s="902"/>
      <c r="C295" s="679">
        <v>461</v>
      </c>
      <c r="D295" s="682">
        <v>22.08</v>
      </c>
      <c r="E295" s="679" t="s">
        <v>962</v>
      </c>
      <c r="F295" s="679">
        <v>35</v>
      </c>
      <c r="G295" s="679">
        <f t="shared" si="185"/>
        <v>227</v>
      </c>
      <c r="H295" s="679">
        <v>7945</v>
      </c>
      <c r="I295" s="101">
        <f t="shared" si="189"/>
        <v>140</v>
      </c>
      <c r="J295" s="101">
        <f t="shared" si="190"/>
        <v>225.8</v>
      </c>
      <c r="K295" s="683">
        <f t="shared" si="191"/>
        <v>31612</v>
      </c>
      <c r="X295"/>
      <c r="Y295"/>
      <c r="Z295"/>
      <c r="AA295"/>
      <c r="AB295"/>
      <c r="AC295"/>
      <c r="AD295"/>
    </row>
    <row r="296" spans="1:30">
      <c r="A296" s="681">
        <v>277</v>
      </c>
      <c r="B296" s="902"/>
      <c r="C296" s="679"/>
      <c r="D296" s="682"/>
      <c r="E296" s="679"/>
      <c r="F296" s="679"/>
      <c r="G296" s="679" t="e">
        <f t="shared" si="185"/>
        <v>#DIV/0!</v>
      </c>
      <c r="H296" s="679"/>
      <c r="I296" s="101">
        <f t="shared" si="189"/>
        <v>140</v>
      </c>
      <c r="J296" s="101">
        <f t="shared" si="190"/>
        <v>225.8</v>
      </c>
      <c r="K296" s="683">
        <f t="shared" si="191"/>
        <v>31612</v>
      </c>
      <c r="X296"/>
      <c r="Y296"/>
      <c r="Z296"/>
      <c r="AA296"/>
      <c r="AB296"/>
      <c r="AC296"/>
      <c r="AD296"/>
    </row>
    <row r="297" spans="1:30">
      <c r="A297" s="681">
        <v>278</v>
      </c>
      <c r="B297" s="902"/>
      <c r="C297" s="679"/>
      <c r="D297" s="682"/>
      <c r="E297" s="679"/>
      <c r="F297" s="679"/>
      <c r="G297" s="679" t="e">
        <f t="shared" si="185"/>
        <v>#DIV/0!</v>
      </c>
      <c r="H297" s="679"/>
      <c r="I297" s="101">
        <f t="shared" si="189"/>
        <v>140</v>
      </c>
      <c r="J297" s="101">
        <f t="shared" si="190"/>
        <v>225.8</v>
      </c>
      <c r="K297" s="683">
        <f t="shared" si="191"/>
        <v>31612</v>
      </c>
      <c r="X297"/>
      <c r="Y297"/>
      <c r="Z297"/>
      <c r="AA297"/>
      <c r="AB297"/>
      <c r="AC297"/>
      <c r="AD297"/>
    </row>
    <row r="298" spans="1:30">
      <c r="A298" s="681">
        <v>279</v>
      </c>
      <c r="B298" s="902"/>
      <c r="C298" s="679"/>
      <c r="D298" s="682"/>
      <c r="E298" s="679"/>
      <c r="F298" s="679"/>
      <c r="G298" s="679" t="e">
        <f t="shared" si="185"/>
        <v>#DIV/0!</v>
      </c>
      <c r="H298" s="679"/>
      <c r="I298" s="101">
        <f t="shared" si="189"/>
        <v>140</v>
      </c>
      <c r="J298" s="101">
        <f t="shared" si="190"/>
        <v>225.8</v>
      </c>
      <c r="K298" s="683">
        <f t="shared" si="191"/>
        <v>31612</v>
      </c>
      <c r="X298"/>
      <c r="Y298"/>
      <c r="Z298"/>
      <c r="AA298"/>
      <c r="AB298"/>
      <c r="AC298"/>
      <c r="AD298"/>
    </row>
    <row r="299" spans="1:30">
      <c r="A299" s="681">
        <v>280</v>
      </c>
      <c r="B299" s="903"/>
      <c r="C299" s="894"/>
      <c r="D299" s="895"/>
      <c r="E299" s="894"/>
      <c r="F299" s="894"/>
      <c r="G299" s="894"/>
      <c r="H299" s="894"/>
      <c r="I299" s="896"/>
      <c r="J299" s="896"/>
      <c r="K299" s="897"/>
      <c r="X299"/>
      <c r="Y299"/>
      <c r="Z299"/>
      <c r="AA299"/>
      <c r="AB299"/>
      <c r="AC299"/>
      <c r="AD299"/>
    </row>
    <row r="300" spans="1:30">
      <c r="A300" s="681">
        <v>281</v>
      </c>
      <c r="B300" s="904" t="s">
        <v>1258</v>
      </c>
      <c r="C300" s="679">
        <v>62</v>
      </c>
      <c r="D300" s="682">
        <v>9.02</v>
      </c>
      <c r="E300" s="679" t="s">
        <v>962</v>
      </c>
      <c r="F300" s="679">
        <v>28</v>
      </c>
      <c r="G300" s="679">
        <f t="shared" ref="G300:G304" si="192">H300/F300</f>
        <v>235</v>
      </c>
      <c r="H300" s="679">
        <v>6580</v>
      </c>
      <c r="I300" s="101">
        <f t="shared" ref="I300:I301" si="193">+I299+F300</f>
        <v>28</v>
      </c>
      <c r="J300" s="101">
        <f t="shared" ref="J300:J301" si="194">+K300/I300</f>
        <v>235</v>
      </c>
      <c r="K300" s="683">
        <f t="shared" ref="K300:K301" si="195">(+H300+K299)</f>
        <v>6580</v>
      </c>
      <c r="X300"/>
      <c r="Y300"/>
      <c r="Z300"/>
      <c r="AA300"/>
      <c r="AB300"/>
      <c r="AC300"/>
      <c r="AD300"/>
    </row>
    <row r="301" spans="1:30">
      <c r="A301" s="681">
        <v>282</v>
      </c>
      <c r="B301" s="902"/>
      <c r="C301" s="679">
        <v>146</v>
      </c>
      <c r="D301" s="682">
        <v>26.03</v>
      </c>
      <c r="E301" s="975" t="s">
        <v>962</v>
      </c>
      <c r="F301" s="679">
        <v>56</v>
      </c>
      <c r="G301" s="679">
        <f t="shared" si="192"/>
        <v>243</v>
      </c>
      <c r="H301" s="679">
        <v>13608</v>
      </c>
      <c r="I301" s="101">
        <f t="shared" si="193"/>
        <v>84</v>
      </c>
      <c r="J301" s="101">
        <f t="shared" si="194"/>
        <v>240.33333333333334</v>
      </c>
      <c r="K301" s="683">
        <f t="shared" si="195"/>
        <v>20188</v>
      </c>
      <c r="X301"/>
      <c r="Y301"/>
      <c r="Z301"/>
      <c r="AA301"/>
      <c r="AB301"/>
      <c r="AC301"/>
      <c r="AD301"/>
    </row>
    <row r="302" spans="1:30">
      <c r="A302" s="681">
        <v>283</v>
      </c>
      <c r="B302" s="902"/>
      <c r="C302" s="679">
        <v>124</v>
      </c>
      <c r="D302" s="682">
        <v>8.0299999999999994</v>
      </c>
      <c r="E302" s="975" t="s">
        <v>962</v>
      </c>
      <c r="F302" s="679">
        <v>45</v>
      </c>
      <c r="G302" s="679">
        <f t="shared" si="192"/>
        <v>236</v>
      </c>
      <c r="H302" s="679">
        <v>10620</v>
      </c>
      <c r="I302" s="101">
        <f t="shared" ref="I302:I323" si="196">+I301+F302</f>
        <v>129</v>
      </c>
      <c r="J302" s="101">
        <f t="shared" ref="J302:J323" si="197">+K302/I302</f>
        <v>238.8217054263566</v>
      </c>
      <c r="K302" s="683">
        <f t="shared" ref="K302:K323" si="198">(+H302+K301)</f>
        <v>30808</v>
      </c>
      <c r="X302"/>
      <c r="Y302"/>
      <c r="Z302"/>
      <c r="AA302"/>
      <c r="AB302"/>
      <c r="AC302"/>
      <c r="AD302"/>
    </row>
    <row r="303" spans="1:30">
      <c r="A303" s="681">
        <v>284</v>
      </c>
      <c r="B303" s="902"/>
      <c r="C303" s="679">
        <v>169</v>
      </c>
      <c r="D303" s="682">
        <v>7.04</v>
      </c>
      <c r="E303" s="975" t="s">
        <v>962</v>
      </c>
      <c r="F303" s="679">
        <v>81</v>
      </c>
      <c r="G303" s="679">
        <f t="shared" si="192"/>
        <v>243</v>
      </c>
      <c r="H303" s="679">
        <v>19683</v>
      </c>
      <c r="I303" s="101">
        <f t="shared" si="196"/>
        <v>210</v>
      </c>
      <c r="J303" s="101">
        <f t="shared" si="197"/>
        <v>240.43333333333334</v>
      </c>
      <c r="K303" s="683">
        <f t="shared" si="198"/>
        <v>50491</v>
      </c>
      <c r="X303"/>
      <c r="Y303"/>
      <c r="Z303"/>
      <c r="AA303"/>
      <c r="AB303"/>
      <c r="AC303"/>
      <c r="AD303"/>
    </row>
    <row r="304" spans="1:30">
      <c r="A304" s="681">
        <v>285</v>
      </c>
      <c r="B304" s="902"/>
      <c r="C304" s="679">
        <v>178</v>
      </c>
      <c r="D304" s="682">
        <v>12.04</v>
      </c>
      <c r="E304" s="975" t="s">
        <v>962</v>
      </c>
      <c r="F304" s="679">
        <v>19</v>
      </c>
      <c r="G304" s="679">
        <f t="shared" si="192"/>
        <v>246</v>
      </c>
      <c r="H304" s="679">
        <v>4674</v>
      </c>
      <c r="I304" s="101">
        <f t="shared" si="196"/>
        <v>229</v>
      </c>
      <c r="J304" s="101">
        <f t="shared" si="197"/>
        <v>240.89519650655021</v>
      </c>
      <c r="K304" s="683">
        <f t="shared" si="198"/>
        <v>55165</v>
      </c>
      <c r="X304"/>
      <c r="Y304"/>
      <c r="Z304"/>
      <c r="AA304"/>
      <c r="AB304"/>
      <c r="AC304"/>
      <c r="AD304"/>
    </row>
    <row r="305" spans="1:30">
      <c r="A305" s="681">
        <v>286</v>
      </c>
      <c r="B305" s="976"/>
      <c r="C305" s="978">
        <v>330</v>
      </c>
      <c r="D305" s="972" t="s">
        <v>1387</v>
      </c>
      <c r="E305" s="975" t="s">
        <v>962</v>
      </c>
      <c r="F305" s="975">
        <v>8</v>
      </c>
      <c r="G305" s="975">
        <f>+H305/F305</f>
        <v>235</v>
      </c>
      <c r="H305" s="976">
        <v>1880</v>
      </c>
      <c r="I305" s="101">
        <f t="shared" si="196"/>
        <v>237</v>
      </c>
      <c r="J305" s="101">
        <f t="shared" si="197"/>
        <v>240.69620253164558</v>
      </c>
      <c r="K305" s="683">
        <f t="shared" si="198"/>
        <v>57045</v>
      </c>
      <c r="X305"/>
      <c r="Y305"/>
      <c r="Z305"/>
      <c r="AA305"/>
      <c r="AB305"/>
      <c r="AC305"/>
      <c r="AD305"/>
    </row>
    <row r="306" spans="1:30">
      <c r="A306" s="681">
        <v>287</v>
      </c>
      <c r="B306" s="976"/>
      <c r="C306" s="978">
        <v>261</v>
      </c>
      <c r="D306" s="972" t="s">
        <v>1342</v>
      </c>
      <c r="E306" s="975" t="s">
        <v>962</v>
      </c>
      <c r="F306" s="975">
        <v>35</v>
      </c>
      <c r="G306" s="975">
        <f>+H306/F306</f>
        <v>237</v>
      </c>
      <c r="H306" s="976">
        <v>8295</v>
      </c>
      <c r="I306" s="101">
        <f t="shared" si="196"/>
        <v>272</v>
      </c>
      <c r="J306" s="101">
        <f t="shared" si="197"/>
        <v>240.22058823529412</v>
      </c>
      <c r="K306" s="683">
        <f t="shared" si="198"/>
        <v>65340</v>
      </c>
      <c r="X306"/>
      <c r="Y306"/>
      <c r="Z306"/>
      <c r="AA306"/>
      <c r="AB306"/>
      <c r="AC306"/>
      <c r="AD306"/>
    </row>
    <row r="307" spans="1:30">
      <c r="A307" s="681">
        <v>288</v>
      </c>
      <c r="B307" s="976"/>
      <c r="C307" s="978">
        <v>297</v>
      </c>
      <c r="D307" s="972" t="s">
        <v>1396</v>
      </c>
      <c r="E307" s="975" t="s">
        <v>962</v>
      </c>
      <c r="F307" s="975">
        <v>16</v>
      </c>
      <c r="G307" s="975">
        <f>+H307/F307</f>
        <v>235</v>
      </c>
      <c r="H307" s="976">
        <v>3760</v>
      </c>
      <c r="I307" s="101">
        <f t="shared" si="196"/>
        <v>288</v>
      </c>
      <c r="J307" s="101">
        <f t="shared" si="197"/>
        <v>239.93055555555554</v>
      </c>
      <c r="K307" s="683">
        <f t="shared" si="198"/>
        <v>69100</v>
      </c>
      <c r="X307"/>
      <c r="Y307"/>
      <c r="Z307"/>
      <c r="AA307"/>
      <c r="AB307"/>
      <c r="AC307"/>
      <c r="AD307"/>
    </row>
    <row r="308" spans="1:30">
      <c r="A308" s="681">
        <v>289</v>
      </c>
      <c r="B308" s="976"/>
      <c r="C308" s="978">
        <v>288</v>
      </c>
      <c r="D308" s="972" t="s">
        <v>1399</v>
      </c>
      <c r="E308" s="975" t="s">
        <v>962</v>
      </c>
      <c r="F308" s="975">
        <v>24</v>
      </c>
      <c r="G308" s="975">
        <f>+H308/F308</f>
        <v>235</v>
      </c>
      <c r="H308" s="976">
        <v>5640</v>
      </c>
      <c r="I308" s="101">
        <f t="shared" si="196"/>
        <v>312</v>
      </c>
      <c r="J308" s="101">
        <f t="shared" si="197"/>
        <v>239.55128205128204</v>
      </c>
      <c r="K308" s="683">
        <f t="shared" si="198"/>
        <v>74740</v>
      </c>
      <c r="X308"/>
      <c r="Y308"/>
      <c r="Z308"/>
      <c r="AA308"/>
      <c r="AB308"/>
      <c r="AC308"/>
      <c r="AD308"/>
    </row>
    <row r="309" spans="1:30">
      <c r="A309" s="681">
        <v>290</v>
      </c>
      <c r="B309" s="976"/>
      <c r="C309" s="978">
        <v>372</v>
      </c>
      <c r="D309" s="972" t="s">
        <v>1438</v>
      </c>
      <c r="E309" s="975" t="s">
        <v>964</v>
      </c>
      <c r="F309" s="975">
        <v>25</v>
      </c>
      <c r="G309" s="975">
        <f>+H309/F309</f>
        <v>238</v>
      </c>
      <c r="H309" s="976">
        <v>5950</v>
      </c>
      <c r="I309" s="101">
        <f t="shared" si="196"/>
        <v>337</v>
      </c>
      <c r="J309" s="101">
        <f t="shared" si="197"/>
        <v>239.43620178041542</v>
      </c>
      <c r="K309" s="683">
        <f t="shared" si="198"/>
        <v>80690</v>
      </c>
      <c r="X309"/>
      <c r="Y309"/>
      <c r="Z309"/>
      <c r="AA309"/>
      <c r="AB309"/>
      <c r="AC309"/>
      <c r="AD309"/>
    </row>
    <row r="310" spans="1:30">
      <c r="A310" s="681">
        <v>291</v>
      </c>
      <c r="B310" s="902"/>
      <c r="C310" s="679"/>
      <c r="D310" s="682"/>
      <c r="E310" s="679"/>
      <c r="F310" s="679"/>
      <c r="G310" s="679" t="e">
        <f t="shared" ref="G310:G323" si="199">H310/F310</f>
        <v>#DIV/0!</v>
      </c>
      <c r="H310" s="679"/>
      <c r="I310" s="101">
        <f t="shared" si="196"/>
        <v>337</v>
      </c>
      <c r="J310" s="101">
        <f t="shared" si="197"/>
        <v>239.43620178041542</v>
      </c>
      <c r="K310" s="683">
        <f t="shared" si="198"/>
        <v>80690</v>
      </c>
      <c r="X310"/>
      <c r="Y310"/>
      <c r="Z310"/>
      <c r="AA310"/>
      <c r="AB310"/>
      <c r="AC310"/>
      <c r="AD310"/>
    </row>
    <row r="311" spans="1:30">
      <c r="A311" s="681">
        <v>292</v>
      </c>
      <c r="B311" s="902"/>
      <c r="C311" s="679"/>
      <c r="D311" s="682"/>
      <c r="E311" s="679"/>
      <c r="F311" s="679"/>
      <c r="G311" s="679" t="e">
        <f t="shared" si="199"/>
        <v>#DIV/0!</v>
      </c>
      <c r="H311" s="679"/>
      <c r="I311" s="101">
        <f t="shared" si="196"/>
        <v>337</v>
      </c>
      <c r="J311" s="101">
        <f t="shared" si="197"/>
        <v>239.43620178041542</v>
      </c>
      <c r="K311" s="683">
        <f t="shared" si="198"/>
        <v>80690</v>
      </c>
      <c r="X311"/>
      <c r="Y311"/>
      <c r="Z311"/>
      <c r="AA311"/>
      <c r="AB311"/>
      <c r="AC311"/>
      <c r="AD311"/>
    </row>
    <row r="312" spans="1:30">
      <c r="A312" s="681">
        <v>293</v>
      </c>
      <c r="B312" s="902"/>
      <c r="C312" s="679"/>
      <c r="D312" s="682"/>
      <c r="E312" s="679"/>
      <c r="F312" s="679"/>
      <c r="G312" s="679" t="e">
        <f t="shared" si="199"/>
        <v>#DIV/0!</v>
      </c>
      <c r="H312" s="679"/>
      <c r="I312" s="101">
        <f t="shared" si="196"/>
        <v>337</v>
      </c>
      <c r="J312" s="101">
        <f t="shared" si="197"/>
        <v>239.43620178041542</v>
      </c>
      <c r="K312" s="683">
        <f t="shared" si="198"/>
        <v>80690</v>
      </c>
      <c r="X312"/>
      <c r="Y312"/>
      <c r="Z312"/>
      <c r="AA312"/>
      <c r="AB312"/>
      <c r="AC312"/>
      <c r="AD312"/>
    </row>
    <row r="313" spans="1:30">
      <c r="A313" s="681">
        <v>294</v>
      </c>
      <c r="B313" s="902"/>
      <c r="C313" s="679"/>
      <c r="D313" s="682"/>
      <c r="E313" s="679"/>
      <c r="F313" s="679"/>
      <c r="G313" s="679" t="e">
        <f t="shared" si="199"/>
        <v>#DIV/0!</v>
      </c>
      <c r="H313" s="679"/>
      <c r="I313" s="101">
        <f t="shared" si="196"/>
        <v>337</v>
      </c>
      <c r="J313" s="101">
        <f t="shared" si="197"/>
        <v>239.43620178041542</v>
      </c>
      <c r="K313" s="683">
        <f t="shared" si="198"/>
        <v>80690</v>
      </c>
      <c r="X313"/>
      <c r="Y313"/>
      <c r="Z313"/>
      <c r="AA313"/>
      <c r="AB313"/>
      <c r="AC313"/>
      <c r="AD313"/>
    </row>
    <row r="314" spans="1:30">
      <c r="A314" s="681">
        <v>295</v>
      </c>
      <c r="B314" s="902"/>
      <c r="C314" s="679"/>
      <c r="D314" s="682"/>
      <c r="E314" s="679"/>
      <c r="F314" s="679"/>
      <c r="G314" s="679" t="e">
        <f t="shared" si="199"/>
        <v>#DIV/0!</v>
      </c>
      <c r="H314" s="679"/>
      <c r="I314" s="101">
        <f t="shared" si="196"/>
        <v>337</v>
      </c>
      <c r="J314" s="101">
        <f t="shared" si="197"/>
        <v>239.43620178041542</v>
      </c>
      <c r="K314" s="683">
        <f t="shared" si="198"/>
        <v>80690</v>
      </c>
      <c r="X314"/>
      <c r="Y314"/>
      <c r="Z314"/>
      <c r="AA314"/>
      <c r="AB314"/>
      <c r="AC314"/>
      <c r="AD314"/>
    </row>
    <row r="315" spans="1:30">
      <c r="A315" s="681">
        <v>296</v>
      </c>
      <c r="B315" s="902"/>
      <c r="C315" s="679"/>
      <c r="D315" s="682"/>
      <c r="E315" s="679"/>
      <c r="F315" s="679"/>
      <c r="G315" s="679" t="e">
        <f t="shared" si="199"/>
        <v>#DIV/0!</v>
      </c>
      <c r="H315" s="679"/>
      <c r="I315" s="101">
        <f t="shared" si="196"/>
        <v>337</v>
      </c>
      <c r="J315" s="101">
        <f t="shared" si="197"/>
        <v>239.43620178041542</v>
      </c>
      <c r="K315" s="683">
        <f t="shared" si="198"/>
        <v>80690</v>
      </c>
      <c r="X315"/>
      <c r="Y315"/>
      <c r="Z315"/>
      <c r="AA315"/>
      <c r="AB315"/>
      <c r="AC315"/>
      <c r="AD315"/>
    </row>
    <row r="316" spans="1:30">
      <c r="A316" s="681">
        <v>297</v>
      </c>
      <c r="B316" s="902"/>
      <c r="C316" s="679"/>
      <c r="D316" s="682"/>
      <c r="E316" s="679"/>
      <c r="F316" s="679"/>
      <c r="G316" s="679" t="e">
        <f t="shared" si="199"/>
        <v>#DIV/0!</v>
      </c>
      <c r="H316" s="679"/>
      <c r="I316" s="101">
        <f t="shared" si="196"/>
        <v>337</v>
      </c>
      <c r="J316" s="101">
        <f t="shared" si="197"/>
        <v>239.43620178041542</v>
      </c>
      <c r="K316" s="683">
        <f t="shared" si="198"/>
        <v>80690</v>
      </c>
      <c r="X316"/>
      <c r="Y316"/>
      <c r="Z316"/>
      <c r="AA316"/>
      <c r="AB316"/>
      <c r="AC316"/>
      <c r="AD316"/>
    </row>
    <row r="317" spans="1:30">
      <c r="A317" s="681">
        <v>298</v>
      </c>
      <c r="B317" s="902"/>
      <c r="C317" s="679"/>
      <c r="D317" s="682"/>
      <c r="E317" s="679"/>
      <c r="F317" s="679"/>
      <c r="G317" s="679" t="e">
        <f t="shared" si="199"/>
        <v>#DIV/0!</v>
      </c>
      <c r="H317" s="679"/>
      <c r="I317" s="101">
        <f t="shared" si="196"/>
        <v>337</v>
      </c>
      <c r="J317" s="101">
        <f t="shared" si="197"/>
        <v>239.43620178041542</v>
      </c>
      <c r="K317" s="683">
        <f t="shared" si="198"/>
        <v>80690</v>
      </c>
      <c r="X317"/>
      <c r="Y317"/>
      <c r="Z317"/>
      <c r="AA317"/>
      <c r="AB317"/>
      <c r="AC317"/>
      <c r="AD317"/>
    </row>
    <row r="318" spans="1:30">
      <c r="A318" s="681">
        <v>299</v>
      </c>
      <c r="B318" s="902"/>
      <c r="C318" s="679"/>
      <c r="D318" s="682"/>
      <c r="E318" s="679"/>
      <c r="F318" s="679"/>
      <c r="G318" s="679" t="e">
        <f t="shared" si="199"/>
        <v>#DIV/0!</v>
      </c>
      <c r="H318" s="679"/>
      <c r="I318" s="101">
        <f t="shared" si="196"/>
        <v>337</v>
      </c>
      <c r="J318" s="101">
        <f t="shared" si="197"/>
        <v>239.43620178041542</v>
      </c>
      <c r="K318" s="683">
        <f t="shared" si="198"/>
        <v>80690</v>
      </c>
      <c r="X318"/>
      <c r="Y318"/>
      <c r="Z318"/>
      <c r="AA318"/>
      <c r="AB318"/>
      <c r="AC318"/>
      <c r="AD318"/>
    </row>
    <row r="319" spans="1:30">
      <c r="A319" s="681">
        <v>300</v>
      </c>
      <c r="B319" s="902"/>
      <c r="C319" s="679"/>
      <c r="D319" s="682"/>
      <c r="E319" s="679"/>
      <c r="F319" s="679"/>
      <c r="G319" s="679" t="e">
        <f t="shared" si="199"/>
        <v>#DIV/0!</v>
      </c>
      <c r="H319" s="679"/>
      <c r="I319" s="101">
        <f t="shared" si="196"/>
        <v>337</v>
      </c>
      <c r="J319" s="101">
        <f t="shared" si="197"/>
        <v>239.43620178041542</v>
      </c>
      <c r="K319" s="683">
        <f t="shared" si="198"/>
        <v>80690</v>
      </c>
      <c r="X319"/>
      <c r="Y319"/>
      <c r="Z319"/>
      <c r="AA319"/>
      <c r="AB319"/>
      <c r="AC319"/>
      <c r="AD319"/>
    </row>
    <row r="320" spans="1:30">
      <c r="A320" s="681">
        <v>301</v>
      </c>
      <c r="B320" s="902"/>
      <c r="C320" s="679"/>
      <c r="D320" s="682"/>
      <c r="E320" s="679"/>
      <c r="F320" s="679"/>
      <c r="G320" s="679" t="e">
        <f t="shared" si="199"/>
        <v>#DIV/0!</v>
      </c>
      <c r="H320" s="679"/>
      <c r="I320" s="101">
        <f t="shared" si="196"/>
        <v>337</v>
      </c>
      <c r="J320" s="101">
        <f t="shared" si="197"/>
        <v>239.43620178041542</v>
      </c>
      <c r="K320" s="683">
        <f t="shared" si="198"/>
        <v>80690</v>
      </c>
      <c r="X320"/>
      <c r="Y320"/>
      <c r="Z320"/>
      <c r="AA320"/>
      <c r="AB320"/>
      <c r="AC320"/>
      <c r="AD320"/>
    </row>
    <row r="321" spans="1:30">
      <c r="A321" s="681">
        <v>302</v>
      </c>
      <c r="B321" s="902"/>
      <c r="C321" s="679"/>
      <c r="D321" s="682"/>
      <c r="E321" s="679"/>
      <c r="F321" s="679"/>
      <c r="G321" s="679" t="e">
        <f t="shared" si="199"/>
        <v>#DIV/0!</v>
      </c>
      <c r="H321" s="679"/>
      <c r="I321" s="101">
        <f t="shared" si="196"/>
        <v>337</v>
      </c>
      <c r="J321" s="101">
        <f t="shared" si="197"/>
        <v>239.43620178041542</v>
      </c>
      <c r="K321" s="683">
        <f t="shared" si="198"/>
        <v>80690</v>
      </c>
      <c r="T321"/>
      <c r="X321"/>
      <c r="Y321"/>
      <c r="Z321"/>
      <c r="AA321"/>
      <c r="AB321"/>
      <c r="AC321"/>
      <c r="AD321"/>
    </row>
    <row r="322" spans="1:30">
      <c r="A322" s="681">
        <v>303</v>
      </c>
      <c r="B322" s="902"/>
      <c r="C322" s="679"/>
      <c r="D322" s="682"/>
      <c r="E322" s="679"/>
      <c r="F322" s="679"/>
      <c r="G322" s="679" t="e">
        <f t="shared" si="199"/>
        <v>#DIV/0!</v>
      </c>
      <c r="H322" s="679"/>
      <c r="I322" s="101">
        <f t="shared" si="196"/>
        <v>337</v>
      </c>
      <c r="J322" s="101">
        <f t="shared" si="197"/>
        <v>239.43620178041542</v>
      </c>
      <c r="K322" s="683">
        <f t="shared" si="198"/>
        <v>80690</v>
      </c>
      <c r="T322"/>
      <c r="U322"/>
      <c r="V322"/>
      <c r="W322"/>
      <c r="X322"/>
      <c r="Y322"/>
      <c r="Z322"/>
      <c r="AA322"/>
      <c r="AB322"/>
      <c r="AC322"/>
      <c r="AD322"/>
    </row>
    <row r="323" spans="1:30">
      <c r="A323" s="681">
        <v>304</v>
      </c>
      <c r="B323" s="902"/>
      <c r="C323" s="679"/>
      <c r="D323" s="682"/>
      <c r="E323" s="679"/>
      <c r="F323" s="679"/>
      <c r="G323" s="679" t="e">
        <f t="shared" si="199"/>
        <v>#DIV/0!</v>
      </c>
      <c r="H323" s="679"/>
      <c r="I323" s="101">
        <f t="shared" si="196"/>
        <v>337</v>
      </c>
      <c r="J323" s="101">
        <f t="shared" si="197"/>
        <v>239.43620178041542</v>
      </c>
      <c r="K323" s="683">
        <f t="shared" si="198"/>
        <v>80690</v>
      </c>
      <c r="T323"/>
      <c r="U323"/>
      <c r="V323"/>
      <c r="W323"/>
      <c r="X323"/>
      <c r="Y323"/>
      <c r="Z323"/>
      <c r="AA323"/>
      <c r="AB323"/>
      <c r="AC323"/>
      <c r="AD323"/>
    </row>
    <row r="324" spans="1:30">
      <c r="A324" s="681">
        <v>305</v>
      </c>
      <c r="B324" s="903"/>
      <c r="C324" s="894"/>
      <c r="D324" s="895"/>
      <c r="E324" s="894"/>
      <c r="F324" s="894"/>
      <c r="G324" s="894"/>
      <c r="H324" s="894"/>
      <c r="I324" s="896"/>
      <c r="J324" s="896"/>
      <c r="K324" s="897"/>
      <c r="T324"/>
      <c r="U324"/>
      <c r="V324"/>
      <c r="W324"/>
      <c r="X324"/>
      <c r="Y324"/>
      <c r="Z324"/>
      <c r="AA324"/>
      <c r="AB324"/>
      <c r="AC324"/>
      <c r="AD324"/>
    </row>
    <row r="325" spans="1:30">
      <c r="A325" s="681">
        <v>306</v>
      </c>
      <c r="B325" s="904" t="s">
        <v>1253</v>
      </c>
      <c r="C325" s="679">
        <v>316</v>
      </c>
      <c r="D325" s="682">
        <v>10.02</v>
      </c>
      <c r="E325" s="679"/>
      <c r="F325" s="679">
        <v>10153</v>
      </c>
      <c r="G325" s="679">
        <f t="shared" ref="G325:G337" si="200">H325/F325</f>
        <v>22.90368364030336</v>
      </c>
      <c r="H325" s="679">
        <v>232541.1</v>
      </c>
      <c r="I325" s="101">
        <f t="shared" ref="I325:I327" si="201">+I324+F325</f>
        <v>10153</v>
      </c>
      <c r="J325" s="101">
        <f t="shared" ref="J325:J327" si="202">+K325/I325</f>
        <v>22.90368364030336</v>
      </c>
      <c r="K325" s="683">
        <f t="shared" ref="K325:K327" si="203">(+H325+K324)</f>
        <v>232541.1</v>
      </c>
      <c r="T325"/>
      <c r="U325"/>
      <c r="V325"/>
      <c r="W325"/>
      <c r="X325"/>
      <c r="Y325"/>
      <c r="Z325"/>
      <c r="AA325"/>
      <c r="AB325"/>
      <c r="AC325"/>
      <c r="AD325"/>
    </row>
    <row r="326" spans="1:30">
      <c r="A326" s="681">
        <v>307</v>
      </c>
      <c r="B326" s="902"/>
      <c r="C326" s="679">
        <v>413</v>
      </c>
      <c r="D326" s="682">
        <v>21.02</v>
      </c>
      <c r="E326" s="679"/>
      <c r="F326" s="679">
        <v>5232</v>
      </c>
      <c r="G326" s="679">
        <f t="shared" si="200"/>
        <v>46.959422782874618</v>
      </c>
      <c r="H326" s="679">
        <v>245691.7</v>
      </c>
      <c r="I326" s="101">
        <f t="shared" si="201"/>
        <v>15385</v>
      </c>
      <c r="J326" s="101">
        <f t="shared" si="202"/>
        <v>31.084354891127724</v>
      </c>
      <c r="K326" s="683">
        <f t="shared" si="203"/>
        <v>478232.80000000005</v>
      </c>
      <c r="T326"/>
      <c r="U326"/>
      <c r="V326"/>
      <c r="W326"/>
      <c r="X326"/>
      <c r="Y326"/>
      <c r="Z326"/>
      <c r="AA326"/>
      <c r="AB326"/>
      <c r="AC326"/>
      <c r="AD326"/>
    </row>
    <row r="327" spans="1:30">
      <c r="A327" s="681">
        <v>308</v>
      </c>
      <c r="B327" s="902"/>
      <c r="C327" s="679">
        <v>544</v>
      </c>
      <c r="D327" s="682">
        <v>10.029999999999999</v>
      </c>
      <c r="E327" s="679"/>
      <c r="F327" s="679">
        <v>2447</v>
      </c>
      <c r="G327" s="679">
        <f t="shared" si="200"/>
        <v>100.63240702901513</v>
      </c>
      <c r="H327" s="679">
        <v>246247.5</v>
      </c>
      <c r="I327" s="101">
        <f t="shared" si="201"/>
        <v>17832</v>
      </c>
      <c r="J327" s="101">
        <f t="shared" si="202"/>
        <v>40.628101166442356</v>
      </c>
      <c r="K327" s="683">
        <f t="shared" si="203"/>
        <v>724480.3</v>
      </c>
      <c r="T327"/>
      <c r="U327"/>
      <c r="V327"/>
      <c r="W327"/>
      <c r="X327"/>
      <c r="Y327"/>
      <c r="Z327"/>
      <c r="AA327"/>
      <c r="AB327"/>
      <c r="AC327"/>
      <c r="AD327"/>
    </row>
    <row r="328" spans="1:30">
      <c r="A328" s="681">
        <v>309</v>
      </c>
      <c r="B328" s="902"/>
      <c r="C328" s="679">
        <v>769</v>
      </c>
      <c r="D328" s="682">
        <v>6.04</v>
      </c>
      <c r="E328" s="679"/>
      <c r="F328" s="679">
        <v>673</v>
      </c>
      <c r="G328" s="679">
        <f t="shared" si="200"/>
        <v>180.81493313521545</v>
      </c>
      <c r="H328" s="679">
        <v>121688.45</v>
      </c>
      <c r="I328" s="101">
        <f t="shared" ref="I328:I337" si="204">+I327+F328</f>
        <v>18505</v>
      </c>
      <c r="J328" s="101">
        <f t="shared" ref="J328:J337" si="205">+K328/I328</f>
        <v>45.726492839773037</v>
      </c>
      <c r="K328" s="683">
        <f t="shared" ref="K328:K337" si="206">(+H328+K327)</f>
        <v>846168.75</v>
      </c>
      <c r="T328"/>
      <c r="U328"/>
      <c r="V328"/>
      <c r="W328"/>
      <c r="X328"/>
      <c r="Y328"/>
      <c r="Z328"/>
      <c r="AA328"/>
      <c r="AB328"/>
      <c r="AC328"/>
      <c r="AD328"/>
    </row>
    <row r="329" spans="1:30">
      <c r="A329" s="681">
        <v>310</v>
      </c>
      <c r="B329" s="902"/>
      <c r="C329" s="679">
        <v>671</v>
      </c>
      <c r="D329" s="682">
        <v>25.03</v>
      </c>
      <c r="E329" s="679"/>
      <c r="F329" s="679">
        <v>6651</v>
      </c>
      <c r="G329" s="679">
        <f t="shared" si="200"/>
        <v>36.448924973688165</v>
      </c>
      <c r="H329" s="679">
        <v>242421.8</v>
      </c>
      <c r="I329" s="101">
        <f t="shared" si="204"/>
        <v>25156</v>
      </c>
      <c r="J329" s="101">
        <f t="shared" si="205"/>
        <v>43.273594768643669</v>
      </c>
      <c r="K329" s="683">
        <f t="shared" si="206"/>
        <v>1088590.55</v>
      </c>
      <c r="T329"/>
      <c r="U329"/>
      <c r="V329"/>
      <c r="W329"/>
      <c r="X329"/>
      <c r="Y329"/>
      <c r="Z329"/>
      <c r="AA329"/>
      <c r="AB329"/>
      <c r="AC329"/>
      <c r="AD329"/>
    </row>
    <row r="330" spans="1:30" ht="12.75" customHeight="1">
      <c r="A330" s="681">
        <v>311</v>
      </c>
      <c r="B330" s="976"/>
      <c r="C330" s="978">
        <v>1363</v>
      </c>
      <c r="D330" s="972" t="s">
        <v>1402</v>
      </c>
      <c r="E330" s="975" t="s">
        <v>350</v>
      </c>
      <c r="F330" s="975">
        <v>1</v>
      </c>
      <c r="G330" s="679">
        <f t="shared" si="200"/>
        <v>209343</v>
      </c>
      <c r="H330" s="976">
        <v>209343</v>
      </c>
      <c r="I330" s="101">
        <f t="shared" si="204"/>
        <v>25157</v>
      </c>
      <c r="J330" s="101">
        <f t="shared" si="205"/>
        <v>51.593335850856626</v>
      </c>
      <c r="K330" s="683">
        <f t="shared" si="206"/>
        <v>1297933.55</v>
      </c>
      <c r="T330"/>
      <c r="U330"/>
      <c r="V330"/>
      <c r="W330"/>
      <c r="X330"/>
      <c r="Y330"/>
      <c r="Z330"/>
      <c r="AA330"/>
      <c r="AB330"/>
      <c r="AC330"/>
      <c r="AD330"/>
    </row>
    <row r="331" spans="1:30" ht="12.75" customHeight="1">
      <c r="A331" s="681">
        <v>312</v>
      </c>
      <c r="B331" s="902"/>
      <c r="C331" s="679">
        <v>1958</v>
      </c>
      <c r="D331" s="682">
        <v>6.08</v>
      </c>
      <c r="E331" s="679" t="s">
        <v>350</v>
      </c>
      <c r="F331" s="679">
        <v>1</v>
      </c>
      <c r="G331" s="679">
        <f t="shared" si="200"/>
        <v>362524</v>
      </c>
      <c r="H331" s="679">
        <v>362524</v>
      </c>
      <c r="I331" s="101">
        <f t="shared" si="204"/>
        <v>25158</v>
      </c>
      <c r="J331" s="101">
        <f t="shared" si="205"/>
        <v>66.00117457667541</v>
      </c>
      <c r="K331" s="683">
        <f t="shared" si="206"/>
        <v>1660457.55</v>
      </c>
      <c r="T331"/>
      <c r="U331"/>
      <c r="V331"/>
      <c r="W331"/>
      <c r="X331"/>
      <c r="Y331"/>
      <c r="Z331"/>
      <c r="AA331"/>
      <c r="AB331"/>
      <c r="AC331"/>
      <c r="AD331"/>
    </row>
    <row r="332" spans="1:30" ht="12.75" customHeight="1">
      <c r="A332" s="681">
        <v>313</v>
      </c>
      <c r="B332" s="902"/>
      <c r="C332" s="679">
        <v>2490</v>
      </c>
      <c r="D332" s="682">
        <v>26.09</v>
      </c>
      <c r="E332" s="679" t="s">
        <v>350</v>
      </c>
      <c r="F332" s="679">
        <v>1</v>
      </c>
      <c r="G332" s="679">
        <f t="shared" si="200"/>
        <v>208333</v>
      </c>
      <c r="H332" s="679">
        <v>208333</v>
      </c>
      <c r="I332" s="101">
        <f t="shared" si="204"/>
        <v>25159</v>
      </c>
      <c r="J332" s="101">
        <f t="shared" si="205"/>
        <v>74.279206248261062</v>
      </c>
      <c r="K332" s="683">
        <f t="shared" si="206"/>
        <v>1868790.55</v>
      </c>
      <c r="T332"/>
      <c r="U332"/>
      <c r="V332"/>
      <c r="W332"/>
      <c r="X332"/>
      <c r="Y332"/>
      <c r="Z332"/>
      <c r="AA332"/>
      <c r="AB332"/>
      <c r="AC332"/>
      <c r="AD332"/>
    </row>
    <row r="333" spans="1:30" ht="12.75" customHeight="1">
      <c r="A333" s="681">
        <v>314</v>
      </c>
      <c r="B333" s="902"/>
      <c r="C333" s="679">
        <v>3053</v>
      </c>
      <c r="D333" s="682">
        <v>16.11</v>
      </c>
      <c r="E333" s="679" t="s">
        <v>350</v>
      </c>
      <c r="F333" s="679">
        <v>1</v>
      </c>
      <c r="G333" s="679">
        <f t="shared" si="200"/>
        <v>256035</v>
      </c>
      <c r="H333" s="679">
        <v>256035</v>
      </c>
      <c r="I333" s="101">
        <f t="shared" si="204"/>
        <v>25160</v>
      </c>
      <c r="J333" s="101">
        <f t="shared" si="205"/>
        <v>84.452525834658175</v>
      </c>
      <c r="K333" s="683">
        <f t="shared" si="206"/>
        <v>2124825.5499999998</v>
      </c>
      <c r="T333"/>
      <c r="U333"/>
      <c r="V333"/>
      <c r="W333"/>
      <c r="X333"/>
      <c r="Y333"/>
      <c r="Z333"/>
      <c r="AA333"/>
      <c r="AB333"/>
      <c r="AC333"/>
      <c r="AD333"/>
    </row>
    <row r="334" spans="1:30" ht="12.75" customHeight="1">
      <c r="A334" s="681">
        <v>315</v>
      </c>
      <c r="B334" s="902"/>
      <c r="C334" s="679">
        <v>3505</v>
      </c>
      <c r="D334" s="682">
        <v>22.12</v>
      </c>
      <c r="E334" s="679" t="s">
        <v>350</v>
      </c>
      <c r="F334" s="679">
        <v>1</v>
      </c>
      <c r="G334" s="679">
        <f t="shared" si="200"/>
        <v>291712</v>
      </c>
      <c r="H334" s="679">
        <v>291712</v>
      </c>
      <c r="I334" s="101">
        <f t="shared" si="204"/>
        <v>25161</v>
      </c>
      <c r="J334" s="101">
        <f t="shared" si="205"/>
        <v>96.042985175469965</v>
      </c>
      <c r="K334" s="683">
        <f t="shared" si="206"/>
        <v>2416537.5499999998</v>
      </c>
      <c r="T334"/>
      <c r="U334"/>
      <c r="V334"/>
      <c r="W334"/>
      <c r="X334"/>
      <c r="Y334"/>
      <c r="Z334"/>
      <c r="AA334"/>
      <c r="AB334"/>
      <c r="AC334"/>
      <c r="AD334"/>
    </row>
    <row r="335" spans="1:30" ht="12.75" customHeight="1">
      <c r="A335" s="681">
        <v>316</v>
      </c>
      <c r="B335" s="902"/>
      <c r="C335" s="679"/>
      <c r="D335" s="682"/>
      <c r="E335" s="679"/>
      <c r="F335" s="679"/>
      <c r="G335" s="679" t="e">
        <f t="shared" si="200"/>
        <v>#DIV/0!</v>
      </c>
      <c r="H335" s="679"/>
      <c r="I335" s="101">
        <f t="shared" si="204"/>
        <v>25161</v>
      </c>
      <c r="J335" s="101">
        <f t="shared" si="205"/>
        <v>96.042985175469965</v>
      </c>
      <c r="K335" s="683">
        <f t="shared" si="206"/>
        <v>2416537.5499999998</v>
      </c>
      <c r="T335"/>
      <c r="U335"/>
      <c r="V335"/>
      <c r="W335"/>
      <c r="X335"/>
      <c r="Y335"/>
      <c r="Z335"/>
      <c r="AA335"/>
      <c r="AB335"/>
      <c r="AC335"/>
      <c r="AD335"/>
    </row>
    <row r="336" spans="1:30">
      <c r="A336" s="681">
        <v>317</v>
      </c>
      <c r="B336" s="902"/>
      <c r="C336" s="679"/>
      <c r="D336" s="682"/>
      <c r="E336" s="679"/>
      <c r="F336" s="679"/>
      <c r="G336" s="679" t="e">
        <f t="shared" si="200"/>
        <v>#DIV/0!</v>
      </c>
      <c r="H336" s="679"/>
      <c r="I336" s="101">
        <f t="shared" si="204"/>
        <v>25161</v>
      </c>
      <c r="J336" s="101">
        <f t="shared" si="205"/>
        <v>96.042985175469965</v>
      </c>
      <c r="K336" s="683">
        <f t="shared" si="206"/>
        <v>2416537.5499999998</v>
      </c>
      <c r="T336"/>
      <c r="U336"/>
      <c r="V336"/>
      <c r="W336"/>
      <c r="X336"/>
      <c r="Y336"/>
      <c r="Z336"/>
      <c r="AA336"/>
      <c r="AB336"/>
      <c r="AC336"/>
      <c r="AD336"/>
    </row>
    <row r="337" spans="1:30">
      <c r="A337" s="681">
        <v>318</v>
      </c>
      <c r="B337" s="902"/>
      <c r="C337" s="679"/>
      <c r="D337" s="682"/>
      <c r="E337" s="679"/>
      <c r="F337" s="679"/>
      <c r="G337" s="679" t="e">
        <f t="shared" si="200"/>
        <v>#DIV/0!</v>
      </c>
      <c r="H337" s="679"/>
      <c r="I337" s="101">
        <f t="shared" si="204"/>
        <v>25161</v>
      </c>
      <c r="J337" s="101">
        <f t="shared" si="205"/>
        <v>96.042985175469965</v>
      </c>
      <c r="K337" s="683">
        <f t="shared" si="206"/>
        <v>2416537.5499999998</v>
      </c>
      <c r="T337"/>
      <c r="U337"/>
      <c r="V337"/>
      <c r="W337"/>
      <c r="X337"/>
      <c r="Y337"/>
      <c r="Z337"/>
      <c r="AA337"/>
      <c r="AB337"/>
      <c r="AC337"/>
      <c r="AD337"/>
    </row>
    <row r="338" spans="1:30">
      <c r="A338" s="681">
        <v>319</v>
      </c>
      <c r="B338" s="903"/>
      <c r="C338" s="894"/>
      <c r="D338" s="895"/>
      <c r="E338" s="894"/>
      <c r="F338" s="894"/>
      <c r="G338" s="894"/>
      <c r="H338" s="894"/>
      <c r="I338" s="896"/>
      <c r="J338" s="896"/>
      <c r="K338" s="897"/>
      <c r="U338"/>
      <c r="V338"/>
      <c r="W338"/>
      <c r="X338"/>
      <c r="Y338"/>
      <c r="Z338"/>
      <c r="AA338"/>
      <c r="AB338"/>
      <c r="AC338"/>
      <c r="AD338"/>
    </row>
    <row r="339" spans="1:30">
      <c r="A339" s="681">
        <v>320</v>
      </c>
      <c r="B339" s="904" t="s">
        <v>1259</v>
      </c>
      <c r="C339" s="679">
        <v>172</v>
      </c>
      <c r="D339" s="682">
        <v>11.02</v>
      </c>
      <c r="E339" s="679" t="s">
        <v>517</v>
      </c>
      <c r="F339" s="679">
        <v>136</v>
      </c>
      <c r="G339" s="679">
        <f t="shared" ref="G339:G347" si="207">H339/F339</f>
        <v>350</v>
      </c>
      <c r="H339" s="679">
        <v>47600</v>
      </c>
      <c r="I339" s="101">
        <f t="shared" ref="I339:I347" si="208">+I338+F339</f>
        <v>136</v>
      </c>
      <c r="J339" s="101">
        <f t="shared" ref="J339:J347" si="209">+K339/I339</f>
        <v>350</v>
      </c>
      <c r="K339" s="683">
        <f t="shared" ref="K339:K347" si="210">(+H339+K338)</f>
        <v>47600</v>
      </c>
      <c r="T339"/>
      <c r="U339"/>
      <c r="V339"/>
      <c r="W339"/>
      <c r="X339"/>
      <c r="Y339"/>
      <c r="Z339"/>
      <c r="AA339"/>
      <c r="AB339"/>
      <c r="AC339"/>
      <c r="AD339"/>
    </row>
    <row r="340" spans="1:30">
      <c r="A340" s="681">
        <v>321</v>
      </c>
      <c r="B340" s="976"/>
      <c r="C340" s="978">
        <v>230</v>
      </c>
      <c r="D340" s="972" t="s">
        <v>1374</v>
      </c>
      <c r="E340" s="975" t="s">
        <v>517</v>
      </c>
      <c r="F340" s="975">
        <v>126</v>
      </c>
      <c r="G340" s="975">
        <f>+H340/F340</f>
        <v>350</v>
      </c>
      <c r="H340" s="976">
        <v>44100</v>
      </c>
      <c r="I340" s="101">
        <f t="shared" si="208"/>
        <v>262</v>
      </c>
      <c r="J340" s="101">
        <f t="shared" si="209"/>
        <v>350</v>
      </c>
      <c r="K340" s="683">
        <f t="shared" si="210"/>
        <v>91700</v>
      </c>
      <c r="T340"/>
      <c r="U340"/>
      <c r="V340"/>
      <c r="W340"/>
      <c r="X340"/>
      <c r="Y340"/>
      <c r="Z340"/>
      <c r="AA340"/>
      <c r="AB340"/>
      <c r="AC340"/>
      <c r="AD340"/>
    </row>
    <row r="341" spans="1:30">
      <c r="A341" s="681">
        <v>322</v>
      </c>
      <c r="B341" s="976"/>
      <c r="C341" s="978">
        <v>41</v>
      </c>
      <c r="D341" s="972" t="s">
        <v>1358</v>
      </c>
      <c r="E341" s="975" t="s">
        <v>517</v>
      </c>
      <c r="F341" s="975">
        <v>126</v>
      </c>
      <c r="G341" s="975">
        <f>+H341/F341</f>
        <v>350</v>
      </c>
      <c r="H341" s="976">
        <v>44100</v>
      </c>
      <c r="I341" s="101">
        <f t="shared" si="208"/>
        <v>388</v>
      </c>
      <c r="J341" s="101">
        <f t="shared" si="209"/>
        <v>350</v>
      </c>
      <c r="K341" s="683">
        <f t="shared" si="210"/>
        <v>135800</v>
      </c>
      <c r="T341"/>
      <c r="U341"/>
      <c r="V341"/>
      <c r="W341"/>
      <c r="X341"/>
      <c r="Y341"/>
      <c r="Z341"/>
      <c r="AA341"/>
      <c r="AB341"/>
      <c r="AC341"/>
      <c r="AD341"/>
    </row>
    <row r="342" spans="1:30">
      <c r="A342" s="681">
        <v>323</v>
      </c>
      <c r="B342" s="902"/>
      <c r="C342" s="679">
        <v>102</v>
      </c>
      <c r="D342" s="682">
        <v>26.09</v>
      </c>
      <c r="E342" s="679" t="s">
        <v>517</v>
      </c>
      <c r="F342" s="679">
        <v>156</v>
      </c>
      <c r="G342" s="679">
        <f t="shared" si="207"/>
        <v>350</v>
      </c>
      <c r="H342" s="679">
        <v>54600</v>
      </c>
      <c r="I342" s="101">
        <f t="shared" si="208"/>
        <v>544</v>
      </c>
      <c r="J342" s="101">
        <f t="shared" si="209"/>
        <v>350</v>
      </c>
      <c r="K342" s="683">
        <f t="shared" si="210"/>
        <v>190400</v>
      </c>
      <c r="T342"/>
      <c r="U342"/>
      <c r="V342"/>
      <c r="W342"/>
      <c r="X342"/>
      <c r="Y342"/>
      <c r="Z342"/>
      <c r="AA342"/>
      <c r="AB342"/>
      <c r="AC342"/>
      <c r="AD342"/>
    </row>
    <row r="343" spans="1:30">
      <c r="A343" s="681">
        <v>324</v>
      </c>
      <c r="B343" s="902"/>
      <c r="C343" s="679"/>
      <c r="D343" s="682"/>
      <c r="E343" s="679"/>
      <c r="F343" s="679"/>
      <c r="G343" s="679" t="e">
        <f t="shared" si="207"/>
        <v>#DIV/0!</v>
      </c>
      <c r="H343" s="679"/>
      <c r="I343" s="101">
        <f t="shared" si="208"/>
        <v>544</v>
      </c>
      <c r="J343" s="101">
        <f t="shared" si="209"/>
        <v>350</v>
      </c>
      <c r="K343" s="683">
        <f t="shared" si="210"/>
        <v>190400</v>
      </c>
      <c r="T343"/>
      <c r="U343"/>
      <c r="V343"/>
      <c r="W343"/>
      <c r="X343"/>
      <c r="Y343"/>
      <c r="Z343"/>
      <c r="AA343"/>
      <c r="AB343"/>
      <c r="AC343"/>
      <c r="AD343"/>
    </row>
    <row r="344" spans="1:30">
      <c r="A344" s="681">
        <v>325</v>
      </c>
      <c r="B344" s="902"/>
      <c r="C344" s="679"/>
      <c r="D344" s="682"/>
      <c r="E344" s="679"/>
      <c r="F344" s="679"/>
      <c r="G344" s="679" t="e">
        <f t="shared" si="207"/>
        <v>#DIV/0!</v>
      </c>
      <c r="H344" s="679"/>
      <c r="I344" s="101">
        <f t="shared" si="208"/>
        <v>544</v>
      </c>
      <c r="J344" s="101">
        <f t="shared" si="209"/>
        <v>350</v>
      </c>
      <c r="K344" s="683">
        <f t="shared" si="210"/>
        <v>190400</v>
      </c>
      <c r="T344"/>
      <c r="U344"/>
      <c r="V344"/>
      <c r="W344"/>
      <c r="X344"/>
      <c r="Y344"/>
      <c r="Z344"/>
      <c r="AA344"/>
      <c r="AB344"/>
      <c r="AC344"/>
      <c r="AD344"/>
    </row>
    <row r="345" spans="1:30">
      <c r="A345" s="681">
        <v>326</v>
      </c>
      <c r="B345" s="902"/>
      <c r="C345" s="679"/>
      <c r="D345" s="682"/>
      <c r="E345" s="679"/>
      <c r="F345" s="679"/>
      <c r="G345" s="679" t="e">
        <f t="shared" si="207"/>
        <v>#DIV/0!</v>
      </c>
      <c r="H345" s="679"/>
      <c r="I345" s="101">
        <f t="shared" si="208"/>
        <v>544</v>
      </c>
      <c r="J345" s="101">
        <f t="shared" si="209"/>
        <v>350</v>
      </c>
      <c r="K345" s="683">
        <f t="shared" si="210"/>
        <v>190400</v>
      </c>
      <c r="U345"/>
      <c r="V345"/>
      <c r="W345"/>
      <c r="X345"/>
      <c r="Y345"/>
      <c r="Z345"/>
      <c r="AA345"/>
      <c r="AB345"/>
      <c r="AC345"/>
      <c r="AD345"/>
    </row>
    <row r="346" spans="1:30">
      <c r="A346" s="681">
        <v>327</v>
      </c>
      <c r="B346" s="902"/>
      <c r="C346" s="679"/>
      <c r="D346" s="682"/>
      <c r="E346" s="679"/>
      <c r="F346" s="679"/>
      <c r="G346" s="679" t="e">
        <f t="shared" si="207"/>
        <v>#DIV/0!</v>
      </c>
      <c r="H346" s="679"/>
      <c r="I346" s="101">
        <f t="shared" si="208"/>
        <v>544</v>
      </c>
      <c r="J346" s="101">
        <f t="shared" si="209"/>
        <v>350</v>
      </c>
      <c r="K346" s="683">
        <f t="shared" si="210"/>
        <v>190400</v>
      </c>
      <c r="T346"/>
      <c r="U346"/>
      <c r="V346"/>
      <c r="W346"/>
      <c r="X346"/>
      <c r="Y346"/>
      <c r="Z346"/>
      <c r="AA346"/>
      <c r="AB346"/>
      <c r="AC346"/>
      <c r="AD346"/>
    </row>
    <row r="347" spans="1:30">
      <c r="A347" s="681">
        <v>328</v>
      </c>
      <c r="B347" s="902"/>
      <c r="C347" s="679"/>
      <c r="D347" s="682"/>
      <c r="E347" s="679"/>
      <c r="F347" s="679"/>
      <c r="G347" s="679" t="e">
        <f t="shared" si="207"/>
        <v>#DIV/0!</v>
      </c>
      <c r="H347" s="679"/>
      <c r="I347" s="101">
        <f t="shared" si="208"/>
        <v>544</v>
      </c>
      <c r="J347" s="101">
        <f t="shared" si="209"/>
        <v>350</v>
      </c>
      <c r="K347" s="683">
        <f t="shared" si="210"/>
        <v>190400</v>
      </c>
      <c r="T347"/>
      <c r="U347"/>
      <c r="V347"/>
      <c r="W347"/>
      <c r="X347"/>
      <c r="Y347"/>
      <c r="Z347"/>
      <c r="AA347"/>
      <c r="AB347"/>
      <c r="AC347"/>
      <c r="AD347"/>
    </row>
    <row r="348" spans="1:30">
      <c r="A348" s="681">
        <v>329</v>
      </c>
      <c r="B348" s="903"/>
      <c r="C348" s="894"/>
      <c r="D348" s="895"/>
      <c r="E348" s="894"/>
      <c r="F348" s="894"/>
      <c r="G348" s="894"/>
      <c r="H348" s="894"/>
      <c r="I348" s="896"/>
      <c r="J348" s="896"/>
      <c r="K348" s="897"/>
      <c r="T348"/>
      <c r="U348"/>
      <c r="V348"/>
      <c r="W348"/>
      <c r="X348"/>
      <c r="Y348"/>
      <c r="Z348"/>
      <c r="AA348"/>
      <c r="AB348"/>
      <c r="AC348"/>
      <c r="AD348"/>
    </row>
    <row r="349" spans="1:30">
      <c r="A349" s="681">
        <v>330</v>
      </c>
      <c r="B349" s="904" t="s">
        <v>1266</v>
      </c>
      <c r="C349" s="679">
        <v>284</v>
      </c>
      <c r="D349" s="682">
        <v>28.02</v>
      </c>
      <c r="E349" s="679" t="s">
        <v>517</v>
      </c>
      <c r="F349" s="679">
        <v>10000</v>
      </c>
      <c r="G349" s="679">
        <f t="shared" ref="G349:G357" si="211">H349/F349</f>
        <v>30</v>
      </c>
      <c r="H349" s="679">
        <v>300000</v>
      </c>
      <c r="I349" s="101">
        <f t="shared" ref="I349:I357" si="212">+I348+F349</f>
        <v>10000</v>
      </c>
      <c r="J349" s="101">
        <f t="shared" ref="J349:J357" si="213">+K349/I349</f>
        <v>30</v>
      </c>
      <c r="K349" s="683">
        <f t="shared" ref="K349:K357" si="214">(+H349+K348)</f>
        <v>300000</v>
      </c>
      <c r="T349"/>
      <c r="U349"/>
      <c r="V349"/>
      <c r="W349"/>
      <c r="X349"/>
      <c r="Y349"/>
      <c r="Z349"/>
      <c r="AA349"/>
      <c r="AB349"/>
      <c r="AC349"/>
      <c r="AD349"/>
    </row>
    <row r="350" spans="1:30">
      <c r="A350" s="681">
        <v>331</v>
      </c>
      <c r="B350" s="902"/>
      <c r="C350" s="679"/>
      <c r="D350" s="682"/>
      <c r="E350" s="679"/>
      <c r="F350" s="679"/>
      <c r="G350" s="679" t="e">
        <f t="shared" si="211"/>
        <v>#DIV/0!</v>
      </c>
      <c r="H350" s="679"/>
      <c r="I350" s="101">
        <f t="shared" si="212"/>
        <v>10000</v>
      </c>
      <c r="J350" s="101">
        <f t="shared" si="213"/>
        <v>30</v>
      </c>
      <c r="K350" s="683">
        <f t="shared" si="214"/>
        <v>300000</v>
      </c>
      <c r="T350"/>
      <c r="U350"/>
      <c r="V350"/>
      <c r="W350"/>
      <c r="X350"/>
      <c r="Y350"/>
      <c r="Z350"/>
      <c r="AA350"/>
      <c r="AB350"/>
      <c r="AC350"/>
      <c r="AD350"/>
    </row>
    <row r="351" spans="1:30">
      <c r="A351" s="681">
        <v>332</v>
      </c>
      <c r="B351" s="902"/>
      <c r="C351" s="679"/>
      <c r="D351" s="682"/>
      <c r="E351" s="679"/>
      <c r="F351" s="679"/>
      <c r="G351" s="679" t="e">
        <f t="shared" si="211"/>
        <v>#DIV/0!</v>
      </c>
      <c r="H351" s="679"/>
      <c r="I351" s="101">
        <f t="shared" si="212"/>
        <v>10000</v>
      </c>
      <c r="J351" s="101">
        <f t="shared" si="213"/>
        <v>30</v>
      </c>
      <c r="K351" s="683">
        <f t="shared" si="214"/>
        <v>300000</v>
      </c>
      <c r="T351"/>
      <c r="U351"/>
      <c r="V351"/>
      <c r="W351"/>
      <c r="X351"/>
      <c r="Y351"/>
      <c r="Z351"/>
      <c r="AA351"/>
      <c r="AB351"/>
      <c r="AC351"/>
      <c r="AD351"/>
    </row>
    <row r="352" spans="1:30">
      <c r="A352" s="681">
        <v>333</v>
      </c>
      <c r="B352" s="902"/>
      <c r="C352" s="679"/>
      <c r="D352" s="682"/>
      <c r="E352" s="679"/>
      <c r="F352" s="679"/>
      <c r="G352" s="679" t="e">
        <f t="shared" si="211"/>
        <v>#DIV/0!</v>
      </c>
      <c r="H352" s="679"/>
      <c r="I352" s="101">
        <f t="shared" si="212"/>
        <v>10000</v>
      </c>
      <c r="J352" s="101">
        <f t="shared" si="213"/>
        <v>30</v>
      </c>
      <c r="K352" s="683">
        <f t="shared" si="214"/>
        <v>300000</v>
      </c>
      <c r="T352"/>
      <c r="U352"/>
      <c r="V352"/>
      <c r="W352"/>
      <c r="X352"/>
      <c r="Y352"/>
      <c r="Z352"/>
      <c r="AA352"/>
      <c r="AB352"/>
      <c r="AC352"/>
      <c r="AD352"/>
    </row>
    <row r="353" spans="1:30">
      <c r="A353" s="681">
        <v>334</v>
      </c>
      <c r="B353" s="902"/>
      <c r="C353" s="679"/>
      <c r="D353" s="682"/>
      <c r="E353" s="679"/>
      <c r="F353" s="679"/>
      <c r="G353" s="679" t="e">
        <f t="shared" si="211"/>
        <v>#DIV/0!</v>
      </c>
      <c r="H353" s="679"/>
      <c r="I353" s="101">
        <f t="shared" si="212"/>
        <v>10000</v>
      </c>
      <c r="J353" s="101">
        <f t="shared" si="213"/>
        <v>30</v>
      </c>
      <c r="K353" s="683">
        <f t="shared" si="214"/>
        <v>300000</v>
      </c>
      <c r="T353"/>
      <c r="U353"/>
      <c r="V353"/>
      <c r="W353"/>
      <c r="X353"/>
      <c r="Y353"/>
      <c r="Z353"/>
      <c r="AA353"/>
      <c r="AB353"/>
      <c r="AC353"/>
      <c r="AD353"/>
    </row>
    <row r="354" spans="1:30">
      <c r="A354" s="681">
        <v>335</v>
      </c>
      <c r="B354" s="902"/>
      <c r="C354" s="679"/>
      <c r="D354" s="682"/>
      <c r="E354" s="679"/>
      <c r="F354" s="679"/>
      <c r="G354" s="679" t="e">
        <f t="shared" si="211"/>
        <v>#DIV/0!</v>
      </c>
      <c r="H354" s="679"/>
      <c r="I354" s="101">
        <f t="shared" si="212"/>
        <v>10000</v>
      </c>
      <c r="J354" s="101">
        <f t="shared" si="213"/>
        <v>30</v>
      </c>
      <c r="K354" s="683">
        <f t="shared" si="214"/>
        <v>300000</v>
      </c>
      <c r="U354"/>
      <c r="V354"/>
      <c r="W354"/>
      <c r="X354"/>
      <c r="Y354"/>
      <c r="Z354"/>
      <c r="AA354"/>
      <c r="AB354"/>
      <c r="AC354"/>
      <c r="AD354"/>
    </row>
    <row r="355" spans="1:30">
      <c r="A355" s="681">
        <v>336</v>
      </c>
      <c r="B355" s="902"/>
      <c r="C355" s="679"/>
      <c r="D355" s="682"/>
      <c r="E355" s="679"/>
      <c r="F355" s="679"/>
      <c r="G355" s="679" t="e">
        <f t="shared" si="211"/>
        <v>#DIV/0!</v>
      </c>
      <c r="H355" s="679"/>
      <c r="I355" s="101">
        <f t="shared" si="212"/>
        <v>10000</v>
      </c>
      <c r="J355" s="101">
        <f t="shared" si="213"/>
        <v>30</v>
      </c>
      <c r="K355" s="683">
        <f t="shared" si="214"/>
        <v>300000</v>
      </c>
      <c r="U355"/>
      <c r="V355"/>
      <c r="W355"/>
      <c r="X355"/>
      <c r="Y355"/>
      <c r="Z355"/>
      <c r="AA355"/>
      <c r="AB355"/>
      <c r="AC355"/>
      <c r="AD355"/>
    </row>
    <row r="356" spans="1:30">
      <c r="A356" s="681">
        <v>337</v>
      </c>
      <c r="B356" s="902"/>
      <c r="C356" s="679"/>
      <c r="D356" s="682"/>
      <c r="E356" s="679"/>
      <c r="F356" s="679"/>
      <c r="G356" s="679" t="e">
        <f t="shared" si="211"/>
        <v>#DIV/0!</v>
      </c>
      <c r="H356" s="679"/>
      <c r="I356" s="101">
        <f t="shared" si="212"/>
        <v>10000</v>
      </c>
      <c r="J356" s="101">
        <f t="shared" si="213"/>
        <v>30</v>
      </c>
      <c r="K356" s="683">
        <f t="shared" si="214"/>
        <v>300000</v>
      </c>
      <c r="T356"/>
      <c r="U356"/>
      <c r="V356"/>
      <c r="W356"/>
      <c r="X356"/>
      <c r="Y356"/>
      <c r="Z356"/>
      <c r="AA356"/>
      <c r="AB356"/>
      <c r="AC356"/>
      <c r="AD356"/>
    </row>
    <row r="357" spans="1:30">
      <c r="A357" s="681">
        <v>338</v>
      </c>
      <c r="B357" s="902"/>
      <c r="C357" s="679"/>
      <c r="D357" s="682"/>
      <c r="E357" s="679"/>
      <c r="F357" s="679"/>
      <c r="G357" s="679" t="e">
        <f t="shared" si="211"/>
        <v>#DIV/0!</v>
      </c>
      <c r="H357" s="679"/>
      <c r="I357" s="101">
        <f t="shared" si="212"/>
        <v>10000</v>
      </c>
      <c r="J357" s="101">
        <f t="shared" si="213"/>
        <v>30</v>
      </c>
      <c r="K357" s="683">
        <f t="shared" si="214"/>
        <v>300000</v>
      </c>
      <c r="T357"/>
      <c r="U357"/>
      <c r="V357"/>
      <c r="W357"/>
      <c r="X357"/>
      <c r="Y357"/>
      <c r="Z357"/>
      <c r="AA357"/>
      <c r="AB357"/>
      <c r="AC357"/>
      <c r="AD357"/>
    </row>
    <row r="358" spans="1:30">
      <c r="A358" s="681">
        <v>339</v>
      </c>
      <c r="B358" s="903"/>
      <c r="C358" s="894"/>
      <c r="D358" s="895"/>
      <c r="E358" s="894"/>
      <c r="F358" s="894"/>
      <c r="G358" s="894"/>
      <c r="H358" s="894"/>
      <c r="I358" s="896"/>
      <c r="J358" s="896"/>
      <c r="K358" s="897"/>
      <c r="T358"/>
      <c r="U358"/>
      <c r="V358"/>
      <c r="W358"/>
      <c r="X358"/>
      <c r="Y358"/>
      <c r="Z358"/>
      <c r="AA358"/>
      <c r="AB358"/>
      <c r="AC358"/>
      <c r="AD358"/>
    </row>
    <row r="359" spans="1:30">
      <c r="A359" s="681">
        <v>340</v>
      </c>
      <c r="B359" s="904" t="s">
        <v>1267</v>
      </c>
      <c r="C359" s="679">
        <v>34</v>
      </c>
      <c r="D359" s="682">
        <v>29.03</v>
      </c>
      <c r="E359" s="679"/>
      <c r="F359" s="679">
        <v>2204</v>
      </c>
      <c r="G359" s="679">
        <f t="shared" ref="G359:G367" si="215">H359/F359</f>
        <v>629.9691470054446</v>
      </c>
      <c r="H359" s="679">
        <f>1422452-34000</f>
        <v>1388452</v>
      </c>
      <c r="I359" s="101">
        <f t="shared" ref="I359:I367" si="216">+I358+F359</f>
        <v>2204</v>
      </c>
      <c r="J359" s="101">
        <f t="shared" ref="J359:J367" si="217">+K359/I359</f>
        <v>629.9691470054446</v>
      </c>
      <c r="K359" s="683">
        <f t="shared" ref="K359:K367" si="218">(+H359+K358)</f>
        <v>1388452</v>
      </c>
      <c r="T359"/>
      <c r="U359"/>
      <c r="V359"/>
      <c r="W359"/>
      <c r="X359"/>
      <c r="Y359"/>
      <c r="Z359"/>
      <c r="AA359"/>
      <c r="AB359"/>
      <c r="AC359"/>
      <c r="AD359"/>
    </row>
    <row r="360" spans="1:30">
      <c r="A360" s="681">
        <v>341</v>
      </c>
      <c r="B360" s="902"/>
      <c r="C360" s="679">
        <v>30</v>
      </c>
      <c r="D360" s="682">
        <v>28.03</v>
      </c>
      <c r="E360" s="679"/>
      <c r="F360" s="679">
        <f>2+5000+30+90+30+100+200</f>
        <v>5452</v>
      </c>
      <c r="G360" s="679">
        <f t="shared" si="215"/>
        <v>297.7402787967718</v>
      </c>
      <c r="H360" s="679">
        <f>1668280-45000</f>
        <v>1623280</v>
      </c>
      <c r="I360" s="101">
        <f t="shared" si="216"/>
        <v>7656</v>
      </c>
      <c r="J360" s="101">
        <f t="shared" si="217"/>
        <v>393.38192267502615</v>
      </c>
      <c r="K360" s="683">
        <f t="shared" si="218"/>
        <v>3011732</v>
      </c>
      <c r="U360"/>
      <c r="V360"/>
      <c r="W360"/>
      <c r="X360"/>
      <c r="Y360"/>
      <c r="Z360"/>
      <c r="AA360"/>
      <c r="AB360"/>
      <c r="AC360"/>
      <c r="AD360"/>
    </row>
    <row r="361" spans="1:30">
      <c r="A361" s="681">
        <v>342</v>
      </c>
      <c r="B361" s="902"/>
      <c r="C361" s="679">
        <v>1136</v>
      </c>
      <c r="D361" s="682">
        <v>18.05</v>
      </c>
      <c r="E361" s="679"/>
      <c r="F361" s="679">
        <v>830</v>
      </c>
      <c r="G361" s="679">
        <f t="shared" si="215"/>
        <v>224.76698795180724</v>
      </c>
      <c r="H361" s="679">
        <v>186556.6</v>
      </c>
      <c r="I361" s="101">
        <f t="shared" si="216"/>
        <v>8486</v>
      </c>
      <c r="J361" s="101">
        <f t="shared" si="217"/>
        <v>376.89000707046904</v>
      </c>
      <c r="K361" s="683">
        <f t="shared" si="218"/>
        <v>3198288.6</v>
      </c>
      <c r="T361"/>
      <c r="U361"/>
      <c r="V361"/>
      <c r="W361"/>
      <c r="X361"/>
      <c r="Y361"/>
      <c r="Z361"/>
      <c r="AA361"/>
      <c r="AB361"/>
      <c r="AC361"/>
      <c r="AD361"/>
    </row>
    <row r="362" spans="1:30">
      <c r="A362" s="681">
        <v>343</v>
      </c>
      <c r="B362" s="902"/>
      <c r="C362" s="679">
        <v>2635</v>
      </c>
      <c r="D362" s="682">
        <v>26.1</v>
      </c>
      <c r="E362" s="679"/>
      <c r="F362" s="679">
        <f>12+12+12+12+12+15+10</f>
        <v>85</v>
      </c>
      <c r="G362" s="101">
        <f t="shared" si="215"/>
        <v>2780</v>
      </c>
      <c r="H362" s="679">
        <v>236300</v>
      </c>
      <c r="I362" s="101">
        <f t="shared" si="216"/>
        <v>8571</v>
      </c>
      <c r="J362" s="101">
        <f t="shared" si="217"/>
        <v>400.72203943530513</v>
      </c>
      <c r="K362" s="683">
        <f t="shared" si="218"/>
        <v>3434588.6</v>
      </c>
      <c r="T362"/>
      <c r="U362"/>
      <c r="V362"/>
      <c r="W362"/>
      <c r="X362"/>
      <c r="Y362"/>
      <c r="Z362"/>
      <c r="AA362"/>
      <c r="AB362"/>
      <c r="AC362"/>
      <c r="AD362"/>
    </row>
    <row r="363" spans="1:30">
      <c r="A363" s="681">
        <v>344</v>
      </c>
      <c r="B363" s="902"/>
      <c r="C363" s="679"/>
      <c r="D363" s="682"/>
      <c r="E363" s="679"/>
      <c r="F363" s="679"/>
      <c r="G363" s="679" t="e">
        <f t="shared" si="215"/>
        <v>#DIV/0!</v>
      </c>
      <c r="H363" s="679"/>
      <c r="I363" s="101">
        <f t="shared" si="216"/>
        <v>8571</v>
      </c>
      <c r="J363" s="101">
        <f t="shared" si="217"/>
        <v>400.72203943530513</v>
      </c>
      <c r="K363" s="683">
        <f t="shared" si="218"/>
        <v>3434588.6</v>
      </c>
      <c r="T363"/>
      <c r="U363"/>
      <c r="V363"/>
      <c r="W363"/>
      <c r="X363"/>
      <c r="Y363"/>
      <c r="Z363"/>
      <c r="AA363"/>
      <c r="AB363"/>
      <c r="AC363"/>
      <c r="AD363"/>
    </row>
    <row r="364" spans="1:30">
      <c r="A364" s="681">
        <v>345</v>
      </c>
      <c r="B364" s="902"/>
      <c r="C364" s="679"/>
      <c r="D364" s="682"/>
      <c r="E364" s="679"/>
      <c r="F364" s="679"/>
      <c r="G364" s="679" t="e">
        <f t="shared" si="215"/>
        <v>#DIV/0!</v>
      </c>
      <c r="H364" s="679"/>
      <c r="I364" s="101">
        <f t="shared" si="216"/>
        <v>8571</v>
      </c>
      <c r="J364" s="101">
        <f t="shared" si="217"/>
        <v>400.72203943530513</v>
      </c>
      <c r="K364" s="683">
        <f t="shared" si="218"/>
        <v>3434588.6</v>
      </c>
      <c r="T364"/>
      <c r="U364"/>
      <c r="V364"/>
      <c r="W364"/>
      <c r="X364"/>
      <c r="Y364"/>
      <c r="Z364"/>
      <c r="AA364"/>
      <c r="AB364"/>
      <c r="AC364"/>
      <c r="AD364"/>
    </row>
    <row r="365" spans="1:30">
      <c r="A365" s="681">
        <v>346</v>
      </c>
      <c r="B365" s="902"/>
      <c r="C365" s="679"/>
      <c r="D365" s="682"/>
      <c r="E365" s="679"/>
      <c r="F365" s="679"/>
      <c r="G365" s="679" t="e">
        <f t="shared" si="215"/>
        <v>#DIV/0!</v>
      </c>
      <c r="H365" s="679"/>
      <c r="I365" s="101">
        <f t="shared" si="216"/>
        <v>8571</v>
      </c>
      <c r="J365" s="101">
        <f t="shared" si="217"/>
        <v>400.72203943530513</v>
      </c>
      <c r="K365" s="683">
        <f t="shared" si="218"/>
        <v>3434588.6</v>
      </c>
      <c r="T365"/>
      <c r="U365"/>
      <c r="V365"/>
      <c r="W365"/>
      <c r="X365"/>
      <c r="Y365"/>
      <c r="Z365"/>
      <c r="AA365"/>
      <c r="AB365"/>
      <c r="AC365"/>
      <c r="AD365"/>
    </row>
    <row r="366" spans="1:30">
      <c r="A366" s="681">
        <v>347</v>
      </c>
      <c r="B366" s="902"/>
      <c r="C366" s="679"/>
      <c r="D366" s="682"/>
      <c r="E366" s="679"/>
      <c r="F366" s="679"/>
      <c r="G366" s="679" t="e">
        <f t="shared" si="215"/>
        <v>#DIV/0!</v>
      </c>
      <c r="H366" s="679"/>
      <c r="I366" s="101">
        <f t="shared" si="216"/>
        <v>8571</v>
      </c>
      <c r="J366" s="101">
        <f t="shared" si="217"/>
        <v>400.72203943530513</v>
      </c>
      <c r="K366" s="683">
        <f t="shared" si="218"/>
        <v>3434588.6</v>
      </c>
      <c r="T366"/>
      <c r="U366"/>
      <c r="V366"/>
      <c r="W366"/>
      <c r="X366"/>
      <c r="Y366"/>
      <c r="Z366"/>
      <c r="AA366"/>
      <c r="AB366"/>
      <c r="AC366"/>
      <c r="AD366"/>
    </row>
    <row r="367" spans="1:30">
      <c r="A367" s="681">
        <v>348</v>
      </c>
      <c r="B367" s="902"/>
      <c r="C367" s="679"/>
      <c r="D367" s="682"/>
      <c r="E367" s="679"/>
      <c r="F367" s="679"/>
      <c r="G367" s="679" t="e">
        <f t="shared" si="215"/>
        <v>#DIV/0!</v>
      </c>
      <c r="H367" s="679"/>
      <c r="I367" s="101">
        <f t="shared" si="216"/>
        <v>8571</v>
      </c>
      <c r="J367" s="101">
        <f t="shared" si="217"/>
        <v>400.72203943530513</v>
      </c>
      <c r="K367" s="683">
        <f t="shared" si="218"/>
        <v>3434588.6</v>
      </c>
      <c r="T367"/>
      <c r="U367"/>
      <c r="V367"/>
      <c r="W367"/>
      <c r="X367"/>
      <c r="Y367"/>
      <c r="Z367"/>
      <c r="AA367"/>
      <c r="AB367"/>
      <c r="AC367"/>
      <c r="AD367"/>
    </row>
    <row r="368" spans="1:30">
      <c r="A368" s="681">
        <v>349</v>
      </c>
      <c r="B368" s="903"/>
      <c r="C368" s="894"/>
      <c r="D368" s="895"/>
      <c r="E368" s="894"/>
      <c r="F368" s="894"/>
      <c r="G368" s="894"/>
      <c r="H368" s="894"/>
      <c r="I368" s="896"/>
      <c r="J368" s="896"/>
      <c r="K368" s="897"/>
      <c r="T368"/>
      <c r="U368"/>
      <c r="V368"/>
      <c r="W368"/>
      <c r="X368"/>
      <c r="Y368"/>
      <c r="Z368"/>
      <c r="AA368"/>
      <c r="AB368"/>
      <c r="AC368"/>
      <c r="AD368"/>
    </row>
    <row r="369" spans="1:30">
      <c r="A369" s="681">
        <v>350</v>
      </c>
      <c r="B369" s="904" t="s">
        <v>1268</v>
      </c>
      <c r="C369" s="679">
        <v>146</v>
      </c>
      <c r="D369" s="682">
        <v>26.03</v>
      </c>
      <c r="E369" s="679" t="s">
        <v>961</v>
      </c>
      <c r="F369" s="679">
        <v>100</v>
      </c>
      <c r="G369" s="679">
        <f t="shared" ref="G369:G377" si="219">H369/F369</f>
        <v>12</v>
      </c>
      <c r="H369" s="679">
        <v>1200</v>
      </c>
      <c r="I369" s="101">
        <f t="shared" ref="I369:I377" si="220">+I368+F369</f>
        <v>100</v>
      </c>
      <c r="J369" s="101">
        <f t="shared" ref="J369:J377" si="221">+K369/I369</f>
        <v>12</v>
      </c>
      <c r="K369" s="683">
        <f t="shared" ref="K369:K377" si="222">(+H369+K368)</f>
        <v>1200</v>
      </c>
      <c r="T369"/>
      <c r="U369"/>
      <c r="V369"/>
      <c r="W369"/>
      <c r="X369"/>
      <c r="Y369"/>
      <c r="Z369"/>
      <c r="AA369"/>
      <c r="AB369"/>
      <c r="AC369"/>
      <c r="AD369"/>
    </row>
    <row r="370" spans="1:30">
      <c r="A370" s="681">
        <v>351</v>
      </c>
      <c r="B370" s="902"/>
      <c r="C370" s="679"/>
      <c r="D370" s="682"/>
      <c r="E370" s="679"/>
      <c r="F370" s="679"/>
      <c r="G370" s="679" t="e">
        <f t="shared" si="219"/>
        <v>#DIV/0!</v>
      </c>
      <c r="H370" s="679"/>
      <c r="I370" s="101">
        <f t="shared" si="220"/>
        <v>100</v>
      </c>
      <c r="J370" s="101">
        <f t="shared" si="221"/>
        <v>12</v>
      </c>
      <c r="K370" s="683">
        <f t="shared" si="222"/>
        <v>1200</v>
      </c>
      <c r="T370"/>
      <c r="U370"/>
      <c r="V370"/>
      <c r="W370"/>
      <c r="X370"/>
      <c r="Y370"/>
      <c r="Z370"/>
      <c r="AA370"/>
      <c r="AB370"/>
      <c r="AC370"/>
      <c r="AD370"/>
    </row>
    <row r="371" spans="1:30">
      <c r="A371" s="681">
        <v>352</v>
      </c>
      <c r="B371" s="902"/>
      <c r="C371" s="679"/>
      <c r="D371" s="682"/>
      <c r="E371" s="679"/>
      <c r="F371" s="679"/>
      <c r="G371" s="679" t="e">
        <f t="shared" si="219"/>
        <v>#DIV/0!</v>
      </c>
      <c r="H371" s="679"/>
      <c r="I371" s="101">
        <f t="shared" si="220"/>
        <v>100</v>
      </c>
      <c r="J371" s="101">
        <f t="shared" si="221"/>
        <v>12</v>
      </c>
      <c r="K371" s="683">
        <f t="shared" si="222"/>
        <v>1200</v>
      </c>
      <c r="U371"/>
      <c r="V371"/>
      <c r="W371"/>
      <c r="X371"/>
      <c r="Y371"/>
      <c r="Z371"/>
      <c r="AA371"/>
      <c r="AB371"/>
      <c r="AC371"/>
      <c r="AD371"/>
    </row>
    <row r="372" spans="1:30">
      <c r="A372" s="681">
        <v>353</v>
      </c>
      <c r="B372" s="902"/>
      <c r="C372" s="679"/>
      <c r="D372" s="682"/>
      <c r="E372" s="679"/>
      <c r="F372" s="679"/>
      <c r="G372" s="679" t="e">
        <f t="shared" si="219"/>
        <v>#DIV/0!</v>
      </c>
      <c r="H372" s="679"/>
      <c r="I372" s="101">
        <f t="shared" si="220"/>
        <v>100</v>
      </c>
      <c r="J372" s="101">
        <f t="shared" si="221"/>
        <v>12</v>
      </c>
      <c r="K372" s="683">
        <f t="shared" si="222"/>
        <v>1200</v>
      </c>
      <c r="U372"/>
      <c r="V372"/>
      <c r="W372"/>
      <c r="X372"/>
      <c r="Y372"/>
      <c r="Z372"/>
      <c r="AA372"/>
      <c r="AB372"/>
      <c r="AC372"/>
      <c r="AD372"/>
    </row>
    <row r="373" spans="1:30">
      <c r="A373" s="681">
        <v>354</v>
      </c>
      <c r="B373" s="902"/>
      <c r="C373" s="679"/>
      <c r="D373" s="682"/>
      <c r="E373" s="679"/>
      <c r="F373" s="679"/>
      <c r="G373" s="679" t="e">
        <f t="shared" si="219"/>
        <v>#DIV/0!</v>
      </c>
      <c r="H373" s="679"/>
      <c r="I373" s="101">
        <f t="shared" si="220"/>
        <v>100</v>
      </c>
      <c r="J373" s="101">
        <f t="shared" si="221"/>
        <v>12</v>
      </c>
      <c r="K373" s="683">
        <f t="shared" si="222"/>
        <v>1200</v>
      </c>
      <c r="U373"/>
      <c r="V373"/>
      <c r="W373"/>
      <c r="X373"/>
      <c r="Y373"/>
      <c r="Z373"/>
      <c r="AA373"/>
      <c r="AB373"/>
      <c r="AC373"/>
      <c r="AD373"/>
    </row>
    <row r="374" spans="1:30">
      <c r="A374" s="681">
        <v>355</v>
      </c>
      <c r="B374" s="902"/>
      <c r="C374" s="679"/>
      <c r="D374" s="682"/>
      <c r="E374" s="679"/>
      <c r="F374" s="679"/>
      <c r="G374" s="679" t="e">
        <f t="shared" si="219"/>
        <v>#DIV/0!</v>
      </c>
      <c r="H374" s="679"/>
      <c r="I374" s="101">
        <f t="shared" si="220"/>
        <v>100</v>
      </c>
      <c r="J374" s="101">
        <f t="shared" si="221"/>
        <v>12</v>
      </c>
      <c r="K374" s="683">
        <f t="shared" si="222"/>
        <v>1200</v>
      </c>
      <c r="U374"/>
      <c r="V374"/>
      <c r="W374"/>
      <c r="X374"/>
      <c r="Y374"/>
      <c r="Z374"/>
      <c r="AA374"/>
      <c r="AB374"/>
      <c r="AC374"/>
      <c r="AD374"/>
    </row>
    <row r="375" spans="1:30">
      <c r="A375" s="681">
        <v>356</v>
      </c>
      <c r="B375" s="902"/>
      <c r="C375" s="679"/>
      <c r="D375" s="682"/>
      <c r="E375" s="679"/>
      <c r="F375" s="679"/>
      <c r="G375" s="679" t="e">
        <f t="shared" si="219"/>
        <v>#DIV/0!</v>
      </c>
      <c r="H375" s="679"/>
      <c r="I375" s="101">
        <f t="shared" si="220"/>
        <v>100</v>
      </c>
      <c r="J375" s="101">
        <f t="shared" si="221"/>
        <v>12</v>
      </c>
      <c r="K375" s="683">
        <f t="shared" si="222"/>
        <v>1200</v>
      </c>
      <c r="T375"/>
      <c r="U375"/>
      <c r="V375"/>
      <c r="W375"/>
      <c r="X375"/>
      <c r="Y375"/>
      <c r="Z375"/>
      <c r="AA375"/>
      <c r="AB375"/>
      <c r="AC375"/>
      <c r="AD375"/>
    </row>
    <row r="376" spans="1:30">
      <c r="A376" s="681">
        <v>357</v>
      </c>
      <c r="B376" s="902"/>
      <c r="C376" s="679"/>
      <c r="D376" s="682"/>
      <c r="E376" s="679"/>
      <c r="F376" s="679"/>
      <c r="G376" s="679" t="e">
        <f t="shared" si="219"/>
        <v>#DIV/0!</v>
      </c>
      <c r="H376" s="679"/>
      <c r="I376" s="101">
        <f t="shared" si="220"/>
        <v>100</v>
      </c>
      <c r="J376" s="101">
        <f t="shared" si="221"/>
        <v>12</v>
      </c>
      <c r="K376" s="683">
        <f t="shared" si="222"/>
        <v>1200</v>
      </c>
      <c r="T376"/>
      <c r="U376"/>
      <c r="V376"/>
      <c r="W376"/>
      <c r="X376"/>
      <c r="Y376"/>
      <c r="Z376"/>
      <c r="AA376"/>
      <c r="AB376"/>
      <c r="AC376"/>
      <c r="AD376"/>
    </row>
    <row r="377" spans="1:30">
      <c r="A377" s="681">
        <v>358</v>
      </c>
      <c r="B377" s="902"/>
      <c r="C377" s="679"/>
      <c r="D377" s="682"/>
      <c r="E377" s="679"/>
      <c r="F377" s="679"/>
      <c r="G377" s="679" t="e">
        <f t="shared" si="219"/>
        <v>#DIV/0!</v>
      </c>
      <c r="H377" s="679"/>
      <c r="I377" s="101">
        <f t="shared" si="220"/>
        <v>100</v>
      </c>
      <c r="J377" s="101">
        <f t="shared" si="221"/>
        <v>12</v>
      </c>
      <c r="K377" s="683">
        <f t="shared" si="222"/>
        <v>1200</v>
      </c>
      <c r="T377"/>
      <c r="U377"/>
      <c r="V377"/>
      <c r="W377"/>
      <c r="X377"/>
      <c r="Y377"/>
      <c r="Z377"/>
      <c r="AA377"/>
      <c r="AB377"/>
      <c r="AC377"/>
      <c r="AD377"/>
    </row>
    <row r="378" spans="1:30">
      <c r="A378" s="681">
        <v>359</v>
      </c>
      <c r="B378" s="903"/>
      <c r="C378" s="894"/>
      <c r="D378" s="895"/>
      <c r="E378" s="894"/>
      <c r="F378" s="894"/>
      <c r="G378" s="894"/>
      <c r="H378" s="894"/>
      <c r="I378" s="896"/>
      <c r="J378" s="896"/>
      <c r="K378" s="897"/>
      <c r="T378"/>
      <c r="U378"/>
      <c r="V378"/>
      <c r="W378"/>
      <c r="X378"/>
      <c r="Y378"/>
      <c r="Z378"/>
      <c r="AA378"/>
      <c r="AB378"/>
      <c r="AC378"/>
      <c r="AD378"/>
    </row>
    <row r="379" spans="1:30">
      <c r="A379" s="681">
        <v>360</v>
      </c>
      <c r="B379" s="904" t="s">
        <v>1264</v>
      </c>
      <c r="C379" s="679">
        <v>102</v>
      </c>
      <c r="D379" s="682">
        <v>21.03</v>
      </c>
      <c r="E379" s="679" t="s">
        <v>517</v>
      </c>
      <c r="F379" s="679">
        <v>107.5</v>
      </c>
      <c r="G379" s="679">
        <f t="shared" ref="G379:G387" si="223">H379/F379</f>
        <v>5500</v>
      </c>
      <c r="H379" s="679">
        <v>591250</v>
      </c>
      <c r="I379" s="101">
        <f t="shared" ref="I379:I387" si="224">+I378+F379</f>
        <v>107.5</v>
      </c>
      <c r="J379" s="101">
        <f t="shared" ref="J379:J387" si="225">+K379/I379</f>
        <v>5500</v>
      </c>
      <c r="K379" s="683">
        <f t="shared" ref="K379:K387" si="226">(+H379+K378)</f>
        <v>591250</v>
      </c>
      <c r="U379"/>
      <c r="V379"/>
      <c r="W379"/>
      <c r="X379"/>
      <c r="Y379"/>
      <c r="Z379"/>
      <c r="AA379"/>
      <c r="AB379"/>
      <c r="AC379"/>
      <c r="AD379"/>
    </row>
    <row r="380" spans="1:30">
      <c r="A380" s="681">
        <v>361</v>
      </c>
      <c r="B380" s="902"/>
      <c r="C380" s="679">
        <v>104</v>
      </c>
      <c r="D380" s="682">
        <v>22.03</v>
      </c>
      <c r="E380" s="679" t="s">
        <v>517</v>
      </c>
      <c r="F380" s="679">
        <v>38.700000000000003</v>
      </c>
      <c r="G380" s="679">
        <f t="shared" si="223"/>
        <v>5500</v>
      </c>
      <c r="H380" s="679">
        <v>212850</v>
      </c>
      <c r="I380" s="101">
        <f t="shared" si="224"/>
        <v>146.19999999999999</v>
      </c>
      <c r="J380" s="101">
        <f t="shared" si="225"/>
        <v>5500</v>
      </c>
      <c r="K380" s="683">
        <f t="shared" si="226"/>
        <v>804100</v>
      </c>
      <c r="T380"/>
      <c r="U380"/>
      <c r="V380"/>
      <c r="W380"/>
      <c r="X380"/>
      <c r="Y380"/>
      <c r="Z380"/>
      <c r="AA380"/>
      <c r="AB380"/>
      <c r="AC380"/>
      <c r="AD380"/>
    </row>
    <row r="381" spans="1:30">
      <c r="A381" s="681">
        <v>362</v>
      </c>
      <c r="B381" s="902"/>
      <c r="C381" s="679">
        <v>134</v>
      </c>
      <c r="D381" s="682">
        <v>8.0399999999999991</v>
      </c>
      <c r="E381" s="679" t="s">
        <v>517</v>
      </c>
      <c r="F381" s="679">
        <v>58.4</v>
      </c>
      <c r="G381" s="679">
        <f t="shared" si="223"/>
        <v>5501.7123287671238</v>
      </c>
      <c r="H381" s="679">
        <v>321300</v>
      </c>
      <c r="I381" s="101">
        <f t="shared" si="224"/>
        <v>204.6</v>
      </c>
      <c r="J381" s="101">
        <f t="shared" si="225"/>
        <v>5500.4887585532751</v>
      </c>
      <c r="K381" s="683">
        <f t="shared" si="226"/>
        <v>1125400</v>
      </c>
      <c r="U381"/>
      <c r="V381"/>
      <c r="W381"/>
      <c r="X381"/>
      <c r="Y381"/>
      <c r="Z381"/>
      <c r="AA381"/>
      <c r="AB381"/>
      <c r="AC381"/>
      <c r="AD381"/>
    </row>
    <row r="382" spans="1:30">
      <c r="A382" s="681">
        <v>363</v>
      </c>
      <c r="B382" s="902"/>
      <c r="C382" s="679">
        <v>155</v>
      </c>
      <c r="D382" s="682">
        <v>22.04</v>
      </c>
      <c r="E382" s="679" t="s">
        <v>517</v>
      </c>
      <c r="F382" s="679">
        <v>49.1</v>
      </c>
      <c r="G382" s="679">
        <f t="shared" si="223"/>
        <v>5500</v>
      </c>
      <c r="H382" s="679">
        <v>270050</v>
      </c>
      <c r="I382" s="101">
        <f t="shared" si="224"/>
        <v>253.7</v>
      </c>
      <c r="J382" s="101">
        <f t="shared" si="225"/>
        <v>5500.3941663381947</v>
      </c>
      <c r="K382" s="683">
        <f t="shared" si="226"/>
        <v>1395450</v>
      </c>
      <c r="T382"/>
      <c r="U382"/>
      <c r="V382"/>
      <c r="W382"/>
    </row>
    <row r="383" spans="1:30">
      <c r="A383" s="681">
        <v>364</v>
      </c>
      <c r="B383" s="902"/>
      <c r="C383" s="679"/>
      <c r="D383" s="682"/>
      <c r="E383" s="679" t="s">
        <v>517</v>
      </c>
      <c r="F383" s="679"/>
      <c r="G383" s="679" t="e">
        <f t="shared" si="223"/>
        <v>#DIV/0!</v>
      </c>
      <c r="H383" s="679"/>
      <c r="I383" s="101">
        <f t="shared" si="224"/>
        <v>253.7</v>
      </c>
      <c r="J383" s="101">
        <f t="shared" si="225"/>
        <v>5500.3941663381947</v>
      </c>
      <c r="K383" s="683">
        <f t="shared" si="226"/>
        <v>1395450</v>
      </c>
      <c r="T383"/>
      <c r="U383"/>
      <c r="V383"/>
      <c r="W383"/>
    </row>
    <row r="384" spans="1:30">
      <c r="A384" s="681">
        <v>365</v>
      </c>
      <c r="B384" s="902"/>
      <c r="C384" s="679"/>
      <c r="D384" s="682"/>
      <c r="E384" s="679" t="s">
        <v>517</v>
      </c>
      <c r="F384" s="679"/>
      <c r="G384" s="679" t="e">
        <f t="shared" si="223"/>
        <v>#DIV/0!</v>
      </c>
      <c r="H384" s="679"/>
      <c r="I384" s="101">
        <f t="shared" si="224"/>
        <v>253.7</v>
      </c>
      <c r="J384" s="101">
        <f t="shared" si="225"/>
        <v>5500.3941663381947</v>
      </c>
      <c r="K384" s="683">
        <f t="shared" si="226"/>
        <v>1395450</v>
      </c>
      <c r="T384"/>
      <c r="U384"/>
      <c r="V384"/>
      <c r="W384"/>
    </row>
    <row r="385" spans="1:23">
      <c r="A385" s="681">
        <v>366</v>
      </c>
      <c r="B385" s="902"/>
      <c r="C385" s="679"/>
      <c r="D385" s="682"/>
      <c r="E385" s="679" t="s">
        <v>517</v>
      </c>
      <c r="F385" s="679"/>
      <c r="G385" s="679" t="e">
        <f t="shared" si="223"/>
        <v>#DIV/0!</v>
      </c>
      <c r="H385" s="679"/>
      <c r="I385" s="101">
        <f t="shared" si="224"/>
        <v>253.7</v>
      </c>
      <c r="J385" s="101">
        <f t="shared" si="225"/>
        <v>5500.3941663381947</v>
      </c>
      <c r="K385" s="683">
        <f t="shared" si="226"/>
        <v>1395450</v>
      </c>
      <c r="T385"/>
      <c r="U385"/>
      <c r="V385"/>
      <c r="W385"/>
    </row>
    <row r="386" spans="1:23">
      <c r="A386" s="681">
        <v>367</v>
      </c>
      <c r="B386" s="902"/>
      <c r="C386" s="679"/>
      <c r="D386" s="682"/>
      <c r="E386" s="679" t="s">
        <v>517</v>
      </c>
      <c r="F386" s="679"/>
      <c r="G386" s="679" t="e">
        <f t="shared" si="223"/>
        <v>#DIV/0!</v>
      </c>
      <c r="H386" s="679"/>
      <c r="I386" s="101">
        <f t="shared" si="224"/>
        <v>253.7</v>
      </c>
      <c r="J386" s="101">
        <f t="shared" si="225"/>
        <v>5500.3941663381947</v>
      </c>
      <c r="K386" s="683">
        <f t="shared" si="226"/>
        <v>1395450</v>
      </c>
      <c r="T386"/>
      <c r="U386"/>
      <c r="V386"/>
      <c r="W386"/>
    </row>
    <row r="387" spans="1:23">
      <c r="A387" s="681">
        <v>368</v>
      </c>
      <c r="B387" s="902"/>
      <c r="C387" s="679"/>
      <c r="D387" s="682"/>
      <c r="E387" s="679"/>
      <c r="F387" s="679"/>
      <c r="G387" s="679" t="e">
        <f t="shared" si="223"/>
        <v>#DIV/0!</v>
      </c>
      <c r="H387" s="679"/>
      <c r="I387" s="101">
        <f t="shared" si="224"/>
        <v>253.7</v>
      </c>
      <c r="J387" s="101">
        <f t="shared" si="225"/>
        <v>5500.3941663381947</v>
      </c>
      <c r="K387" s="683">
        <f t="shared" si="226"/>
        <v>1395450</v>
      </c>
      <c r="T387"/>
      <c r="U387"/>
      <c r="V387"/>
      <c r="W387"/>
    </row>
    <row r="388" spans="1:23">
      <c r="A388" s="681">
        <v>369</v>
      </c>
      <c r="B388" s="903"/>
      <c r="C388" s="894"/>
      <c r="D388" s="895"/>
      <c r="E388" s="894"/>
      <c r="F388" s="894"/>
      <c r="G388" s="894"/>
      <c r="H388" s="894"/>
      <c r="I388" s="896"/>
      <c r="J388" s="896"/>
      <c r="K388" s="897"/>
      <c r="T388"/>
      <c r="U388"/>
      <c r="V388"/>
      <c r="W388"/>
    </row>
    <row r="389" spans="1:23">
      <c r="A389" s="681">
        <v>370</v>
      </c>
      <c r="B389" s="904" t="s">
        <v>1269</v>
      </c>
      <c r="C389" s="679">
        <v>124</v>
      </c>
      <c r="D389" s="682">
        <v>8.0299999999999994</v>
      </c>
      <c r="E389" s="679" t="s">
        <v>1270</v>
      </c>
      <c r="F389" s="679">
        <v>100</v>
      </c>
      <c r="G389" s="679">
        <f t="shared" ref="G389:G397" si="227">H389/F389</f>
        <v>37</v>
      </c>
      <c r="H389" s="679">
        <v>3700</v>
      </c>
      <c r="I389" s="101">
        <f t="shared" ref="I389:I397" si="228">+I388+F389</f>
        <v>100</v>
      </c>
      <c r="J389" s="101">
        <f t="shared" ref="J389:J397" si="229">+K389/I389</f>
        <v>37</v>
      </c>
      <c r="K389" s="683">
        <f t="shared" ref="K389:K397" si="230">(+H389+K388)</f>
        <v>3700</v>
      </c>
      <c r="T389"/>
      <c r="U389"/>
      <c r="V389"/>
      <c r="W389"/>
    </row>
    <row r="390" spans="1:23">
      <c r="A390" s="681">
        <v>371</v>
      </c>
      <c r="B390" s="902"/>
      <c r="C390" s="679"/>
      <c r="D390" s="682"/>
      <c r="E390" s="679"/>
      <c r="F390" s="679"/>
      <c r="G390" s="679" t="e">
        <f t="shared" si="227"/>
        <v>#DIV/0!</v>
      </c>
      <c r="H390" s="679"/>
      <c r="I390" s="101">
        <f t="shared" si="228"/>
        <v>100</v>
      </c>
      <c r="J390" s="101">
        <f t="shared" si="229"/>
        <v>37</v>
      </c>
      <c r="K390" s="683">
        <f t="shared" si="230"/>
        <v>3700</v>
      </c>
      <c r="T390"/>
      <c r="U390"/>
      <c r="V390"/>
      <c r="W390"/>
    </row>
    <row r="391" spans="1:23">
      <c r="A391" s="681">
        <v>372</v>
      </c>
      <c r="B391" s="902"/>
      <c r="C391" s="679"/>
      <c r="D391" s="682"/>
      <c r="E391" s="679"/>
      <c r="F391" s="679"/>
      <c r="G391" s="679" t="e">
        <f t="shared" si="227"/>
        <v>#DIV/0!</v>
      </c>
      <c r="H391" s="679"/>
      <c r="I391" s="101">
        <f t="shared" si="228"/>
        <v>100</v>
      </c>
      <c r="J391" s="101">
        <f t="shared" si="229"/>
        <v>37</v>
      </c>
      <c r="K391" s="683">
        <f t="shared" si="230"/>
        <v>3700</v>
      </c>
      <c r="U391"/>
      <c r="V391"/>
      <c r="W391"/>
    </row>
    <row r="392" spans="1:23">
      <c r="A392" s="681">
        <v>373</v>
      </c>
      <c r="B392" s="902"/>
      <c r="C392" s="679"/>
      <c r="D392" s="682"/>
      <c r="E392" s="679"/>
      <c r="F392" s="679"/>
      <c r="G392" s="679" t="e">
        <f t="shared" si="227"/>
        <v>#DIV/0!</v>
      </c>
      <c r="H392" s="679"/>
      <c r="I392" s="101">
        <f t="shared" si="228"/>
        <v>100</v>
      </c>
      <c r="J392" s="101">
        <f t="shared" si="229"/>
        <v>37</v>
      </c>
      <c r="K392" s="683">
        <f t="shared" si="230"/>
        <v>3700</v>
      </c>
      <c r="U392"/>
      <c r="V392"/>
      <c r="W392"/>
    </row>
    <row r="393" spans="1:23">
      <c r="A393" s="681">
        <v>374</v>
      </c>
      <c r="B393" s="902"/>
      <c r="C393" s="679"/>
      <c r="D393" s="682"/>
      <c r="E393" s="679"/>
      <c r="F393" s="679"/>
      <c r="G393" s="679" t="e">
        <f t="shared" si="227"/>
        <v>#DIV/0!</v>
      </c>
      <c r="H393" s="679"/>
      <c r="I393" s="101">
        <f t="shared" si="228"/>
        <v>100</v>
      </c>
      <c r="J393" s="101">
        <f t="shared" si="229"/>
        <v>37</v>
      </c>
      <c r="K393" s="683">
        <f t="shared" si="230"/>
        <v>3700</v>
      </c>
      <c r="U393"/>
      <c r="V393"/>
      <c r="W393"/>
    </row>
    <row r="394" spans="1:23">
      <c r="A394" s="681">
        <v>375</v>
      </c>
      <c r="B394" s="902"/>
      <c r="C394" s="679"/>
      <c r="D394" s="682"/>
      <c r="E394" s="679"/>
      <c r="F394" s="679"/>
      <c r="G394" s="679" t="e">
        <f t="shared" si="227"/>
        <v>#DIV/0!</v>
      </c>
      <c r="H394" s="679"/>
      <c r="I394" s="101">
        <f t="shared" si="228"/>
        <v>100</v>
      </c>
      <c r="J394" s="101">
        <f t="shared" si="229"/>
        <v>37</v>
      </c>
      <c r="K394" s="683">
        <f t="shared" si="230"/>
        <v>3700</v>
      </c>
      <c r="U394"/>
      <c r="V394"/>
      <c r="W394"/>
    </row>
    <row r="395" spans="1:23">
      <c r="A395" s="681">
        <v>376</v>
      </c>
      <c r="B395" s="902"/>
      <c r="C395" s="679"/>
      <c r="D395" s="682"/>
      <c r="E395" s="679"/>
      <c r="F395" s="679"/>
      <c r="G395" s="679" t="e">
        <f t="shared" si="227"/>
        <v>#DIV/0!</v>
      </c>
      <c r="H395" s="679"/>
      <c r="I395" s="101">
        <f t="shared" si="228"/>
        <v>100</v>
      </c>
      <c r="J395" s="101">
        <f t="shared" si="229"/>
        <v>37</v>
      </c>
      <c r="K395" s="683">
        <f t="shared" si="230"/>
        <v>3700</v>
      </c>
      <c r="T395"/>
      <c r="U395"/>
      <c r="V395"/>
      <c r="W395"/>
    </row>
    <row r="396" spans="1:23">
      <c r="A396" s="681">
        <v>377</v>
      </c>
      <c r="B396" s="902"/>
      <c r="C396" s="679"/>
      <c r="D396" s="682"/>
      <c r="E396" s="679"/>
      <c r="F396" s="679"/>
      <c r="G396" s="679" t="e">
        <f t="shared" si="227"/>
        <v>#DIV/0!</v>
      </c>
      <c r="H396" s="679"/>
      <c r="I396" s="101">
        <f t="shared" si="228"/>
        <v>100</v>
      </c>
      <c r="J396" s="101">
        <f t="shared" si="229"/>
        <v>37</v>
      </c>
      <c r="K396" s="683">
        <f t="shared" si="230"/>
        <v>3700</v>
      </c>
      <c r="T396"/>
      <c r="U396"/>
      <c r="V396"/>
      <c r="W396"/>
    </row>
    <row r="397" spans="1:23">
      <c r="A397" s="681">
        <v>378</v>
      </c>
      <c r="B397" s="902"/>
      <c r="C397" s="679"/>
      <c r="D397" s="682"/>
      <c r="E397" s="679"/>
      <c r="F397" s="679"/>
      <c r="G397" s="679" t="e">
        <f t="shared" si="227"/>
        <v>#DIV/0!</v>
      </c>
      <c r="H397" s="679"/>
      <c r="I397" s="101">
        <f t="shared" si="228"/>
        <v>100</v>
      </c>
      <c r="J397" s="101">
        <f t="shared" si="229"/>
        <v>37</v>
      </c>
      <c r="K397" s="683">
        <f t="shared" si="230"/>
        <v>3700</v>
      </c>
      <c r="T397"/>
      <c r="U397"/>
      <c r="V397"/>
      <c r="W397"/>
    </row>
    <row r="398" spans="1:23">
      <c r="A398" s="681">
        <v>379</v>
      </c>
      <c r="B398" s="903"/>
      <c r="C398" s="894"/>
      <c r="D398" s="895"/>
      <c r="E398" s="894"/>
      <c r="F398" s="894"/>
      <c r="G398" s="894"/>
      <c r="H398" s="894"/>
      <c r="I398" s="896"/>
      <c r="J398" s="896"/>
      <c r="K398" s="897"/>
      <c r="T398"/>
      <c r="U398"/>
      <c r="V398"/>
      <c r="W398"/>
    </row>
    <row r="399" spans="1:23">
      <c r="A399" s="681">
        <v>380</v>
      </c>
      <c r="B399" s="904" t="s">
        <v>1271</v>
      </c>
      <c r="C399" s="679">
        <v>124</v>
      </c>
      <c r="D399" s="682">
        <v>8.0299999999999994</v>
      </c>
      <c r="E399" s="679" t="s">
        <v>961</v>
      </c>
      <c r="F399" s="679">
        <v>60</v>
      </c>
      <c r="G399" s="679">
        <f>H399/F399</f>
        <v>41</v>
      </c>
      <c r="H399" s="679">
        <v>2460</v>
      </c>
      <c r="I399" s="101">
        <f t="shared" ref="I399:I407" si="231">+I398+F399</f>
        <v>60</v>
      </c>
      <c r="J399" s="101">
        <f t="shared" ref="J399:J407" si="232">+K399/I399</f>
        <v>41</v>
      </c>
      <c r="K399" s="683">
        <f t="shared" ref="K399:K407" si="233">(+H399+K398)</f>
        <v>2460</v>
      </c>
      <c r="T399"/>
      <c r="U399"/>
      <c r="V399"/>
      <c r="W399"/>
    </row>
    <row r="400" spans="1:23">
      <c r="A400" s="681">
        <v>381</v>
      </c>
      <c r="B400" s="902"/>
      <c r="C400" s="679">
        <v>178</v>
      </c>
      <c r="D400" s="682">
        <v>12.04</v>
      </c>
      <c r="E400" s="679" t="s">
        <v>961</v>
      </c>
      <c r="F400" s="679">
        <v>200</v>
      </c>
      <c r="G400" s="679">
        <f t="shared" ref="G400:G407" si="234">H400/F400</f>
        <v>39</v>
      </c>
      <c r="H400" s="679">
        <v>7800</v>
      </c>
      <c r="I400" s="101">
        <f t="shared" si="231"/>
        <v>260</v>
      </c>
      <c r="J400" s="101">
        <f t="shared" si="232"/>
        <v>39.46153846153846</v>
      </c>
      <c r="K400" s="683">
        <f t="shared" si="233"/>
        <v>10260</v>
      </c>
      <c r="T400"/>
      <c r="U400"/>
      <c r="V400"/>
      <c r="W400"/>
    </row>
    <row r="401" spans="1:23">
      <c r="A401" s="681">
        <v>382</v>
      </c>
      <c r="B401" s="976"/>
      <c r="C401" s="978">
        <v>330</v>
      </c>
      <c r="D401" s="972" t="s">
        <v>1387</v>
      </c>
      <c r="E401" s="975" t="s">
        <v>961</v>
      </c>
      <c r="F401" s="975">
        <v>100</v>
      </c>
      <c r="G401" s="975">
        <f>+H401/F401</f>
        <v>22</v>
      </c>
      <c r="H401" s="976">
        <v>2200</v>
      </c>
      <c r="I401" s="101">
        <f t="shared" si="231"/>
        <v>360</v>
      </c>
      <c r="J401" s="101">
        <f t="shared" si="232"/>
        <v>34.611111111111114</v>
      </c>
      <c r="K401" s="683">
        <f t="shared" si="233"/>
        <v>12460</v>
      </c>
      <c r="T401"/>
      <c r="U401"/>
      <c r="V401"/>
      <c r="W401"/>
    </row>
    <row r="402" spans="1:23">
      <c r="A402" s="681">
        <v>383</v>
      </c>
      <c r="B402" s="902"/>
      <c r="C402" s="679"/>
      <c r="D402" s="682"/>
      <c r="E402" s="679"/>
      <c r="F402" s="679"/>
      <c r="G402" s="679" t="e">
        <f t="shared" si="234"/>
        <v>#DIV/0!</v>
      </c>
      <c r="H402" s="679"/>
      <c r="I402" s="101">
        <f t="shared" si="231"/>
        <v>360</v>
      </c>
      <c r="J402" s="101">
        <f t="shared" si="232"/>
        <v>34.611111111111114</v>
      </c>
      <c r="K402" s="683">
        <f t="shared" si="233"/>
        <v>12460</v>
      </c>
      <c r="T402"/>
      <c r="U402"/>
      <c r="V402"/>
      <c r="W402"/>
    </row>
    <row r="403" spans="1:23">
      <c r="A403" s="681">
        <v>384</v>
      </c>
      <c r="B403" s="902"/>
      <c r="C403" s="679"/>
      <c r="D403" s="682"/>
      <c r="E403" s="679"/>
      <c r="F403" s="679"/>
      <c r="G403" s="679" t="e">
        <f t="shared" si="234"/>
        <v>#DIV/0!</v>
      </c>
      <c r="H403" s="679"/>
      <c r="I403" s="101">
        <f t="shared" si="231"/>
        <v>360</v>
      </c>
      <c r="J403" s="101">
        <f t="shared" si="232"/>
        <v>34.611111111111114</v>
      </c>
      <c r="K403" s="683">
        <f t="shared" si="233"/>
        <v>12460</v>
      </c>
      <c r="T403"/>
      <c r="U403"/>
      <c r="V403"/>
      <c r="W403"/>
    </row>
    <row r="404" spans="1:23">
      <c r="A404" s="681">
        <v>385</v>
      </c>
      <c r="B404" s="902"/>
      <c r="C404" s="679"/>
      <c r="D404" s="682"/>
      <c r="E404" s="679"/>
      <c r="F404" s="679"/>
      <c r="G404" s="679" t="e">
        <f t="shared" si="234"/>
        <v>#DIV/0!</v>
      </c>
      <c r="H404" s="679"/>
      <c r="I404" s="101">
        <f t="shared" si="231"/>
        <v>360</v>
      </c>
      <c r="J404" s="101">
        <f t="shared" si="232"/>
        <v>34.611111111111114</v>
      </c>
      <c r="K404" s="683">
        <f t="shared" si="233"/>
        <v>12460</v>
      </c>
      <c r="T404"/>
      <c r="U404"/>
      <c r="V404"/>
      <c r="W404"/>
    </row>
    <row r="405" spans="1:23">
      <c r="A405" s="681">
        <v>386</v>
      </c>
      <c r="B405" s="902"/>
      <c r="C405" s="679"/>
      <c r="D405" s="682"/>
      <c r="E405" s="679"/>
      <c r="F405" s="679"/>
      <c r="G405" s="679" t="e">
        <f t="shared" si="234"/>
        <v>#DIV/0!</v>
      </c>
      <c r="H405" s="679"/>
      <c r="I405" s="101">
        <f t="shared" si="231"/>
        <v>360</v>
      </c>
      <c r="J405" s="101">
        <f t="shared" si="232"/>
        <v>34.611111111111114</v>
      </c>
      <c r="K405" s="683">
        <f t="shared" si="233"/>
        <v>12460</v>
      </c>
      <c r="T405"/>
      <c r="U405"/>
      <c r="V405"/>
      <c r="W405"/>
    </row>
    <row r="406" spans="1:23">
      <c r="A406" s="681">
        <v>387</v>
      </c>
      <c r="B406" s="902"/>
      <c r="C406" s="679"/>
      <c r="D406" s="682"/>
      <c r="E406" s="679"/>
      <c r="F406" s="679"/>
      <c r="G406" s="679" t="e">
        <f t="shared" si="234"/>
        <v>#DIV/0!</v>
      </c>
      <c r="H406" s="679"/>
      <c r="I406" s="101">
        <f t="shared" si="231"/>
        <v>360</v>
      </c>
      <c r="J406" s="101">
        <f t="shared" si="232"/>
        <v>34.611111111111114</v>
      </c>
      <c r="K406" s="683">
        <f t="shared" si="233"/>
        <v>12460</v>
      </c>
      <c r="T406"/>
      <c r="U406"/>
      <c r="V406"/>
      <c r="W406"/>
    </row>
    <row r="407" spans="1:23">
      <c r="A407" s="681">
        <v>388</v>
      </c>
      <c r="B407" s="902"/>
      <c r="C407" s="679"/>
      <c r="D407" s="682"/>
      <c r="E407" s="679"/>
      <c r="F407" s="679"/>
      <c r="G407" s="679" t="e">
        <f t="shared" si="234"/>
        <v>#DIV/0!</v>
      </c>
      <c r="H407" s="679"/>
      <c r="I407" s="101">
        <f t="shared" si="231"/>
        <v>360</v>
      </c>
      <c r="J407" s="101">
        <f t="shared" si="232"/>
        <v>34.611111111111114</v>
      </c>
      <c r="K407" s="683">
        <f t="shared" si="233"/>
        <v>12460</v>
      </c>
      <c r="T407"/>
      <c r="U407"/>
      <c r="V407"/>
      <c r="W407"/>
    </row>
    <row r="408" spans="1:23">
      <c r="A408" s="681">
        <v>389</v>
      </c>
      <c r="B408" s="903"/>
      <c r="C408" s="894"/>
      <c r="D408" s="895"/>
      <c r="E408" s="894"/>
      <c r="F408" s="894"/>
      <c r="G408" s="894"/>
      <c r="H408" s="894"/>
      <c r="I408" s="896"/>
      <c r="J408" s="896"/>
      <c r="K408" s="897"/>
      <c r="T408"/>
      <c r="U408"/>
      <c r="V408"/>
      <c r="W408"/>
    </row>
    <row r="409" spans="1:23">
      <c r="A409" s="681">
        <v>390</v>
      </c>
      <c r="B409" s="904" t="s">
        <v>1278</v>
      </c>
      <c r="C409" s="679">
        <v>21</v>
      </c>
      <c r="D409" s="682">
        <v>7.04</v>
      </c>
      <c r="E409" s="679" t="s">
        <v>960</v>
      </c>
      <c r="F409" s="679">
        <v>170.49199999999999</v>
      </c>
      <c r="G409" s="679">
        <f t="shared" ref="G409:G417" si="235">H409/F409</f>
        <v>2199.9976538488609</v>
      </c>
      <c r="H409" s="679">
        <v>375082</v>
      </c>
      <c r="I409" s="101">
        <f t="shared" ref="I409:I417" si="236">+I408+F409</f>
        <v>170.49199999999999</v>
      </c>
      <c r="J409" s="101">
        <f t="shared" ref="J409:J417" si="237">+K409/I409</f>
        <v>2199.9976538488609</v>
      </c>
      <c r="K409" s="683">
        <f t="shared" ref="K409:K417" si="238">(+H409+K408)</f>
        <v>375082</v>
      </c>
      <c r="T409"/>
      <c r="U409"/>
      <c r="V409"/>
      <c r="W409"/>
    </row>
    <row r="410" spans="1:23">
      <c r="A410" s="681">
        <v>391</v>
      </c>
      <c r="B410" s="976"/>
      <c r="C410" s="978">
        <v>38</v>
      </c>
      <c r="D410" s="972" t="s">
        <v>1419</v>
      </c>
      <c r="E410" s="975" t="s">
        <v>517</v>
      </c>
      <c r="F410" s="975">
        <v>210</v>
      </c>
      <c r="G410" s="975">
        <f>+H410/F410</f>
        <v>2400</v>
      </c>
      <c r="H410" s="976">
        <v>504000</v>
      </c>
      <c r="I410" s="101">
        <f t="shared" si="236"/>
        <v>380.49199999999996</v>
      </c>
      <c r="J410" s="101">
        <f t="shared" si="237"/>
        <v>2310.3823470664302</v>
      </c>
      <c r="K410" s="683">
        <f t="shared" si="238"/>
        <v>879082</v>
      </c>
      <c r="T410"/>
      <c r="U410"/>
      <c r="V410"/>
      <c r="W410"/>
    </row>
    <row r="411" spans="1:23">
      <c r="A411" s="681">
        <v>392</v>
      </c>
      <c r="B411" s="902"/>
      <c r="C411" s="679"/>
      <c r="D411" s="682"/>
      <c r="E411" s="679"/>
      <c r="F411" s="679"/>
      <c r="G411" s="679" t="e">
        <f t="shared" si="235"/>
        <v>#DIV/0!</v>
      </c>
      <c r="H411" s="679"/>
      <c r="I411" s="101">
        <f t="shared" si="236"/>
        <v>380.49199999999996</v>
      </c>
      <c r="J411" s="101">
        <f t="shared" si="237"/>
        <v>2310.3823470664302</v>
      </c>
      <c r="K411" s="683">
        <f t="shared" si="238"/>
        <v>879082</v>
      </c>
      <c r="T411"/>
      <c r="U411"/>
      <c r="V411"/>
      <c r="W411"/>
    </row>
    <row r="412" spans="1:23">
      <c r="A412" s="681">
        <v>393</v>
      </c>
      <c r="B412" s="902"/>
      <c r="C412" s="679"/>
      <c r="D412" s="682"/>
      <c r="E412" s="679"/>
      <c r="F412" s="679"/>
      <c r="G412" s="679" t="e">
        <f t="shared" si="235"/>
        <v>#DIV/0!</v>
      </c>
      <c r="H412" s="679"/>
      <c r="I412" s="101">
        <f t="shared" si="236"/>
        <v>380.49199999999996</v>
      </c>
      <c r="J412" s="101">
        <f t="shared" si="237"/>
        <v>2310.3823470664302</v>
      </c>
      <c r="K412" s="683">
        <f t="shared" si="238"/>
        <v>879082</v>
      </c>
      <c r="T412"/>
      <c r="U412"/>
      <c r="V412"/>
      <c r="W412"/>
    </row>
    <row r="413" spans="1:23">
      <c r="A413" s="681">
        <v>394</v>
      </c>
      <c r="B413" s="902"/>
      <c r="C413" s="679"/>
      <c r="D413" s="682"/>
      <c r="E413" s="679"/>
      <c r="F413" s="679"/>
      <c r="G413" s="679" t="e">
        <f t="shared" si="235"/>
        <v>#DIV/0!</v>
      </c>
      <c r="H413" s="679"/>
      <c r="I413" s="101">
        <f t="shared" si="236"/>
        <v>380.49199999999996</v>
      </c>
      <c r="J413" s="101">
        <f t="shared" si="237"/>
        <v>2310.3823470664302</v>
      </c>
      <c r="K413" s="683">
        <f t="shared" si="238"/>
        <v>879082</v>
      </c>
      <c r="T413"/>
      <c r="U413"/>
      <c r="V413"/>
      <c r="W413"/>
    </row>
    <row r="414" spans="1:23">
      <c r="A414" s="681">
        <v>395</v>
      </c>
      <c r="B414" s="902"/>
      <c r="C414" s="679"/>
      <c r="D414" s="682"/>
      <c r="E414" s="679"/>
      <c r="F414" s="679"/>
      <c r="G414" s="679" t="e">
        <f t="shared" si="235"/>
        <v>#DIV/0!</v>
      </c>
      <c r="H414" s="679"/>
      <c r="I414" s="101">
        <f t="shared" si="236"/>
        <v>380.49199999999996</v>
      </c>
      <c r="J414" s="101">
        <f t="shared" si="237"/>
        <v>2310.3823470664302</v>
      </c>
      <c r="K414" s="683">
        <f t="shared" si="238"/>
        <v>879082</v>
      </c>
      <c r="T414"/>
      <c r="U414"/>
      <c r="V414"/>
      <c r="W414"/>
    </row>
    <row r="415" spans="1:23">
      <c r="A415" s="681">
        <v>396</v>
      </c>
      <c r="B415" s="902"/>
      <c r="C415" s="679"/>
      <c r="D415" s="682"/>
      <c r="E415" s="679"/>
      <c r="F415" s="679"/>
      <c r="G415" s="679" t="e">
        <f t="shared" si="235"/>
        <v>#DIV/0!</v>
      </c>
      <c r="H415" s="679"/>
      <c r="I415" s="101">
        <f t="shared" si="236"/>
        <v>380.49199999999996</v>
      </c>
      <c r="J415" s="101">
        <f t="shared" si="237"/>
        <v>2310.3823470664302</v>
      </c>
      <c r="K415" s="683">
        <f t="shared" si="238"/>
        <v>879082</v>
      </c>
      <c r="T415"/>
      <c r="U415"/>
      <c r="V415"/>
      <c r="W415"/>
    </row>
    <row r="416" spans="1:23">
      <c r="A416" s="681">
        <v>397</v>
      </c>
      <c r="B416" s="902"/>
      <c r="C416" s="679"/>
      <c r="D416" s="682"/>
      <c r="E416" s="679"/>
      <c r="F416" s="679"/>
      <c r="G416" s="679" t="e">
        <f t="shared" si="235"/>
        <v>#DIV/0!</v>
      </c>
      <c r="H416" s="679"/>
      <c r="I416" s="101">
        <f t="shared" si="236"/>
        <v>380.49199999999996</v>
      </c>
      <c r="J416" s="101">
        <f t="shared" si="237"/>
        <v>2310.3823470664302</v>
      </c>
      <c r="K416" s="683">
        <f t="shared" si="238"/>
        <v>879082</v>
      </c>
      <c r="T416"/>
      <c r="U416"/>
      <c r="V416"/>
      <c r="W416"/>
    </row>
    <row r="417" spans="1:23">
      <c r="A417" s="681">
        <v>398</v>
      </c>
      <c r="B417" s="902"/>
      <c r="C417" s="679"/>
      <c r="D417" s="682"/>
      <c r="E417" s="679"/>
      <c r="F417" s="679"/>
      <c r="G417" s="679" t="e">
        <f t="shared" si="235"/>
        <v>#DIV/0!</v>
      </c>
      <c r="H417" s="679"/>
      <c r="I417" s="101">
        <f t="shared" si="236"/>
        <v>380.49199999999996</v>
      </c>
      <c r="J417" s="101">
        <f t="shared" si="237"/>
        <v>2310.3823470664302</v>
      </c>
      <c r="K417" s="683">
        <f t="shared" si="238"/>
        <v>879082</v>
      </c>
      <c r="T417"/>
      <c r="U417"/>
      <c r="V417"/>
      <c r="W417"/>
    </row>
    <row r="418" spans="1:23">
      <c r="A418" s="681">
        <v>399</v>
      </c>
      <c r="B418" s="903"/>
      <c r="C418" s="894"/>
      <c r="D418" s="895"/>
      <c r="E418" s="894"/>
      <c r="F418" s="894"/>
      <c r="G418" s="894"/>
      <c r="H418" s="894"/>
      <c r="I418" s="896"/>
      <c r="J418" s="896"/>
      <c r="K418" s="897"/>
      <c r="T418"/>
      <c r="U418"/>
      <c r="V418"/>
      <c r="W418"/>
    </row>
    <row r="419" spans="1:23">
      <c r="A419" s="681">
        <v>400</v>
      </c>
      <c r="B419" s="904" t="s">
        <v>1279</v>
      </c>
      <c r="C419" s="679">
        <v>28</v>
      </c>
      <c r="D419" s="682">
        <v>9.0399999999999991</v>
      </c>
      <c r="E419" s="679"/>
      <c r="F419" s="679">
        <f>50+74</f>
        <v>124</v>
      </c>
      <c r="G419" s="679">
        <f t="shared" ref="G419:G427" si="239">H419/F419</f>
        <v>1459.6774193548388</v>
      </c>
      <c r="H419" s="679">
        <f>70000+111000</f>
        <v>181000</v>
      </c>
      <c r="I419" s="101">
        <f t="shared" ref="I419:I427" si="240">+I418+F419</f>
        <v>124</v>
      </c>
      <c r="J419" s="101">
        <f t="shared" ref="J419:J427" si="241">+K419/I419</f>
        <v>1459.6774193548388</v>
      </c>
      <c r="K419" s="683">
        <f t="shared" ref="K419:K427" si="242">(+H419+K418)</f>
        <v>181000</v>
      </c>
      <c r="T419"/>
      <c r="U419"/>
      <c r="V419"/>
      <c r="W419"/>
    </row>
    <row r="420" spans="1:23">
      <c r="A420" s="681">
        <v>401</v>
      </c>
      <c r="B420" s="902"/>
      <c r="C420" s="679"/>
      <c r="D420" s="682"/>
      <c r="E420" s="679"/>
      <c r="F420" s="679"/>
      <c r="G420" s="679" t="e">
        <f t="shared" si="239"/>
        <v>#DIV/0!</v>
      </c>
      <c r="H420" s="679"/>
      <c r="I420" s="101">
        <f t="shared" si="240"/>
        <v>124</v>
      </c>
      <c r="J420" s="101">
        <f t="shared" si="241"/>
        <v>1459.6774193548388</v>
      </c>
      <c r="K420" s="683">
        <f t="shared" si="242"/>
        <v>181000</v>
      </c>
      <c r="T420"/>
      <c r="U420"/>
      <c r="V420"/>
      <c r="W420"/>
    </row>
    <row r="421" spans="1:23">
      <c r="A421" s="681">
        <v>402</v>
      </c>
      <c r="B421" s="902"/>
      <c r="C421" s="679"/>
      <c r="D421" s="682"/>
      <c r="E421" s="679"/>
      <c r="F421" s="679"/>
      <c r="G421" s="679" t="e">
        <f t="shared" si="239"/>
        <v>#DIV/0!</v>
      </c>
      <c r="H421" s="679"/>
      <c r="I421" s="101">
        <f t="shared" si="240"/>
        <v>124</v>
      </c>
      <c r="J421" s="101">
        <f t="shared" si="241"/>
        <v>1459.6774193548388</v>
      </c>
      <c r="K421" s="683">
        <f t="shared" si="242"/>
        <v>181000</v>
      </c>
      <c r="T421"/>
      <c r="U421"/>
      <c r="V421"/>
      <c r="W421"/>
    </row>
    <row r="422" spans="1:23">
      <c r="A422" s="681">
        <v>403</v>
      </c>
      <c r="B422" s="902"/>
      <c r="C422" s="679"/>
      <c r="D422" s="682"/>
      <c r="E422" s="679"/>
      <c r="F422" s="679"/>
      <c r="G422" s="679" t="e">
        <f t="shared" si="239"/>
        <v>#DIV/0!</v>
      </c>
      <c r="H422" s="679"/>
      <c r="I422" s="101">
        <f t="shared" si="240"/>
        <v>124</v>
      </c>
      <c r="J422" s="101">
        <f t="shared" si="241"/>
        <v>1459.6774193548388</v>
      </c>
      <c r="K422" s="683">
        <f t="shared" si="242"/>
        <v>181000</v>
      </c>
      <c r="T422"/>
      <c r="U422"/>
      <c r="V422"/>
      <c r="W422"/>
    </row>
    <row r="423" spans="1:23">
      <c r="A423" s="681">
        <v>404</v>
      </c>
      <c r="B423" s="902"/>
      <c r="C423" s="679"/>
      <c r="D423" s="682"/>
      <c r="E423" s="679"/>
      <c r="F423" s="679"/>
      <c r="G423" s="679" t="e">
        <f t="shared" si="239"/>
        <v>#DIV/0!</v>
      </c>
      <c r="H423" s="679"/>
      <c r="I423" s="101">
        <f t="shared" si="240"/>
        <v>124</v>
      </c>
      <c r="J423" s="101">
        <f t="shared" si="241"/>
        <v>1459.6774193548388</v>
      </c>
      <c r="K423" s="683">
        <f t="shared" si="242"/>
        <v>181000</v>
      </c>
      <c r="T423"/>
      <c r="U423"/>
      <c r="V423"/>
      <c r="W423"/>
    </row>
    <row r="424" spans="1:23">
      <c r="A424" s="681">
        <v>405</v>
      </c>
      <c r="B424" s="902"/>
      <c r="C424" s="679"/>
      <c r="D424" s="682"/>
      <c r="E424" s="679"/>
      <c r="F424" s="679"/>
      <c r="G424" s="679" t="e">
        <f t="shared" si="239"/>
        <v>#DIV/0!</v>
      </c>
      <c r="H424" s="679"/>
      <c r="I424" s="101">
        <f t="shared" si="240"/>
        <v>124</v>
      </c>
      <c r="J424" s="101">
        <f t="shared" si="241"/>
        <v>1459.6774193548388</v>
      </c>
      <c r="K424" s="683">
        <f t="shared" si="242"/>
        <v>181000</v>
      </c>
      <c r="T424"/>
      <c r="W424"/>
    </row>
    <row r="425" spans="1:23">
      <c r="A425" s="681">
        <v>406</v>
      </c>
      <c r="B425" s="902"/>
      <c r="C425" s="679"/>
      <c r="D425" s="682"/>
      <c r="E425" s="679"/>
      <c r="F425" s="679"/>
      <c r="G425" s="679" t="e">
        <f t="shared" si="239"/>
        <v>#DIV/0!</v>
      </c>
      <c r="H425" s="679"/>
      <c r="I425" s="101">
        <f t="shared" si="240"/>
        <v>124</v>
      </c>
      <c r="J425" s="101">
        <f t="shared" si="241"/>
        <v>1459.6774193548388</v>
      </c>
      <c r="K425" s="683">
        <f t="shared" si="242"/>
        <v>181000</v>
      </c>
      <c r="T425"/>
    </row>
    <row r="426" spans="1:23">
      <c r="A426" s="681">
        <v>407</v>
      </c>
      <c r="B426" s="902"/>
      <c r="C426" s="679"/>
      <c r="D426" s="682"/>
      <c r="E426" s="679"/>
      <c r="F426" s="679"/>
      <c r="G426" s="679" t="e">
        <f t="shared" si="239"/>
        <v>#DIV/0!</v>
      </c>
      <c r="H426" s="679"/>
      <c r="I426" s="101">
        <f t="shared" si="240"/>
        <v>124</v>
      </c>
      <c r="J426" s="101">
        <f t="shared" si="241"/>
        <v>1459.6774193548388</v>
      </c>
      <c r="K426" s="683">
        <f t="shared" si="242"/>
        <v>181000</v>
      </c>
      <c r="T426"/>
    </row>
    <row r="427" spans="1:23">
      <c r="A427" s="681">
        <v>408</v>
      </c>
      <c r="B427" s="902"/>
      <c r="C427" s="679"/>
      <c r="D427" s="682"/>
      <c r="E427" s="679"/>
      <c r="F427" s="679"/>
      <c r="G427" s="679" t="e">
        <f t="shared" si="239"/>
        <v>#DIV/0!</v>
      </c>
      <c r="H427" s="679"/>
      <c r="I427" s="101">
        <f t="shared" si="240"/>
        <v>124</v>
      </c>
      <c r="J427" s="101">
        <f t="shared" si="241"/>
        <v>1459.6774193548388</v>
      </c>
      <c r="K427" s="683">
        <f t="shared" si="242"/>
        <v>181000</v>
      </c>
      <c r="T427"/>
    </row>
    <row r="428" spans="1:23">
      <c r="A428" s="681">
        <v>409</v>
      </c>
      <c r="B428" s="903"/>
      <c r="C428" s="894"/>
      <c r="D428" s="895"/>
      <c r="E428" s="894"/>
      <c r="F428" s="894"/>
      <c r="G428" s="894"/>
      <c r="H428" s="894"/>
      <c r="I428" s="896"/>
      <c r="J428" s="896"/>
      <c r="K428" s="897"/>
      <c r="T428"/>
    </row>
    <row r="429" spans="1:23">
      <c r="A429" s="681">
        <v>410</v>
      </c>
      <c r="B429" s="904" t="s">
        <v>1280</v>
      </c>
      <c r="C429" s="679">
        <v>28</v>
      </c>
      <c r="D429" s="682">
        <v>9.0399999999999991</v>
      </c>
      <c r="E429" s="679"/>
      <c r="F429" s="679">
        <v>250</v>
      </c>
      <c r="G429" s="679">
        <f t="shared" ref="G429:G437" si="243">H429/F429</f>
        <v>280</v>
      </c>
      <c r="H429" s="1220">
        <v>70000</v>
      </c>
      <c r="I429" s="101">
        <f t="shared" ref="I429:I437" si="244">+I428+F429</f>
        <v>250</v>
      </c>
      <c r="J429" s="101">
        <f t="shared" ref="J429:J437" si="245">+K429/I429</f>
        <v>280</v>
      </c>
      <c r="K429" s="683">
        <f t="shared" ref="K429:K437" si="246">(+H429+K428)</f>
        <v>70000</v>
      </c>
      <c r="T429"/>
    </row>
    <row r="430" spans="1:23">
      <c r="A430" s="681">
        <v>411</v>
      </c>
      <c r="B430" s="902"/>
      <c r="C430" s="679">
        <v>8734</v>
      </c>
      <c r="D430" s="682">
        <v>15.1</v>
      </c>
      <c r="E430" s="679"/>
      <c r="F430" s="679">
        <v>1000</v>
      </c>
      <c r="G430" s="679">
        <f t="shared" si="243"/>
        <v>146.58799999999999</v>
      </c>
      <c r="H430" s="1220">
        <f>1040*140.95</f>
        <v>146588</v>
      </c>
      <c r="I430" s="101">
        <f t="shared" si="244"/>
        <v>1250</v>
      </c>
      <c r="J430" s="101">
        <f t="shared" si="245"/>
        <v>173.2704</v>
      </c>
      <c r="K430" s="683">
        <f t="shared" si="246"/>
        <v>216588</v>
      </c>
      <c r="T430"/>
    </row>
    <row r="431" spans="1:23">
      <c r="A431" s="681">
        <v>412</v>
      </c>
      <c r="B431" s="902"/>
      <c r="C431" s="679">
        <v>9751</v>
      </c>
      <c r="D431" s="682">
        <v>15.1</v>
      </c>
      <c r="E431" s="679"/>
      <c r="F431" s="679">
        <v>5000</v>
      </c>
      <c r="G431" s="679"/>
      <c r="H431" s="1220">
        <f>2635*140.95</f>
        <v>371403.24999999994</v>
      </c>
      <c r="I431" s="101">
        <f t="shared" si="244"/>
        <v>6250</v>
      </c>
      <c r="J431" s="101">
        <f t="shared" si="245"/>
        <v>94.078599999999994</v>
      </c>
      <c r="K431" s="683">
        <f t="shared" si="246"/>
        <v>587991.25</v>
      </c>
      <c r="T431"/>
    </row>
    <row r="432" spans="1:23">
      <c r="A432" s="681">
        <v>413</v>
      </c>
      <c r="B432" s="902"/>
      <c r="C432" s="679"/>
      <c r="D432" s="682"/>
      <c r="E432" s="679"/>
      <c r="F432" s="679"/>
      <c r="G432" s="679" t="e">
        <f t="shared" si="243"/>
        <v>#DIV/0!</v>
      </c>
      <c r="H432" s="679"/>
      <c r="I432" s="101">
        <f t="shared" si="244"/>
        <v>6250</v>
      </c>
      <c r="J432" s="101">
        <f t="shared" si="245"/>
        <v>94.078599999999994</v>
      </c>
      <c r="K432" s="683">
        <f t="shared" si="246"/>
        <v>587991.25</v>
      </c>
      <c r="T432"/>
    </row>
    <row r="433" spans="1:20">
      <c r="A433" s="681">
        <v>414</v>
      </c>
      <c r="B433" s="902"/>
      <c r="C433" s="679"/>
      <c r="D433" s="682"/>
      <c r="E433" s="679"/>
      <c r="F433" s="679"/>
      <c r="G433" s="679" t="e">
        <f t="shared" si="243"/>
        <v>#DIV/0!</v>
      </c>
      <c r="H433" s="679"/>
      <c r="I433" s="101">
        <f t="shared" si="244"/>
        <v>6250</v>
      </c>
      <c r="J433" s="101">
        <f t="shared" si="245"/>
        <v>94.078599999999994</v>
      </c>
      <c r="K433" s="683">
        <f t="shared" si="246"/>
        <v>587991.25</v>
      </c>
      <c r="T433"/>
    </row>
    <row r="434" spans="1:20">
      <c r="A434" s="681">
        <v>415</v>
      </c>
      <c r="B434" s="902"/>
      <c r="C434" s="679"/>
      <c r="D434" s="682"/>
      <c r="E434" s="679"/>
      <c r="F434" s="679"/>
      <c r="G434" s="679" t="e">
        <f t="shared" si="243"/>
        <v>#DIV/0!</v>
      </c>
      <c r="H434" s="679"/>
      <c r="I434" s="101">
        <f t="shared" si="244"/>
        <v>6250</v>
      </c>
      <c r="J434" s="101">
        <f t="shared" si="245"/>
        <v>94.078599999999994</v>
      </c>
      <c r="K434" s="683">
        <f t="shared" si="246"/>
        <v>587991.25</v>
      </c>
      <c r="T434"/>
    </row>
    <row r="435" spans="1:20">
      <c r="A435" s="681">
        <v>416</v>
      </c>
      <c r="B435" s="902"/>
      <c r="C435" s="679"/>
      <c r="D435" s="682"/>
      <c r="E435" s="679"/>
      <c r="F435" s="679"/>
      <c r="G435" s="679" t="e">
        <f t="shared" si="243"/>
        <v>#DIV/0!</v>
      </c>
      <c r="H435" s="679"/>
      <c r="I435" s="101">
        <f t="shared" si="244"/>
        <v>6250</v>
      </c>
      <c r="J435" s="101">
        <f t="shared" si="245"/>
        <v>94.078599999999994</v>
      </c>
      <c r="K435" s="683">
        <f t="shared" si="246"/>
        <v>587991.25</v>
      </c>
      <c r="T435"/>
    </row>
    <row r="436" spans="1:20">
      <c r="A436" s="681">
        <v>417</v>
      </c>
      <c r="B436" s="902"/>
      <c r="C436" s="679"/>
      <c r="D436" s="682"/>
      <c r="E436" s="679"/>
      <c r="F436" s="679"/>
      <c r="G436" s="679" t="e">
        <f t="shared" si="243"/>
        <v>#DIV/0!</v>
      </c>
      <c r="H436" s="679"/>
      <c r="I436" s="101">
        <f t="shared" si="244"/>
        <v>6250</v>
      </c>
      <c r="J436" s="101">
        <f t="shared" si="245"/>
        <v>94.078599999999994</v>
      </c>
      <c r="K436" s="683">
        <f t="shared" si="246"/>
        <v>587991.25</v>
      </c>
      <c r="T436"/>
    </row>
    <row r="437" spans="1:20">
      <c r="A437" s="681">
        <v>418</v>
      </c>
      <c r="B437" s="902"/>
      <c r="C437" s="679"/>
      <c r="D437" s="682"/>
      <c r="E437" s="679"/>
      <c r="F437" s="679"/>
      <c r="G437" s="679" t="e">
        <f t="shared" si="243"/>
        <v>#DIV/0!</v>
      </c>
      <c r="H437" s="679"/>
      <c r="I437" s="101">
        <f t="shared" si="244"/>
        <v>6250</v>
      </c>
      <c r="J437" s="101">
        <f t="shared" si="245"/>
        <v>94.078599999999994</v>
      </c>
      <c r="K437" s="683">
        <f t="shared" si="246"/>
        <v>587991.25</v>
      </c>
      <c r="T437"/>
    </row>
    <row r="438" spans="1:20">
      <c r="A438" s="681">
        <v>419</v>
      </c>
      <c r="B438" s="903"/>
      <c r="C438" s="894"/>
      <c r="D438" s="895"/>
      <c r="E438" s="894"/>
      <c r="F438" s="894"/>
      <c r="G438" s="894"/>
      <c r="H438" s="894"/>
      <c r="I438" s="896"/>
      <c r="J438" s="896"/>
      <c r="K438" s="897"/>
      <c r="T438"/>
    </row>
    <row r="439" spans="1:20">
      <c r="A439" s="681">
        <v>420</v>
      </c>
      <c r="B439" s="904" t="s">
        <v>1281</v>
      </c>
      <c r="C439" s="679">
        <v>178</v>
      </c>
      <c r="D439" s="682">
        <v>12.04</v>
      </c>
      <c r="E439" s="679" t="s">
        <v>961</v>
      </c>
      <c r="F439" s="679">
        <v>7</v>
      </c>
      <c r="G439" s="679">
        <f t="shared" ref="G439:G447" si="247">H439/F439</f>
        <v>573.57142857142856</v>
      </c>
      <c r="H439" s="679">
        <v>4015</v>
      </c>
      <c r="I439" s="101">
        <f t="shared" ref="I439:I447" si="248">+I438+F439</f>
        <v>7</v>
      </c>
      <c r="J439" s="101">
        <f t="shared" ref="J439:J447" si="249">+K439/I439</f>
        <v>573.57142857142856</v>
      </c>
      <c r="K439" s="683">
        <f t="shared" ref="K439:K447" si="250">(+H439+K438)</f>
        <v>4015</v>
      </c>
      <c r="T439"/>
    </row>
    <row r="440" spans="1:20">
      <c r="A440" s="681">
        <v>421</v>
      </c>
      <c r="B440" s="902"/>
      <c r="C440" s="679"/>
      <c r="D440" s="682"/>
      <c r="E440" s="679"/>
      <c r="F440" s="679"/>
      <c r="G440" s="679" t="e">
        <f t="shared" si="247"/>
        <v>#DIV/0!</v>
      </c>
      <c r="H440" s="679"/>
      <c r="I440" s="101">
        <f t="shared" si="248"/>
        <v>7</v>
      </c>
      <c r="J440" s="101">
        <f t="shared" si="249"/>
        <v>573.57142857142856</v>
      </c>
      <c r="K440" s="683">
        <f t="shared" si="250"/>
        <v>4015</v>
      </c>
      <c r="T440"/>
    </row>
    <row r="441" spans="1:20">
      <c r="A441" s="681">
        <v>422</v>
      </c>
      <c r="B441" s="902"/>
      <c r="C441" s="679"/>
      <c r="D441" s="682"/>
      <c r="E441" s="679"/>
      <c r="F441" s="679"/>
      <c r="G441" s="679" t="e">
        <f t="shared" si="247"/>
        <v>#DIV/0!</v>
      </c>
      <c r="H441" s="679"/>
      <c r="I441" s="101">
        <f t="shared" si="248"/>
        <v>7</v>
      </c>
      <c r="J441" s="101">
        <f t="shared" si="249"/>
        <v>573.57142857142856</v>
      </c>
      <c r="K441" s="683">
        <f t="shared" si="250"/>
        <v>4015</v>
      </c>
      <c r="T441"/>
    </row>
    <row r="442" spans="1:20">
      <c r="A442" s="681">
        <v>423</v>
      </c>
      <c r="B442" s="902"/>
      <c r="C442" s="679"/>
      <c r="D442" s="682"/>
      <c r="E442" s="679"/>
      <c r="F442" s="679"/>
      <c r="G442" s="679" t="e">
        <f t="shared" si="247"/>
        <v>#DIV/0!</v>
      </c>
      <c r="H442" s="679"/>
      <c r="I442" s="101">
        <f t="shared" si="248"/>
        <v>7</v>
      </c>
      <c r="J442" s="101">
        <f t="shared" si="249"/>
        <v>573.57142857142856</v>
      </c>
      <c r="K442" s="683">
        <f t="shared" si="250"/>
        <v>4015</v>
      </c>
      <c r="T442"/>
    </row>
    <row r="443" spans="1:20">
      <c r="A443" s="681">
        <v>424</v>
      </c>
      <c r="B443" s="902"/>
      <c r="C443" s="679"/>
      <c r="D443" s="682"/>
      <c r="E443" s="679"/>
      <c r="F443" s="679"/>
      <c r="G443" s="679" t="e">
        <f t="shared" si="247"/>
        <v>#DIV/0!</v>
      </c>
      <c r="H443" s="679"/>
      <c r="I443" s="101">
        <f t="shared" si="248"/>
        <v>7</v>
      </c>
      <c r="J443" s="101">
        <f t="shared" si="249"/>
        <v>573.57142857142856</v>
      </c>
      <c r="K443" s="683">
        <f t="shared" si="250"/>
        <v>4015</v>
      </c>
      <c r="T443"/>
    </row>
    <row r="444" spans="1:20">
      <c r="A444" s="681">
        <v>425</v>
      </c>
      <c r="B444" s="902"/>
      <c r="C444" s="679"/>
      <c r="D444" s="682"/>
      <c r="E444" s="679"/>
      <c r="F444" s="679"/>
      <c r="G444" s="679" t="e">
        <f t="shared" si="247"/>
        <v>#DIV/0!</v>
      </c>
      <c r="H444" s="679"/>
      <c r="I444" s="101">
        <f t="shared" si="248"/>
        <v>7</v>
      </c>
      <c r="J444" s="101">
        <f t="shared" si="249"/>
        <v>573.57142857142856</v>
      </c>
      <c r="K444" s="683">
        <f t="shared" si="250"/>
        <v>4015</v>
      </c>
      <c r="T444"/>
    </row>
    <row r="445" spans="1:20">
      <c r="A445" s="681">
        <v>426</v>
      </c>
      <c r="B445" s="902"/>
      <c r="C445" s="679"/>
      <c r="D445" s="682"/>
      <c r="E445" s="679"/>
      <c r="F445" s="679"/>
      <c r="G445" s="679" t="e">
        <f t="shared" si="247"/>
        <v>#DIV/0!</v>
      </c>
      <c r="H445" s="679"/>
      <c r="I445" s="101">
        <f t="shared" si="248"/>
        <v>7</v>
      </c>
      <c r="J445" s="101">
        <f t="shared" si="249"/>
        <v>573.57142857142856</v>
      </c>
      <c r="K445" s="683">
        <f t="shared" si="250"/>
        <v>4015</v>
      </c>
      <c r="T445"/>
    </row>
    <row r="446" spans="1:20">
      <c r="A446" s="681">
        <v>427</v>
      </c>
      <c r="B446" s="902"/>
      <c r="C446" s="679"/>
      <c r="D446" s="682"/>
      <c r="E446" s="679"/>
      <c r="F446" s="679"/>
      <c r="G446" s="679" t="e">
        <f t="shared" si="247"/>
        <v>#DIV/0!</v>
      </c>
      <c r="H446" s="679"/>
      <c r="I446" s="101">
        <f t="shared" si="248"/>
        <v>7</v>
      </c>
      <c r="J446" s="101">
        <f t="shared" si="249"/>
        <v>573.57142857142856</v>
      </c>
      <c r="K446" s="683">
        <f t="shared" si="250"/>
        <v>4015</v>
      </c>
      <c r="T446"/>
    </row>
    <row r="447" spans="1:20">
      <c r="A447" s="681">
        <v>428</v>
      </c>
      <c r="B447" s="902"/>
      <c r="C447" s="679"/>
      <c r="D447" s="682"/>
      <c r="E447" s="679"/>
      <c r="F447" s="679"/>
      <c r="G447" s="679" t="e">
        <f t="shared" si="247"/>
        <v>#DIV/0!</v>
      </c>
      <c r="H447" s="679"/>
      <c r="I447" s="101">
        <f t="shared" si="248"/>
        <v>7</v>
      </c>
      <c r="J447" s="101">
        <f t="shared" si="249"/>
        <v>573.57142857142856</v>
      </c>
      <c r="K447" s="683">
        <f t="shared" si="250"/>
        <v>4015</v>
      </c>
      <c r="T447"/>
    </row>
    <row r="448" spans="1:20">
      <c r="A448" s="681">
        <v>429</v>
      </c>
      <c r="B448" s="903"/>
      <c r="C448" s="894"/>
      <c r="D448" s="895"/>
      <c r="E448" s="894"/>
      <c r="F448" s="894"/>
      <c r="G448" s="894"/>
      <c r="H448" s="894"/>
      <c r="I448" s="896"/>
      <c r="J448" s="896"/>
      <c r="K448" s="897"/>
      <c r="T448"/>
    </row>
    <row r="449" spans="1:20">
      <c r="A449" s="681">
        <v>430</v>
      </c>
      <c r="B449" s="904" t="s">
        <v>1284</v>
      </c>
      <c r="C449" s="679">
        <v>23</v>
      </c>
      <c r="D449" s="682">
        <v>28.04</v>
      </c>
      <c r="E449" s="679" t="s">
        <v>961</v>
      </c>
      <c r="F449" s="679">
        <v>1</v>
      </c>
      <c r="G449" s="679">
        <f t="shared" ref="G449:G457" si="251">H449/F449</f>
        <v>125400</v>
      </c>
      <c r="H449" s="679">
        <v>125400</v>
      </c>
      <c r="I449" s="101">
        <f t="shared" ref="I449:I457" si="252">+I448+F449</f>
        <v>1</v>
      </c>
      <c r="J449" s="101">
        <f t="shared" ref="J449:J457" si="253">+K449/I449</f>
        <v>125400</v>
      </c>
      <c r="K449" s="683">
        <f t="shared" ref="K449:K457" si="254">(+H449+K448)</f>
        <v>125400</v>
      </c>
      <c r="T449"/>
    </row>
    <row r="450" spans="1:20">
      <c r="A450" s="681">
        <v>431</v>
      </c>
      <c r="B450" s="902"/>
      <c r="C450" s="679"/>
      <c r="D450" s="682"/>
      <c r="E450" s="679"/>
      <c r="F450" s="679"/>
      <c r="G450" s="679" t="e">
        <f t="shared" si="251"/>
        <v>#DIV/0!</v>
      </c>
      <c r="H450" s="679"/>
      <c r="I450" s="101">
        <f t="shared" si="252"/>
        <v>1</v>
      </c>
      <c r="J450" s="101">
        <f t="shared" si="253"/>
        <v>125400</v>
      </c>
      <c r="K450" s="683">
        <f t="shared" si="254"/>
        <v>125400</v>
      </c>
      <c r="T450"/>
    </row>
    <row r="451" spans="1:20">
      <c r="A451" s="681">
        <v>432</v>
      </c>
      <c r="B451" s="902"/>
      <c r="C451" s="679"/>
      <c r="D451" s="682"/>
      <c r="E451" s="679"/>
      <c r="F451" s="679"/>
      <c r="G451" s="679" t="e">
        <f t="shared" si="251"/>
        <v>#DIV/0!</v>
      </c>
      <c r="H451" s="679"/>
      <c r="I451" s="101">
        <f t="shared" si="252"/>
        <v>1</v>
      </c>
      <c r="J451" s="101">
        <f t="shared" si="253"/>
        <v>125400</v>
      </c>
      <c r="K451" s="683">
        <f t="shared" si="254"/>
        <v>125400</v>
      </c>
    </row>
    <row r="452" spans="1:20">
      <c r="A452" s="681">
        <v>433</v>
      </c>
      <c r="B452" s="902"/>
      <c r="C452" s="679"/>
      <c r="D452" s="682"/>
      <c r="E452" s="679"/>
      <c r="F452" s="679"/>
      <c r="G452" s="679" t="e">
        <f t="shared" si="251"/>
        <v>#DIV/0!</v>
      </c>
      <c r="H452" s="679"/>
      <c r="I452" s="101">
        <f t="shared" si="252"/>
        <v>1</v>
      </c>
      <c r="J452" s="101">
        <f t="shared" si="253"/>
        <v>125400</v>
      </c>
      <c r="K452" s="683">
        <f t="shared" si="254"/>
        <v>125400</v>
      </c>
    </row>
    <row r="453" spans="1:20">
      <c r="A453" s="681">
        <v>434</v>
      </c>
      <c r="B453" s="902"/>
      <c r="C453" s="679"/>
      <c r="D453" s="682"/>
      <c r="E453" s="679"/>
      <c r="F453" s="679"/>
      <c r="G453" s="679" t="e">
        <f t="shared" si="251"/>
        <v>#DIV/0!</v>
      </c>
      <c r="H453" s="679"/>
      <c r="I453" s="101">
        <f t="shared" si="252"/>
        <v>1</v>
      </c>
      <c r="J453" s="101">
        <f t="shared" si="253"/>
        <v>125400</v>
      </c>
      <c r="K453" s="683">
        <f t="shared" si="254"/>
        <v>125400</v>
      </c>
    </row>
    <row r="454" spans="1:20">
      <c r="A454" s="681">
        <v>435</v>
      </c>
      <c r="B454" s="902"/>
      <c r="C454" s="679"/>
      <c r="D454" s="682"/>
      <c r="E454" s="679"/>
      <c r="F454" s="679"/>
      <c r="G454" s="679" t="e">
        <f t="shared" si="251"/>
        <v>#DIV/0!</v>
      </c>
      <c r="H454" s="679"/>
      <c r="I454" s="101">
        <f t="shared" si="252"/>
        <v>1</v>
      </c>
      <c r="J454" s="101">
        <f t="shared" si="253"/>
        <v>125400</v>
      </c>
      <c r="K454" s="683">
        <f t="shared" si="254"/>
        <v>125400</v>
      </c>
    </row>
    <row r="455" spans="1:20">
      <c r="A455" s="681">
        <v>436</v>
      </c>
      <c r="B455" s="902"/>
      <c r="C455" s="679"/>
      <c r="D455" s="682"/>
      <c r="E455" s="679"/>
      <c r="F455" s="679"/>
      <c r="G455" s="679" t="e">
        <f t="shared" si="251"/>
        <v>#DIV/0!</v>
      </c>
      <c r="H455" s="679"/>
      <c r="I455" s="101">
        <f t="shared" si="252"/>
        <v>1</v>
      </c>
      <c r="J455" s="101">
        <f t="shared" si="253"/>
        <v>125400</v>
      </c>
      <c r="K455" s="683">
        <f t="shared" si="254"/>
        <v>125400</v>
      </c>
    </row>
    <row r="456" spans="1:20">
      <c r="A456" s="681">
        <v>437</v>
      </c>
      <c r="B456" s="902"/>
      <c r="C456" s="679"/>
      <c r="D456" s="682"/>
      <c r="E456" s="679"/>
      <c r="F456" s="679"/>
      <c r="G456" s="679" t="e">
        <f t="shared" si="251"/>
        <v>#DIV/0!</v>
      </c>
      <c r="H456" s="679"/>
      <c r="I456" s="101">
        <f t="shared" si="252"/>
        <v>1</v>
      </c>
      <c r="J456" s="101">
        <f t="shared" si="253"/>
        <v>125400</v>
      </c>
      <c r="K456" s="683">
        <f t="shared" si="254"/>
        <v>125400</v>
      </c>
    </row>
    <row r="457" spans="1:20">
      <c r="A457" s="681">
        <v>438</v>
      </c>
      <c r="B457" s="902"/>
      <c r="C457" s="679"/>
      <c r="D457" s="682"/>
      <c r="E457" s="679"/>
      <c r="F457" s="679"/>
      <c r="G457" s="679" t="e">
        <f t="shared" si="251"/>
        <v>#DIV/0!</v>
      </c>
      <c r="H457" s="679"/>
      <c r="I457" s="101">
        <f t="shared" si="252"/>
        <v>1</v>
      </c>
      <c r="J457" s="101">
        <f t="shared" si="253"/>
        <v>125400</v>
      </c>
      <c r="K457" s="683">
        <f t="shared" si="254"/>
        <v>125400</v>
      </c>
    </row>
    <row r="458" spans="1:20">
      <c r="A458" s="681">
        <v>439</v>
      </c>
      <c r="B458" s="903"/>
      <c r="C458" s="894"/>
      <c r="D458" s="895"/>
      <c r="E458" s="894"/>
      <c r="F458" s="894"/>
      <c r="G458" s="894"/>
      <c r="H458" s="894"/>
      <c r="I458" s="896"/>
      <c r="J458" s="896"/>
      <c r="K458" s="897"/>
    </row>
    <row r="459" spans="1:20">
      <c r="A459" s="681">
        <v>440</v>
      </c>
      <c r="B459" s="904" t="s">
        <v>1288</v>
      </c>
      <c r="C459" s="679">
        <v>221</v>
      </c>
      <c r="D459" s="682">
        <v>10.050000000000001</v>
      </c>
      <c r="E459" s="679" t="s">
        <v>962</v>
      </c>
      <c r="F459" s="679">
        <v>45</v>
      </c>
      <c r="G459" s="679">
        <f t="shared" ref="G459:G467" si="255">H459/F459</f>
        <v>154</v>
      </c>
      <c r="H459" s="679">
        <v>6930</v>
      </c>
      <c r="I459" s="101">
        <f t="shared" ref="I459:I467" si="256">+I458+F459</f>
        <v>45</v>
      </c>
      <c r="J459" s="101">
        <f t="shared" ref="J459:J467" si="257">+K459/I459</f>
        <v>154</v>
      </c>
      <c r="K459" s="683">
        <f t="shared" ref="K459:K467" si="258">(+H459+K458)</f>
        <v>6930</v>
      </c>
    </row>
    <row r="460" spans="1:20">
      <c r="A460" s="681">
        <v>441</v>
      </c>
      <c r="B460" s="976"/>
      <c r="C460" s="978">
        <v>398</v>
      </c>
      <c r="D460" s="972" t="s">
        <v>1442</v>
      </c>
      <c r="E460" s="975" t="s">
        <v>962</v>
      </c>
      <c r="F460" s="975">
        <v>25</v>
      </c>
      <c r="G460" s="975">
        <f>+H460/F460</f>
        <v>162</v>
      </c>
      <c r="H460" s="976">
        <v>4050</v>
      </c>
      <c r="I460" s="101">
        <f t="shared" si="256"/>
        <v>70</v>
      </c>
      <c r="J460" s="101">
        <f t="shared" si="257"/>
        <v>156.85714285714286</v>
      </c>
      <c r="K460" s="683">
        <f t="shared" si="258"/>
        <v>10980</v>
      </c>
    </row>
    <row r="461" spans="1:20">
      <c r="A461" s="681">
        <v>442</v>
      </c>
      <c r="B461" s="902"/>
      <c r="C461" s="679"/>
      <c r="D461" s="682"/>
      <c r="E461" s="679"/>
      <c r="F461" s="679"/>
      <c r="G461" s="679" t="e">
        <f t="shared" si="255"/>
        <v>#DIV/0!</v>
      </c>
      <c r="H461" s="679"/>
      <c r="I461" s="101">
        <f t="shared" si="256"/>
        <v>70</v>
      </c>
      <c r="J461" s="101">
        <f t="shared" si="257"/>
        <v>156.85714285714286</v>
      </c>
      <c r="K461" s="683">
        <f t="shared" si="258"/>
        <v>10980</v>
      </c>
    </row>
    <row r="462" spans="1:20">
      <c r="A462" s="681">
        <v>443</v>
      </c>
      <c r="B462" s="902"/>
      <c r="C462" s="679"/>
      <c r="D462" s="682"/>
      <c r="E462" s="679"/>
      <c r="F462" s="679"/>
      <c r="G462" s="679" t="e">
        <f t="shared" si="255"/>
        <v>#DIV/0!</v>
      </c>
      <c r="H462" s="679"/>
      <c r="I462" s="101">
        <f t="shared" si="256"/>
        <v>70</v>
      </c>
      <c r="J462" s="101">
        <f t="shared" si="257"/>
        <v>156.85714285714286</v>
      </c>
      <c r="K462" s="683">
        <f t="shared" si="258"/>
        <v>10980</v>
      </c>
    </row>
    <row r="463" spans="1:20">
      <c r="A463" s="681">
        <v>444</v>
      </c>
      <c r="B463" s="902"/>
      <c r="C463" s="679"/>
      <c r="D463" s="682"/>
      <c r="E463" s="679"/>
      <c r="F463" s="679"/>
      <c r="G463" s="679" t="e">
        <f t="shared" si="255"/>
        <v>#DIV/0!</v>
      </c>
      <c r="H463" s="679"/>
      <c r="I463" s="101">
        <f t="shared" si="256"/>
        <v>70</v>
      </c>
      <c r="J463" s="101">
        <f t="shared" si="257"/>
        <v>156.85714285714286</v>
      </c>
      <c r="K463" s="683">
        <f t="shared" si="258"/>
        <v>10980</v>
      </c>
    </row>
    <row r="464" spans="1:20">
      <c r="A464" s="681">
        <v>445</v>
      </c>
      <c r="B464" s="902"/>
      <c r="C464" s="679"/>
      <c r="D464" s="682"/>
      <c r="E464" s="679"/>
      <c r="F464" s="679"/>
      <c r="G464" s="679" t="e">
        <f t="shared" si="255"/>
        <v>#DIV/0!</v>
      </c>
      <c r="H464" s="679"/>
      <c r="I464" s="101">
        <f t="shared" si="256"/>
        <v>70</v>
      </c>
      <c r="J464" s="101">
        <f t="shared" si="257"/>
        <v>156.85714285714286</v>
      </c>
      <c r="K464" s="683">
        <f t="shared" si="258"/>
        <v>10980</v>
      </c>
    </row>
    <row r="465" spans="1:11">
      <c r="A465" s="681">
        <v>446</v>
      </c>
      <c r="B465" s="902"/>
      <c r="C465" s="679"/>
      <c r="D465" s="682"/>
      <c r="E465" s="679"/>
      <c r="F465" s="679"/>
      <c r="G465" s="679" t="e">
        <f t="shared" si="255"/>
        <v>#DIV/0!</v>
      </c>
      <c r="H465" s="679"/>
      <c r="I465" s="101">
        <f t="shared" si="256"/>
        <v>70</v>
      </c>
      <c r="J465" s="101">
        <f t="shared" si="257"/>
        <v>156.85714285714286</v>
      </c>
      <c r="K465" s="683">
        <f t="shared" si="258"/>
        <v>10980</v>
      </c>
    </row>
    <row r="466" spans="1:11">
      <c r="A466" s="681">
        <v>447</v>
      </c>
      <c r="B466" s="902"/>
      <c r="C466" s="679"/>
      <c r="D466" s="682"/>
      <c r="E466" s="679"/>
      <c r="F466" s="679"/>
      <c r="G466" s="679" t="e">
        <f t="shared" si="255"/>
        <v>#DIV/0!</v>
      </c>
      <c r="H466" s="679"/>
      <c r="I466" s="101">
        <f t="shared" si="256"/>
        <v>70</v>
      </c>
      <c r="J466" s="101">
        <f t="shared" si="257"/>
        <v>156.85714285714286</v>
      </c>
      <c r="K466" s="683">
        <f t="shared" si="258"/>
        <v>10980</v>
      </c>
    </row>
    <row r="467" spans="1:11">
      <c r="A467" s="681">
        <v>448</v>
      </c>
      <c r="B467" s="902"/>
      <c r="C467" s="679"/>
      <c r="D467" s="682"/>
      <c r="E467" s="679"/>
      <c r="F467" s="679"/>
      <c r="G467" s="679" t="e">
        <f t="shared" si="255"/>
        <v>#DIV/0!</v>
      </c>
      <c r="H467" s="679"/>
      <c r="I467" s="101">
        <f t="shared" si="256"/>
        <v>70</v>
      </c>
      <c r="J467" s="101">
        <f t="shared" si="257"/>
        <v>156.85714285714286</v>
      </c>
      <c r="K467" s="683">
        <f t="shared" si="258"/>
        <v>10980</v>
      </c>
    </row>
    <row r="468" spans="1:11">
      <c r="A468" s="681">
        <v>449</v>
      </c>
      <c r="B468" s="903"/>
      <c r="C468" s="894"/>
      <c r="D468" s="895"/>
      <c r="E468" s="894"/>
      <c r="F468" s="894"/>
      <c r="G468" s="894"/>
      <c r="H468" s="894"/>
      <c r="I468" s="896"/>
      <c r="J468" s="896"/>
      <c r="K468" s="897"/>
    </row>
    <row r="469" spans="1:11">
      <c r="A469" s="681">
        <v>450</v>
      </c>
      <c r="B469" s="904" t="s">
        <v>1285</v>
      </c>
      <c r="C469" s="679">
        <v>34</v>
      </c>
      <c r="D469" s="682">
        <v>30.05</v>
      </c>
      <c r="E469" s="679" t="s">
        <v>1289</v>
      </c>
      <c r="F469" s="679">
        <v>10000</v>
      </c>
      <c r="G469" s="679">
        <f t="shared" ref="G469:G477" si="259">H469/F469</f>
        <v>50</v>
      </c>
      <c r="H469" s="679">
        <v>500000</v>
      </c>
      <c r="I469" s="101">
        <f t="shared" ref="I469:I477" si="260">+I468+F469</f>
        <v>10000</v>
      </c>
      <c r="J469" s="101">
        <f t="shared" ref="J469:J477" si="261">+K469/I469</f>
        <v>50</v>
      </c>
      <c r="K469" s="683">
        <f t="shared" ref="K469:K477" si="262">(+H469+K468)</f>
        <v>500000</v>
      </c>
    </row>
    <row r="470" spans="1:11">
      <c r="A470" s="681">
        <v>451</v>
      </c>
      <c r="B470" s="902"/>
      <c r="C470" s="679"/>
      <c r="D470" s="682"/>
      <c r="E470" s="679"/>
      <c r="F470" s="679"/>
      <c r="G470" s="679" t="e">
        <f t="shared" si="259"/>
        <v>#DIV/0!</v>
      </c>
      <c r="H470" s="679"/>
      <c r="I470" s="101">
        <f t="shared" si="260"/>
        <v>10000</v>
      </c>
      <c r="J470" s="101">
        <f t="shared" si="261"/>
        <v>50</v>
      </c>
      <c r="K470" s="683">
        <f t="shared" si="262"/>
        <v>500000</v>
      </c>
    </row>
    <row r="471" spans="1:11">
      <c r="A471" s="681">
        <v>452</v>
      </c>
      <c r="B471" s="902"/>
      <c r="C471" s="679"/>
      <c r="D471" s="682"/>
      <c r="E471" s="679"/>
      <c r="F471" s="679"/>
      <c r="G471" s="679" t="e">
        <f t="shared" si="259"/>
        <v>#DIV/0!</v>
      </c>
      <c r="H471" s="679"/>
      <c r="I471" s="101">
        <f t="shared" si="260"/>
        <v>10000</v>
      </c>
      <c r="J471" s="101">
        <f t="shared" si="261"/>
        <v>50</v>
      </c>
      <c r="K471" s="683">
        <f t="shared" si="262"/>
        <v>500000</v>
      </c>
    </row>
    <row r="472" spans="1:11">
      <c r="A472" s="681">
        <v>453</v>
      </c>
      <c r="B472" s="902"/>
      <c r="C472" s="679"/>
      <c r="D472" s="682"/>
      <c r="E472" s="679"/>
      <c r="F472" s="679"/>
      <c r="G472" s="679" t="e">
        <f t="shared" si="259"/>
        <v>#DIV/0!</v>
      </c>
      <c r="H472" s="679"/>
      <c r="I472" s="101">
        <f t="shared" si="260"/>
        <v>10000</v>
      </c>
      <c r="J472" s="101">
        <f t="shared" si="261"/>
        <v>50</v>
      </c>
      <c r="K472" s="683">
        <f t="shared" si="262"/>
        <v>500000</v>
      </c>
    </row>
    <row r="473" spans="1:11">
      <c r="A473" s="681">
        <v>454</v>
      </c>
      <c r="B473" s="902"/>
      <c r="C473" s="679"/>
      <c r="D473" s="682"/>
      <c r="E473" s="679"/>
      <c r="F473" s="679"/>
      <c r="G473" s="679" t="e">
        <f t="shared" si="259"/>
        <v>#DIV/0!</v>
      </c>
      <c r="H473" s="679"/>
      <c r="I473" s="101">
        <f t="shared" si="260"/>
        <v>10000</v>
      </c>
      <c r="J473" s="101">
        <f t="shared" si="261"/>
        <v>50</v>
      </c>
      <c r="K473" s="683">
        <f t="shared" si="262"/>
        <v>500000</v>
      </c>
    </row>
    <row r="474" spans="1:11">
      <c r="A474" s="681">
        <v>455</v>
      </c>
      <c r="B474" s="902"/>
      <c r="C474" s="679"/>
      <c r="D474" s="682"/>
      <c r="E474" s="679"/>
      <c r="F474" s="679"/>
      <c r="G474" s="679" t="e">
        <f t="shared" si="259"/>
        <v>#DIV/0!</v>
      </c>
      <c r="H474" s="679"/>
      <c r="I474" s="101">
        <f t="shared" si="260"/>
        <v>10000</v>
      </c>
      <c r="J474" s="101">
        <f t="shared" si="261"/>
        <v>50</v>
      </c>
      <c r="K474" s="683">
        <f t="shared" si="262"/>
        <v>500000</v>
      </c>
    </row>
    <row r="475" spans="1:11">
      <c r="A475" s="681">
        <v>456</v>
      </c>
      <c r="B475" s="902"/>
      <c r="C475" s="679"/>
      <c r="D475" s="682"/>
      <c r="E475" s="679"/>
      <c r="F475" s="679"/>
      <c r="G475" s="679" t="e">
        <f t="shared" si="259"/>
        <v>#DIV/0!</v>
      </c>
      <c r="H475" s="679"/>
      <c r="I475" s="101">
        <f t="shared" si="260"/>
        <v>10000</v>
      </c>
      <c r="J475" s="101">
        <f t="shared" si="261"/>
        <v>50</v>
      </c>
      <c r="K475" s="683">
        <f t="shared" si="262"/>
        <v>500000</v>
      </c>
    </row>
    <row r="476" spans="1:11">
      <c r="A476" s="681">
        <v>457</v>
      </c>
      <c r="B476" s="902"/>
      <c r="C476" s="679"/>
      <c r="D476" s="682"/>
      <c r="E476" s="679"/>
      <c r="F476" s="679"/>
      <c r="G476" s="679" t="e">
        <f t="shared" si="259"/>
        <v>#DIV/0!</v>
      </c>
      <c r="H476" s="679"/>
      <c r="I476" s="101">
        <f t="shared" si="260"/>
        <v>10000</v>
      </c>
      <c r="J476" s="101">
        <f t="shared" si="261"/>
        <v>50</v>
      </c>
      <c r="K476" s="683">
        <f t="shared" si="262"/>
        <v>500000</v>
      </c>
    </row>
    <row r="477" spans="1:11">
      <c r="A477" s="681">
        <v>458</v>
      </c>
      <c r="B477" s="902"/>
      <c r="C477" s="679"/>
      <c r="D477" s="682"/>
      <c r="E477" s="679"/>
      <c r="F477" s="679"/>
      <c r="G477" s="679" t="e">
        <f t="shared" si="259"/>
        <v>#DIV/0!</v>
      </c>
      <c r="H477" s="679"/>
      <c r="I477" s="101">
        <f t="shared" si="260"/>
        <v>10000</v>
      </c>
      <c r="J477" s="101">
        <f t="shared" si="261"/>
        <v>50</v>
      </c>
      <c r="K477" s="683">
        <f t="shared" si="262"/>
        <v>500000</v>
      </c>
    </row>
    <row r="478" spans="1:11">
      <c r="A478" s="681">
        <v>459</v>
      </c>
      <c r="B478" s="903"/>
      <c r="C478" s="894"/>
      <c r="D478" s="895"/>
      <c r="E478" s="894"/>
      <c r="F478" s="894"/>
      <c r="G478" s="894"/>
      <c r="H478" s="894"/>
      <c r="I478" s="896"/>
      <c r="J478" s="896"/>
      <c r="K478" s="897"/>
    </row>
    <row r="479" spans="1:11">
      <c r="A479" s="681">
        <v>460</v>
      </c>
      <c r="B479" s="904" t="s">
        <v>1290</v>
      </c>
      <c r="C479" s="679">
        <v>48</v>
      </c>
      <c r="D479" s="682">
        <v>1.05</v>
      </c>
      <c r="E479" s="679" t="s">
        <v>1291</v>
      </c>
      <c r="F479" s="679">
        <v>5</v>
      </c>
      <c r="G479" s="679">
        <f t="shared" ref="G479:G487" si="263">H479/F479</f>
        <v>12500</v>
      </c>
      <c r="H479" s="679">
        <v>62500</v>
      </c>
      <c r="I479" s="101">
        <f t="shared" ref="I479:I487" si="264">+I478+F479</f>
        <v>5</v>
      </c>
      <c r="J479" s="101">
        <f t="shared" ref="J479:J487" si="265">+K479/I479</f>
        <v>12500</v>
      </c>
      <c r="K479" s="683">
        <f t="shared" ref="K479:K487" si="266">(+H479+K478)</f>
        <v>62500</v>
      </c>
    </row>
    <row r="480" spans="1:11">
      <c r="A480" s="681">
        <v>461</v>
      </c>
      <c r="B480" s="902"/>
      <c r="C480" s="679">
        <v>102</v>
      </c>
      <c r="D480" s="682">
        <v>2.0499999999999998</v>
      </c>
      <c r="E480" s="679" t="s">
        <v>1292</v>
      </c>
      <c r="F480" s="679">
        <v>35</v>
      </c>
      <c r="G480" s="679">
        <f t="shared" si="263"/>
        <v>1666.6571428571428</v>
      </c>
      <c r="H480" s="679">
        <v>58333</v>
      </c>
      <c r="I480" s="101">
        <f t="shared" si="264"/>
        <v>40</v>
      </c>
      <c r="J480" s="101">
        <f t="shared" si="265"/>
        <v>3020.8249999999998</v>
      </c>
      <c r="K480" s="683">
        <f t="shared" si="266"/>
        <v>120833</v>
      </c>
    </row>
    <row r="481" spans="1:11">
      <c r="A481" s="681">
        <v>462</v>
      </c>
      <c r="B481" s="902"/>
      <c r="C481" s="679">
        <v>141</v>
      </c>
      <c r="D481" s="682">
        <v>2.08</v>
      </c>
      <c r="E481" s="679" t="s">
        <v>1291</v>
      </c>
      <c r="F481" s="679">
        <v>3</v>
      </c>
      <c r="G481" s="679">
        <f t="shared" si="263"/>
        <v>12500</v>
      </c>
      <c r="H481" s="679">
        <v>37500</v>
      </c>
      <c r="I481" s="101">
        <f t="shared" si="264"/>
        <v>43</v>
      </c>
      <c r="J481" s="101">
        <f t="shared" si="265"/>
        <v>3682.1627906976746</v>
      </c>
      <c r="K481" s="683">
        <f t="shared" si="266"/>
        <v>158333</v>
      </c>
    </row>
    <row r="482" spans="1:11">
      <c r="A482" s="681">
        <v>463</v>
      </c>
      <c r="B482" s="902"/>
      <c r="C482" s="679">
        <v>176</v>
      </c>
      <c r="D482" s="682">
        <v>4.12</v>
      </c>
      <c r="E482" s="679" t="s">
        <v>1291</v>
      </c>
      <c r="F482" s="679">
        <v>4</v>
      </c>
      <c r="G482" s="679">
        <f t="shared" si="263"/>
        <v>12500</v>
      </c>
      <c r="H482" s="679">
        <v>50000</v>
      </c>
      <c r="I482" s="101">
        <f t="shared" si="264"/>
        <v>47</v>
      </c>
      <c r="J482" s="101">
        <f t="shared" si="265"/>
        <v>4432.6170212765956</v>
      </c>
      <c r="K482" s="683">
        <f t="shared" si="266"/>
        <v>208333</v>
      </c>
    </row>
    <row r="483" spans="1:11">
      <c r="A483" s="681">
        <v>464</v>
      </c>
      <c r="B483" s="902"/>
      <c r="C483" s="679"/>
      <c r="D483" s="682"/>
      <c r="E483" s="679"/>
      <c r="F483" s="679"/>
      <c r="G483" s="679" t="e">
        <f t="shared" si="263"/>
        <v>#DIV/0!</v>
      </c>
      <c r="H483" s="679"/>
      <c r="I483" s="101">
        <f t="shared" si="264"/>
        <v>47</v>
      </c>
      <c r="J483" s="101">
        <f t="shared" si="265"/>
        <v>4432.6170212765956</v>
      </c>
      <c r="K483" s="683">
        <f t="shared" si="266"/>
        <v>208333</v>
      </c>
    </row>
    <row r="484" spans="1:11">
      <c r="A484" s="681">
        <v>465</v>
      </c>
      <c r="B484" s="902"/>
      <c r="C484" s="679"/>
      <c r="D484" s="682"/>
      <c r="E484" s="679"/>
      <c r="F484" s="679"/>
      <c r="G484" s="679" t="e">
        <f t="shared" si="263"/>
        <v>#DIV/0!</v>
      </c>
      <c r="H484" s="679"/>
      <c r="I484" s="101">
        <f t="shared" si="264"/>
        <v>47</v>
      </c>
      <c r="J484" s="101">
        <f t="shared" si="265"/>
        <v>4432.6170212765956</v>
      </c>
      <c r="K484" s="683">
        <f t="shared" si="266"/>
        <v>208333</v>
      </c>
    </row>
    <row r="485" spans="1:11">
      <c r="A485" s="681">
        <v>466</v>
      </c>
      <c r="B485" s="902"/>
      <c r="C485" s="679"/>
      <c r="D485" s="682"/>
      <c r="E485" s="679"/>
      <c r="F485" s="679"/>
      <c r="G485" s="679" t="e">
        <f t="shared" si="263"/>
        <v>#DIV/0!</v>
      </c>
      <c r="H485" s="679"/>
      <c r="I485" s="101">
        <f t="shared" si="264"/>
        <v>47</v>
      </c>
      <c r="J485" s="101">
        <f t="shared" si="265"/>
        <v>4432.6170212765956</v>
      </c>
      <c r="K485" s="683">
        <f t="shared" si="266"/>
        <v>208333</v>
      </c>
    </row>
    <row r="486" spans="1:11">
      <c r="A486" s="681">
        <v>467</v>
      </c>
      <c r="B486" s="902"/>
      <c r="C486" s="679"/>
      <c r="D486" s="682"/>
      <c r="E486" s="679"/>
      <c r="F486" s="679"/>
      <c r="G486" s="679" t="e">
        <f t="shared" si="263"/>
        <v>#DIV/0!</v>
      </c>
      <c r="H486" s="679"/>
      <c r="I486" s="101">
        <f t="shared" si="264"/>
        <v>47</v>
      </c>
      <c r="J486" s="101">
        <f t="shared" si="265"/>
        <v>4432.6170212765956</v>
      </c>
      <c r="K486" s="683">
        <f t="shared" si="266"/>
        <v>208333</v>
      </c>
    </row>
    <row r="487" spans="1:11">
      <c r="A487" s="681">
        <v>468</v>
      </c>
      <c r="B487" s="902"/>
      <c r="C487" s="679"/>
      <c r="D487" s="682"/>
      <c r="E487" s="679"/>
      <c r="F487" s="679"/>
      <c r="G487" s="679" t="e">
        <f t="shared" si="263"/>
        <v>#DIV/0!</v>
      </c>
      <c r="H487" s="679"/>
      <c r="I487" s="101">
        <f t="shared" si="264"/>
        <v>47</v>
      </c>
      <c r="J487" s="101">
        <f t="shared" si="265"/>
        <v>4432.6170212765956</v>
      </c>
      <c r="K487" s="683">
        <f t="shared" si="266"/>
        <v>208333</v>
      </c>
    </row>
    <row r="488" spans="1:11">
      <c r="A488" s="681">
        <v>469</v>
      </c>
      <c r="B488" s="903"/>
      <c r="C488" s="894"/>
      <c r="D488" s="895"/>
      <c r="E488" s="894"/>
      <c r="F488" s="894"/>
      <c r="G488" s="894"/>
      <c r="H488" s="894"/>
      <c r="I488" s="896"/>
      <c r="J488" s="896"/>
      <c r="K488" s="897"/>
    </row>
    <row r="489" spans="1:11">
      <c r="A489" s="681">
        <v>470</v>
      </c>
      <c r="B489" s="979" t="s">
        <v>1467</v>
      </c>
      <c r="C489" s="978">
        <v>330</v>
      </c>
      <c r="D489" s="972" t="s">
        <v>1387</v>
      </c>
      <c r="E489" s="975" t="s">
        <v>962</v>
      </c>
      <c r="F489" s="975">
        <v>15</v>
      </c>
      <c r="G489" s="975">
        <f>+H489/F489</f>
        <v>494</v>
      </c>
      <c r="H489" s="976">
        <v>7410</v>
      </c>
      <c r="I489" s="101">
        <f t="shared" ref="I489:I497" si="267">+I488+F489</f>
        <v>15</v>
      </c>
      <c r="J489" s="101">
        <f t="shared" ref="J489:J497" si="268">+K489/I489</f>
        <v>494</v>
      </c>
      <c r="K489" s="683">
        <f t="shared" ref="K489:K497" si="269">(+H489+K488)</f>
        <v>7410</v>
      </c>
    </row>
    <row r="490" spans="1:11">
      <c r="A490" s="681">
        <v>471</v>
      </c>
      <c r="B490" s="976"/>
      <c r="C490" s="978">
        <v>372</v>
      </c>
      <c r="D490" s="972" t="s">
        <v>1438</v>
      </c>
      <c r="E490" s="975" t="s">
        <v>964</v>
      </c>
      <c r="F490" s="975">
        <v>15</v>
      </c>
      <c r="G490" s="975">
        <f>+H490/F490</f>
        <v>497</v>
      </c>
      <c r="H490" s="976">
        <v>7455</v>
      </c>
      <c r="I490" s="101">
        <f t="shared" si="267"/>
        <v>30</v>
      </c>
      <c r="J490" s="101">
        <f t="shared" si="268"/>
        <v>495.5</v>
      </c>
      <c r="K490" s="683">
        <f t="shared" si="269"/>
        <v>14865</v>
      </c>
    </row>
    <row r="491" spans="1:11">
      <c r="A491" s="681">
        <v>472</v>
      </c>
      <c r="B491" s="976"/>
      <c r="C491" s="978">
        <v>288</v>
      </c>
      <c r="D491" s="972" t="s">
        <v>1399</v>
      </c>
      <c r="E491" s="975" t="s">
        <v>962</v>
      </c>
      <c r="F491" s="975">
        <v>18</v>
      </c>
      <c r="G491" s="975">
        <f>+H491/F491</f>
        <v>495</v>
      </c>
      <c r="H491" s="976">
        <v>8910</v>
      </c>
      <c r="I491" s="101">
        <f t="shared" si="267"/>
        <v>48</v>
      </c>
      <c r="J491" s="101">
        <f t="shared" si="268"/>
        <v>495.3125</v>
      </c>
      <c r="K491" s="683">
        <f t="shared" si="269"/>
        <v>23775</v>
      </c>
    </row>
    <row r="492" spans="1:11">
      <c r="A492" s="681">
        <v>473</v>
      </c>
      <c r="B492" s="902"/>
      <c r="C492" s="679"/>
      <c r="D492" s="682"/>
      <c r="E492" s="679"/>
      <c r="F492" s="679"/>
      <c r="G492" s="679" t="e">
        <f t="shared" ref="G492:G497" si="270">H492/F492</f>
        <v>#DIV/0!</v>
      </c>
      <c r="H492" s="679"/>
      <c r="I492" s="101">
        <f t="shared" si="267"/>
        <v>48</v>
      </c>
      <c r="J492" s="101">
        <f t="shared" si="268"/>
        <v>495.3125</v>
      </c>
      <c r="K492" s="683">
        <f t="shared" si="269"/>
        <v>23775</v>
      </c>
    </row>
    <row r="493" spans="1:11">
      <c r="A493" s="681">
        <v>474</v>
      </c>
      <c r="B493" s="902"/>
      <c r="C493" s="679"/>
      <c r="D493" s="682"/>
      <c r="E493" s="679"/>
      <c r="F493" s="679"/>
      <c r="G493" s="679" t="e">
        <f t="shared" si="270"/>
        <v>#DIV/0!</v>
      </c>
      <c r="H493" s="679"/>
      <c r="I493" s="101">
        <f t="shared" si="267"/>
        <v>48</v>
      </c>
      <c r="J493" s="101">
        <f t="shared" si="268"/>
        <v>495.3125</v>
      </c>
      <c r="K493" s="683">
        <f t="shared" si="269"/>
        <v>23775</v>
      </c>
    </row>
    <row r="494" spans="1:11">
      <c r="A494" s="681">
        <v>475</v>
      </c>
      <c r="B494" s="902"/>
      <c r="C494" s="679"/>
      <c r="D494" s="682"/>
      <c r="E494" s="679"/>
      <c r="F494" s="679"/>
      <c r="G494" s="679" t="e">
        <f t="shared" si="270"/>
        <v>#DIV/0!</v>
      </c>
      <c r="H494" s="679"/>
      <c r="I494" s="101">
        <f t="shared" si="267"/>
        <v>48</v>
      </c>
      <c r="J494" s="101">
        <f t="shared" si="268"/>
        <v>495.3125</v>
      </c>
      <c r="K494" s="683">
        <f t="shared" si="269"/>
        <v>23775</v>
      </c>
    </row>
    <row r="495" spans="1:11">
      <c r="A495" s="681">
        <v>476</v>
      </c>
      <c r="B495" s="902"/>
      <c r="C495" s="679"/>
      <c r="D495" s="682"/>
      <c r="E495" s="679"/>
      <c r="F495" s="679"/>
      <c r="G495" s="679" t="e">
        <f t="shared" si="270"/>
        <v>#DIV/0!</v>
      </c>
      <c r="H495" s="679"/>
      <c r="I495" s="101">
        <f t="shared" si="267"/>
        <v>48</v>
      </c>
      <c r="J495" s="101">
        <f t="shared" si="268"/>
        <v>495.3125</v>
      </c>
      <c r="K495" s="683">
        <f t="shared" si="269"/>
        <v>23775</v>
      </c>
    </row>
    <row r="496" spans="1:11">
      <c r="A496" s="681">
        <v>477</v>
      </c>
      <c r="B496" s="902"/>
      <c r="C496" s="679"/>
      <c r="D496" s="682"/>
      <c r="E496" s="679"/>
      <c r="F496" s="679"/>
      <c r="G496" s="679" t="e">
        <f t="shared" si="270"/>
        <v>#DIV/0!</v>
      </c>
      <c r="H496" s="679"/>
      <c r="I496" s="101">
        <f t="shared" si="267"/>
        <v>48</v>
      </c>
      <c r="J496" s="101">
        <f t="shared" si="268"/>
        <v>495.3125</v>
      </c>
      <c r="K496" s="683">
        <f t="shared" si="269"/>
        <v>23775</v>
      </c>
    </row>
    <row r="497" spans="1:11">
      <c r="A497" s="681">
        <v>478</v>
      </c>
      <c r="B497" s="902"/>
      <c r="C497" s="679"/>
      <c r="D497" s="682"/>
      <c r="E497" s="679"/>
      <c r="F497" s="679"/>
      <c r="G497" s="679" t="e">
        <f t="shared" si="270"/>
        <v>#DIV/0!</v>
      </c>
      <c r="H497" s="679"/>
      <c r="I497" s="101">
        <f t="shared" si="267"/>
        <v>48</v>
      </c>
      <c r="J497" s="101">
        <f t="shared" si="268"/>
        <v>495.3125</v>
      </c>
      <c r="K497" s="683">
        <f t="shared" si="269"/>
        <v>23775</v>
      </c>
    </row>
    <row r="498" spans="1:11">
      <c r="A498" s="681">
        <v>479</v>
      </c>
      <c r="B498" s="903"/>
      <c r="C498" s="894"/>
      <c r="D498" s="895"/>
      <c r="E498" s="894"/>
      <c r="F498" s="894"/>
      <c r="G498" s="894"/>
      <c r="H498" s="894"/>
      <c r="I498" s="896"/>
      <c r="J498" s="896"/>
      <c r="K498" s="897"/>
    </row>
    <row r="499" spans="1:11">
      <c r="A499" s="681">
        <v>480</v>
      </c>
      <c r="B499" s="980" t="s">
        <v>1461</v>
      </c>
      <c r="C499" s="978">
        <v>372</v>
      </c>
      <c r="D499" s="972" t="s">
        <v>1342</v>
      </c>
      <c r="E499" s="974" t="s">
        <v>962</v>
      </c>
      <c r="F499" s="974">
        <v>250</v>
      </c>
      <c r="G499" s="975">
        <f>+H499/F499</f>
        <v>160</v>
      </c>
      <c r="H499" s="973">
        <v>40000</v>
      </c>
      <c r="I499" s="101">
        <f t="shared" ref="I499:I507" si="271">+I498+F499</f>
        <v>250</v>
      </c>
      <c r="J499" s="101">
        <f t="shared" ref="J499:J507" si="272">+K499/I499</f>
        <v>160</v>
      </c>
      <c r="K499" s="683">
        <f t="shared" ref="K499:K507" si="273">(+H499+K498)</f>
        <v>40000</v>
      </c>
    </row>
    <row r="500" spans="1:11">
      <c r="A500" s="681">
        <v>481</v>
      </c>
      <c r="B500" s="976"/>
      <c r="C500" s="978">
        <v>228</v>
      </c>
      <c r="D500" s="972" t="s">
        <v>1353</v>
      </c>
      <c r="E500" s="975" t="s">
        <v>1283</v>
      </c>
      <c r="F500" s="975">
        <f>600+600+200+300</f>
        <v>1700</v>
      </c>
      <c r="G500" s="975">
        <f>+H500/F500</f>
        <v>97.058823529411768</v>
      </c>
      <c r="H500" s="976">
        <v>165000</v>
      </c>
      <c r="I500" s="101">
        <f t="shared" si="271"/>
        <v>1950</v>
      </c>
      <c r="J500" s="101">
        <f t="shared" si="272"/>
        <v>105.12820512820512</v>
      </c>
      <c r="K500" s="683">
        <f t="shared" si="273"/>
        <v>205000</v>
      </c>
    </row>
    <row r="501" spans="1:11">
      <c r="A501" s="681">
        <v>482</v>
      </c>
      <c r="B501" s="902"/>
      <c r="C501" s="679"/>
      <c r="D501" s="682"/>
      <c r="E501" s="679"/>
      <c r="F501" s="679"/>
      <c r="G501" s="679" t="e">
        <f t="shared" ref="G501:G507" si="274">H501/F501</f>
        <v>#DIV/0!</v>
      </c>
      <c r="H501" s="679"/>
      <c r="I501" s="101">
        <f t="shared" si="271"/>
        <v>1950</v>
      </c>
      <c r="J501" s="101">
        <f t="shared" si="272"/>
        <v>105.12820512820512</v>
      </c>
      <c r="K501" s="683">
        <f t="shared" si="273"/>
        <v>205000</v>
      </c>
    </row>
    <row r="502" spans="1:11">
      <c r="A502" s="681">
        <v>483</v>
      </c>
      <c r="B502" s="902"/>
      <c r="C502" s="679"/>
      <c r="D502" s="682"/>
      <c r="E502" s="679"/>
      <c r="F502" s="679"/>
      <c r="G502" s="679" t="e">
        <f t="shared" si="274"/>
        <v>#DIV/0!</v>
      </c>
      <c r="H502" s="679"/>
      <c r="I502" s="101">
        <f t="shared" si="271"/>
        <v>1950</v>
      </c>
      <c r="J502" s="101">
        <f t="shared" si="272"/>
        <v>105.12820512820512</v>
      </c>
      <c r="K502" s="683">
        <f t="shared" si="273"/>
        <v>205000</v>
      </c>
    </row>
    <row r="503" spans="1:11">
      <c r="A503" s="681">
        <v>484</v>
      </c>
      <c r="B503" s="902"/>
      <c r="C503" s="679"/>
      <c r="D503" s="682"/>
      <c r="E503" s="679"/>
      <c r="F503" s="679"/>
      <c r="G503" s="679" t="e">
        <f t="shared" si="274"/>
        <v>#DIV/0!</v>
      </c>
      <c r="H503" s="679"/>
      <c r="I503" s="101">
        <f t="shared" si="271"/>
        <v>1950</v>
      </c>
      <c r="J503" s="101">
        <f t="shared" si="272"/>
        <v>105.12820512820512</v>
      </c>
      <c r="K503" s="683">
        <f t="shared" si="273"/>
        <v>205000</v>
      </c>
    </row>
    <row r="504" spans="1:11">
      <c r="A504" s="681">
        <v>485</v>
      </c>
      <c r="B504" s="902"/>
      <c r="C504" s="679"/>
      <c r="D504" s="682"/>
      <c r="E504" s="679"/>
      <c r="F504" s="679"/>
      <c r="G504" s="679" t="e">
        <f t="shared" si="274"/>
        <v>#DIV/0!</v>
      </c>
      <c r="H504" s="679"/>
      <c r="I504" s="101">
        <f t="shared" si="271"/>
        <v>1950</v>
      </c>
      <c r="J504" s="101">
        <f t="shared" si="272"/>
        <v>105.12820512820512</v>
      </c>
      <c r="K504" s="683">
        <f t="shared" si="273"/>
        <v>205000</v>
      </c>
    </row>
    <row r="505" spans="1:11">
      <c r="A505" s="681">
        <v>486</v>
      </c>
      <c r="B505" s="902"/>
      <c r="C505" s="679"/>
      <c r="D505" s="682"/>
      <c r="E505" s="679"/>
      <c r="F505" s="679"/>
      <c r="G505" s="679" t="e">
        <f t="shared" si="274"/>
        <v>#DIV/0!</v>
      </c>
      <c r="H505" s="679"/>
      <c r="I505" s="101">
        <f t="shared" si="271"/>
        <v>1950</v>
      </c>
      <c r="J505" s="101">
        <f t="shared" si="272"/>
        <v>105.12820512820512</v>
      </c>
      <c r="K505" s="683">
        <f t="shared" si="273"/>
        <v>205000</v>
      </c>
    </row>
    <row r="506" spans="1:11">
      <c r="A506" s="681">
        <v>487</v>
      </c>
      <c r="B506" s="902"/>
      <c r="C506" s="679"/>
      <c r="D506" s="682"/>
      <c r="E506" s="679"/>
      <c r="F506" s="679"/>
      <c r="G506" s="679" t="e">
        <f t="shared" si="274"/>
        <v>#DIV/0!</v>
      </c>
      <c r="H506" s="679"/>
      <c r="I506" s="101">
        <f t="shared" si="271"/>
        <v>1950</v>
      </c>
      <c r="J506" s="101">
        <f t="shared" si="272"/>
        <v>105.12820512820512</v>
      </c>
      <c r="K506" s="683">
        <f t="shared" si="273"/>
        <v>205000</v>
      </c>
    </row>
    <row r="507" spans="1:11">
      <c r="A507" s="681">
        <v>488</v>
      </c>
      <c r="B507" s="902"/>
      <c r="C507" s="679"/>
      <c r="D507" s="682"/>
      <c r="E507" s="679"/>
      <c r="F507" s="679"/>
      <c r="G507" s="679" t="e">
        <f t="shared" si="274"/>
        <v>#DIV/0!</v>
      </c>
      <c r="H507" s="679"/>
      <c r="I507" s="101">
        <f t="shared" si="271"/>
        <v>1950</v>
      </c>
      <c r="J507" s="101">
        <f t="shared" si="272"/>
        <v>105.12820512820512</v>
      </c>
      <c r="K507" s="683">
        <f t="shared" si="273"/>
        <v>205000</v>
      </c>
    </row>
    <row r="508" spans="1:11">
      <c r="A508" s="681">
        <v>489</v>
      </c>
      <c r="B508" s="903"/>
      <c r="C508" s="894"/>
      <c r="D508" s="895"/>
      <c r="E508" s="894"/>
      <c r="F508" s="894"/>
      <c r="G508" s="894"/>
      <c r="H508" s="894"/>
      <c r="I508" s="896"/>
      <c r="J508" s="896"/>
      <c r="K508" s="897"/>
    </row>
    <row r="509" spans="1:11">
      <c r="A509" s="681">
        <v>490</v>
      </c>
      <c r="B509" s="979" t="s">
        <v>1309</v>
      </c>
      <c r="C509" s="978">
        <v>233</v>
      </c>
      <c r="D509" s="972" t="s">
        <v>1358</v>
      </c>
      <c r="E509" s="975" t="s">
        <v>517</v>
      </c>
      <c r="F509" s="975">
        <v>77.2</v>
      </c>
      <c r="G509" s="975">
        <f>+H509/F509</f>
        <v>5500</v>
      </c>
      <c r="H509" s="976">
        <v>424600</v>
      </c>
      <c r="I509" s="101">
        <f t="shared" ref="I509:I517" si="275">+I508+F509</f>
        <v>77.2</v>
      </c>
      <c r="J509" s="101">
        <f t="shared" ref="J509:J517" si="276">+K509/I509</f>
        <v>5500</v>
      </c>
      <c r="K509" s="683">
        <f t="shared" ref="K509:K517" si="277">(+H509+K508)</f>
        <v>424600</v>
      </c>
    </row>
    <row r="510" spans="1:11">
      <c r="A510" s="681">
        <v>491</v>
      </c>
      <c r="B510" s="979"/>
      <c r="C510" s="978">
        <v>241</v>
      </c>
      <c r="D510" s="972" t="s">
        <v>1431</v>
      </c>
      <c r="E510" s="975" t="s">
        <v>517</v>
      </c>
      <c r="F510" s="975">
        <v>43</v>
      </c>
      <c r="G510" s="975">
        <f>+H510/F510</f>
        <v>5500</v>
      </c>
      <c r="H510" s="976">
        <v>236500</v>
      </c>
      <c r="I510" s="101">
        <f t="shared" si="275"/>
        <v>120.2</v>
      </c>
      <c r="J510" s="101">
        <f t="shared" si="276"/>
        <v>5500</v>
      </c>
      <c r="K510" s="683">
        <f t="shared" si="277"/>
        <v>661100</v>
      </c>
    </row>
    <row r="511" spans="1:11">
      <c r="A511" s="681">
        <v>492</v>
      </c>
      <c r="B511" s="904"/>
      <c r="C511" s="679"/>
      <c r="D511" s="682"/>
      <c r="E511" s="679"/>
      <c r="F511" s="679"/>
      <c r="G511" s="679" t="e">
        <f t="shared" ref="G511:G517" si="278">H511/F511</f>
        <v>#DIV/0!</v>
      </c>
      <c r="H511" s="679"/>
      <c r="I511" s="101">
        <f t="shared" si="275"/>
        <v>120.2</v>
      </c>
      <c r="J511" s="101">
        <f t="shared" si="276"/>
        <v>5500</v>
      </c>
      <c r="K511" s="683">
        <f t="shared" si="277"/>
        <v>661100</v>
      </c>
    </row>
    <row r="512" spans="1:11">
      <c r="A512" s="681">
        <v>493</v>
      </c>
      <c r="B512" s="904"/>
      <c r="C512" s="679"/>
      <c r="D512" s="682"/>
      <c r="E512" s="679"/>
      <c r="F512" s="679"/>
      <c r="G512" s="679" t="e">
        <f t="shared" si="278"/>
        <v>#DIV/0!</v>
      </c>
      <c r="H512" s="679"/>
      <c r="I512" s="101">
        <f t="shared" si="275"/>
        <v>120.2</v>
      </c>
      <c r="J512" s="101">
        <f t="shared" si="276"/>
        <v>5500</v>
      </c>
      <c r="K512" s="683">
        <f t="shared" si="277"/>
        <v>661100</v>
      </c>
    </row>
    <row r="513" spans="1:11">
      <c r="A513" s="681">
        <v>494</v>
      </c>
      <c r="B513" s="904"/>
      <c r="C513" s="679"/>
      <c r="D513" s="682"/>
      <c r="E513" s="679"/>
      <c r="F513" s="679"/>
      <c r="G513" s="679" t="e">
        <f t="shared" si="278"/>
        <v>#DIV/0!</v>
      </c>
      <c r="H513" s="679"/>
      <c r="I513" s="101">
        <f t="shared" si="275"/>
        <v>120.2</v>
      </c>
      <c r="J513" s="101">
        <f t="shared" si="276"/>
        <v>5500</v>
      </c>
      <c r="K513" s="683">
        <f t="shared" si="277"/>
        <v>661100</v>
      </c>
    </row>
    <row r="514" spans="1:11">
      <c r="A514" s="681">
        <v>495</v>
      </c>
      <c r="B514" s="904"/>
      <c r="C514" s="679"/>
      <c r="D514" s="682"/>
      <c r="E514" s="679"/>
      <c r="F514" s="679"/>
      <c r="G514" s="679" t="e">
        <f t="shared" si="278"/>
        <v>#DIV/0!</v>
      </c>
      <c r="H514" s="679"/>
      <c r="I514" s="101">
        <f t="shared" si="275"/>
        <v>120.2</v>
      </c>
      <c r="J514" s="101">
        <f t="shared" si="276"/>
        <v>5500</v>
      </c>
      <c r="K514" s="683">
        <f t="shared" si="277"/>
        <v>661100</v>
      </c>
    </row>
    <row r="515" spans="1:11">
      <c r="A515" s="681">
        <v>496</v>
      </c>
      <c r="B515" s="904"/>
      <c r="C515" s="679"/>
      <c r="D515" s="682"/>
      <c r="E515" s="679"/>
      <c r="F515" s="679"/>
      <c r="G515" s="679" t="e">
        <f t="shared" si="278"/>
        <v>#DIV/0!</v>
      </c>
      <c r="H515" s="679"/>
      <c r="I515" s="101">
        <f t="shared" si="275"/>
        <v>120.2</v>
      </c>
      <c r="J515" s="101">
        <f t="shared" si="276"/>
        <v>5500</v>
      </c>
      <c r="K515" s="683">
        <f t="shared" si="277"/>
        <v>661100</v>
      </c>
    </row>
    <row r="516" spans="1:11">
      <c r="A516" s="681">
        <v>497</v>
      </c>
      <c r="B516" s="904"/>
      <c r="C516" s="679"/>
      <c r="D516" s="682"/>
      <c r="E516" s="679"/>
      <c r="F516" s="679"/>
      <c r="G516" s="679" t="e">
        <f t="shared" si="278"/>
        <v>#DIV/0!</v>
      </c>
      <c r="H516" s="679"/>
      <c r="I516" s="101">
        <f t="shared" si="275"/>
        <v>120.2</v>
      </c>
      <c r="J516" s="101">
        <f t="shared" si="276"/>
        <v>5500</v>
      </c>
      <c r="K516" s="683">
        <f t="shared" si="277"/>
        <v>661100</v>
      </c>
    </row>
    <row r="517" spans="1:11">
      <c r="A517" s="681">
        <v>498</v>
      </c>
      <c r="B517" s="904"/>
      <c r="C517" s="679"/>
      <c r="D517" s="682"/>
      <c r="E517" s="679"/>
      <c r="F517" s="679"/>
      <c r="G517" s="679" t="e">
        <f t="shared" si="278"/>
        <v>#DIV/0!</v>
      </c>
      <c r="H517" s="679"/>
      <c r="I517" s="101">
        <f t="shared" si="275"/>
        <v>120.2</v>
      </c>
      <c r="J517" s="101">
        <f t="shared" si="276"/>
        <v>5500</v>
      </c>
      <c r="K517" s="683">
        <f t="shared" si="277"/>
        <v>661100</v>
      </c>
    </row>
    <row r="518" spans="1:11">
      <c r="A518" s="681">
        <v>499</v>
      </c>
      <c r="B518" s="981"/>
      <c r="C518" s="894"/>
      <c r="D518" s="895"/>
      <c r="E518" s="894"/>
      <c r="F518" s="894"/>
      <c r="G518" s="894"/>
      <c r="H518" s="894"/>
      <c r="I518" s="896"/>
      <c r="J518" s="896"/>
      <c r="K518" s="897"/>
    </row>
    <row r="519" spans="1:11">
      <c r="A519" s="681">
        <v>500</v>
      </c>
      <c r="B519" s="979" t="s">
        <v>909</v>
      </c>
      <c r="C519" s="978">
        <v>169</v>
      </c>
      <c r="D519" s="972" t="s">
        <v>1347</v>
      </c>
      <c r="E519" s="975" t="s">
        <v>962</v>
      </c>
      <c r="F519" s="975">
        <v>9877</v>
      </c>
      <c r="G519" s="975">
        <f>+H519/F519</f>
        <v>67.500050622658705</v>
      </c>
      <c r="H519" s="976">
        <v>666698</v>
      </c>
      <c r="I519" s="101">
        <f t="shared" ref="I519:I527" si="279">+I518+F519</f>
        <v>9877</v>
      </c>
      <c r="J519" s="101">
        <f t="shared" ref="J519:J527" si="280">+K519/I519</f>
        <v>67.500050622658705</v>
      </c>
      <c r="K519" s="683">
        <f t="shared" ref="K519:K527" si="281">(+H519+K518)</f>
        <v>666698</v>
      </c>
    </row>
    <row r="520" spans="1:11">
      <c r="A520" s="681">
        <v>501</v>
      </c>
      <c r="B520" s="904"/>
      <c r="C520" s="679"/>
      <c r="D520" s="682">
        <v>6.08</v>
      </c>
      <c r="E520" s="679" t="s">
        <v>962</v>
      </c>
      <c r="F520" s="679">
        <v>14938</v>
      </c>
      <c r="G520" s="679">
        <f t="shared" ref="G520:G527" si="282">H520/F520</f>
        <v>71.659258267505692</v>
      </c>
      <c r="H520" s="679">
        <v>1070446</v>
      </c>
      <c r="I520" s="101">
        <f t="shared" si="279"/>
        <v>24815</v>
      </c>
      <c r="J520" s="101">
        <f t="shared" si="280"/>
        <v>70.003788031432606</v>
      </c>
      <c r="K520" s="683">
        <f t="shared" si="281"/>
        <v>1737144</v>
      </c>
    </row>
    <row r="521" spans="1:11">
      <c r="A521" s="681">
        <v>502</v>
      </c>
      <c r="B521" s="904"/>
      <c r="C521" s="679">
        <v>7412</v>
      </c>
      <c r="D521" s="682">
        <v>15.1</v>
      </c>
      <c r="E521" s="679" t="s">
        <v>962</v>
      </c>
      <c r="F521" s="679">
        <v>10285</v>
      </c>
      <c r="G521" s="679">
        <f t="shared" si="282"/>
        <v>81.024112785610114</v>
      </c>
      <c r="H521" s="679">
        <v>833333</v>
      </c>
      <c r="I521" s="101">
        <f t="shared" si="279"/>
        <v>35100</v>
      </c>
      <c r="J521" s="101">
        <f t="shared" si="280"/>
        <v>73.232962962962958</v>
      </c>
      <c r="K521" s="683">
        <f t="shared" si="281"/>
        <v>2570477</v>
      </c>
    </row>
    <row r="522" spans="1:11">
      <c r="A522" s="681">
        <v>503</v>
      </c>
      <c r="B522" s="904"/>
      <c r="C522" s="679"/>
      <c r="D522" s="682"/>
      <c r="E522" s="679"/>
      <c r="F522" s="679"/>
      <c r="G522" s="679" t="e">
        <f t="shared" si="282"/>
        <v>#DIV/0!</v>
      </c>
      <c r="H522" s="679"/>
      <c r="I522" s="101">
        <f t="shared" si="279"/>
        <v>35100</v>
      </c>
      <c r="J522" s="101">
        <f t="shared" si="280"/>
        <v>73.232962962962958</v>
      </c>
      <c r="K522" s="683">
        <f t="shared" si="281"/>
        <v>2570477</v>
      </c>
    </row>
    <row r="523" spans="1:11">
      <c r="A523" s="681">
        <v>504</v>
      </c>
      <c r="B523" s="904"/>
      <c r="C523" s="679"/>
      <c r="D523" s="682"/>
      <c r="E523" s="679"/>
      <c r="F523" s="679"/>
      <c r="G523" s="679" t="e">
        <f t="shared" si="282"/>
        <v>#DIV/0!</v>
      </c>
      <c r="H523" s="679"/>
      <c r="I523" s="101">
        <f t="shared" si="279"/>
        <v>35100</v>
      </c>
      <c r="J523" s="101">
        <f t="shared" si="280"/>
        <v>73.232962962962958</v>
      </c>
      <c r="K523" s="683">
        <f t="shared" si="281"/>
        <v>2570477</v>
      </c>
    </row>
    <row r="524" spans="1:11">
      <c r="A524" s="681">
        <v>505</v>
      </c>
      <c r="B524" s="902"/>
      <c r="C524" s="679"/>
      <c r="D524" s="682"/>
      <c r="E524" s="679"/>
      <c r="F524" s="679"/>
      <c r="G524" s="679" t="e">
        <f t="shared" si="282"/>
        <v>#DIV/0!</v>
      </c>
      <c r="H524" s="679"/>
      <c r="I524" s="101">
        <f t="shared" si="279"/>
        <v>35100</v>
      </c>
      <c r="J524" s="101">
        <f t="shared" si="280"/>
        <v>73.232962962962958</v>
      </c>
      <c r="K524" s="683">
        <f t="shared" si="281"/>
        <v>2570477</v>
      </c>
    </row>
    <row r="525" spans="1:11">
      <c r="A525" s="681">
        <v>506</v>
      </c>
      <c r="B525" s="902"/>
      <c r="C525" s="679"/>
      <c r="D525" s="682"/>
      <c r="E525" s="679"/>
      <c r="F525" s="679"/>
      <c r="G525" s="679" t="e">
        <f t="shared" si="282"/>
        <v>#DIV/0!</v>
      </c>
      <c r="H525" s="679"/>
      <c r="I525" s="101">
        <f t="shared" si="279"/>
        <v>35100</v>
      </c>
      <c r="J525" s="101">
        <f t="shared" si="280"/>
        <v>73.232962962962958</v>
      </c>
      <c r="K525" s="683">
        <f t="shared" si="281"/>
        <v>2570477</v>
      </c>
    </row>
    <row r="526" spans="1:11">
      <c r="A526" s="681">
        <v>507</v>
      </c>
      <c r="B526" s="902"/>
      <c r="C526" s="679"/>
      <c r="D526" s="682"/>
      <c r="E526" s="679"/>
      <c r="F526" s="679"/>
      <c r="G526" s="679" t="e">
        <f t="shared" si="282"/>
        <v>#DIV/0!</v>
      </c>
      <c r="H526" s="679"/>
      <c r="I526" s="101">
        <f t="shared" si="279"/>
        <v>35100</v>
      </c>
      <c r="J526" s="101">
        <f t="shared" si="280"/>
        <v>73.232962962962958</v>
      </c>
      <c r="K526" s="683">
        <f t="shared" si="281"/>
        <v>2570477</v>
      </c>
    </row>
    <row r="527" spans="1:11">
      <c r="A527" s="681">
        <v>508</v>
      </c>
      <c r="B527" s="902"/>
      <c r="C527" s="679"/>
      <c r="D527" s="682"/>
      <c r="E527" s="679"/>
      <c r="F527" s="679"/>
      <c r="G527" s="679" t="e">
        <f t="shared" si="282"/>
        <v>#DIV/0!</v>
      </c>
      <c r="H527" s="679"/>
      <c r="I527" s="101">
        <f t="shared" si="279"/>
        <v>35100</v>
      </c>
      <c r="J527" s="101">
        <f t="shared" si="280"/>
        <v>73.232962962962958</v>
      </c>
      <c r="K527" s="683">
        <f t="shared" si="281"/>
        <v>2570477</v>
      </c>
    </row>
    <row r="528" spans="1:11">
      <c r="A528" s="681">
        <v>509</v>
      </c>
      <c r="B528" s="903"/>
      <c r="C528" s="894"/>
      <c r="D528" s="895"/>
      <c r="E528" s="894"/>
      <c r="F528" s="894"/>
      <c r="G528" s="894"/>
      <c r="H528" s="894"/>
      <c r="I528" s="896"/>
      <c r="J528" s="896"/>
      <c r="K528" s="897"/>
    </row>
    <row r="529" spans="1:11">
      <c r="A529" s="681">
        <v>510</v>
      </c>
      <c r="B529" s="979" t="s">
        <v>1459</v>
      </c>
      <c r="C529" s="978">
        <v>372</v>
      </c>
      <c r="D529" s="972" t="s">
        <v>1342</v>
      </c>
      <c r="E529" s="975" t="s">
        <v>961</v>
      </c>
      <c r="F529" s="975">
        <v>60</v>
      </c>
      <c r="G529" s="975">
        <f>+H529/F529</f>
        <v>875</v>
      </c>
      <c r="H529" s="976">
        <v>52500</v>
      </c>
      <c r="I529" s="101">
        <f t="shared" ref="I529:I532" si="283">+I528+F529</f>
        <v>60</v>
      </c>
      <c r="J529" s="101">
        <f t="shared" ref="J529:J532" si="284">+K529/I529</f>
        <v>875</v>
      </c>
      <c r="K529" s="683">
        <f t="shared" ref="K529:K532" si="285">(+H529+K528)</f>
        <v>52500</v>
      </c>
    </row>
    <row r="530" spans="1:11">
      <c r="A530" s="681">
        <v>511</v>
      </c>
      <c r="B530" s="976"/>
      <c r="C530" s="978">
        <v>305</v>
      </c>
      <c r="D530" s="972" t="s">
        <v>1435</v>
      </c>
      <c r="E530" s="975" t="s">
        <v>1283</v>
      </c>
      <c r="F530" s="975">
        <v>700</v>
      </c>
      <c r="G530" s="975">
        <f>+H530/F530</f>
        <v>62.857142857142854</v>
      </c>
      <c r="H530" s="976">
        <v>44000</v>
      </c>
      <c r="I530" s="101">
        <f t="shared" si="283"/>
        <v>760</v>
      </c>
      <c r="J530" s="101">
        <f t="shared" si="284"/>
        <v>126.97368421052632</v>
      </c>
      <c r="K530" s="683">
        <f t="shared" si="285"/>
        <v>96500</v>
      </c>
    </row>
    <row r="531" spans="1:11">
      <c r="A531" s="681">
        <v>512</v>
      </c>
      <c r="B531" s="902"/>
      <c r="C531" s="679">
        <v>513</v>
      </c>
      <c r="D531" s="682">
        <v>24.08</v>
      </c>
      <c r="E531" s="679" t="s">
        <v>962</v>
      </c>
      <c r="F531" s="679">
        <f>100*15</f>
        <v>1500</v>
      </c>
      <c r="G531" s="679">
        <f t="shared" ref="G531:G542" si="286">H531/F531</f>
        <v>40</v>
      </c>
      <c r="H531" s="679">
        <v>60000</v>
      </c>
      <c r="I531" s="101">
        <f t="shared" si="283"/>
        <v>2260</v>
      </c>
      <c r="J531" s="101">
        <f t="shared" si="284"/>
        <v>69.247787610619469</v>
      </c>
      <c r="K531" s="683">
        <f t="shared" si="285"/>
        <v>156500</v>
      </c>
    </row>
    <row r="532" spans="1:11">
      <c r="A532" s="681">
        <v>513</v>
      </c>
      <c r="B532" s="902"/>
      <c r="C532" s="679">
        <v>513</v>
      </c>
      <c r="D532" s="682">
        <v>24.08</v>
      </c>
      <c r="E532" s="679" t="s">
        <v>962</v>
      </c>
      <c r="F532" s="679">
        <f>1*100</f>
        <v>100</v>
      </c>
      <c r="G532" s="679">
        <f t="shared" si="286"/>
        <v>230</v>
      </c>
      <c r="H532" s="679">
        <v>23000</v>
      </c>
      <c r="I532" s="101">
        <f t="shared" si="283"/>
        <v>2360</v>
      </c>
      <c r="J532" s="101">
        <f t="shared" si="284"/>
        <v>76.059322033898312</v>
      </c>
      <c r="K532" s="683">
        <f t="shared" si="285"/>
        <v>179500</v>
      </c>
    </row>
    <row r="533" spans="1:11">
      <c r="A533" s="681">
        <v>514</v>
      </c>
      <c r="B533" s="902"/>
      <c r="C533" s="679">
        <v>364</v>
      </c>
      <c r="D533" s="682">
        <v>20.079999999999998</v>
      </c>
      <c r="E533" s="679" t="s">
        <v>1283</v>
      </c>
      <c r="F533" s="679">
        <f>400+200+200+200</f>
        <v>1000</v>
      </c>
      <c r="G533" s="679">
        <f t="shared" si="286"/>
        <v>94</v>
      </c>
      <c r="H533" s="679">
        <v>94000</v>
      </c>
      <c r="I533" s="101">
        <f t="shared" ref="I533:I542" si="287">+I532+F533</f>
        <v>3360</v>
      </c>
      <c r="J533" s="101">
        <f t="shared" ref="J533:J542" si="288">+K533/I533</f>
        <v>81.398809523809518</v>
      </c>
      <c r="K533" s="683">
        <f t="shared" ref="K533:K542" si="289">(+H533+K532)</f>
        <v>273500</v>
      </c>
    </row>
    <row r="534" spans="1:11">
      <c r="A534" s="681">
        <v>515</v>
      </c>
      <c r="B534" s="902"/>
      <c r="C534" s="679">
        <v>413</v>
      </c>
      <c r="D534" s="682">
        <v>17.09</v>
      </c>
      <c r="E534" s="679" t="s">
        <v>1283</v>
      </c>
      <c r="F534" s="679">
        <v>600</v>
      </c>
      <c r="G534" s="679">
        <f t="shared" si="286"/>
        <v>90</v>
      </c>
      <c r="H534" s="679">
        <v>54000</v>
      </c>
      <c r="I534" s="101">
        <f t="shared" si="287"/>
        <v>3960</v>
      </c>
      <c r="J534" s="101">
        <f t="shared" si="288"/>
        <v>82.702020202020208</v>
      </c>
      <c r="K534" s="683">
        <f t="shared" si="289"/>
        <v>327500</v>
      </c>
    </row>
    <row r="535" spans="1:11">
      <c r="A535" s="681">
        <v>516</v>
      </c>
      <c r="B535" s="902"/>
      <c r="C535" s="679">
        <v>414</v>
      </c>
      <c r="D535" s="682">
        <v>17.09</v>
      </c>
      <c r="E535" s="679" t="s">
        <v>1283</v>
      </c>
      <c r="F535" s="679">
        <f>400+600</f>
        <v>1000</v>
      </c>
      <c r="G535" s="679">
        <f t="shared" si="286"/>
        <v>84</v>
      </c>
      <c r="H535" s="679">
        <v>84000</v>
      </c>
      <c r="I535" s="101">
        <f t="shared" si="287"/>
        <v>4960</v>
      </c>
      <c r="J535" s="101">
        <f t="shared" si="288"/>
        <v>82.963709677419359</v>
      </c>
      <c r="K535" s="683">
        <f t="shared" si="289"/>
        <v>411500</v>
      </c>
    </row>
    <row r="536" spans="1:11">
      <c r="A536" s="681">
        <v>517</v>
      </c>
      <c r="B536" s="902"/>
      <c r="C536" s="679"/>
      <c r="D536" s="682"/>
      <c r="E536" s="679"/>
      <c r="F536" s="679"/>
      <c r="G536" s="679" t="e">
        <f t="shared" si="286"/>
        <v>#DIV/0!</v>
      </c>
      <c r="H536" s="679"/>
      <c r="I536" s="101">
        <f t="shared" si="287"/>
        <v>4960</v>
      </c>
      <c r="J536" s="101">
        <f t="shared" si="288"/>
        <v>82.963709677419359</v>
      </c>
      <c r="K536" s="683">
        <f t="shared" si="289"/>
        <v>411500</v>
      </c>
    </row>
    <row r="537" spans="1:11">
      <c r="A537" s="681">
        <v>518</v>
      </c>
      <c r="B537" s="902"/>
      <c r="C537" s="679"/>
      <c r="D537" s="682"/>
      <c r="E537" s="679"/>
      <c r="F537" s="679"/>
      <c r="G537" s="679" t="e">
        <f t="shared" si="286"/>
        <v>#DIV/0!</v>
      </c>
      <c r="H537" s="679"/>
      <c r="I537" s="101">
        <f t="shared" si="287"/>
        <v>4960</v>
      </c>
      <c r="J537" s="101">
        <f t="shared" si="288"/>
        <v>82.963709677419359</v>
      </c>
      <c r="K537" s="683">
        <f t="shared" si="289"/>
        <v>411500</v>
      </c>
    </row>
    <row r="538" spans="1:11">
      <c r="A538" s="681">
        <v>519</v>
      </c>
      <c r="B538" s="902"/>
      <c r="C538" s="679"/>
      <c r="D538" s="682"/>
      <c r="E538" s="679"/>
      <c r="F538" s="679"/>
      <c r="G538" s="679" t="e">
        <f t="shared" si="286"/>
        <v>#DIV/0!</v>
      </c>
      <c r="H538" s="679"/>
      <c r="I538" s="101">
        <f t="shared" si="287"/>
        <v>4960</v>
      </c>
      <c r="J538" s="101">
        <f t="shared" si="288"/>
        <v>82.963709677419359</v>
      </c>
      <c r="K538" s="683">
        <f t="shared" si="289"/>
        <v>411500</v>
      </c>
    </row>
    <row r="539" spans="1:11">
      <c r="A539" s="681">
        <v>520</v>
      </c>
      <c r="B539" s="902"/>
      <c r="C539" s="679"/>
      <c r="D539" s="682"/>
      <c r="E539" s="679"/>
      <c r="F539" s="679"/>
      <c r="G539" s="679" t="e">
        <f t="shared" si="286"/>
        <v>#DIV/0!</v>
      </c>
      <c r="H539" s="679"/>
      <c r="I539" s="101">
        <f t="shared" si="287"/>
        <v>4960</v>
      </c>
      <c r="J539" s="101">
        <f t="shared" si="288"/>
        <v>82.963709677419359</v>
      </c>
      <c r="K539" s="683">
        <f t="shared" si="289"/>
        <v>411500</v>
      </c>
    </row>
    <row r="540" spans="1:11" ht="13.5" customHeight="1">
      <c r="A540" s="681">
        <v>521</v>
      </c>
      <c r="B540" s="902"/>
      <c r="C540" s="679"/>
      <c r="D540" s="682"/>
      <c r="E540" s="679"/>
      <c r="F540" s="679"/>
      <c r="G540" s="679" t="e">
        <f t="shared" si="286"/>
        <v>#DIV/0!</v>
      </c>
      <c r="H540" s="679"/>
      <c r="I540" s="101">
        <f t="shared" si="287"/>
        <v>4960</v>
      </c>
      <c r="J540" s="101">
        <f t="shared" si="288"/>
        <v>82.963709677419359</v>
      </c>
      <c r="K540" s="683">
        <f t="shared" si="289"/>
        <v>411500</v>
      </c>
    </row>
    <row r="541" spans="1:11">
      <c r="A541" s="681">
        <v>522</v>
      </c>
      <c r="B541" s="902"/>
      <c r="C541" s="679"/>
      <c r="D541" s="682"/>
      <c r="E541" s="679"/>
      <c r="F541" s="679"/>
      <c r="G541" s="679" t="e">
        <f t="shared" si="286"/>
        <v>#DIV/0!</v>
      </c>
      <c r="H541" s="679"/>
      <c r="I541" s="101">
        <f t="shared" si="287"/>
        <v>4960</v>
      </c>
      <c r="J541" s="101">
        <f t="shared" si="288"/>
        <v>82.963709677419359</v>
      </c>
      <c r="K541" s="683">
        <f t="shared" si="289"/>
        <v>411500</v>
      </c>
    </row>
    <row r="542" spans="1:11">
      <c r="A542" s="681">
        <v>523</v>
      </c>
      <c r="B542" s="902"/>
      <c r="C542" s="679"/>
      <c r="D542" s="682"/>
      <c r="E542" s="679"/>
      <c r="F542" s="679"/>
      <c r="G542" s="679" t="e">
        <f t="shared" si="286"/>
        <v>#DIV/0!</v>
      </c>
      <c r="H542" s="679"/>
      <c r="I542" s="101">
        <f t="shared" si="287"/>
        <v>4960</v>
      </c>
      <c r="J542" s="101">
        <f t="shared" si="288"/>
        <v>82.963709677419359</v>
      </c>
      <c r="K542" s="683">
        <f t="shared" si="289"/>
        <v>411500</v>
      </c>
    </row>
    <row r="543" spans="1:11">
      <c r="A543" s="681">
        <v>524</v>
      </c>
      <c r="B543" s="903"/>
      <c r="C543" s="894"/>
      <c r="D543" s="895"/>
      <c r="E543" s="894"/>
      <c r="F543" s="894"/>
      <c r="G543" s="894"/>
      <c r="H543" s="894"/>
      <c r="I543" s="896"/>
      <c r="J543" s="896"/>
      <c r="K543" s="897"/>
    </row>
    <row r="544" spans="1:11">
      <c r="A544" s="681">
        <v>525</v>
      </c>
      <c r="B544" s="979" t="s">
        <v>1475</v>
      </c>
      <c r="C544" s="978">
        <v>297</v>
      </c>
      <c r="D544" s="972" t="s">
        <v>1396</v>
      </c>
      <c r="E544" s="975" t="s">
        <v>961</v>
      </c>
      <c r="F544" s="975">
        <v>50</v>
      </c>
      <c r="G544" s="975">
        <f>+H544/F544</f>
        <v>14</v>
      </c>
      <c r="H544" s="976">
        <v>700</v>
      </c>
      <c r="I544" s="101">
        <f t="shared" ref="I544:I552" si="290">+I543+F544</f>
        <v>50</v>
      </c>
      <c r="J544" s="101">
        <f t="shared" ref="J544:J552" si="291">+K544/I544</f>
        <v>14</v>
      </c>
      <c r="K544" s="683">
        <f t="shared" ref="K544:K552" si="292">(+H544+K543)</f>
        <v>700</v>
      </c>
    </row>
    <row r="545" spans="1:11">
      <c r="A545" s="681">
        <v>526</v>
      </c>
      <c r="B545" s="902"/>
      <c r="C545" s="679"/>
      <c r="D545" s="682"/>
      <c r="E545" s="679"/>
      <c r="F545" s="679"/>
      <c r="G545" s="679" t="e">
        <f t="shared" ref="G545:G552" si="293">H545/F545</f>
        <v>#DIV/0!</v>
      </c>
      <c r="H545" s="679"/>
      <c r="I545" s="101">
        <f t="shared" si="290"/>
        <v>50</v>
      </c>
      <c r="J545" s="101">
        <f t="shared" si="291"/>
        <v>14</v>
      </c>
      <c r="K545" s="683">
        <f t="shared" si="292"/>
        <v>700</v>
      </c>
    </row>
    <row r="546" spans="1:11">
      <c r="A546" s="681">
        <v>527</v>
      </c>
      <c r="B546" s="902"/>
      <c r="C546" s="679"/>
      <c r="D546" s="682"/>
      <c r="E546" s="679"/>
      <c r="F546" s="679"/>
      <c r="G546" s="679" t="e">
        <f t="shared" si="293"/>
        <v>#DIV/0!</v>
      </c>
      <c r="H546" s="679"/>
      <c r="I546" s="101">
        <f t="shared" si="290"/>
        <v>50</v>
      </c>
      <c r="J546" s="101">
        <f t="shared" si="291"/>
        <v>14</v>
      </c>
      <c r="K546" s="683">
        <f t="shared" si="292"/>
        <v>700</v>
      </c>
    </row>
    <row r="547" spans="1:11">
      <c r="A547" s="681">
        <v>528</v>
      </c>
      <c r="B547" s="902"/>
      <c r="C547" s="679"/>
      <c r="D547" s="682"/>
      <c r="E547" s="679"/>
      <c r="F547" s="679"/>
      <c r="G547" s="679" t="e">
        <f t="shared" si="293"/>
        <v>#DIV/0!</v>
      </c>
      <c r="H547" s="679"/>
      <c r="I547" s="101">
        <f t="shared" si="290"/>
        <v>50</v>
      </c>
      <c r="J547" s="101">
        <f t="shared" si="291"/>
        <v>14</v>
      </c>
      <c r="K547" s="683">
        <f t="shared" si="292"/>
        <v>700</v>
      </c>
    </row>
    <row r="548" spans="1:11">
      <c r="A548" s="681">
        <v>529</v>
      </c>
      <c r="B548" s="902"/>
      <c r="C548" s="679"/>
      <c r="D548" s="682"/>
      <c r="E548" s="679"/>
      <c r="F548" s="679"/>
      <c r="G548" s="679" t="e">
        <f t="shared" si="293"/>
        <v>#DIV/0!</v>
      </c>
      <c r="H548" s="679"/>
      <c r="I548" s="101">
        <f t="shared" si="290"/>
        <v>50</v>
      </c>
      <c r="J548" s="101">
        <f t="shared" si="291"/>
        <v>14</v>
      </c>
      <c r="K548" s="683">
        <f t="shared" si="292"/>
        <v>700</v>
      </c>
    </row>
    <row r="549" spans="1:11">
      <c r="A549" s="681">
        <v>530</v>
      </c>
      <c r="B549" s="902"/>
      <c r="C549" s="679"/>
      <c r="D549" s="682"/>
      <c r="E549" s="679"/>
      <c r="F549" s="679"/>
      <c r="G549" s="679" t="e">
        <f t="shared" si="293"/>
        <v>#DIV/0!</v>
      </c>
      <c r="H549" s="679"/>
      <c r="I549" s="101">
        <f t="shared" si="290"/>
        <v>50</v>
      </c>
      <c r="J549" s="101">
        <f t="shared" si="291"/>
        <v>14</v>
      </c>
      <c r="K549" s="683">
        <f t="shared" si="292"/>
        <v>700</v>
      </c>
    </row>
    <row r="550" spans="1:11">
      <c r="A550" s="681">
        <v>531</v>
      </c>
      <c r="B550" s="902"/>
      <c r="C550" s="679"/>
      <c r="D550" s="682"/>
      <c r="E550" s="679"/>
      <c r="F550" s="679"/>
      <c r="G550" s="679" t="e">
        <f t="shared" si="293"/>
        <v>#DIV/0!</v>
      </c>
      <c r="H550" s="679"/>
      <c r="I550" s="101">
        <f t="shared" si="290"/>
        <v>50</v>
      </c>
      <c r="J550" s="101">
        <f t="shared" si="291"/>
        <v>14</v>
      </c>
      <c r="K550" s="683">
        <f t="shared" si="292"/>
        <v>700</v>
      </c>
    </row>
    <row r="551" spans="1:11">
      <c r="A551" s="681">
        <v>532</v>
      </c>
      <c r="B551" s="902"/>
      <c r="C551" s="679"/>
      <c r="D551" s="682"/>
      <c r="E551" s="679"/>
      <c r="F551" s="679"/>
      <c r="G551" s="679" t="e">
        <f t="shared" si="293"/>
        <v>#DIV/0!</v>
      </c>
      <c r="H551" s="679"/>
      <c r="I551" s="101">
        <f t="shared" si="290"/>
        <v>50</v>
      </c>
      <c r="J551" s="101">
        <f t="shared" si="291"/>
        <v>14</v>
      </c>
      <c r="K551" s="683">
        <f t="shared" si="292"/>
        <v>700</v>
      </c>
    </row>
    <row r="552" spans="1:11">
      <c r="A552" s="681">
        <v>533</v>
      </c>
      <c r="B552" s="902"/>
      <c r="C552" s="679"/>
      <c r="D552" s="682"/>
      <c r="E552" s="679"/>
      <c r="F552" s="679"/>
      <c r="G552" s="679" t="e">
        <f t="shared" si="293"/>
        <v>#DIV/0!</v>
      </c>
      <c r="H552" s="679"/>
      <c r="I552" s="101">
        <f t="shared" si="290"/>
        <v>50</v>
      </c>
      <c r="J552" s="101">
        <f t="shared" si="291"/>
        <v>14</v>
      </c>
      <c r="K552" s="683">
        <f t="shared" si="292"/>
        <v>700</v>
      </c>
    </row>
    <row r="553" spans="1:11">
      <c r="A553" s="681">
        <v>534</v>
      </c>
      <c r="B553" s="903"/>
      <c r="C553" s="894"/>
      <c r="D553" s="895"/>
      <c r="E553" s="894"/>
      <c r="F553" s="894"/>
      <c r="G553" s="894"/>
      <c r="H553" s="894"/>
      <c r="I553" s="896"/>
      <c r="J553" s="896"/>
      <c r="K553" s="897"/>
    </row>
    <row r="554" spans="1:11">
      <c r="A554" s="681">
        <v>535</v>
      </c>
      <c r="B554" s="979" t="s">
        <v>1465</v>
      </c>
      <c r="C554" s="978">
        <v>330</v>
      </c>
      <c r="D554" s="972" t="s">
        <v>1387</v>
      </c>
      <c r="E554" s="975" t="s">
        <v>961</v>
      </c>
      <c r="F554" s="975">
        <v>20</v>
      </c>
      <c r="G554" s="975">
        <f>+H554/F554</f>
        <v>175</v>
      </c>
      <c r="H554" s="976">
        <v>3500</v>
      </c>
      <c r="I554" s="101">
        <f t="shared" ref="I554:I562" si="294">+I553+F554</f>
        <v>20</v>
      </c>
      <c r="J554" s="101">
        <f t="shared" ref="J554:J562" si="295">+K554/I554</f>
        <v>175</v>
      </c>
      <c r="K554" s="683">
        <f t="shared" ref="K554:K562" si="296">(+H554+K553)</f>
        <v>3500</v>
      </c>
    </row>
    <row r="555" spans="1:11">
      <c r="A555" s="681">
        <v>536</v>
      </c>
      <c r="B555" s="904"/>
      <c r="C555" s="679">
        <v>461</v>
      </c>
      <c r="D555" s="682">
        <v>22.08</v>
      </c>
      <c r="E555" s="679" t="s">
        <v>961</v>
      </c>
      <c r="F555" s="679">
        <v>20</v>
      </c>
      <c r="G555" s="679">
        <f t="shared" ref="G555:G562" si="297">H555/F555</f>
        <v>62.5</v>
      </c>
      <c r="H555" s="679">
        <v>1250</v>
      </c>
      <c r="I555" s="101">
        <f t="shared" si="294"/>
        <v>40</v>
      </c>
      <c r="J555" s="101">
        <f t="shared" si="295"/>
        <v>118.75</v>
      </c>
      <c r="K555" s="683">
        <f t="shared" si="296"/>
        <v>4750</v>
      </c>
    </row>
    <row r="556" spans="1:11">
      <c r="A556" s="681">
        <v>537</v>
      </c>
      <c r="B556" s="902"/>
      <c r="C556" s="679"/>
      <c r="D556" s="682"/>
      <c r="E556" s="679"/>
      <c r="F556" s="679"/>
      <c r="G556" s="679" t="e">
        <f t="shared" si="297"/>
        <v>#DIV/0!</v>
      </c>
      <c r="H556" s="679"/>
      <c r="I556" s="101">
        <f t="shared" si="294"/>
        <v>40</v>
      </c>
      <c r="J556" s="101">
        <f t="shared" si="295"/>
        <v>118.75</v>
      </c>
      <c r="K556" s="683">
        <f t="shared" si="296"/>
        <v>4750</v>
      </c>
    </row>
    <row r="557" spans="1:11">
      <c r="A557" s="681">
        <v>538</v>
      </c>
      <c r="B557" s="902"/>
      <c r="C557" s="679"/>
      <c r="D557" s="682"/>
      <c r="E557" s="679"/>
      <c r="F557" s="679"/>
      <c r="G557" s="679" t="e">
        <f t="shared" si="297"/>
        <v>#DIV/0!</v>
      </c>
      <c r="H557" s="679"/>
      <c r="I557" s="101">
        <f t="shared" si="294"/>
        <v>40</v>
      </c>
      <c r="J557" s="101">
        <f t="shared" si="295"/>
        <v>118.75</v>
      </c>
      <c r="K557" s="683">
        <f t="shared" si="296"/>
        <v>4750</v>
      </c>
    </row>
    <row r="558" spans="1:11">
      <c r="A558" s="681">
        <v>539</v>
      </c>
      <c r="B558" s="902"/>
      <c r="C558" s="679"/>
      <c r="D558" s="682"/>
      <c r="E558" s="679"/>
      <c r="F558" s="679"/>
      <c r="G558" s="679" t="e">
        <f t="shared" si="297"/>
        <v>#DIV/0!</v>
      </c>
      <c r="H558" s="679"/>
      <c r="I558" s="101">
        <f t="shared" si="294"/>
        <v>40</v>
      </c>
      <c r="J558" s="101">
        <f t="shared" si="295"/>
        <v>118.75</v>
      </c>
      <c r="K558" s="683">
        <f t="shared" si="296"/>
        <v>4750</v>
      </c>
    </row>
    <row r="559" spans="1:11">
      <c r="A559" s="681">
        <v>540</v>
      </c>
      <c r="B559" s="902"/>
      <c r="C559" s="679"/>
      <c r="D559" s="682"/>
      <c r="E559" s="679"/>
      <c r="F559" s="679"/>
      <c r="G559" s="679" t="e">
        <f t="shared" si="297"/>
        <v>#DIV/0!</v>
      </c>
      <c r="H559" s="679"/>
      <c r="I559" s="101">
        <f t="shared" si="294"/>
        <v>40</v>
      </c>
      <c r="J559" s="101">
        <f t="shared" si="295"/>
        <v>118.75</v>
      </c>
      <c r="K559" s="683">
        <f t="shared" si="296"/>
        <v>4750</v>
      </c>
    </row>
    <row r="560" spans="1:11">
      <c r="A560" s="681">
        <v>541</v>
      </c>
      <c r="B560" s="902"/>
      <c r="C560" s="679"/>
      <c r="D560" s="682"/>
      <c r="E560" s="679"/>
      <c r="F560" s="679"/>
      <c r="G560" s="679" t="e">
        <f t="shared" si="297"/>
        <v>#DIV/0!</v>
      </c>
      <c r="H560" s="679"/>
      <c r="I560" s="101">
        <f t="shared" si="294"/>
        <v>40</v>
      </c>
      <c r="J560" s="101">
        <f t="shared" si="295"/>
        <v>118.75</v>
      </c>
      <c r="K560" s="683">
        <f t="shared" si="296"/>
        <v>4750</v>
      </c>
    </row>
    <row r="561" spans="1:11">
      <c r="A561" s="681">
        <v>542</v>
      </c>
      <c r="B561" s="902"/>
      <c r="C561" s="679"/>
      <c r="D561" s="682"/>
      <c r="E561" s="679"/>
      <c r="F561" s="679"/>
      <c r="G561" s="679" t="e">
        <f t="shared" si="297"/>
        <v>#DIV/0!</v>
      </c>
      <c r="H561" s="679"/>
      <c r="I561" s="101">
        <f t="shared" si="294"/>
        <v>40</v>
      </c>
      <c r="J561" s="101">
        <f t="shared" si="295"/>
        <v>118.75</v>
      </c>
      <c r="K561" s="683">
        <f t="shared" si="296"/>
        <v>4750</v>
      </c>
    </row>
    <row r="562" spans="1:11">
      <c r="A562" s="681">
        <v>543</v>
      </c>
      <c r="B562" s="902"/>
      <c r="C562" s="679"/>
      <c r="D562" s="682"/>
      <c r="E562" s="679"/>
      <c r="F562" s="679"/>
      <c r="G562" s="679" t="e">
        <f t="shared" si="297"/>
        <v>#DIV/0!</v>
      </c>
      <c r="H562" s="679"/>
      <c r="I562" s="101">
        <f t="shared" si="294"/>
        <v>40</v>
      </c>
      <c r="J562" s="101">
        <f t="shared" si="295"/>
        <v>118.75</v>
      </c>
      <c r="K562" s="683">
        <f t="shared" si="296"/>
        <v>4750</v>
      </c>
    </row>
    <row r="563" spans="1:11">
      <c r="A563" s="681">
        <v>544</v>
      </c>
      <c r="B563" s="903"/>
      <c r="C563" s="894"/>
      <c r="D563" s="895"/>
      <c r="E563" s="894"/>
      <c r="F563" s="894"/>
      <c r="G563" s="894"/>
      <c r="H563" s="894"/>
      <c r="I563" s="896"/>
      <c r="J563" s="896"/>
      <c r="K563" s="897"/>
    </row>
    <row r="564" spans="1:11">
      <c r="A564" s="681">
        <v>545</v>
      </c>
      <c r="B564" s="979" t="s">
        <v>1489</v>
      </c>
      <c r="C564" s="978">
        <v>7</v>
      </c>
      <c r="D564" s="972" t="s">
        <v>1426</v>
      </c>
      <c r="E564" s="975" t="s">
        <v>517</v>
      </c>
      <c r="F564" s="975">
        <v>100</v>
      </c>
      <c r="G564" s="975">
        <f>+H564/F564</f>
        <v>166.66</v>
      </c>
      <c r="H564" s="976">
        <v>16666</v>
      </c>
      <c r="I564" s="101">
        <f t="shared" ref="I564:I572" si="298">+I563+F564</f>
        <v>100</v>
      </c>
      <c r="J564" s="101">
        <f t="shared" ref="J564:J572" si="299">+K564/I564</f>
        <v>166.66</v>
      </c>
      <c r="K564" s="683">
        <f t="shared" ref="K564:K572" si="300">(+H564+K563)</f>
        <v>16666</v>
      </c>
    </row>
    <row r="565" spans="1:11">
      <c r="A565" s="681">
        <v>546</v>
      </c>
      <c r="B565" s="902"/>
      <c r="C565" s="679"/>
      <c r="D565" s="682"/>
      <c r="E565" s="679"/>
      <c r="F565" s="679"/>
      <c r="G565" s="679" t="e">
        <f t="shared" ref="G565:G572" si="301">H565/F565</f>
        <v>#DIV/0!</v>
      </c>
      <c r="H565" s="679"/>
      <c r="I565" s="101">
        <f t="shared" si="298"/>
        <v>100</v>
      </c>
      <c r="J565" s="101">
        <f t="shared" si="299"/>
        <v>166.66</v>
      </c>
      <c r="K565" s="683">
        <f t="shared" si="300"/>
        <v>16666</v>
      </c>
    </row>
    <row r="566" spans="1:11">
      <c r="A566" s="681">
        <v>547</v>
      </c>
      <c r="B566" s="902"/>
      <c r="C566" s="679"/>
      <c r="D566" s="682"/>
      <c r="E566" s="679"/>
      <c r="F566" s="679"/>
      <c r="G566" s="679" t="e">
        <f t="shared" si="301"/>
        <v>#DIV/0!</v>
      </c>
      <c r="H566" s="679"/>
      <c r="I566" s="101">
        <f t="shared" si="298"/>
        <v>100</v>
      </c>
      <c r="J566" s="101">
        <f t="shared" si="299"/>
        <v>166.66</v>
      </c>
      <c r="K566" s="683">
        <f t="shared" si="300"/>
        <v>16666</v>
      </c>
    </row>
    <row r="567" spans="1:11">
      <c r="A567" s="681">
        <v>548</v>
      </c>
      <c r="B567" s="902"/>
      <c r="C567" s="679"/>
      <c r="D567" s="682"/>
      <c r="E567" s="679"/>
      <c r="F567" s="679"/>
      <c r="G567" s="679" t="e">
        <f t="shared" si="301"/>
        <v>#DIV/0!</v>
      </c>
      <c r="H567" s="679"/>
      <c r="I567" s="101">
        <f t="shared" si="298"/>
        <v>100</v>
      </c>
      <c r="J567" s="101">
        <f t="shared" si="299"/>
        <v>166.66</v>
      </c>
      <c r="K567" s="683">
        <f t="shared" si="300"/>
        <v>16666</v>
      </c>
    </row>
    <row r="568" spans="1:11">
      <c r="A568" s="681">
        <v>549</v>
      </c>
      <c r="B568" s="902"/>
      <c r="C568" s="679"/>
      <c r="D568" s="682"/>
      <c r="E568" s="679"/>
      <c r="F568" s="679"/>
      <c r="G568" s="679" t="e">
        <f t="shared" si="301"/>
        <v>#DIV/0!</v>
      </c>
      <c r="H568" s="679"/>
      <c r="I568" s="101">
        <f t="shared" si="298"/>
        <v>100</v>
      </c>
      <c r="J568" s="101">
        <f t="shared" si="299"/>
        <v>166.66</v>
      </c>
      <c r="K568" s="683">
        <f t="shared" si="300"/>
        <v>16666</v>
      </c>
    </row>
    <row r="569" spans="1:11">
      <c r="A569" s="681">
        <v>550</v>
      </c>
      <c r="B569" s="902"/>
      <c r="C569" s="679"/>
      <c r="D569" s="682"/>
      <c r="E569" s="679"/>
      <c r="F569" s="679"/>
      <c r="G569" s="679" t="e">
        <f t="shared" si="301"/>
        <v>#DIV/0!</v>
      </c>
      <c r="H569" s="679"/>
      <c r="I569" s="101">
        <f t="shared" si="298"/>
        <v>100</v>
      </c>
      <c r="J569" s="101">
        <f t="shared" si="299"/>
        <v>166.66</v>
      </c>
      <c r="K569" s="683">
        <f t="shared" si="300"/>
        <v>16666</v>
      </c>
    </row>
    <row r="570" spans="1:11">
      <c r="A570" s="681">
        <v>551</v>
      </c>
      <c r="B570" s="902"/>
      <c r="C570" s="679"/>
      <c r="D570" s="682"/>
      <c r="E570" s="679"/>
      <c r="F570" s="679"/>
      <c r="G570" s="679" t="e">
        <f t="shared" si="301"/>
        <v>#DIV/0!</v>
      </c>
      <c r="H570" s="679"/>
      <c r="I570" s="101">
        <f t="shared" si="298"/>
        <v>100</v>
      </c>
      <c r="J570" s="101">
        <f t="shared" si="299"/>
        <v>166.66</v>
      </c>
      <c r="K570" s="683">
        <f t="shared" si="300"/>
        <v>16666</v>
      </c>
    </row>
    <row r="571" spans="1:11">
      <c r="A571" s="681">
        <v>552</v>
      </c>
      <c r="B571" s="902"/>
      <c r="C571" s="679"/>
      <c r="D571" s="682"/>
      <c r="E571" s="679"/>
      <c r="F571" s="679"/>
      <c r="G571" s="679" t="e">
        <f t="shared" si="301"/>
        <v>#DIV/0!</v>
      </c>
      <c r="H571" s="679"/>
      <c r="I571" s="101">
        <f t="shared" si="298"/>
        <v>100</v>
      </c>
      <c r="J571" s="101">
        <f t="shared" si="299"/>
        <v>166.66</v>
      </c>
      <c r="K571" s="683">
        <f t="shared" si="300"/>
        <v>16666</v>
      </c>
    </row>
    <row r="572" spans="1:11">
      <c r="A572" s="681">
        <v>553</v>
      </c>
      <c r="B572" s="902"/>
      <c r="C572" s="679"/>
      <c r="D572" s="682"/>
      <c r="E572" s="679"/>
      <c r="F572" s="679"/>
      <c r="G572" s="679" t="e">
        <f t="shared" si="301"/>
        <v>#DIV/0!</v>
      </c>
      <c r="H572" s="679"/>
      <c r="I572" s="101">
        <f t="shared" si="298"/>
        <v>100</v>
      </c>
      <c r="J572" s="101">
        <f t="shared" si="299"/>
        <v>166.66</v>
      </c>
      <c r="K572" s="683">
        <f t="shared" si="300"/>
        <v>16666</v>
      </c>
    </row>
    <row r="573" spans="1:11">
      <c r="A573" s="681">
        <v>554</v>
      </c>
      <c r="B573" s="903"/>
      <c r="C573" s="894"/>
      <c r="D573" s="895"/>
      <c r="E573" s="894"/>
      <c r="F573" s="894"/>
      <c r="G573" s="894"/>
      <c r="H573" s="894"/>
      <c r="I573" s="896"/>
      <c r="J573" s="896"/>
      <c r="K573" s="897"/>
    </row>
    <row r="574" spans="1:11">
      <c r="A574" s="681">
        <v>555</v>
      </c>
      <c r="B574" s="979" t="s">
        <v>1472</v>
      </c>
      <c r="C574" s="978">
        <v>261</v>
      </c>
      <c r="D574" s="972" t="s">
        <v>1342</v>
      </c>
      <c r="E574" s="975" t="s">
        <v>1289</v>
      </c>
      <c r="F574" s="975">
        <v>600</v>
      </c>
      <c r="G574" s="975">
        <f>+H574/F574</f>
        <v>34</v>
      </c>
      <c r="H574" s="976">
        <v>20400</v>
      </c>
      <c r="I574" s="101">
        <f t="shared" ref="I574:I582" si="302">+I573+F574</f>
        <v>600</v>
      </c>
      <c r="J574" s="101">
        <f t="shared" ref="J574:J582" si="303">+K574/I574</f>
        <v>34</v>
      </c>
      <c r="K574" s="683">
        <f t="shared" ref="K574:K582" si="304">(+H574+K573)</f>
        <v>20400</v>
      </c>
    </row>
    <row r="575" spans="1:11">
      <c r="A575" s="681">
        <v>556</v>
      </c>
      <c r="B575" s="902"/>
      <c r="C575" s="679"/>
      <c r="D575" s="682"/>
      <c r="E575" s="679"/>
      <c r="F575" s="679"/>
      <c r="G575" s="679" t="e">
        <f t="shared" ref="G575:G582" si="305">H575/F575</f>
        <v>#DIV/0!</v>
      </c>
      <c r="H575" s="679"/>
      <c r="I575" s="101">
        <f t="shared" si="302"/>
        <v>600</v>
      </c>
      <c r="J575" s="101">
        <f t="shared" si="303"/>
        <v>34</v>
      </c>
      <c r="K575" s="683">
        <f t="shared" si="304"/>
        <v>20400</v>
      </c>
    </row>
    <row r="576" spans="1:11">
      <c r="A576" s="681">
        <v>557</v>
      </c>
      <c r="B576" s="902"/>
      <c r="C576" s="679"/>
      <c r="D576" s="682"/>
      <c r="E576" s="679"/>
      <c r="F576" s="679"/>
      <c r="G576" s="679" t="e">
        <f t="shared" si="305"/>
        <v>#DIV/0!</v>
      </c>
      <c r="H576" s="679"/>
      <c r="I576" s="101">
        <f t="shared" si="302"/>
        <v>600</v>
      </c>
      <c r="J576" s="101">
        <f t="shared" si="303"/>
        <v>34</v>
      </c>
      <c r="K576" s="683">
        <f t="shared" si="304"/>
        <v>20400</v>
      </c>
    </row>
    <row r="577" spans="1:11">
      <c r="A577" s="681">
        <v>558</v>
      </c>
      <c r="B577" s="902"/>
      <c r="C577" s="679"/>
      <c r="D577" s="682"/>
      <c r="E577" s="679"/>
      <c r="F577" s="679"/>
      <c r="G577" s="679" t="e">
        <f t="shared" si="305"/>
        <v>#DIV/0!</v>
      </c>
      <c r="H577" s="679"/>
      <c r="I577" s="101">
        <f t="shared" si="302"/>
        <v>600</v>
      </c>
      <c r="J577" s="101">
        <f t="shared" si="303"/>
        <v>34</v>
      </c>
      <c r="K577" s="683">
        <f t="shared" si="304"/>
        <v>20400</v>
      </c>
    </row>
    <row r="578" spans="1:11">
      <c r="A578" s="681">
        <v>559</v>
      </c>
      <c r="B578" s="902"/>
      <c r="C578" s="679"/>
      <c r="D578" s="682"/>
      <c r="E578" s="679"/>
      <c r="F578" s="679"/>
      <c r="G578" s="679" t="e">
        <f t="shared" si="305"/>
        <v>#DIV/0!</v>
      </c>
      <c r="H578" s="679"/>
      <c r="I578" s="101">
        <f t="shared" si="302"/>
        <v>600</v>
      </c>
      <c r="J578" s="101">
        <f t="shared" si="303"/>
        <v>34</v>
      </c>
      <c r="K578" s="683">
        <f t="shared" si="304"/>
        <v>20400</v>
      </c>
    </row>
    <row r="579" spans="1:11">
      <c r="A579" s="681">
        <v>560</v>
      </c>
      <c r="B579" s="902"/>
      <c r="C579" s="679"/>
      <c r="D579" s="682"/>
      <c r="E579" s="679"/>
      <c r="F579" s="679"/>
      <c r="G579" s="679" t="e">
        <f t="shared" si="305"/>
        <v>#DIV/0!</v>
      </c>
      <c r="H579" s="679"/>
      <c r="I579" s="101">
        <f t="shared" si="302"/>
        <v>600</v>
      </c>
      <c r="J579" s="101">
        <f t="shared" si="303"/>
        <v>34</v>
      </c>
      <c r="K579" s="683">
        <f t="shared" si="304"/>
        <v>20400</v>
      </c>
    </row>
    <row r="580" spans="1:11">
      <c r="A580" s="681">
        <v>561</v>
      </c>
      <c r="B580" s="902"/>
      <c r="C580" s="679"/>
      <c r="D580" s="682"/>
      <c r="E580" s="679"/>
      <c r="F580" s="679"/>
      <c r="G580" s="679" t="e">
        <f t="shared" si="305"/>
        <v>#DIV/0!</v>
      </c>
      <c r="H580" s="679"/>
      <c r="I580" s="101">
        <f t="shared" si="302"/>
        <v>600</v>
      </c>
      <c r="J580" s="101">
        <f t="shared" si="303"/>
        <v>34</v>
      </c>
      <c r="K580" s="683">
        <f t="shared" si="304"/>
        <v>20400</v>
      </c>
    </row>
    <row r="581" spans="1:11">
      <c r="A581" s="681">
        <v>562</v>
      </c>
      <c r="B581" s="902"/>
      <c r="C581" s="679"/>
      <c r="D581" s="682"/>
      <c r="E581" s="679"/>
      <c r="F581" s="679"/>
      <c r="G581" s="679" t="e">
        <f t="shared" si="305"/>
        <v>#DIV/0!</v>
      </c>
      <c r="H581" s="679"/>
      <c r="I581" s="101">
        <f t="shared" si="302"/>
        <v>600</v>
      </c>
      <c r="J581" s="101">
        <f t="shared" si="303"/>
        <v>34</v>
      </c>
      <c r="K581" s="683">
        <f t="shared" si="304"/>
        <v>20400</v>
      </c>
    </row>
    <row r="582" spans="1:11">
      <c r="A582" s="681">
        <v>563</v>
      </c>
      <c r="B582" s="902"/>
      <c r="C582" s="679"/>
      <c r="D582" s="682"/>
      <c r="E582" s="679"/>
      <c r="F582" s="679"/>
      <c r="G582" s="679" t="e">
        <f t="shared" si="305"/>
        <v>#DIV/0!</v>
      </c>
      <c r="H582" s="679"/>
      <c r="I582" s="101">
        <f t="shared" si="302"/>
        <v>600</v>
      </c>
      <c r="J582" s="101">
        <f t="shared" si="303"/>
        <v>34</v>
      </c>
      <c r="K582" s="683">
        <f t="shared" si="304"/>
        <v>20400</v>
      </c>
    </row>
    <row r="583" spans="1:11">
      <c r="A583" s="681">
        <v>564</v>
      </c>
      <c r="B583" s="903"/>
      <c r="C583" s="894"/>
      <c r="D583" s="895"/>
      <c r="E583" s="894"/>
      <c r="F583" s="894"/>
      <c r="G583" s="894"/>
      <c r="H583" s="894"/>
      <c r="I583" s="896"/>
      <c r="J583" s="896"/>
      <c r="K583" s="897"/>
    </row>
    <row r="584" spans="1:11">
      <c r="A584" s="681">
        <v>565</v>
      </c>
      <c r="B584" s="979" t="s">
        <v>1481</v>
      </c>
      <c r="C584" s="978">
        <v>7</v>
      </c>
      <c r="D584" s="972" t="s">
        <v>1426</v>
      </c>
      <c r="E584" s="975" t="s">
        <v>517</v>
      </c>
      <c r="F584" s="975">
        <v>400</v>
      </c>
      <c r="G584" s="975">
        <f>+H584/F584</f>
        <v>200</v>
      </c>
      <c r="H584" s="976">
        <v>80000</v>
      </c>
      <c r="I584" s="101">
        <f t="shared" ref="I584:I592" si="306">+I583+F584</f>
        <v>400</v>
      </c>
      <c r="J584" s="101">
        <f t="shared" ref="J584:J592" si="307">+K584/I584</f>
        <v>200</v>
      </c>
      <c r="K584" s="683">
        <f t="shared" ref="K584:K592" si="308">(+H584+K583)</f>
        <v>80000</v>
      </c>
    </row>
    <row r="585" spans="1:11">
      <c r="A585" s="681">
        <v>566</v>
      </c>
      <c r="B585" s="904"/>
      <c r="C585" s="679"/>
      <c r="D585" s="682"/>
      <c r="E585" s="679"/>
      <c r="F585" s="679"/>
      <c r="G585" s="679" t="e">
        <f t="shared" ref="G585:G592" si="309">H585/F585</f>
        <v>#DIV/0!</v>
      </c>
      <c r="H585" s="679"/>
      <c r="I585" s="101">
        <f t="shared" si="306"/>
        <v>400</v>
      </c>
      <c r="J585" s="101">
        <f t="shared" si="307"/>
        <v>200</v>
      </c>
      <c r="K585" s="683">
        <f t="shared" si="308"/>
        <v>80000</v>
      </c>
    </row>
    <row r="586" spans="1:11">
      <c r="A586" s="681">
        <v>567</v>
      </c>
      <c r="B586" s="902"/>
      <c r="C586" s="679"/>
      <c r="D586" s="682"/>
      <c r="E586" s="679"/>
      <c r="F586" s="679"/>
      <c r="G586" s="679" t="e">
        <f t="shared" si="309"/>
        <v>#DIV/0!</v>
      </c>
      <c r="H586" s="679"/>
      <c r="I586" s="101">
        <f t="shared" si="306"/>
        <v>400</v>
      </c>
      <c r="J586" s="101">
        <f t="shared" si="307"/>
        <v>200</v>
      </c>
      <c r="K586" s="683">
        <f t="shared" si="308"/>
        <v>80000</v>
      </c>
    </row>
    <row r="587" spans="1:11">
      <c r="A587" s="681">
        <v>568</v>
      </c>
      <c r="B587" s="902"/>
      <c r="C587" s="679"/>
      <c r="D587" s="682"/>
      <c r="E587" s="679"/>
      <c r="F587" s="679"/>
      <c r="G587" s="679" t="e">
        <f t="shared" si="309"/>
        <v>#DIV/0!</v>
      </c>
      <c r="H587" s="679"/>
      <c r="I587" s="101">
        <f t="shared" si="306"/>
        <v>400</v>
      </c>
      <c r="J587" s="101">
        <f t="shared" si="307"/>
        <v>200</v>
      </c>
      <c r="K587" s="683">
        <f t="shared" si="308"/>
        <v>80000</v>
      </c>
    </row>
    <row r="588" spans="1:11">
      <c r="A588" s="681">
        <v>569</v>
      </c>
      <c r="B588" s="902"/>
      <c r="C588" s="679"/>
      <c r="D588" s="682"/>
      <c r="E588" s="679"/>
      <c r="F588" s="679"/>
      <c r="G588" s="679" t="e">
        <f t="shared" si="309"/>
        <v>#DIV/0!</v>
      </c>
      <c r="H588" s="679"/>
      <c r="I588" s="101">
        <f t="shared" si="306"/>
        <v>400</v>
      </c>
      <c r="J588" s="101">
        <f t="shared" si="307"/>
        <v>200</v>
      </c>
      <c r="K588" s="683">
        <f t="shared" si="308"/>
        <v>80000</v>
      </c>
    </row>
    <row r="589" spans="1:11">
      <c r="A589" s="681">
        <v>570</v>
      </c>
      <c r="B589" s="902"/>
      <c r="C589" s="679"/>
      <c r="D589" s="682"/>
      <c r="E589" s="679"/>
      <c r="F589" s="679"/>
      <c r="G589" s="679" t="e">
        <f t="shared" si="309"/>
        <v>#DIV/0!</v>
      </c>
      <c r="H589" s="679"/>
      <c r="I589" s="101">
        <f t="shared" si="306"/>
        <v>400</v>
      </c>
      <c r="J589" s="101">
        <f t="shared" si="307"/>
        <v>200</v>
      </c>
      <c r="K589" s="683">
        <f t="shared" si="308"/>
        <v>80000</v>
      </c>
    </row>
    <row r="590" spans="1:11">
      <c r="A590" s="681">
        <v>571</v>
      </c>
      <c r="B590" s="902"/>
      <c r="C590" s="679"/>
      <c r="D590" s="682"/>
      <c r="E590" s="679"/>
      <c r="F590" s="679"/>
      <c r="G590" s="679" t="e">
        <f t="shared" si="309"/>
        <v>#DIV/0!</v>
      </c>
      <c r="H590" s="679"/>
      <c r="I590" s="101">
        <f t="shared" si="306"/>
        <v>400</v>
      </c>
      <c r="J590" s="101">
        <f t="shared" si="307"/>
        <v>200</v>
      </c>
      <c r="K590" s="683">
        <f t="shared" si="308"/>
        <v>80000</v>
      </c>
    </row>
    <row r="591" spans="1:11">
      <c r="A591" s="681">
        <v>572</v>
      </c>
      <c r="B591" s="902"/>
      <c r="C591" s="679"/>
      <c r="D591" s="682"/>
      <c r="E591" s="679"/>
      <c r="F591" s="679"/>
      <c r="G591" s="679" t="e">
        <f t="shared" si="309"/>
        <v>#DIV/0!</v>
      </c>
      <c r="H591" s="679"/>
      <c r="I591" s="101">
        <f t="shared" si="306"/>
        <v>400</v>
      </c>
      <c r="J591" s="101">
        <f t="shared" si="307"/>
        <v>200</v>
      </c>
      <c r="K591" s="683">
        <f t="shared" si="308"/>
        <v>80000</v>
      </c>
    </row>
    <row r="592" spans="1:11">
      <c r="A592" s="681">
        <v>573</v>
      </c>
      <c r="B592" s="902"/>
      <c r="C592" s="679"/>
      <c r="D592" s="682"/>
      <c r="E592" s="679"/>
      <c r="F592" s="679"/>
      <c r="G592" s="679" t="e">
        <f t="shared" si="309"/>
        <v>#DIV/0!</v>
      </c>
      <c r="H592" s="679"/>
      <c r="I592" s="101">
        <f t="shared" si="306"/>
        <v>400</v>
      </c>
      <c r="J592" s="101">
        <f t="shared" si="307"/>
        <v>200</v>
      </c>
      <c r="K592" s="683">
        <f t="shared" si="308"/>
        <v>80000</v>
      </c>
    </row>
    <row r="593" spans="1:11">
      <c r="A593" s="681">
        <v>574</v>
      </c>
      <c r="B593" s="903"/>
      <c r="C593" s="894"/>
      <c r="D593" s="895"/>
      <c r="E593" s="894"/>
      <c r="F593" s="894"/>
      <c r="G593" s="894"/>
      <c r="H593" s="894"/>
      <c r="I593" s="896"/>
      <c r="J593" s="896"/>
      <c r="K593" s="897"/>
    </row>
    <row r="594" spans="1:11">
      <c r="A594" s="681">
        <v>575</v>
      </c>
      <c r="B594" s="979" t="s">
        <v>1276</v>
      </c>
      <c r="C594" s="978">
        <v>288</v>
      </c>
      <c r="D594" s="972" t="s">
        <v>1399</v>
      </c>
      <c r="E594" s="975" t="s">
        <v>962</v>
      </c>
      <c r="F594" s="975">
        <v>465</v>
      </c>
      <c r="G594" s="975">
        <f>+H594/F594</f>
        <v>404</v>
      </c>
      <c r="H594" s="976">
        <v>187860</v>
      </c>
      <c r="I594" s="101">
        <f t="shared" ref="I594:I602" si="310">+I593+F594</f>
        <v>465</v>
      </c>
      <c r="J594" s="101">
        <f t="shared" ref="J594:J602" si="311">+K594/I594</f>
        <v>404</v>
      </c>
      <c r="K594" s="683">
        <f t="shared" ref="K594:K602" si="312">(+H594+K593)</f>
        <v>187860</v>
      </c>
    </row>
    <row r="595" spans="1:11">
      <c r="A595" s="681">
        <v>576</v>
      </c>
      <c r="B595" s="976"/>
      <c r="C595" s="978">
        <v>261</v>
      </c>
      <c r="D595" s="972" t="s">
        <v>1342</v>
      </c>
      <c r="E595" s="975" t="s">
        <v>962</v>
      </c>
      <c r="F595" s="975">
        <v>102</v>
      </c>
      <c r="G595" s="975">
        <f>+H595/F595</f>
        <v>638</v>
      </c>
      <c r="H595" s="976">
        <v>65076</v>
      </c>
      <c r="I595" s="101">
        <f t="shared" si="310"/>
        <v>567</v>
      </c>
      <c r="J595" s="101">
        <f t="shared" si="311"/>
        <v>446.09523809523807</v>
      </c>
      <c r="K595" s="683">
        <f t="shared" si="312"/>
        <v>252936</v>
      </c>
    </row>
    <row r="596" spans="1:11">
      <c r="A596" s="681">
        <v>577</v>
      </c>
      <c r="B596" s="976"/>
      <c r="C596" s="978">
        <v>372</v>
      </c>
      <c r="D596" s="972" t="s">
        <v>1438</v>
      </c>
      <c r="E596" s="975" t="s">
        <v>964</v>
      </c>
      <c r="F596" s="975">
        <v>105</v>
      </c>
      <c r="G596" s="975">
        <f>+H596/F596</f>
        <v>636</v>
      </c>
      <c r="H596" s="976">
        <v>66780</v>
      </c>
      <c r="I596" s="101">
        <f t="shared" si="310"/>
        <v>672</v>
      </c>
      <c r="J596" s="101">
        <f t="shared" si="311"/>
        <v>475.76785714285717</v>
      </c>
      <c r="K596" s="683">
        <f t="shared" si="312"/>
        <v>319716</v>
      </c>
    </row>
    <row r="597" spans="1:11">
      <c r="A597" s="681">
        <v>578</v>
      </c>
      <c r="B597" s="902"/>
      <c r="C597" s="679"/>
      <c r="D597" s="682"/>
      <c r="E597" s="679"/>
      <c r="F597" s="679"/>
      <c r="G597" s="679" t="e">
        <f t="shared" ref="G597:G602" si="313">H597/F597</f>
        <v>#DIV/0!</v>
      </c>
      <c r="H597" s="679"/>
      <c r="I597" s="101">
        <f t="shared" si="310"/>
        <v>672</v>
      </c>
      <c r="J597" s="101">
        <f t="shared" si="311"/>
        <v>475.76785714285717</v>
      </c>
      <c r="K597" s="683">
        <f t="shared" si="312"/>
        <v>319716</v>
      </c>
    </row>
    <row r="598" spans="1:11">
      <c r="A598" s="681">
        <v>579</v>
      </c>
      <c r="B598" s="902"/>
      <c r="C598" s="679"/>
      <c r="D598" s="682"/>
      <c r="E598" s="679"/>
      <c r="F598" s="679"/>
      <c r="G598" s="679" t="e">
        <f t="shared" si="313"/>
        <v>#DIV/0!</v>
      </c>
      <c r="H598" s="679"/>
      <c r="I598" s="101">
        <f t="shared" si="310"/>
        <v>672</v>
      </c>
      <c r="J598" s="101">
        <f t="shared" si="311"/>
        <v>475.76785714285717</v>
      </c>
      <c r="K598" s="683">
        <f t="shared" si="312"/>
        <v>319716</v>
      </c>
    </row>
    <row r="599" spans="1:11">
      <c r="A599" s="681">
        <v>580</v>
      </c>
      <c r="B599" s="902"/>
      <c r="C599" s="679"/>
      <c r="D599" s="682"/>
      <c r="E599" s="679"/>
      <c r="F599" s="679"/>
      <c r="G599" s="679" t="e">
        <f t="shared" si="313"/>
        <v>#DIV/0!</v>
      </c>
      <c r="H599" s="679"/>
      <c r="I599" s="101">
        <f t="shared" si="310"/>
        <v>672</v>
      </c>
      <c r="J599" s="101">
        <f t="shared" si="311"/>
        <v>475.76785714285717</v>
      </c>
      <c r="K599" s="683">
        <f t="shared" si="312"/>
        <v>319716</v>
      </c>
    </row>
    <row r="600" spans="1:11">
      <c r="A600" s="681">
        <v>581</v>
      </c>
      <c r="B600" s="902"/>
      <c r="C600" s="679"/>
      <c r="D600" s="682"/>
      <c r="E600" s="679"/>
      <c r="F600" s="679"/>
      <c r="G600" s="679" t="e">
        <f t="shared" si="313"/>
        <v>#DIV/0!</v>
      </c>
      <c r="H600" s="679"/>
      <c r="I600" s="101">
        <f t="shared" si="310"/>
        <v>672</v>
      </c>
      <c r="J600" s="101">
        <f t="shared" si="311"/>
        <v>475.76785714285717</v>
      </c>
      <c r="K600" s="683">
        <f t="shared" si="312"/>
        <v>319716</v>
      </c>
    </row>
    <row r="601" spans="1:11">
      <c r="A601" s="681">
        <v>582</v>
      </c>
      <c r="B601" s="902"/>
      <c r="C601" s="679"/>
      <c r="D601" s="682"/>
      <c r="E601" s="679"/>
      <c r="F601" s="679"/>
      <c r="G601" s="679" t="e">
        <f t="shared" si="313"/>
        <v>#DIV/0!</v>
      </c>
      <c r="H601" s="679"/>
      <c r="I601" s="101">
        <f t="shared" si="310"/>
        <v>672</v>
      </c>
      <c r="J601" s="101">
        <f t="shared" si="311"/>
        <v>475.76785714285717</v>
      </c>
      <c r="K601" s="683">
        <f t="shared" si="312"/>
        <v>319716</v>
      </c>
    </row>
    <row r="602" spans="1:11">
      <c r="A602" s="681">
        <v>583</v>
      </c>
      <c r="B602" s="902"/>
      <c r="C602" s="679"/>
      <c r="D602" s="682"/>
      <c r="E602" s="679"/>
      <c r="F602" s="679"/>
      <c r="G602" s="679" t="e">
        <f t="shared" si="313"/>
        <v>#DIV/0!</v>
      </c>
      <c r="H602" s="679"/>
      <c r="I602" s="101">
        <f t="shared" si="310"/>
        <v>672</v>
      </c>
      <c r="J602" s="101">
        <f t="shared" si="311"/>
        <v>475.76785714285717</v>
      </c>
      <c r="K602" s="683">
        <f t="shared" si="312"/>
        <v>319716</v>
      </c>
    </row>
    <row r="603" spans="1:11">
      <c r="A603" s="681">
        <v>584</v>
      </c>
      <c r="B603" s="903"/>
      <c r="C603" s="894"/>
      <c r="D603" s="895"/>
      <c r="E603" s="894"/>
      <c r="F603" s="894"/>
      <c r="G603" s="894"/>
      <c r="H603" s="894"/>
      <c r="I603" s="896"/>
      <c r="J603" s="896"/>
      <c r="K603" s="897"/>
    </row>
    <row r="604" spans="1:11">
      <c r="A604" s="681">
        <v>585</v>
      </c>
      <c r="B604" s="979" t="s">
        <v>1474</v>
      </c>
      <c r="C604" s="978">
        <v>261</v>
      </c>
      <c r="D604" s="972" t="s">
        <v>1342</v>
      </c>
      <c r="E604" s="975" t="s">
        <v>962</v>
      </c>
      <c r="F604" s="975">
        <v>250</v>
      </c>
      <c r="G604" s="975">
        <f>+H604/F604</f>
        <v>485</v>
      </c>
      <c r="H604" s="976">
        <v>121250</v>
      </c>
      <c r="I604" s="101">
        <f t="shared" ref="I604:I612" si="314">+I603+F604</f>
        <v>250</v>
      </c>
      <c r="J604" s="101">
        <f t="shared" ref="J604:J612" si="315">+K604/I604</f>
        <v>485</v>
      </c>
      <c r="K604" s="683">
        <f t="shared" ref="K604:K612" si="316">(+H604+K603)</f>
        <v>121250</v>
      </c>
    </row>
    <row r="605" spans="1:11">
      <c r="A605" s="681">
        <v>586</v>
      </c>
      <c r="B605" s="976"/>
      <c r="C605" s="978">
        <v>297</v>
      </c>
      <c r="D605" s="972" t="s">
        <v>1396</v>
      </c>
      <c r="E605" s="975" t="s">
        <v>962</v>
      </c>
      <c r="F605" s="975">
        <v>505</v>
      </c>
      <c r="G605" s="975">
        <f>+H605/F605</f>
        <v>403</v>
      </c>
      <c r="H605" s="976">
        <v>203515</v>
      </c>
      <c r="I605" s="101">
        <f t="shared" si="314"/>
        <v>755</v>
      </c>
      <c r="J605" s="101">
        <f t="shared" si="315"/>
        <v>430.15231788079473</v>
      </c>
      <c r="K605" s="683">
        <f t="shared" si="316"/>
        <v>324765</v>
      </c>
    </row>
    <row r="606" spans="1:11">
      <c r="A606" s="681">
        <v>587</v>
      </c>
      <c r="B606" s="902"/>
      <c r="C606" s="679"/>
      <c r="D606" s="682"/>
      <c r="E606" s="679"/>
      <c r="F606" s="679"/>
      <c r="G606" s="679" t="e">
        <f t="shared" ref="G606:G612" si="317">H606/F606</f>
        <v>#DIV/0!</v>
      </c>
      <c r="H606" s="679"/>
      <c r="I606" s="101">
        <f t="shared" si="314"/>
        <v>755</v>
      </c>
      <c r="J606" s="101">
        <f t="shared" si="315"/>
        <v>430.15231788079473</v>
      </c>
      <c r="K606" s="683">
        <f t="shared" si="316"/>
        <v>324765</v>
      </c>
    </row>
    <row r="607" spans="1:11">
      <c r="A607" s="681">
        <v>588</v>
      </c>
      <c r="B607" s="902"/>
      <c r="C607" s="679"/>
      <c r="D607" s="682"/>
      <c r="E607" s="679"/>
      <c r="F607" s="679"/>
      <c r="G607" s="679" t="e">
        <f t="shared" si="317"/>
        <v>#DIV/0!</v>
      </c>
      <c r="H607" s="679"/>
      <c r="I607" s="101">
        <f t="shared" si="314"/>
        <v>755</v>
      </c>
      <c r="J607" s="101">
        <f t="shared" si="315"/>
        <v>430.15231788079473</v>
      </c>
      <c r="K607" s="683">
        <f t="shared" si="316"/>
        <v>324765</v>
      </c>
    </row>
    <row r="608" spans="1:11">
      <c r="A608" s="681">
        <v>589</v>
      </c>
      <c r="B608" s="902"/>
      <c r="C608" s="679"/>
      <c r="D608" s="682"/>
      <c r="E608" s="679"/>
      <c r="F608" s="679"/>
      <c r="G608" s="679" t="e">
        <f t="shared" si="317"/>
        <v>#DIV/0!</v>
      </c>
      <c r="H608" s="679"/>
      <c r="I608" s="101">
        <f t="shared" si="314"/>
        <v>755</v>
      </c>
      <c r="J608" s="101">
        <f t="shared" si="315"/>
        <v>430.15231788079473</v>
      </c>
      <c r="K608" s="683">
        <f t="shared" si="316"/>
        <v>324765</v>
      </c>
    </row>
    <row r="609" spans="1:11">
      <c r="A609" s="681">
        <v>590</v>
      </c>
      <c r="B609" s="902"/>
      <c r="C609" s="679"/>
      <c r="D609" s="682"/>
      <c r="E609" s="679"/>
      <c r="F609" s="679"/>
      <c r="G609" s="679" t="e">
        <f t="shared" si="317"/>
        <v>#DIV/0!</v>
      </c>
      <c r="H609" s="679"/>
      <c r="I609" s="101">
        <f t="shared" si="314"/>
        <v>755</v>
      </c>
      <c r="J609" s="101">
        <f t="shared" si="315"/>
        <v>430.15231788079473</v>
      </c>
      <c r="K609" s="683">
        <f t="shared" si="316"/>
        <v>324765</v>
      </c>
    </row>
    <row r="610" spans="1:11">
      <c r="A610" s="681">
        <v>591</v>
      </c>
      <c r="B610" s="902"/>
      <c r="C610" s="679"/>
      <c r="D610" s="682"/>
      <c r="E610" s="679"/>
      <c r="F610" s="679"/>
      <c r="G610" s="679" t="e">
        <f t="shared" si="317"/>
        <v>#DIV/0!</v>
      </c>
      <c r="H610" s="679"/>
      <c r="I610" s="101">
        <f t="shared" si="314"/>
        <v>755</v>
      </c>
      <c r="J610" s="101">
        <f t="shared" si="315"/>
        <v>430.15231788079473</v>
      </c>
      <c r="K610" s="683">
        <f t="shared" si="316"/>
        <v>324765</v>
      </c>
    </row>
    <row r="611" spans="1:11">
      <c r="A611" s="681">
        <v>592</v>
      </c>
      <c r="B611" s="902"/>
      <c r="C611" s="679"/>
      <c r="D611" s="682"/>
      <c r="E611" s="679"/>
      <c r="F611" s="679"/>
      <c r="G611" s="679" t="e">
        <f t="shared" si="317"/>
        <v>#DIV/0!</v>
      </c>
      <c r="H611" s="679"/>
      <c r="I611" s="101">
        <f t="shared" si="314"/>
        <v>755</v>
      </c>
      <c r="J611" s="101">
        <f t="shared" si="315"/>
        <v>430.15231788079473</v>
      </c>
      <c r="K611" s="683">
        <f t="shared" si="316"/>
        <v>324765</v>
      </c>
    </row>
    <row r="612" spans="1:11">
      <c r="A612" s="681">
        <v>593</v>
      </c>
      <c r="B612" s="902"/>
      <c r="C612" s="679"/>
      <c r="D612" s="682"/>
      <c r="E612" s="679"/>
      <c r="F612" s="679"/>
      <c r="G612" s="679" t="e">
        <f t="shared" si="317"/>
        <v>#DIV/0!</v>
      </c>
      <c r="H612" s="679"/>
      <c r="I612" s="101">
        <f t="shared" si="314"/>
        <v>755</v>
      </c>
      <c r="J612" s="101">
        <f t="shared" si="315"/>
        <v>430.15231788079473</v>
      </c>
      <c r="K612" s="683">
        <f t="shared" si="316"/>
        <v>324765</v>
      </c>
    </row>
    <row r="613" spans="1:11">
      <c r="A613" s="681">
        <v>594</v>
      </c>
      <c r="B613" s="903"/>
      <c r="C613" s="894"/>
      <c r="D613" s="895"/>
      <c r="E613" s="894"/>
      <c r="F613" s="894"/>
      <c r="G613" s="894"/>
      <c r="H613" s="894"/>
      <c r="I613" s="896"/>
      <c r="J613" s="896"/>
      <c r="K613" s="897"/>
    </row>
    <row r="614" spans="1:11">
      <c r="A614" s="681">
        <v>595</v>
      </c>
      <c r="B614" s="979" t="s">
        <v>1490</v>
      </c>
      <c r="C614" s="978">
        <v>372</v>
      </c>
      <c r="D614" s="972" t="s">
        <v>1438</v>
      </c>
      <c r="E614" s="975" t="s">
        <v>1289</v>
      </c>
      <c r="F614" s="975">
        <v>720</v>
      </c>
      <c r="G614" s="975">
        <f>+H614/F614</f>
        <v>60</v>
      </c>
      <c r="H614" s="976">
        <v>43200</v>
      </c>
      <c r="I614" s="101">
        <f t="shared" ref="I614:I622" si="318">+I613+F614</f>
        <v>720</v>
      </c>
      <c r="J614" s="101">
        <f t="shared" ref="J614:J622" si="319">+K614/I614</f>
        <v>60</v>
      </c>
      <c r="K614" s="683">
        <f t="shared" ref="K614:K622" si="320">(+H614+K613)</f>
        <v>43200</v>
      </c>
    </row>
    <row r="615" spans="1:11">
      <c r="A615" s="681">
        <v>596</v>
      </c>
      <c r="B615" s="976"/>
      <c r="C615" s="972"/>
      <c r="D615" s="972"/>
      <c r="E615" s="975"/>
      <c r="F615" s="975"/>
      <c r="G615" s="975"/>
      <c r="H615" s="976"/>
      <c r="I615" s="101">
        <f t="shared" si="318"/>
        <v>720</v>
      </c>
      <c r="J615" s="101">
        <f t="shared" si="319"/>
        <v>60</v>
      </c>
      <c r="K615" s="683">
        <f t="shared" si="320"/>
        <v>43200</v>
      </c>
    </row>
    <row r="616" spans="1:11">
      <c r="A616" s="681">
        <v>597</v>
      </c>
      <c r="B616" s="976"/>
      <c r="C616" s="972"/>
      <c r="D616" s="972"/>
      <c r="E616" s="975"/>
      <c r="F616" s="975"/>
      <c r="G616" s="975"/>
      <c r="H616" s="976"/>
      <c r="I616" s="101">
        <f t="shared" si="318"/>
        <v>720</v>
      </c>
      <c r="J616" s="101">
        <f t="shared" si="319"/>
        <v>60</v>
      </c>
      <c r="K616" s="683">
        <f t="shared" si="320"/>
        <v>43200</v>
      </c>
    </row>
    <row r="617" spans="1:11">
      <c r="A617" s="681">
        <v>598</v>
      </c>
      <c r="B617" s="976"/>
      <c r="C617" s="978">
        <v>330</v>
      </c>
      <c r="D617" s="972" t="s">
        <v>1387</v>
      </c>
      <c r="E617" s="975" t="s">
        <v>1270</v>
      </c>
      <c r="F617" s="975">
        <v>360</v>
      </c>
      <c r="G617" s="975">
        <f>+H617/F617</f>
        <v>59</v>
      </c>
      <c r="H617" s="976">
        <v>21240</v>
      </c>
      <c r="I617" s="101">
        <f t="shared" si="318"/>
        <v>1080</v>
      </c>
      <c r="J617" s="101">
        <f t="shared" si="319"/>
        <v>59.666666666666664</v>
      </c>
      <c r="K617" s="683">
        <f t="shared" si="320"/>
        <v>64440</v>
      </c>
    </row>
    <row r="618" spans="1:11">
      <c r="A618" s="681">
        <v>599</v>
      </c>
      <c r="B618" s="976"/>
      <c r="C618" s="972"/>
      <c r="D618" s="972"/>
      <c r="E618" s="975"/>
      <c r="F618" s="975"/>
      <c r="G618" s="975"/>
      <c r="H618" s="976"/>
      <c r="I618" s="101">
        <f t="shared" si="318"/>
        <v>1080</v>
      </c>
      <c r="J618" s="101">
        <f t="shared" si="319"/>
        <v>59.666666666666664</v>
      </c>
      <c r="K618" s="683">
        <f t="shared" si="320"/>
        <v>64440</v>
      </c>
    </row>
    <row r="619" spans="1:11">
      <c r="A619" s="681">
        <v>600</v>
      </c>
      <c r="B619" s="902"/>
      <c r="C619" s="679"/>
      <c r="D619" s="682"/>
      <c r="E619" s="679"/>
      <c r="F619" s="679"/>
      <c r="G619" s="679" t="e">
        <f t="shared" ref="G619:G622" si="321">H619/F619</f>
        <v>#DIV/0!</v>
      </c>
      <c r="H619" s="679"/>
      <c r="I619" s="101">
        <f t="shared" si="318"/>
        <v>1080</v>
      </c>
      <c r="J619" s="101">
        <f t="shared" si="319"/>
        <v>59.666666666666664</v>
      </c>
      <c r="K619" s="683">
        <f t="shared" si="320"/>
        <v>64440</v>
      </c>
    </row>
    <row r="620" spans="1:11">
      <c r="A620" s="681">
        <v>601</v>
      </c>
      <c r="B620" s="902"/>
      <c r="C620" s="679"/>
      <c r="D620" s="682"/>
      <c r="E620" s="679"/>
      <c r="F620" s="679"/>
      <c r="G620" s="679" t="e">
        <f t="shared" si="321"/>
        <v>#DIV/0!</v>
      </c>
      <c r="H620" s="679"/>
      <c r="I620" s="101">
        <f t="shared" si="318"/>
        <v>1080</v>
      </c>
      <c r="J620" s="101">
        <f t="shared" si="319"/>
        <v>59.666666666666664</v>
      </c>
      <c r="K620" s="683">
        <f t="shared" si="320"/>
        <v>64440</v>
      </c>
    </row>
    <row r="621" spans="1:11">
      <c r="A621" s="681">
        <v>602</v>
      </c>
      <c r="B621" s="902"/>
      <c r="C621" s="679"/>
      <c r="D621" s="682"/>
      <c r="E621" s="679"/>
      <c r="F621" s="679"/>
      <c r="G621" s="679" t="e">
        <f t="shared" si="321"/>
        <v>#DIV/0!</v>
      </c>
      <c r="H621" s="679"/>
      <c r="I621" s="101">
        <f t="shared" si="318"/>
        <v>1080</v>
      </c>
      <c r="J621" s="101">
        <f t="shared" si="319"/>
        <v>59.666666666666664</v>
      </c>
      <c r="K621" s="683">
        <f t="shared" si="320"/>
        <v>64440</v>
      </c>
    </row>
    <row r="622" spans="1:11">
      <c r="A622" s="681">
        <v>603</v>
      </c>
      <c r="B622" s="902"/>
      <c r="C622" s="679"/>
      <c r="D622" s="682"/>
      <c r="E622" s="679"/>
      <c r="F622" s="679"/>
      <c r="G622" s="679" t="e">
        <f t="shared" si="321"/>
        <v>#DIV/0!</v>
      </c>
      <c r="H622" s="679"/>
      <c r="I622" s="101">
        <f t="shared" si="318"/>
        <v>1080</v>
      </c>
      <c r="J622" s="101">
        <f t="shared" si="319"/>
        <v>59.666666666666664</v>
      </c>
      <c r="K622" s="683">
        <f t="shared" si="320"/>
        <v>64440</v>
      </c>
    </row>
    <row r="623" spans="1:11">
      <c r="A623" s="681">
        <v>604</v>
      </c>
      <c r="B623" s="903"/>
      <c r="C623" s="894"/>
      <c r="D623" s="895"/>
      <c r="E623" s="894"/>
      <c r="F623" s="894"/>
      <c r="G623" s="894"/>
      <c r="H623" s="894"/>
      <c r="I623" s="896"/>
      <c r="J623" s="896"/>
      <c r="K623" s="897"/>
    </row>
    <row r="624" spans="1:11">
      <c r="A624" s="681">
        <v>605</v>
      </c>
      <c r="B624" s="979" t="s">
        <v>1482</v>
      </c>
      <c r="C624" s="978">
        <v>7</v>
      </c>
      <c r="D624" s="972" t="s">
        <v>1426</v>
      </c>
      <c r="E624" s="975" t="s">
        <v>1270</v>
      </c>
      <c r="F624" s="975">
        <v>600</v>
      </c>
      <c r="G624" s="975">
        <f>+H624/F624</f>
        <v>70.833333333333329</v>
      </c>
      <c r="H624" s="976">
        <v>42500</v>
      </c>
      <c r="I624" s="101">
        <f t="shared" ref="I624:I632" si="322">+I623+F624</f>
        <v>600</v>
      </c>
      <c r="J624" s="101">
        <f t="shared" ref="J624:J632" si="323">+K624/I624</f>
        <v>70.833333333333329</v>
      </c>
      <c r="K624" s="683">
        <f t="shared" ref="K624:K632" si="324">(+H624+K623)</f>
        <v>42500</v>
      </c>
    </row>
    <row r="625" spans="1:11">
      <c r="A625" s="681">
        <v>606</v>
      </c>
      <c r="B625" s="976"/>
      <c r="C625" s="978">
        <v>7</v>
      </c>
      <c r="D625" s="972" t="s">
        <v>1426</v>
      </c>
      <c r="E625" s="975" t="s">
        <v>1270</v>
      </c>
      <c r="F625" s="975">
        <v>700</v>
      </c>
      <c r="G625" s="975">
        <f>+H625/F625</f>
        <v>41.665714285714287</v>
      </c>
      <c r="H625" s="976">
        <v>29166</v>
      </c>
      <c r="I625" s="101">
        <f t="shared" si="322"/>
        <v>1300</v>
      </c>
      <c r="J625" s="101">
        <f t="shared" si="323"/>
        <v>55.127692307692307</v>
      </c>
      <c r="K625" s="683">
        <f t="shared" si="324"/>
        <v>71666</v>
      </c>
    </row>
    <row r="626" spans="1:11">
      <c r="A626" s="681">
        <v>607</v>
      </c>
      <c r="B626" s="976"/>
      <c r="C626" s="978">
        <v>7</v>
      </c>
      <c r="D626" s="972" t="s">
        <v>1426</v>
      </c>
      <c r="E626" s="975" t="s">
        <v>1289</v>
      </c>
      <c r="F626" s="975">
        <v>150</v>
      </c>
      <c r="G626" s="975">
        <f>+H626/F626</f>
        <v>100</v>
      </c>
      <c r="H626" s="976">
        <v>15000</v>
      </c>
      <c r="I626" s="101">
        <f t="shared" si="322"/>
        <v>1450</v>
      </c>
      <c r="J626" s="101">
        <f t="shared" si="323"/>
        <v>59.769655172413792</v>
      </c>
      <c r="K626" s="683">
        <f t="shared" si="324"/>
        <v>86666</v>
      </c>
    </row>
    <row r="627" spans="1:11">
      <c r="A627" s="681">
        <v>608</v>
      </c>
      <c r="B627" s="976"/>
      <c r="C627" s="978">
        <v>7</v>
      </c>
      <c r="D627" s="972" t="s">
        <v>1426</v>
      </c>
      <c r="E627" s="975" t="s">
        <v>1289</v>
      </c>
      <c r="F627" s="975">
        <v>120</v>
      </c>
      <c r="G627" s="975">
        <f>+H627/F627</f>
        <v>83.333333333333329</v>
      </c>
      <c r="H627" s="976">
        <v>10000</v>
      </c>
      <c r="I627" s="101">
        <f t="shared" si="322"/>
        <v>1570</v>
      </c>
      <c r="J627" s="101">
        <f t="shared" si="323"/>
        <v>61.570700636942675</v>
      </c>
      <c r="K627" s="683">
        <f t="shared" si="324"/>
        <v>96666</v>
      </c>
    </row>
    <row r="628" spans="1:11">
      <c r="A628" s="681">
        <v>609</v>
      </c>
      <c r="B628" s="902"/>
      <c r="C628" s="679"/>
      <c r="D628" s="682"/>
      <c r="E628" s="679"/>
      <c r="F628" s="679"/>
      <c r="G628" s="679" t="e">
        <f t="shared" ref="G628:G632" si="325">H628/F628</f>
        <v>#DIV/0!</v>
      </c>
      <c r="H628" s="679"/>
      <c r="I628" s="101">
        <f t="shared" si="322"/>
        <v>1570</v>
      </c>
      <c r="J628" s="101">
        <f t="shared" si="323"/>
        <v>61.570700636942675</v>
      </c>
      <c r="K628" s="683">
        <f t="shared" si="324"/>
        <v>96666</v>
      </c>
    </row>
    <row r="629" spans="1:11">
      <c r="A629" s="681">
        <v>610</v>
      </c>
      <c r="B629" s="902"/>
      <c r="C629" s="679"/>
      <c r="D629" s="682"/>
      <c r="E629" s="679"/>
      <c r="F629" s="679"/>
      <c r="G629" s="679" t="e">
        <f t="shared" si="325"/>
        <v>#DIV/0!</v>
      </c>
      <c r="H629" s="679"/>
      <c r="I629" s="101">
        <f t="shared" si="322"/>
        <v>1570</v>
      </c>
      <c r="J629" s="101">
        <f t="shared" si="323"/>
        <v>61.570700636942675</v>
      </c>
      <c r="K629" s="683">
        <f t="shared" si="324"/>
        <v>96666</v>
      </c>
    </row>
    <row r="630" spans="1:11">
      <c r="A630" s="681">
        <v>611</v>
      </c>
      <c r="B630" s="902"/>
      <c r="C630" s="679"/>
      <c r="D630" s="682"/>
      <c r="E630" s="679"/>
      <c r="F630" s="679"/>
      <c r="G630" s="679" t="e">
        <f t="shared" si="325"/>
        <v>#DIV/0!</v>
      </c>
      <c r="H630" s="679"/>
      <c r="I630" s="101">
        <f t="shared" si="322"/>
        <v>1570</v>
      </c>
      <c r="J630" s="101">
        <f t="shared" si="323"/>
        <v>61.570700636942675</v>
      </c>
      <c r="K630" s="683">
        <f t="shared" si="324"/>
        <v>96666</v>
      </c>
    </row>
    <row r="631" spans="1:11">
      <c r="A631" s="681">
        <v>612</v>
      </c>
      <c r="B631" s="902"/>
      <c r="C631" s="679"/>
      <c r="D631" s="682"/>
      <c r="E631" s="679"/>
      <c r="F631" s="679"/>
      <c r="G631" s="679" t="e">
        <f t="shared" si="325"/>
        <v>#DIV/0!</v>
      </c>
      <c r="H631" s="679"/>
      <c r="I631" s="101">
        <f t="shared" si="322"/>
        <v>1570</v>
      </c>
      <c r="J631" s="101">
        <f t="shared" si="323"/>
        <v>61.570700636942675</v>
      </c>
      <c r="K631" s="683">
        <f t="shared" si="324"/>
        <v>96666</v>
      </c>
    </row>
    <row r="632" spans="1:11">
      <c r="A632" s="681">
        <v>613</v>
      </c>
      <c r="B632" s="902"/>
      <c r="C632" s="679"/>
      <c r="D632" s="682"/>
      <c r="E632" s="679"/>
      <c r="F632" s="679"/>
      <c r="G632" s="679" t="e">
        <f t="shared" si="325"/>
        <v>#DIV/0!</v>
      </c>
      <c r="H632" s="679"/>
      <c r="I632" s="101">
        <f t="shared" si="322"/>
        <v>1570</v>
      </c>
      <c r="J632" s="101">
        <f t="shared" si="323"/>
        <v>61.570700636942675</v>
      </c>
      <c r="K632" s="683">
        <f t="shared" si="324"/>
        <v>96666</v>
      </c>
    </row>
    <row r="633" spans="1:11">
      <c r="A633" s="681">
        <v>614</v>
      </c>
      <c r="B633" s="903"/>
      <c r="C633" s="894"/>
      <c r="D633" s="895"/>
      <c r="E633" s="894"/>
      <c r="F633" s="894"/>
      <c r="G633" s="894"/>
      <c r="H633" s="894"/>
      <c r="I633" s="896"/>
      <c r="J633" s="896"/>
      <c r="K633" s="897"/>
    </row>
    <row r="634" spans="1:11">
      <c r="A634" s="681">
        <v>615</v>
      </c>
      <c r="B634" s="979" t="s">
        <v>1493</v>
      </c>
      <c r="C634" s="978">
        <v>398</v>
      </c>
      <c r="D634" s="972" t="s">
        <v>1442</v>
      </c>
      <c r="E634" s="975" t="s">
        <v>962</v>
      </c>
      <c r="F634" s="975">
        <v>37</v>
      </c>
      <c r="G634" s="975">
        <v>415</v>
      </c>
      <c r="H634" s="976">
        <v>15355</v>
      </c>
      <c r="I634" s="101">
        <f t="shared" ref="I634:I642" si="326">+I633+F634</f>
        <v>37</v>
      </c>
      <c r="J634" s="101">
        <f t="shared" ref="J634:J642" si="327">+K634/I634</f>
        <v>415</v>
      </c>
      <c r="K634" s="683">
        <f t="shared" ref="K634:K642" si="328">(+H634+K633)</f>
        <v>15355</v>
      </c>
    </row>
    <row r="635" spans="1:11">
      <c r="A635" s="681">
        <v>616</v>
      </c>
      <c r="B635" s="976"/>
      <c r="C635" s="978">
        <v>297</v>
      </c>
      <c r="D635" s="972" t="s">
        <v>1396</v>
      </c>
      <c r="E635" s="975" t="s">
        <v>962</v>
      </c>
      <c r="F635" s="975">
        <v>95</v>
      </c>
      <c r="G635" s="975">
        <v>405</v>
      </c>
      <c r="H635" s="976">
        <v>38475</v>
      </c>
      <c r="I635" s="101">
        <f t="shared" si="326"/>
        <v>132</v>
      </c>
      <c r="J635" s="101">
        <f t="shared" si="327"/>
        <v>407.80303030303031</v>
      </c>
      <c r="K635" s="683">
        <f t="shared" si="328"/>
        <v>53830</v>
      </c>
    </row>
    <row r="636" spans="1:11">
      <c r="A636" s="681">
        <v>617</v>
      </c>
      <c r="B636" s="976"/>
      <c r="C636" s="978">
        <v>314</v>
      </c>
      <c r="D636" s="972" t="s">
        <v>1391</v>
      </c>
      <c r="E636" s="975" t="s">
        <v>962</v>
      </c>
      <c r="F636" s="975">
        <v>85</v>
      </c>
      <c r="G636" s="975">
        <v>402</v>
      </c>
      <c r="H636" s="976">
        <v>34170</v>
      </c>
      <c r="I636" s="101">
        <f t="shared" si="326"/>
        <v>217</v>
      </c>
      <c r="J636" s="101">
        <f t="shared" si="327"/>
        <v>405.5299539170507</v>
      </c>
      <c r="K636" s="683">
        <f t="shared" si="328"/>
        <v>88000</v>
      </c>
    </row>
    <row r="637" spans="1:11">
      <c r="A637" s="681">
        <v>618</v>
      </c>
      <c r="B637" s="902"/>
      <c r="C637" s="679"/>
      <c r="D637" s="682"/>
      <c r="E637" s="679"/>
      <c r="F637" s="679"/>
      <c r="G637" s="679" t="e">
        <f t="shared" ref="G637:G642" si="329">H637/F637</f>
        <v>#DIV/0!</v>
      </c>
      <c r="H637" s="679"/>
      <c r="I637" s="101">
        <f t="shared" si="326"/>
        <v>217</v>
      </c>
      <c r="J637" s="101">
        <f t="shared" si="327"/>
        <v>405.5299539170507</v>
      </c>
      <c r="K637" s="683">
        <f t="shared" si="328"/>
        <v>88000</v>
      </c>
    </row>
    <row r="638" spans="1:11">
      <c r="A638" s="681">
        <v>619</v>
      </c>
      <c r="B638" s="902"/>
      <c r="C638" s="679"/>
      <c r="D638" s="682"/>
      <c r="E638" s="679"/>
      <c r="F638" s="679"/>
      <c r="G638" s="679" t="e">
        <f t="shared" si="329"/>
        <v>#DIV/0!</v>
      </c>
      <c r="H638" s="679"/>
      <c r="I638" s="101">
        <f t="shared" si="326"/>
        <v>217</v>
      </c>
      <c r="J638" s="101">
        <f t="shared" si="327"/>
        <v>405.5299539170507</v>
      </c>
      <c r="K638" s="683">
        <f t="shared" si="328"/>
        <v>88000</v>
      </c>
    </row>
    <row r="639" spans="1:11">
      <c r="A639" s="681">
        <v>620</v>
      </c>
      <c r="B639" s="902"/>
      <c r="C639" s="679"/>
      <c r="D639" s="682"/>
      <c r="E639" s="679"/>
      <c r="F639" s="679"/>
      <c r="G639" s="679" t="e">
        <f t="shared" si="329"/>
        <v>#DIV/0!</v>
      </c>
      <c r="H639" s="679"/>
      <c r="I639" s="101">
        <f t="shared" si="326"/>
        <v>217</v>
      </c>
      <c r="J639" s="101">
        <f t="shared" si="327"/>
        <v>405.5299539170507</v>
      </c>
      <c r="K639" s="683">
        <f t="shared" si="328"/>
        <v>88000</v>
      </c>
    </row>
    <row r="640" spans="1:11">
      <c r="A640" s="681">
        <v>621</v>
      </c>
      <c r="B640" s="902"/>
      <c r="C640" s="679"/>
      <c r="D640" s="682"/>
      <c r="E640" s="679"/>
      <c r="F640" s="679"/>
      <c r="G640" s="679" t="e">
        <f t="shared" si="329"/>
        <v>#DIV/0!</v>
      </c>
      <c r="H640" s="679"/>
      <c r="I640" s="101">
        <f t="shared" si="326"/>
        <v>217</v>
      </c>
      <c r="J640" s="101">
        <f t="shared" si="327"/>
        <v>405.5299539170507</v>
      </c>
      <c r="K640" s="683">
        <f t="shared" si="328"/>
        <v>88000</v>
      </c>
    </row>
    <row r="641" spans="1:11">
      <c r="A641" s="681">
        <v>622</v>
      </c>
      <c r="B641" s="902"/>
      <c r="C641" s="679"/>
      <c r="D641" s="682"/>
      <c r="E641" s="679"/>
      <c r="F641" s="679"/>
      <c r="G641" s="679" t="e">
        <f t="shared" si="329"/>
        <v>#DIV/0!</v>
      </c>
      <c r="H641" s="679"/>
      <c r="I641" s="101">
        <f t="shared" si="326"/>
        <v>217</v>
      </c>
      <c r="J641" s="101">
        <f t="shared" si="327"/>
        <v>405.5299539170507</v>
      </c>
      <c r="K641" s="683">
        <f t="shared" si="328"/>
        <v>88000</v>
      </c>
    </row>
    <row r="642" spans="1:11">
      <c r="A642" s="681">
        <v>623</v>
      </c>
      <c r="B642" s="902"/>
      <c r="C642" s="679"/>
      <c r="D642" s="682"/>
      <c r="E642" s="679"/>
      <c r="F642" s="679"/>
      <c r="G642" s="679" t="e">
        <f t="shared" si="329"/>
        <v>#DIV/0!</v>
      </c>
      <c r="H642" s="679"/>
      <c r="I642" s="101">
        <f t="shared" si="326"/>
        <v>217</v>
      </c>
      <c r="J642" s="101">
        <f t="shared" si="327"/>
        <v>405.5299539170507</v>
      </c>
      <c r="K642" s="683">
        <f t="shared" si="328"/>
        <v>88000</v>
      </c>
    </row>
    <row r="643" spans="1:11">
      <c r="A643" s="681">
        <v>624</v>
      </c>
      <c r="B643" s="903"/>
      <c r="C643" s="894"/>
      <c r="D643" s="895"/>
      <c r="E643" s="894"/>
      <c r="F643" s="894"/>
      <c r="G643" s="894"/>
      <c r="H643" s="894"/>
      <c r="I643" s="896"/>
      <c r="J643" s="896"/>
      <c r="K643" s="897"/>
    </row>
    <row r="644" spans="1:11">
      <c r="A644" s="681">
        <v>625</v>
      </c>
      <c r="B644" s="980" t="s">
        <v>1460</v>
      </c>
      <c r="C644" s="978">
        <v>372</v>
      </c>
      <c r="D644" s="972" t="s">
        <v>1342</v>
      </c>
      <c r="E644" s="974" t="s">
        <v>961</v>
      </c>
      <c r="F644" s="974">
        <v>10</v>
      </c>
      <c r="G644" s="975">
        <f>+H644/F644</f>
        <v>460</v>
      </c>
      <c r="H644" s="973">
        <v>4600</v>
      </c>
      <c r="I644" s="101">
        <f t="shared" ref="I644:I652" si="330">+I643+F644</f>
        <v>10</v>
      </c>
      <c r="J644" s="101">
        <f t="shared" ref="J644:J652" si="331">+K644/I644</f>
        <v>460</v>
      </c>
      <c r="K644" s="683">
        <f t="shared" ref="K644:K652" si="332">(+H644+K643)</f>
        <v>4600</v>
      </c>
    </row>
    <row r="645" spans="1:11">
      <c r="A645" s="681">
        <v>626</v>
      </c>
      <c r="B645" s="976"/>
      <c r="C645" s="978">
        <v>7</v>
      </c>
      <c r="D645" s="972" t="s">
        <v>1426</v>
      </c>
      <c r="E645" s="975" t="s">
        <v>1483</v>
      </c>
      <c r="F645" s="975">
        <v>10</v>
      </c>
      <c r="G645" s="975">
        <f>+H645/F645</f>
        <v>1666.6</v>
      </c>
      <c r="H645" s="976">
        <v>16666</v>
      </c>
      <c r="I645" s="101">
        <f t="shared" si="330"/>
        <v>20</v>
      </c>
      <c r="J645" s="101">
        <f t="shared" si="331"/>
        <v>1063.3</v>
      </c>
      <c r="K645" s="683">
        <f t="shared" si="332"/>
        <v>21266</v>
      </c>
    </row>
    <row r="646" spans="1:11">
      <c r="A646" s="681">
        <v>627</v>
      </c>
      <c r="B646" s="902"/>
      <c r="C646" s="679">
        <v>513</v>
      </c>
      <c r="D646" s="682">
        <v>24.08</v>
      </c>
      <c r="E646" s="679" t="s">
        <v>961</v>
      </c>
      <c r="F646" s="679">
        <v>100</v>
      </c>
      <c r="G646" s="679">
        <f t="shared" ref="G646:G652" si="333">H646/F646</f>
        <v>460</v>
      </c>
      <c r="H646" s="679">
        <v>46000</v>
      </c>
      <c r="I646" s="101">
        <f t="shared" si="330"/>
        <v>120</v>
      </c>
      <c r="J646" s="101">
        <f t="shared" si="331"/>
        <v>560.54999999999995</v>
      </c>
      <c r="K646" s="683">
        <f t="shared" si="332"/>
        <v>67266</v>
      </c>
    </row>
    <row r="647" spans="1:11">
      <c r="A647" s="681">
        <v>628</v>
      </c>
      <c r="B647" s="902"/>
      <c r="C647" s="679"/>
      <c r="D647" s="682"/>
      <c r="E647" s="679"/>
      <c r="F647" s="679"/>
      <c r="G647" s="679" t="e">
        <f t="shared" si="333"/>
        <v>#DIV/0!</v>
      </c>
      <c r="H647" s="679"/>
      <c r="I647" s="101">
        <f t="shared" si="330"/>
        <v>120</v>
      </c>
      <c r="J647" s="101">
        <f t="shared" si="331"/>
        <v>560.54999999999995</v>
      </c>
      <c r="K647" s="683">
        <f t="shared" si="332"/>
        <v>67266</v>
      </c>
    </row>
    <row r="648" spans="1:11">
      <c r="A648" s="681">
        <v>629</v>
      </c>
      <c r="B648" s="902"/>
      <c r="C648" s="679"/>
      <c r="D648" s="682"/>
      <c r="E648" s="679"/>
      <c r="F648" s="679"/>
      <c r="G648" s="679" t="e">
        <f t="shared" si="333"/>
        <v>#DIV/0!</v>
      </c>
      <c r="H648" s="679"/>
      <c r="I648" s="101">
        <f t="shared" si="330"/>
        <v>120</v>
      </c>
      <c r="J648" s="101">
        <f t="shared" si="331"/>
        <v>560.54999999999995</v>
      </c>
      <c r="K648" s="683">
        <f t="shared" si="332"/>
        <v>67266</v>
      </c>
    </row>
    <row r="649" spans="1:11">
      <c r="A649" s="681">
        <v>630</v>
      </c>
      <c r="B649" s="902"/>
      <c r="C649" s="679"/>
      <c r="D649" s="682"/>
      <c r="E649" s="679"/>
      <c r="F649" s="679"/>
      <c r="G649" s="679" t="e">
        <f t="shared" si="333"/>
        <v>#DIV/0!</v>
      </c>
      <c r="H649" s="679"/>
      <c r="I649" s="101">
        <f t="shared" si="330"/>
        <v>120</v>
      </c>
      <c r="J649" s="101">
        <f t="shared" si="331"/>
        <v>560.54999999999995</v>
      </c>
      <c r="K649" s="683">
        <f t="shared" si="332"/>
        <v>67266</v>
      </c>
    </row>
    <row r="650" spans="1:11">
      <c r="A650" s="681">
        <v>631</v>
      </c>
      <c r="B650" s="902"/>
      <c r="C650" s="679"/>
      <c r="D650" s="682"/>
      <c r="E650" s="679"/>
      <c r="F650" s="679"/>
      <c r="G650" s="679" t="e">
        <f t="shared" si="333"/>
        <v>#DIV/0!</v>
      </c>
      <c r="H650" s="679"/>
      <c r="I650" s="101">
        <f t="shared" si="330"/>
        <v>120</v>
      </c>
      <c r="J650" s="101">
        <f t="shared" si="331"/>
        <v>560.54999999999995</v>
      </c>
      <c r="K650" s="683">
        <f t="shared" si="332"/>
        <v>67266</v>
      </c>
    </row>
    <row r="651" spans="1:11">
      <c r="A651" s="681">
        <v>632</v>
      </c>
      <c r="B651" s="902"/>
      <c r="C651" s="679"/>
      <c r="D651" s="682"/>
      <c r="E651" s="679"/>
      <c r="F651" s="679"/>
      <c r="G651" s="679" t="e">
        <f t="shared" si="333"/>
        <v>#DIV/0!</v>
      </c>
      <c r="H651" s="679"/>
      <c r="I651" s="101">
        <f t="shared" si="330"/>
        <v>120</v>
      </c>
      <c r="J651" s="101">
        <f t="shared" si="331"/>
        <v>560.54999999999995</v>
      </c>
      <c r="K651" s="683">
        <f t="shared" si="332"/>
        <v>67266</v>
      </c>
    </row>
    <row r="652" spans="1:11">
      <c r="A652" s="681">
        <v>633</v>
      </c>
      <c r="B652" s="902"/>
      <c r="C652" s="679"/>
      <c r="D652" s="682"/>
      <c r="E652" s="679"/>
      <c r="F652" s="679"/>
      <c r="G652" s="679" t="e">
        <f t="shared" si="333"/>
        <v>#DIV/0!</v>
      </c>
      <c r="H652" s="679"/>
      <c r="I652" s="101">
        <f t="shared" si="330"/>
        <v>120</v>
      </c>
      <c r="J652" s="101">
        <f t="shared" si="331"/>
        <v>560.54999999999995</v>
      </c>
      <c r="K652" s="683">
        <f t="shared" si="332"/>
        <v>67266</v>
      </c>
    </row>
    <row r="653" spans="1:11">
      <c r="A653" s="681">
        <v>634</v>
      </c>
      <c r="B653" s="903"/>
      <c r="C653" s="894"/>
      <c r="D653" s="895"/>
      <c r="E653" s="894"/>
      <c r="F653" s="894"/>
      <c r="G653" s="894"/>
      <c r="H653" s="894"/>
      <c r="I653" s="896"/>
      <c r="J653" s="896"/>
      <c r="K653" s="897"/>
    </row>
    <row r="654" spans="1:11">
      <c r="A654" s="681">
        <v>635</v>
      </c>
      <c r="B654" s="975"/>
      <c r="C654" s="972"/>
      <c r="D654" s="972"/>
      <c r="E654" s="975"/>
      <c r="F654" s="975"/>
      <c r="G654" s="975"/>
      <c r="H654" s="976"/>
      <c r="I654" s="101">
        <f t="shared" ref="I654:I662" si="334">+I653+F654</f>
        <v>0</v>
      </c>
      <c r="J654" s="101" t="e">
        <f t="shared" ref="J654:J662" si="335">+K654/I654</f>
        <v>#DIV/0!</v>
      </c>
      <c r="K654" s="683">
        <f t="shared" ref="K654:K662" si="336">(+H654+K653)</f>
        <v>0</v>
      </c>
    </row>
    <row r="655" spans="1:11">
      <c r="A655" s="681">
        <v>636</v>
      </c>
      <c r="B655" s="982" t="s">
        <v>1485</v>
      </c>
      <c r="C655" s="978">
        <v>7</v>
      </c>
      <c r="D655" s="972" t="s">
        <v>1426</v>
      </c>
      <c r="E655" s="975" t="s">
        <v>1487</v>
      </c>
      <c r="F655" s="975">
        <v>10</v>
      </c>
      <c r="G655" s="975">
        <f>+H655/F655</f>
        <v>500</v>
      </c>
      <c r="H655" s="976">
        <v>5000</v>
      </c>
      <c r="I655" s="101">
        <f t="shared" si="334"/>
        <v>10</v>
      </c>
      <c r="J655" s="101">
        <f t="shared" si="335"/>
        <v>500</v>
      </c>
      <c r="K655" s="683">
        <f t="shared" si="336"/>
        <v>5000</v>
      </c>
    </row>
    <row r="656" spans="1:11">
      <c r="A656" s="681">
        <v>637</v>
      </c>
      <c r="B656" s="902"/>
      <c r="C656" s="679"/>
      <c r="D656" s="682"/>
      <c r="E656" s="679"/>
      <c r="F656" s="679"/>
      <c r="G656" s="679" t="e">
        <f t="shared" ref="G656:G662" si="337">H656/F656</f>
        <v>#DIV/0!</v>
      </c>
      <c r="H656" s="679"/>
      <c r="I656" s="101">
        <f t="shared" si="334"/>
        <v>10</v>
      </c>
      <c r="J656" s="101">
        <f t="shared" si="335"/>
        <v>500</v>
      </c>
      <c r="K656" s="683">
        <f t="shared" si="336"/>
        <v>5000</v>
      </c>
    </row>
    <row r="657" spans="1:11">
      <c r="A657" s="681">
        <v>638</v>
      </c>
      <c r="B657" s="902"/>
      <c r="C657" s="679"/>
      <c r="D657" s="682"/>
      <c r="E657" s="679"/>
      <c r="F657" s="679"/>
      <c r="G657" s="679" t="e">
        <f t="shared" si="337"/>
        <v>#DIV/0!</v>
      </c>
      <c r="H657" s="679"/>
      <c r="I657" s="101">
        <f t="shared" si="334"/>
        <v>10</v>
      </c>
      <c r="J657" s="101">
        <f t="shared" si="335"/>
        <v>500</v>
      </c>
      <c r="K657" s="683">
        <f t="shared" si="336"/>
        <v>5000</v>
      </c>
    </row>
    <row r="658" spans="1:11">
      <c r="A658" s="681">
        <v>639</v>
      </c>
      <c r="B658" s="902"/>
      <c r="C658" s="679"/>
      <c r="D658" s="682"/>
      <c r="E658" s="679"/>
      <c r="F658" s="679"/>
      <c r="G658" s="679" t="e">
        <f t="shared" si="337"/>
        <v>#DIV/0!</v>
      </c>
      <c r="H658" s="679"/>
      <c r="I658" s="101">
        <f t="shared" si="334"/>
        <v>10</v>
      </c>
      <c r="J658" s="101">
        <f t="shared" si="335"/>
        <v>500</v>
      </c>
      <c r="K658" s="683">
        <f t="shared" si="336"/>
        <v>5000</v>
      </c>
    </row>
    <row r="659" spans="1:11">
      <c r="A659" s="681">
        <v>640</v>
      </c>
      <c r="B659" s="902"/>
      <c r="C659" s="679"/>
      <c r="D659" s="682"/>
      <c r="E659" s="679"/>
      <c r="F659" s="679"/>
      <c r="G659" s="679" t="e">
        <f t="shared" si="337"/>
        <v>#DIV/0!</v>
      </c>
      <c r="H659" s="679"/>
      <c r="I659" s="101">
        <f t="shared" si="334"/>
        <v>10</v>
      </c>
      <c r="J659" s="101">
        <f t="shared" si="335"/>
        <v>500</v>
      </c>
      <c r="K659" s="683">
        <f t="shared" si="336"/>
        <v>5000</v>
      </c>
    </row>
    <row r="660" spans="1:11">
      <c r="A660" s="681">
        <v>641</v>
      </c>
      <c r="B660" s="902"/>
      <c r="C660" s="679"/>
      <c r="D660" s="682"/>
      <c r="E660" s="679"/>
      <c r="F660" s="679"/>
      <c r="G660" s="679" t="e">
        <f t="shared" si="337"/>
        <v>#DIV/0!</v>
      </c>
      <c r="H660" s="679"/>
      <c r="I660" s="101">
        <f t="shared" si="334"/>
        <v>10</v>
      </c>
      <c r="J660" s="101">
        <f t="shared" si="335"/>
        <v>500</v>
      </c>
      <c r="K660" s="683">
        <f t="shared" si="336"/>
        <v>5000</v>
      </c>
    </row>
    <row r="661" spans="1:11">
      <c r="A661" s="681">
        <v>642</v>
      </c>
      <c r="B661" s="902"/>
      <c r="C661" s="679"/>
      <c r="D661" s="682"/>
      <c r="E661" s="679"/>
      <c r="F661" s="679"/>
      <c r="G661" s="679" t="e">
        <f t="shared" si="337"/>
        <v>#DIV/0!</v>
      </c>
      <c r="H661" s="679"/>
      <c r="I661" s="101">
        <f t="shared" si="334"/>
        <v>10</v>
      </c>
      <c r="J661" s="101">
        <f t="shared" si="335"/>
        <v>500</v>
      </c>
      <c r="K661" s="683">
        <f t="shared" si="336"/>
        <v>5000</v>
      </c>
    </row>
    <row r="662" spans="1:11">
      <c r="A662" s="681">
        <v>643</v>
      </c>
      <c r="B662" s="902"/>
      <c r="C662" s="679"/>
      <c r="D662" s="682"/>
      <c r="E662" s="679"/>
      <c r="F662" s="679"/>
      <c r="G662" s="679" t="e">
        <f t="shared" si="337"/>
        <v>#DIV/0!</v>
      </c>
      <c r="H662" s="679"/>
      <c r="I662" s="101">
        <f t="shared" si="334"/>
        <v>10</v>
      </c>
      <c r="J662" s="101">
        <f t="shared" si="335"/>
        <v>500</v>
      </c>
      <c r="K662" s="683">
        <f t="shared" si="336"/>
        <v>5000</v>
      </c>
    </row>
    <row r="663" spans="1:11">
      <c r="A663" s="681">
        <v>644</v>
      </c>
      <c r="B663" s="903"/>
      <c r="C663" s="894"/>
      <c r="D663" s="895"/>
      <c r="E663" s="894"/>
      <c r="F663" s="894"/>
      <c r="G663" s="894"/>
      <c r="H663" s="894"/>
      <c r="I663" s="896"/>
      <c r="J663" s="896"/>
      <c r="K663" s="897"/>
    </row>
    <row r="664" spans="1:11">
      <c r="A664" s="681">
        <v>645</v>
      </c>
      <c r="B664" s="982" t="s">
        <v>1486</v>
      </c>
      <c r="C664" s="978">
        <v>7</v>
      </c>
      <c r="D664" s="972" t="s">
        <v>1426</v>
      </c>
      <c r="E664" s="975" t="s">
        <v>1488</v>
      </c>
      <c r="F664" s="975">
        <v>8</v>
      </c>
      <c r="G664" s="975">
        <f>+H664/F664</f>
        <v>583.375</v>
      </c>
      <c r="H664" s="976">
        <v>4667</v>
      </c>
      <c r="I664" s="101">
        <f t="shared" ref="I664:I672" si="338">+I663+F664</f>
        <v>8</v>
      </c>
      <c r="J664" s="101">
        <f t="shared" ref="J664:J672" si="339">+K664/I664</f>
        <v>583.375</v>
      </c>
      <c r="K664" s="683">
        <f t="shared" ref="K664:K672" si="340">(+H664+K663)</f>
        <v>4667</v>
      </c>
    </row>
    <row r="665" spans="1:11">
      <c r="A665" s="681">
        <v>646</v>
      </c>
      <c r="B665" s="975"/>
      <c r="C665" s="972"/>
      <c r="D665" s="972"/>
      <c r="E665" s="975"/>
      <c r="F665" s="975"/>
      <c r="G665" s="975"/>
      <c r="H665" s="976"/>
      <c r="I665" s="101">
        <f t="shared" si="338"/>
        <v>8</v>
      </c>
      <c r="J665" s="101">
        <f t="shared" si="339"/>
        <v>583.375</v>
      </c>
      <c r="K665" s="683">
        <f t="shared" si="340"/>
        <v>4667</v>
      </c>
    </row>
    <row r="666" spans="1:11">
      <c r="A666" s="681">
        <v>647</v>
      </c>
      <c r="B666" s="902"/>
      <c r="C666" s="679"/>
      <c r="D666" s="682"/>
      <c r="E666" s="679"/>
      <c r="F666" s="679"/>
      <c r="G666" s="679" t="e">
        <f t="shared" ref="G666:G672" si="341">H666/F666</f>
        <v>#DIV/0!</v>
      </c>
      <c r="H666" s="679"/>
      <c r="I666" s="101">
        <f t="shared" si="338"/>
        <v>8</v>
      </c>
      <c r="J666" s="101">
        <f t="shared" si="339"/>
        <v>583.375</v>
      </c>
      <c r="K666" s="683">
        <f t="shared" si="340"/>
        <v>4667</v>
      </c>
    </row>
    <row r="667" spans="1:11">
      <c r="A667" s="681">
        <v>648</v>
      </c>
      <c r="B667" s="902"/>
      <c r="C667" s="679"/>
      <c r="D667" s="682"/>
      <c r="E667" s="679"/>
      <c r="F667" s="679"/>
      <c r="G667" s="679" t="e">
        <f t="shared" si="341"/>
        <v>#DIV/0!</v>
      </c>
      <c r="H667" s="679"/>
      <c r="I667" s="101">
        <f t="shared" si="338"/>
        <v>8</v>
      </c>
      <c r="J667" s="101">
        <f t="shared" si="339"/>
        <v>583.375</v>
      </c>
      <c r="K667" s="683">
        <f t="shared" si="340"/>
        <v>4667</v>
      </c>
    </row>
    <row r="668" spans="1:11">
      <c r="A668" s="681">
        <v>649</v>
      </c>
      <c r="B668" s="902"/>
      <c r="C668" s="679"/>
      <c r="D668" s="682"/>
      <c r="E668" s="679"/>
      <c r="F668" s="679"/>
      <c r="G668" s="679" t="e">
        <f t="shared" si="341"/>
        <v>#DIV/0!</v>
      </c>
      <c r="H668" s="679"/>
      <c r="I668" s="101">
        <f t="shared" si="338"/>
        <v>8</v>
      </c>
      <c r="J668" s="101">
        <f t="shared" si="339"/>
        <v>583.375</v>
      </c>
      <c r="K668" s="683">
        <f t="shared" si="340"/>
        <v>4667</v>
      </c>
    </row>
    <row r="669" spans="1:11">
      <c r="A669" s="681">
        <v>650</v>
      </c>
      <c r="B669" s="902"/>
      <c r="C669" s="679"/>
      <c r="D669" s="682"/>
      <c r="E669" s="679"/>
      <c r="F669" s="679"/>
      <c r="G669" s="679" t="e">
        <f t="shared" si="341"/>
        <v>#DIV/0!</v>
      </c>
      <c r="H669" s="679"/>
      <c r="I669" s="101">
        <f t="shared" si="338"/>
        <v>8</v>
      </c>
      <c r="J669" s="101">
        <f t="shared" si="339"/>
        <v>583.375</v>
      </c>
      <c r="K669" s="683">
        <f t="shared" si="340"/>
        <v>4667</v>
      </c>
    </row>
    <row r="670" spans="1:11">
      <c r="A670" s="681">
        <v>651</v>
      </c>
      <c r="B670" s="902"/>
      <c r="C670" s="679"/>
      <c r="D670" s="682"/>
      <c r="E670" s="679"/>
      <c r="F670" s="679"/>
      <c r="G670" s="679" t="e">
        <f t="shared" si="341"/>
        <v>#DIV/0!</v>
      </c>
      <c r="H670" s="679"/>
      <c r="I670" s="101">
        <f t="shared" si="338"/>
        <v>8</v>
      </c>
      <c r="J670" s="101">
        <f t="shared" si="339"/>
        <v>583.375</v>
      </c>
      <c r="K670" s="683">
        <f t="shared" si="340"/>
        <v>4667</v>
      </c>
    </row>
    <row r="671" spans="1:11">
      <c r="A671" s="681">
        <v>652</v>
      </c>
      <c r="B671" s="902"/>
      <c r="C671" s="679"/>
      <c r="D671" s="682"/>
      <c r="E671" s="679"/>
      <c r="F671" s="679"/>
      <c r="G671" s="679" t="e">
        <f t="shared" si="341"/>
        <v>#DIV/0!</v>
      </c>
      <c r="H671" s="679"/>
      <c r="I671" s="101">
        <f t="shared" si="338"/>
        <v>8</v>
      </c>
      <c r="J671" s="101">
        <f t="shared" si="339"/>
        <v>583.375</v>
      </c>
      <c r="K671" s="683">
        <f t="shared" si="340"/>
        <v>4667</v>
      </c>
    </row>
    <row r="672" spans="1:11">
      <c r="A672" s="681">
        <v>653</v>
      </c>
      <c r="B672" s="902"/>
      <c r="C672" s="679"/>
      <c r="D672" s="682"/>
      <c r="E672" s="679"/>
      <c r="F672" s="679"/>
      <c r="G672" s="679" t="e">
        <f t="shared" si="341"/>
        <v>#DIV/0!</v>
      </c>
      <c r="H672" s="679"/>
      <c r="I672" s="101">
        <f t="shared" si="338"/>
        <v>8</v>
      </c>
      <c r="J672" s="101">
        <f t="shared" si="339"/>
        <v>583.375</v>
      </c>
      <c r="K672" s="683">
        <f t="shared" si="340"/>
        <v>4667</v>
      </c>
    </row>
    <row r="673" spans="1:11">
      <c r="A673" s="681">
        <v>654</v>
      </c>
      <c r="B673" s="903"/>
      <c r="C673" s="894"/>
      <c r="D673" s="895"/>
      <c r="E673" s="894"/>
      <c r="F673" s="894"/>
      <c r="G673" s="894"/>
      <c r="H673" s="894"/>
      <c r="I673" s="896"/>
      <c r="J673" s="896"/>
      <c r="K673" s="897"/>
    </row>
    <row r="674" spans="1:11">
      <c r="A674" s="681">
        <v>655</v>
      </c>
      <c r="B674" s="904" t="s">
        <v>1910</v>
      </c>
      <c r="C674" s="679">
        <v>461</v>
      </c>
      <c r="D674" s="682">
        <v>22.08</v>
      </c>
      <c r="E674" s="679" t="s">
        <v>1911</v>
      </c>
      <c r="F674" s="679">
        <v>90</v>
      </c>
      <c r="G674" s="679">
        <f t="shared" ref="G674:G682" si="342">H674/F674</f>
        <v>28</v>
      </c>
      <c r="H674" s="679">
        <v>2520</v>
      </c>
      <c r="I674" s="101">
        <f t="shared" ref="I674:I682" si="343">+I673+F674</f>
        <v>90</v>
      </c>
      <c r="J674" s="101">
        <f t="shared" ref="J674:J682" si="344">+K674/I674</f>
        <v>28</v>
      </c>
      <c r="K674" s="683">
        <f t="shared" ref="K674:K682" si="345">(+H674+K673)</f>
        <v>2520</v>
      </c>
    </row>
    <row r="675" spans="1:11">
      <c r="A675" s="681">
        <v>656</v>
      </c>
      <c r="B675" s="902"/>
      <c r="C675" s="679"/>
      <c r="D675" s="682"/>
      <c r="E675" s="679"/>
      <c r="F675" s="679"/>
      <c r="G675" s="679" t="e">
        <f t="shared" si="342"/>
        <v>#DIV/0!</v>
      </c>
      <c r="H675" s="679"/>
      <c r="I675" s="101">
        <f t="shared" si="343"/>
        <v>90</v>
      </c>
      <c r="J675" s="101">
        <f t="shared" si="344"/>
        <v>28</v>
      </c>
      <c r="K675" s="683">
        <f t="shared" si="345"/>
        <v>2520</v>
      </c>
    </row>
    <row r="676" spans="1:11">
      <c r="A676" s="681">
        <v>657</v>
      </c>
      <c r="B676" s="902"/>
      <c r="C676" s="679"/>
      <c r="D676" s="682"/>
      <c r="E676" s="679"/>
      <c r="F676" s="679"/>
      <c r="G676" s="679" t="e">
        <f t="shared" si="342"/>
        <v>#DIV/0!</v>
      </c>
      <c r="H676" s="679"/>
      <c r="I676" s="101">
        <f t="shared" si="343"/>
        <v>90</v>
      </c>
      <c r="J676" s="101">
        <f t="shared" si="344"/>
        <v>28</v>
      </c>
      <c r="K676" s="683">
        <f t="shared" si="345"/>
        <v>2520</v>
      </c>
    </row>
    <row r="677" spans="1:11">
      <c r="A677" s="681">
        <v>658</v>
      </c>
      <c r="B677" s="902"/>
      <c r="C677" s="679"/>
      <c r="D677" s="682"/>
      <c r="E677" s="679"/>
      <c r="F677" s="679"/>
      <c r="G677" s="679" t="e">
        <f t="shared" si="342"/>
        <v>#DIV/0!</v>
      </c>
      <c r="H677" s="679"/>
      <c r="I677" s="101">
        <f t="shared" si="343"/>
        <v>90</v>
      </c>
      <c r="J677" s="101">
        <f t="shared" si="344"/>
        <v>28</v>
      </c>
      <c r="K677" s="683">
        <f t="shared" si="345"/>
        <v>2520</v>
      </c>
    </row>
    <row r="678" spans="1:11">
      <c r="A678" s="681">
        <v>659</v>
      </c>
      <c r="B678" s="902"/>
      <c r="C678" s="679"/>
      <c r="D678" s="682"/>
      <c r="E678" s="679"/>
      <c r="F678" s="679"/>
      <c r="G678" s="679" t="e">
        <f t="shared" si="342"/>
        <v>#DIV/0!</v>
      </c>
      <c r="H678" s="679"/>
      <c r="I678" s="101">
        <f t="shared" si="343"/>
        <v>90</v>
      </c>
      <c r="J678" s="101">
        <f t="shared" si="344"/>
        <v>28</v>
      </c>
      <c r="K678" s="683">
        <f t="shared" si="345"/>
        <v>2520</v>
      </c>
    </row>
    <row r="679" spans="1:11">
      <c r="A679" s="681">
        <v>660</v>
      </c>
      <c r="B679" s="902"/>
      <c r="C679" s="679"/>
      <c r="D679" s="682"/>
      <c r="E679" s="679"/>
      <c r="F679" s="679"/>
      <c r="G679" s="679" t="e">
        <f t="shared" si="342"/>
        <v>#DIV/0!</v>
      </c>
      <c r="H679" s="679"/>
      <c r="I679" s="101">
        <f t="shared" si="343"/>
        <v>90</v>
      </c>
      <c r="J679" s="101">
        <f t="shared" si="344"/>
        <v>28</v>
      </c>
      <c r="K679" s="683">
        <f t="shared" si="345"/>
        <v>2520</v>
      </c>
    </row>
    <row r="680" spans="1:11">
      <c r="A680" s="681">
        <v>661</v>
      </c>
      <c r="B680" s="902"/>
      <c r="C680" s="679"/>
      <c r="D680" s="682"/>
      <c r="E680" s="679"/>
      <c r="F680" s="679"/>
      <c r="G680" s="679" t="e">
        <f t="shared" si="342"/>
        <v>#DIV/0!</v>
      </c>
      <c r="H680" s="679"/>
      <c r="I680" s="101">
        <f t="shared" si="343"/>
        <v>90</v>
      </c>
      <c r="J680" s="101">
        <f t="shared" si="344"/>
        <v>28</v>
      </c>
      <c r="K680" s="683">
        <f t="shared" si="345"/>
        <v>2520</v>
      </c>
    </row>
    <row r="681" spans="1:11">
      <c r="A681" s="681">
        <v>662</v>
      </c>
      <c r="B681" s="902"/>
      <c r="C681" s="679"/>
      <c r="D681" s="682"/>
      <c r="E681" s="679"/>
      <c r="F681" s="679"/>
      <c r="G681" s="679" t="e">
        <f t="shared" si="342"/>
        <v>#DIV/0!</v>
      </c>
      <c r="H681" s="679"/>
      <c r="I681" s="101">
        <f t="shared" si="343"/>
        <v>90</v>
      </c>
      <c r="J681" s="101">
        <f t="shared" si="344"/>
        <v>28</v>
      </c>
      <c r="K681" s="683">
        <f t="shared" si="345"/>
        <v>2520</v>
      </c>
    </row>
    <row r="682" spans="1:11">
      <c r="A682" s="681">
        <v>663</v>
      </c>
      <c r="B682" s="902"/>
      <c r="C682" s="679"/>
      <c r="D682" s="682"/>
      <c r="E682" s="679"/>
      <c r="F682" s="679"/>
      <c r="G682" s="679" t="e">
        <f t="shared" si="342"/>
        <v>#DIV/0!</v>
      </c>
      <c r="H682" s="679"/>
      <c r="I682" s="101">
        <f t="shared" si="343"/>
        <v>90</v>
      </c>
      <c r="J682" s="101">
        <f t="shared" si="344"/>
        <v>28</v>
      </c>
      <c r="K682" s="683">
        <f t="shared" si="345"/>
        <v>2520</v>
      </c>
    </row>
    <row r="683" spans="1:11">
      <c r="A683" s="681">
        <v>664</v>
      </c>
      <c r="B683" s="903"/>
      <c r="C683" s="894"/>
      <c r="D683" s="895"/>
      <c r="E683" s="894"/>
      <c r="F683" s="894"/>
      <c r="G683" s="894"/>
      <c r="H683" s="894"/>
      <c r="I683" s="896"/>
      <c r="J683" s="896"/>
      <c r="K683" s="897"/>
    </row>
    <row r="684" spans="1:11">
      <c r="A684" s="681">
        <v>665</v>
      </c>
      <c r="B684" s="904" t="s">
        <v>1604</v>
      </c>
      <c r="C684" s="679">
        <v>172</v>
      </c>
      <c r="D684" s="682">
        <v>18.079999999999998</v>
      </c>
      <c r="E684" s="679"/>
      <c r="F684" s="679">
        <v>1</v>
      </c>
      <c r="G684" s="679">
        <f t="shared" ref="G684:G692" si="346">H684/F684</f>
        <v>51030</v>
      </c>
      <c r="H684" s="679">
        <v>51030</v>
      </c>
      <c r="I684" s="101">
        <f t="shared" ref="I684:I692" si="347">+I683+F684</f>
        <v>1</v>
      </c>
      <c r="J684" s="101">
        <f t="shared" ref="J684:J692" si="348">+K684/I684</f>
        <v>51030</v>
      </c>
      <c r="K684" s="683">
        <f t="shared" ref="K684:K692" si="349">(+H684+K683)</f>
        <v>51030</v>
      </c>
    </row>
    <row r="685" spans="1:11">
      <c r="A685" s="681">
        <v>666</v>
      </c>
      <c r="B685" s="902"/>
      <c r="C685" s="679"/>
      <c r="D685" s="682"/>
      <c r="E685" s="679"/>
      <c r="F685" s="679"/>
      <c r="G685" s="679" t="e">
        <f t="shared" si="346"/>
        <v>#DIV/0!</v>
      </c>
      <c r="H685" s="679"/>
      <c r="I685" s="101">
        <f t="shared" si="347"/>
        <v>1</v>
      </c>
      <c r="J685" s="101">
        <f t="shared" si="348"/>
        <v>51030</v>
      </c>
      <c r="K685" s="683">
        <f t="shared" si="349"/>
        <v>51030</v>
      </c>
    </row>
    <row r="686" spans="1:11">
      <c r="A686" s="681">
        <v>667</v>
      </c>
      <c r="B686" s="902"/>
      <c r="C686" s="679"/>
      <c r="D686" s="682"/>
      <c r="E686" s="679"/>
      <c r="F686" s="679"/>
      <c r="G686" s="679" t="e">
        <f t="shared" si="346"/>
        <v>#DIV/0!</v>
      </c>
      <c r="H686" s="679"/>
      <c r="I686" s="101">
        <f t="shared" si="347"/>
        <v>1</v>
      </c>
      <c r="J686" s="101">
        <f t="shared" si="348"/>
        <v>51030</v>
      </c>
      <c r="K686" s="683">
        <f t="shared" si="349"/>
        <v>51030</v>
      </c>
    </row>
    <row r="687" spans="1:11">
      <c r="A687" s="681">
        <v>668</v>
      </c>
      <c r="B687" s="902"/>
      <c r="C687" s="679"/>
      <c r="D687" s="682"/>
      <c r="E687" s="679"/>
      <c r="F687" s="679"/>
      <c r="G687" s="679" t="e">
        <f t="shared" si="346"/>
        <v>#DIV/0!</v>
      </c>
      <c r="H687" s="679"/>
      <c r="I687" s="101">
        <f t="shared" si="347"/>
        <v>1</v>
      </c>
      <c r="J687" s="101">
        <f t="shared" si="348"/>
        <v>51030</v>
      </c>
      <c r="K687" s="683">
        <f t="shared" si="349"/>
        <v>51030</v>
      </c>
    </row>
    <row r="688" spans="1:11">
      <c r="A688" s="681">
        <v>669</v>
      </c>
      <c r="B688" s="902"/>
      <c r="C688" s="679"/>
      <c r="D688" s="682"/>
      <c r="E688" s="679"/>
      <c r="F688" s="679"/>
      <c r="G688" s="679" t="e">
        <f t="shared" si="346"/>
        <v>#DIV/0!</v>
      </c>
      <c r="H688" s="679"/>
      <c r="I688" s="101">
        <f t="shared" si="347"/>
        <v>1</v>
      </c>
      <c r="J688" s="101">
        <f t="shared" si="348"/>
        <v>51030</v>
      </c>
      <c r="K688" s="683">
        <f t="shared" si="349"/>
        <v>51030</v>
      </c>
    </row>
    <row r="689" spans="1:11">
      <c r="A689" s="681">
        <v>670</v>
      </c>
      <c r="B689" s="902"/>
      <c r="C689" s="679"/>
      <c r="D689" s="682"/>
      <c r="E689" s="679"/>
      <c r="F689" s="679"/>
      <c r="G689" s="679" t="e">
        <f t="shared" si="346"/>
        <v>#DIV/0!</v>
      </c>
      <c r="H689" s="679"/>
      <c r="I689" s="101">
        <f t="shared" si="347"/>
        <v>1</v>
      </c>
      <c r="J689" s="101">
        <f t="shared" si="348"/>
        <v>51030</v>
      </c>
      <c r="K689" s="683">
        <f t="shared" si="349"/>
        <v>51030</v>
      </c>
    </row>
    <row r="690" spans="1:11">
      <c r="A690" s="681">
        <v>671</v>
      </c>
      <c r="B690" s="902"/>
      <c r="C690" s="679"/>
      <c r="D690" s="682"/>
      <c r="E690" s="679"/>
      <c r="F690" s="679"/>
      <c r="G690" s="679" t="e">
        <f t="shared" si="346"/>
        <v>#DIV/0!</v>
      </c>
      <c r="H690" s="679"/>
      <c r="I690" s="101">
        <f t="shared" si="347"/>
        <v>1</v>
      </c>
      <c r="J690" s="101">
        <f t="shared" si="348"/>
        <v>51030</v>
      </c>
      <c r="K690" s="683">
        <f t="shared" si="349"/>
        <v>51030</v>
      </c>
    </row>
    <row r="691" spans="1:11">
      <c r="A691" s="681">
        <v>672</v>
      </c>
      <c r="B691" s="902"/>
      <c r="C691" s="679"/>
      <c r="D691" s="682"/>
      <c r="E691" s="679"/>
      <c r="F691" s="679"/>
      <c r="G691" s="679" t="e">
        <f t="shared" si="346"/>
        <v>#DIV/0!</v>
      </c>
      <c r="H691" s="679"/>
      <c r="I691" s="101">
        <f t="shared" si="347"/>
        <v>1</v>
      </c>
      <c r="J691" s="101">
        <f t="shared" si="348"/>
        <v>51030</v>
      </c>
      <c r="K691" s="683">
        <f t="shared" si="349"/>
        <v>51030</v>
      </c>
    </row>
    <row r="692" spans="1:11">
      <c r="A692" s="681">
        <v>673</v>
      </c>
      <c r="B692" s="902"/>
      <c r="C692" s="679"/>
      <c r="D692" s="682"/>
      <c r="E692" s="679"/>
      <c r="F692" s="679"/>
      <c r="G692" s="679" t="e">
        <f t="shared" si="346"/>
        <v>#DIV/0!</v>
      </c>
      <c r="H692" s="679"/>
      <c r="I692" s="101">
        <f t="shared" si="347"/>
        <v>1</v>
      </c>
      <c r="J692" s="101">
        <f t="shared" si="348"/>
        <v>51030</v>
      </c>
      <c r="K692" s="683">
        <f t="shared" si="349"/>
        <v>51030</v>
      </c>
    </row>
    <row r="693" spans="1:11">
      <c r="A693" s="681">
        <v>674</v>
      </c>
      <c r="B693" s="903"/>
      <c r="C693" s="894"/>
      <c r="D693" s="895"/>
      <c r="E693" s="894"/>
      <c r="F693" s="894"/>
      <c r="G693" s="894"/>
      <c r="H693" s="894"/>
      <c r="I693" s="896"/>
      <c r="J693" s="896"/>
      <c r="K693" s="897"/>
    </row>
    <row r="694" spans="1:11">
      <c r="A694" s="681">
        <v>675</v>
      </c>
      <c r="B694" s="904" t="s">
        <v>1605</v>
      </c>
      <c r="C694" s="679">
        <v>7</v>
      </c>
      <c r="D694" s="682">
        <v>31.08</v>
      </c>
      <c r="E694" s="679"/>
      <c r="F694" s="679">
        <v>705.88</v>
      </c>
      <c r="G694" s="679">
        <f t="shared" ref="G694:G702" si="350">H694/F694</f>
        <v>708.3356944523149</v>
      </c>
      <c r="H694" s="679">
        <v>500000</v>
      </c>
      <c r="I694" s="101">
        <f t="shared" ref="I694:I702" si="351">+I693+F694</f>
        <v>705.88</v>
      </c>
      <c r="J694" s="101">
        <f t="shared" ref="J694:J702" si="352">+K694/I694</f>
        <v>708.3356944523149</v>
      </c>
      <c r="K694" s="683">
        <f t="shared" ref="K694:K702" si="353">(+H694+K693)</f>
        <v>500000</v>
      </c>
    </row>
    <row r="695" spans="1:11">
      <c r="A695" s="681">
        <v>676</v>
      </c>
      <c r="B695" s="902"/>
      <c r="C695" s="679">
        <v>79</v>
      </c>
      <c r="D695" s="682">
        <v>29.08</v>
      </c>
      <c r="E695" s="679"/>
      <c r="F695" s="679">
        <v>880</v>
      </c>
      <c r="G695" s="679">
        <f t="shared" si="350"/>
        <v>800</v>
      </c>
      <c r="H695" s="679">
        <v>704000</v>
      </c>
      <c r="I695" s="101">
        <f t="shared" si="351"/>
        <v>1585.88</v>
      </c>
      <c r="J695" s="101">
        <f t="shared" si="352"/>
        <v>759.19993946578552</v>
      </c>
      <c r="K695" s="683">
        <f t="shared" si="353"/>
        <v>1204000</v>
      </c>
    </row>
    <row r="696" spans="1:11">
      <c r="A696" s="681">
        <v>677</v>
      </c>
      <c r="B696" s="902"/>
      <c r="C696" s="679"/>
      <c r="D696" s="682"/>
      <c r="E696" s="679"/>
      <c r="F696" s="679"/>
      <c r="G696" s="679" t="e">
        <f t="shared" si="350"/>
        <v>#DIV/0!</v>
      </c>
      <c r="H696" s="679"/>
      <c r="I696" s="101">
        <f t="shared" si="351"/>
        <v>1585.88</v>
      </c>
      <c r="J696" s="101">
        <f t="shared" si="352"/>
        <v>759.19993946578552</v>
      </c>
      <c r="K696" s="683">
        <f t="shared" si="353"/>
        <v>1204000</v>
      </c>
    </row>
    <row r="697" spans="1:11">
      <c r="A697" s="681">
        <v>678</v>
      </c>
      <c r="B697" s="902"/>
      <c r="C697" s="679"/>
      <c r="D697" s="682"/>
      <c r="E697" s="679"/>
      <c r="F697" s="679"/>
      <c r="G697" s="679" t="e">
        <f t="shared" si="350"/>
        <v>#DIV/0!</v>
      </c>
      <c r="H697" s="679"/>
      <c r="I697" s="101">
        <f t="shared" si="351"/>
        <v>1585.88</v>
      </c>
      <c r="J697" s="101">
        <f t="shared" si="352"/>
        <v>759.19993946578552</v>
      </c>
      <c r="K697" s="683">
        <f t="shared" si="353"/>
        <v>1204000</v>
      </c>
    </row>
    <row r="698" spans="1:11">
      <c r="A698" s="681">
        <v>679</v>
      </c>
      <c r="B698" s="902"/>
      <c r="C698" s="679"/>
      <c r="D698" s="682"/>
      <c r="E698" s="679"/>
      <c r="F698" s="679"/>
      <c r="G698" s="679" t="e">
        <f t="shared" si="350"/>
        <v>#DIV/0!</v>
      </c>
      <c r="H698" s="679"/>
      <c r="I698" s="101">
        <f t="shared" si="351"/>
        <v>1585.88</v>
      </c>
      <c r="J698" s="101">
        <f t="shared" si="352"/>
        <v>759.19993946578552</v>
      </c>
      <c r="K698" s="683">
        <f t="shared" si="353"/>
        <v>1204000</v>
      </c>
    </row>
    <row r="699" spans="1:11">
      <c r="A699" s="681">
        <v>680</v>
      </c>
      <c r="B699" s="902"/>
      <c r="C699" s="679"/>
      <c r="D699" s="682"/>
      <c r="E699" s="679"/>
      <c r="F699" s="679"/>
      <c r="G699" s="679" t="e">
        <f t="shared" si="350"/>
        <v>#DIV/0!</v>
      </c>
      <c r="H699" s="679"/>
      <c r="I699" s="101">
        <f t="shared" si="351"/>
        <v>1585.88</v>
      </c>
      <c r="J699" s="101">
        <f t="shared" si="352"/>
        <v>759.19993946578552</v>
      </c>
      <c r="K699" s="683">
        <f t="shared" si="353"/>
        <v>1204000</v>
      </c>
    </row>
    <row r="700" spans="1:11">
      <c r="A700" s="681">
        <v>681</v>
      </c>
      <c r="B700" s="902"/>
      <c r="C700" s="679"/>
      <c r="D700" s="682"/>
      <c r="E700" s="679"/>
      <c r="F700" s="679"/>
      <c r="G700" s="679" t="e">
        <f t="shared" si="350"/>
        <v>#DIV/0!</v>
      </c>
      <c r="H700" s="679"/>
      <c r="I700" s="101">
        <f t="shared" si="351"/>
        <v>1585.88</v>
      </c>
      <c r="J700" s="101">
        <f t="shared" si="352"/>
        <v>759.19993946578552</v>
      </c>
      <c r="K700" s="683">
        <f t="shared" si="353"/>
        <v>1204000</v>
      </c>
    </row>
    <row r="701" spans="1:11">
      <c r="A701" s="681">
        <v>682</v>
      </c>
      <c r="B701" s="902"/>
      <c r="C701" s="679"/>
      <c r="D701" s="682"/>
      <c r="E701" s="679"/>
      <c r="F701" s="679"/>
      <c r="G701" s="679" t="e">
        <f t="shared" si="350"/>
        <v>#DIV/0!</v>
      </c>
      <c r="H701" s="679"/>
      <c r="I701" s="101">
        <f t="shared" si="351"/>
        <v>1585.88</v>
      </c>
      <c r="J701" s="101">
        <f t="shared" si="352"/>
        <v>759.19993946578552</v>
      </c>
      <c r="K701" s="683">
        <f t="shared" si="353"/>
        <v>1204000</v>
      </c>
    </row>
    <row r="702" spans="1:11">
      <c r="A702" s="681">
        <v>683</v>
      </c>
      <c r="B702" s="902"/>
      <c r="C702" s="679"/>
      <c r="D702" s="682"/>
      <c r="E702" s="679"/>
      <c r="F702" s="679"/>
      <c r="G702" s="679" t="e">
        <f t="shared" si="350"/>
        <v>#DIV/0!</v>
      </c>
      <c r="H702" s="679"/>
      <c r="I702" s="101">
        <f t="shared" si="351"/>
        <v>1585.88</v>
      </c>
      <c r="J702" s="101">
        <f t="shared" si="352"/>
        <v>759.19993946578552</v>
      </c>
      <c r="K702" s="683">
        <f t="shared" si="353"/>
        <v>1204000</v>
      </c>
    </row>
    <row r="703" spans="1:11">
      <c r="A703" s="681">
        <v>684</v>
      </c>
      <c r="B703" s="903"/>
      <c r="C703" s="894"/>
      <c r="D703" s="895"/>
      <c r="E703" s="894"/>
      <c r="F703" s="894"/>
      <c r="G703" s="894"/>
      <c r="H703" s="894"/>
      <c r="I703" s="896"/>
      <c r="J703" s="896"/>
      <c r="K703" s="897"/>
    </row>
    <row r="704" spans="1:11">
      <c r="A704" s="681">
        <v>685</v>
      </c>
      <c r="B704" s="904" t="s">
        <v>1913</v>
      </c>
      <c r="C704" s="679">
        <v>650</v>
      </c>
      <c r="D704" s="682">
        <v>27.08</v>
      </c>
      <c r="E704" s="679" t="s">
        <v>960</v>
      </c>
      <c r="F704" s="679">
        <v>29</v>
      </c>
      <c r="G704" s="679">
        <f t="shared" ref="G704:G712" si="354">H704/F704</f>
        <v>8500</v>
      </c>
      <c r="H704" s="679">
        <v>246500</v>
      </c>
      <c r="I704" s="101">
        <f t="shared" ref="I704:I712" si="355">+I703+F704</f>
        <v>29</v>
      </c>
      <c r="J704" s="101">
        <f t="shared" ref="J704:J712" si="356">+K704/I704</f>
        <v>8500</v>
      </c>
      <c r="K704" s="683">
        <f t="shared" ref="K704:K712" si="357">(+H704+K703)</f>
        <v>246500</v>
      </c>
    </row>
    <row r="705" spans="1:11">
      <c r="A705" s="681">
        <v>686</v>
      </c>
      <c r="B705" s="902"/>
      <c r="C705" s="679"/>
      <c r="D705" s="682"/>
      <c r="E705" s="679"/>
      <c r="F705" s="679"/>
      <c r="G705" s="679" t="e">
        <f t="shared" si="354"/>
        <v>#DIV/0!</v>
      </c>
      <c r="H705" s="679"/>
      <c r="I705" s="101">
        <f t="shared" si="355"/>
        <v>29</v>
      </c>
      <c r="J705" s="101">
        <f t="shared" si="356"/>
        <v>8500</v>
      </c>
      <c r="K705" s="683">
        <f t="shared" si="357"/>
        <v>246500</v>
      </c>
    </row>
    <row r="706" spans="1:11">
      <c r="A706" s="681">
        <v>687</v>
      </c>
      <c r="B706" s="902"/>
      <c r="C706" s="679"/>
      <c r="D706" s="682"/>
      <c r="E706" s="679"/>
      <c r="F706" s="679"/>
      <c r="G706" s="679" t="e">
        <f t="shared" si="354"/>
        <v>#DIV/0!</v>
      </c>
      <c r="H706" s="679"/>
      <c r="I706" s="101">
        <f t="shared" si="355"/>
        <v>29</v>
      </c>
      <c r="J706" s="101">
        <f t="shared" si="356"/>
        <v>8500</v>
      </c>
      <c r="K706" s="683">
        <f t="shared" si="357"/>
        <v>246500</v>
      </c>
    </row>
    <row r="707" spans="1:11">
      <c r="A707" s="681">
        <v>688</v>
      </c>
      <c r="B707" s="902"/>
      <c r="C707" s="679"/>
      <c r="D707" s="682"/>
      <c r="E707" s="679"/>
      <c r="F707" s="679"/>
      <c r="G707" s="679" t="e">
        <f t="shared" si="354"/>
        <v>#DIV/0!</v>
      </c>
      <c r="H707" s="679"/>
      <c r="I707" s="101">
        <f t="shared" si="355"/>
        <v>29</v>
      </c>
      <c r="J707" s="101">
        <f t="shared" si="356"/>
        <v>8500</v>
      </c>
      <c r="K707" s="683">
        <f t="shared" si="357"/>
        <v>246500</v>
      </c>
    </row>
    <row r="708" spans="1:11">
      <c r="A708" s="681">
        <v>689</v>
      </c>
      <c r="B708" s="902"/>
      <c r="C708" s="679"/>
      <c r="D708" s="682"/>
      <c r="E708" s="679"/>
      <c r="F708" s="679"/>
      <c r="G708" s="679" t="e">
        <f t="shared" si="354"/>
        <v>#DIV/0!</v>
      </c>
      <c r="H708" s="679"/>
      <c r="I708" s="101">
        <f t="shared" si="355"/>
        <v>29</v>
      </c>
      <c r="J708" s="101">
        <f t="shared" si="356"/>
        <v>8500</v>
      </c>
      <c r="K708" s="683">
        <f t="shared" si="357"/>
        <v>246500</v>
      </c>
    </row>
    <row r="709" spans="1:11">
      <c r="A709" s="681">
        <v>690</v>
      </c>
      <c r="B709" s="902"/>
      <c r="C709" s="679"/>
      <c r="D709" s="682"/>
      <c r="E709" s="679"/>
      <c r="F709" s="679"/>
      <c r="G709" s="679" t="e">
        <f t="shared" si="354"/>
        <v>#DIV/0!</v>
      </c>
      <c r="H709" s="679"/>
      <c r="I709" s="101">
        <f t="shared" si="355"/>
        <v>29</v>
      </c>
      <c r="J709" s="101">
        <f t="shared" si="356"/>
        <v>8500</v>
      </c>
      <c r="K709" s="683">
        <f t="shared" si="357"/>
        <v>246500</v>
      </c>
    </row>
    <row r="710" spans="1:11">
      <c r="A710" s="681">
        <v>691</v>
      </c>
      <c r="B710" s="902"/>
      <c r="C710" s="679"/>
      <c r="D710" s="682"/>
      <c r="E710" s="679"/>
      <c r="F710" s="679"/>
      <c r="G710" s="679" t="e">
        <f t="shared" si="354"/>
        <v>#DIV/0!</v>
      </c>
      <c r="H710" s="679"/>
      <c r="I710" s="101">
        <f t="shared" si="355"/>
        <v>29</v>
      </c>
      <c r="J710" s="101">
        <f t="shared" si="356"/>
        <v>8500</v>
      </c>
      <c r="K710" s="683">
        <f t="shared" si="357"/>
        <v>246500</v>
      </c>
    </row>
    <row r="711" spans="1:11">
      <c r="A711" s="681">
        <v>692</v>
      </c>
      <c r="B711" s="902"/>
      <c r="C711" s="679"/>
      <c r="D711" s="682"/>
      <c r="E711" s="679"/>
      <c r="F711" s="679"/>
      <c r="G711" s="679" t="e">
        <f t="shared" si="354"/>
        <v>#DIV/0!</v>
      </c>
      <c r="H711" s="679"/>
      <c r="I711" s="101">
        <f t="shared" si="355"/>
        <v>29</v>
      </c>
      <c r="J711" s="101">
        <f t="shared" si="356"/>
        <v>8500</v>
      </c>
      <c r="K711" s="683">
        <f t="shared" si="357"/>
        <v>246500</v>
      </c>
    </row>
    <row r="712" spans="1:11">
      <c r="A712" s="681">
        <v>693</v>
      </c>
      <c r="B712" s="902"/>
      <c r="C712" s="679"/>
      <c r="D712" s="682"/>
      <c r="E712" s="679"/>
      <c r="F712" s="679"/>
      <c r="G712" s="679" t="e">
        <f t="shared" si="354"/>
        <v>#DIV/0!</v>
      </c>
      <c r="H712" s="679"/>
      <c r="I712" s="101">
        <f t="shared" si="355"/>
        <v>29</v>
      </c>
      <c r="J712" s="101">
        <f t="shared" si="356"/>
        <v>8500</v>
      </c>
      <c r="K712" s="683">
        <f t="shared" si="357"/>
        <v>246500</v>
      </c>
    </row>
    <row r="713" spans="1:11">
      <c r="A713" s="681">
        <v>694</v>
      </c>
      <c r="B713" s="903"/>
      <c r="C713" s="894"/>
      <c r="D713" s="895"/>
      <c r="E713" s="894"/>
      <c r="F713" s="894"/>
      <c r="G713" s="894"/>
      <c r="H713" s="894"/>
      <c r="I713" s="896"/>
      <c r="J713" s="896"/>
      <c r="K713" s="897"/>
    </row>
    <row r="714" spans="1:11">
      <c r="A714" s="681">
        <v>695</v>
      </c>
      <c r="B714" s="904" t="s">
        <v>1914</v>
      </c>
      <c r="C714" s="679">
        <v>78</v>
      </c>
      <c r="D714" s="682">
        <v>28.08</v>
      </c>
      <c r="E714" s="679"/>
      <c r="F714" s="679">
        <v>222</v>
      </c>
      <c r="G714" s="679">
        <f t="shared" ref="G714:G722" si="358">H714/F714</f>
        <v>5866</v>
      </c>
      <c r="H714" s="679">
        <v>1302252</v>
      </c>
      <c r="I714" s="101">
        <f t="shared" ref="I714:I722" si="359">+I713+F714</f>
        <v>222</v>
      </c>
      <c r="J714" s="101">
        <f t="shared" ref="J714:J722" si="360">+K714/I714</f>
        <v>5866</v>
      </c>
      <c r="K714" s="683">
        <f t="shared" ref="K714:K722" si="361">(+H714+K713)</f>
        <v>1302252</v>
      </c>
    </row>
    <row r="715" spans="1:11">
      <c r="A715" s="681">
        <v>696</v>
      </c>
      <c r="B715" s="902"/>
      <c r="C715" s="679"/>
      <c r="D715" s="682"/>
      <c r="E715" s="679"/>
      <c r="F715" s="679"/>
      <c r="G715" s="679" t="e">
        <f t="shared" si="358"/>
        <v>#DIV/0!</v>
      </c>
      <c r="H715" s="679"/>
      <c r="I715" s="101">
        <f t="shared" si="359"/>
        <v>222</v>
      </c>
      <c r="J715" s="101">
        <f t="shared" si="360"/>
        <v>5866</v>
      </c>
      <c r="K715" s="683">
        <f t="shared" si="361"/>
        <v>1302252</v>
      </c>
    </row>
    <row r="716" spans="1:11">
      <c r="A716" s="681">
        <v>697</v>
      </c>
      <c r="B716" s="902"/>
      <c r="C716" s="679"/>
      <c r="D716" s="682"/>
      <c r="E716" s="679"/>
      <c r="F716" s="679"/>
      <c r="G716" s="679" t="e">
        <f t="shared" si="358"/>
        <v>#DIV/0!</v>
      </c>
      <c r="H716" s="679"/>
      <c r="I716" s="101">
        <f t="shared" si="359"/>
        <v>222</v>
      </c>
      <c r="J716" s="101">
        <f t="shared" si="360"/>
        <v>5866</v>
      </c>
      <c r="K716" s="683">
        <f t="shared" si="361"/>
        <v>1302252</v>
      </c>
    </row>
    <row r="717" spans="1:11">
      <c r="A717" s="681">
        <v>698</v>
      </c>
      <c r="B717" s="902"/>
      <c r="C717" s="679"/>
      <c r="D717" s="682"/>
      <c r="E717" s="679"/>
      <c r="F717" s="679"/>
      <c r="G717" s="679" t="e">
        <f t="shared" si="358"/>
        <v>#DIV/0!</v>
      </c>
      <c r="H717" s="679"/>
      <c r="I717" s="101">
        <f t="shared" si="359"/>
        <v>222</v>
      </c>
      <c r="J717" s="101">
        <f t="shared" si="360"/>
        <v>5866</v>
      </c>
      <c r="K717" s="683">
        <f t="shared" si="361"/>
        <v>1302252</v>
      </c>
    </row>
    <row r="718" spans="1:11">
      <c r="A718" s="681">
        <v>699</v>
      </c>
      <c r="B718" s="902"/>
      <c r="C718" s="679"/>
      <c r="D718" s="682"/>
      <c r="E718" s="679"/>
      <c r="F718" s="679"/>
      <c r="G718" s="679" t="e">
        <f t="shared" si="358"/>
        <v>#DIV/0!</v>
      </c>
      <c r="H718" s="679"/>
      <c r="I718" s="101">
        <f t="shared" si="359"/>
        <v>222</v>
      </c>
      <c r="J718" s="101">
        <f t="shared" si="360"/>
        <v>5866</v>
      </c>
      <c r="K718" s="683">
        <f t="shared" si="361"/>
        <v>1302252</v>
      </c>
    </row>
    <row r="719" spans="1:11">
      <c r="A719" s="681">
        <v>700</v>
      </c>
      <c r="B719" s="902"/>
      <c r="C719" s="679"/>
      <c r="D719" s="682"/>
      <c r="E719" s="679"/>
      <c r="F719" s="679"/>
      <c r="G719" s="679" t="e">
        <f t="shared" si="358"/>
        <v>#DIV/0!</v>
      </c>
      <c r="H719" s="679"/>
      <c r="I719" s="101">
        <f t="shared" si="359"/>
        <v>222</v>
      </c>
      <c r="J719" s="101">
        <f t="shared" si="360"/>
        <v>5866</v>
      </c>
      <c r="K719" s="683">
        <f t="shared" si="361"/>
        <v>1302252</v>
      </c>
    </row>
    <row r="720" spans="1:11">
      <c r="A720" s="681">
        <v>701</v>
      </c>
      <c r="B720" s="902"/>
      <c r="C720" s="679"/>
      <c r="D720" s="682"/>
      <c r="E720" s="679"/>
      <c r="F720" s="679"/>
      <c r="G720" s="679" t="e">
        <f t="shared" si="358"/>
        <v>#DIV/0!</v>
      </c>
      <c r="H720" s="679"/>
      <c r="I720" s="101">
        <f t="shared" si="359"/>
        <v>222</v>
      </c>
      <c r="J720" s="101">
        <f t="shared" si="360"/>
        <v>5866</v>
      </c>
      <c r="K720" s="683">
        <f t="shared" si="361"/>
        <v>1302252</v>
      </c>
    </row>
    <row r="721" spans="1:11">
      <c r="A721" s="681">
        <v>702</v>
      </c>
      <c r="B721" s="902"/>
      <c r="C721" s="679"/>
      <c r="D721" s="682"/>
      <c r="E721" s="679"/>
      <c r="F721" s="679"/>
      <c r="G721" s="679" t="e">
        <f t="shared" si="358"/>
        <v>#DIV/0!</v>
      </c>
      <c r="H721" s="679"/>
      <c r="I721" s="101">
        <f t="shared" si="359"/>
        <v>222</v>
      </c>
      <c r="J721" s="101">
        <f t="shared" si="360"/>
        <v>5866</v>
      </c>
      <c r="K721" s="683">
        <f t="shared" si="361"/>
        <v>1302252</v>
      </c>
    </row>
    <row r="722" spans="1:11">
      <c r="A722" s="681">
        <v>703</v>
      </c>
      <c r="B722" s="902"/>
      <c r="C722" s="679"/>
      <c r="D722" s="682"/>
      <c r="E722" s="679"/>
      <c r="F722" s="679"/>
      <c r="G722" s="679" t="e">
        <f t="shared" si="358"/>
        <v>#DIV/0!</v>
      </c>
      <c r="H722" s="679"/>
      <c r="I722" s="101">
        <f t="shared" si="359"/>
        <v>222</v>
      </c>
      <c r="J722" s="101">
        <f t="shared" si="360"/>
        <v>5866</v>
      </c>
      <c r="K722" s="683">
        <f t="shared" si="361"/>
        <v>1302252</v>
      </c>
    </row>
    <row r="723" spans="1:11">
      <c r="A723" s="681">
        <v>704</v>
      </c>
      <c r="B723" s="903"/>
      <c r="C723" s="894"/>
      <c r="D723" s="895"/>
      <c r="E723" s="894"/>
      <c r="F723" s="894"/>
      <c r="G723" s="894"/>
      <c r="H723" s="894"/>
      <c r="I723" s="896"/>
      <c r="J723" s="896"/>
      <c r="K723" s="897"/>
    </row>
    <row r="724" spans="1:11">
      <c r="A724" s="681">
        <v>705</v>
      </c>
      <c r="B724" s="904" t="s">
        <v>1608</v>
      </c>
      <c r="C724" s="679">
        <v>79</v>
      </c>
      <c r="D724" s="682">
        <v>29.08</v>
      </c>
      <c r="E724" s="679"/>
      <c r="F724" s="679">
        <v>9.8000000000000007</v>
      </c>
      <c r="G724" s="679">
        <f t="shared" ref="G724:G732" si="362">H724/F724</f>
        <v>10000</v>
      </c>
      <c r="H724" s="679">
        <v>98000</v>
      </c>
      <c r="I724" s="101">
        <f t="shared" ref="I724:I732" si="363">+I723+F724</f>
        <v>9.8000000000000007</v>
      </c>
      <c r="J724" s="101">
        <f t="shared" ref="J724:J732" si="364">+K724/I724</f>
        <v>10000</v>
      </c>
      <c r="K724" s="683">
        <f t="shared" ref="K724:K732" si="365">(+H724+K723)</f>
        <v>98000</v>
      </c>
    </row>
    <row r="725" spans="1:11">
      <c r="A725" s="681">
        <v>706</v>
      </c>
      <c r="B725" s="902"/>
      <c r="C725" s="679"/>
      <c r="D725" s="682"/>
      <c r="E725" s="679"/>
      <c r="F725" s="679"/>
      <c r="G725" s="679" t="e">
        <f t="shared" si="362"/>
        <v>#DIV/0!</v>
      </c>
      <c r="H725" s="679"/>
      <c r="I725" s="101">
        <f t="shared" si="363"/>
        <v>9.8000000000000007</v>
      </c>
      <c r="J725" s="101">
        <f t="shared" si="364"/>
        <v>10000</v>
      </c>
      <c r="K725" s="683">
        <f t="shared" si="365"/>
        <v>98000</v>
      </c>
    </row>
    <row r="726" spans="1:11">
      <c r="A726" s="681">
        <v>707</v>
      </c>
      <c r="B726" s="902"/>
      <c r="C726" s="679"/>
      <c r="D726" s="682"/>
      <c r="E726" s="679"/>
      <c r="F726" s="679"/>
      <c r="G726" s="679" t="e">
        <f t="shared" si="362"/>
        <v>#DIV/0!</v>
      </c>
      <c r="H726" s="679"/>
      <c r="I726" s="101">
        <f t="shared" si="363"/>
        <v>9.8000000000000007</v>
      </c>
      <c r="J726" s="101">
        <f t="shared" si="364"/>
        <v>10000</v>
      </c>
      <c r="K726" s="683">
        <f t="shared" si="365"/>
        <v>98000</v>
      </c>
    </row>
    <row r="727" spans="1:11">
      <c r="A727" s="681">
        <v>708</v>
      </c>
      <c r="B727" s="902"/>
      <c r="C727" s="679"/>
      <c r="D727" s="682"/>
      <c r="E727" s="679"/>
      <c r="F727" s="679"/>
      <c r="G727" s="679" t="e">
        <f t="shared" si="362"/>
        <v>#DIV/0!</v>
      </c>
      <c r="H727" s="679"/>
      <c r="I727" s="101">
        <f t="shared" si="363"/>
        <v>9.8000000000000007</v>
      </c>
      <c r="J727" s="101">
        <f t="shared" si="364"/>
        <v>10000</v>
      </c>
      <c r="K727" s="683">
        <f t="shared" si="365"/>
        <v>98000</v>
      </c>
    </row>
    <row r="728" spans="1:11">
      <c r="A728" s="681">
        <v>709</v>
      </c>
      <c r="B728" s="902"/>
      <c r="C728" s="679"/>
      <c r="D728" s="682"/>
      <c r="E728" s="679"/>
      <c r="F728" s="679"/>
      <c r="G728" s="679" t="e">
        <f t="shared" si="362"/>
        <v>#DIV/0!</v>
      </c>
      <c r="H728" s="679"/>
      <c r="I728" s="101">
        <f t="shared" si="363"/>
        <v>9.8000000000000007</v>
      </c>
      <c r="J728" s="101">
        <f t="shared" si="364"/>
        <v>10000</v>
      </c>
      <c r="K728" s="683">
        <f t="shared" si="365"/>
        <v>98000</v>
      </c>
    </row>
    <row r="729" spans="1:11">
      <c r="A729" s="681">
        <v>710</v>
      </c>
      <c r="B729" s="902"/>
      <c r="C729" s="679"/>
      <c r="D729" s="682"/>
      <c r="E729" s="679"/>
      <c r="F729" s="679"/>
      <c r="G729" s="679" t="e">
        <f t="shared" si="362"/>
        <v>#DIV/0!</v>
      </c>
      <c r="H729" s="679"/>
      <c r="I729" s="101">
        <f t="shared" si="363"/>
        <v>9.8000000000000007</v>
      </c>
      <c r="J729" s="101">
        <f t="shared" si="364"/>
        <v>10000</v>
      </c>
      <c r="K729" s="683">
        <f t="shared" si="365"/>
        <v>98000</v>
      </c>
    </row>
    <row r="730" spans="1:11">
      <c r="A730" s="681">
        <v>711</v>
      </c>
      <c r="B730" s="902"/>
      <c r="C730" s="679"/>
      <c r="D730" s="682"/>
      <c r="E730" s="679"/>
      <c r="F730" s="679"/>
      <c r="G730" s="679" t="e">
        <f t="shared" si="362"/>
        <v>#DIV/0!</v>
      </c>
      <c r="H730" s="679"/>
      <c r="I730" s="101">
        <f t="shared" si="363"/>
        <v>9.8000000000000007</v>
      </c>
      <c r="J730" s="101">
        <f t="shared" si="364"/>
        <v>10000</v>
      </c>
      <c r="K730" s="683">
        <f t="shared" si="365"/>
        <v>98000</v>
      </c>
    </row>
    <row r="731" spans="1:11">
      <c r="A731" s="681">
        <v>712</v>
      </c>
      <c r="B731" s="902"/>
      <c r="C731" s="679"/>
      <c r="D731" s="682"/>
      <c r="E731" s="679"/>
      <c r="F731" s="679"/>
      <c r="G731" s="679" t="e">
        <f t="shared" si="362"/>
        <v>#DIV/0!</v>
      </c>
      <c r="H731" s="679"/>
      <c r="I731" s="101">
        <f t="shared" si="363"/>
        <v>9.8000000000000007</v>
      </c>
      <c r="J731" s="101">
        <f t="shared" si="364"/>
        <v>10000</v>
      </c>
      <c r="K731" s="683">
        <f t="shared" si="365"/>
        <v>98000</v>
      </c>
    </row>
    <row r="732" spans="1:11">
      <c r="A732" s="681">
        <v>713</v>
      </c>
      <c r="B732" s="902"/>
      <c r="C732" s="679"/>
      <c r="D732" s="682"/>
      <c r="E732" s="679"/>
      <c r="F732" s="679"/>
      <c r="G732" s="679" t="e">
        <f t="shared" si="362"/>
        <v>#DIV/0!</v>
      </c>
      <c r="H732" s="679"/>
      <c r="I732" s="101">
        <f t="shared" si="363"/>
        <v>9.8000000000000007</v>
      </c>
      <c r="J732" s="101">
        <f t="shared" si="364"/>
        <v>10000</v>
      </c>
      <c r="K732" s="683">
        <f t="shared" si="365"/>
        <v>98000</v>
      </c>
    </row>
    <row r="733" spans="1:11">
      <c r="A733" s="681">
        <v>714</v>
      </c>
      <c r="B733" s="903"/>
      <c r="C733" s="894"/>
      <c r="D733" s="895"/>
      <c r="E733" s="894"/>
      <c r="F733" s="894"/>
      <c r="G733" s="894"/>
      <c r="H733" s="894"/>
      <c r="I733" s="896"/>
      <c r="J733" s="896"/>
      <c r="K733" s="897"/>
    </row>
    <row r="734" spans="1:11">
      <c r="A734" s="681">
        <v>715</v>
      </c>
      <c r="B734" s="904" t="s">
        <v>1928</v>
      </c>
      <c r="C734" s="679">
        <v>554</v>
      </c>
      <c r="D734" s="682">
        <v>23.09</v>
      </c>
      <c r="E734" s="679"/>
      <c r="F734" s="679">
        <v>35</v>
      </c>
      <c r="G734" s="679">
        <f t="shared" ref="G734:G742" si="366">H734/F734</f>
        <v>2670</v>
      </c>
      <c r="H734" s="679">
        <v>93450</v>
      </c>
      <c r="I734" s="101">
        <f t="shared" ref="I734:I742" si="367">+I733+F734</f>
        <v>35</v>
      </c>
      <c r="J734" s="101">
        <f t="shared" ref="J734:J742" si="368">+K734/I734</f>
        <v>2670</v>
      </c>
      <c r="K734" s="683">
        <f t="shared" ref="K734:K742" si="369">(+H734+K733)</f>
        <v>93450</v>
      </c>
    </row>
    <row r="735" spans="1:11">
      <c r="A735" s="681">
        <v>716</v>
      </c>
      <c r="B735" s="902"/>
      <c r="C735" s="679"/>
      <c r="D735" s="682"/>
      <c r="E735" s="679"/>
      <c r="F735" s="679"/>
      <c r="G735" s="679" t="e">
        <f t="shared" si="366"/>
        <v>#DIV/0!</v>
      </c>
      <c r="H735" s="679"/>
      <c r="I735" s="101">
        <f t="shared" si="367"/>
        <v>35</v>
      </c>
      <c r="J735" s="101">
        <f t="shared" si="368"/>
        <v>2670</v>
      </c>
      <c r="K735" s="683">
        <f t="shared" si="369"/>
        <v>93450</v>
      </c>
    </row>
    <row r="736" spans="1:11">
      <c r="A736" s="681">
        <v>717</v>
      </c>
      <c r="B736" s="902"/>
      <c r="C736" s="679"/>
      <c r="D736" s="682"/>
      <c r="E736" s="679"/>
      <c r="F736" s="679"/>
      <c r="G736" s="679" t="e">
        <f t="shared" si="366"/>
        <v>#DIV/0!</v>
      </c>
      <c r="H736" s="679"/>
      <c r="I736" s="101">
        <f t="shared" si="367"/>
        <v>35</v>
      </c>
      <c r="J736" s="101">
        <f t="shared" si="368"/>
        <v>2670</v>
      </c>
      <c r="K736" s="683">
        <f t="shared" si="369"/>
        <v>93450</v>
      </c>
    </row>
    <row r="737" spans="1:11">
      <c r="A737" s="681">
        <v>718</v>
      </c>
      <c r="B737" s="902"/>
      <c r="C737" s="679"/>
      <c r="D737" s="682"/>
      <c r="E737" s="679"/>
      <c r="F737" s="679"/>
      <c r="G737" s="679" t="e">
        <f t="shared" si="366"/>
        <v>#DIV/0!</v>
      </c>
      <c r="H737" s="679"/>
      <c r="I737" s="101">
        <f t="shared" si="367"/>
        <v>35</v>
      </c>
      <c r="J737" s="101">
        <f t="shared" si="368"/>
        <v>2670</v>
      </c>
      <c r="K737" s="683">
        <f t="shared" si="369"/>
        <v>93450</v>
      </c>
    </row>
    <row r="738" spans="1:11">
      <c r="A738" s="681">
        <v>719</v>
      </c>
      <c r="B738" s="902"/>
      <c r="C738" s="679"/>
      <c r="D738" s="682"/>
      <c r="E738" s="679"/>
      <c r="F738" s="679"/>
      <c r="G738" s="679" t="e">
        <f t="shared" si="366"/>
        <v>#DIV/0!</v>
      </c>
      <c r="H738" s="679"/>
      <c r="I738" s="101">
        <f t="shared" si="367"/>
        <v>35</v>
      </c>
      <c r="J738" s="101">
        <f t="shared" si="368"/>
        <v>2670</v>
      </c>
      <c r="K738" s="683">
        <f t="shared" si="369"/>
        <v>93450</v>
      </c>
    </row>
    <row r="739" spans="1:11">
      <c r="A739" s="681">
        <v>720</v>
      </c>
      <c r="B739" s="902"/>
      <c r="C739" s="679"/>
      <c r="D739" s="682"/>
      <c r="E739" s="679"/>
      <c r="F739" s="679"/>
      <c r="G739" s="679" t="e">
        <f t="shared" si="366"/>
        <v>#DIV/0!</v>
      </c>
      <c r="H739" s="679"/>
      <c r="I739" s="101">
        <f t="shared" si="367"/>
        <v>35</v>
      </c>
      <c r="J739" s="101">
        <f t="shared" si="368"/>
        <v>2670</v>
      </c>
      <c r="K739" s="683">
        <f t="shared" si="369"/>
        <v>93450</v>
      </c>
    </row>
    <row r="740" spans="1:11">
      <c r="A740" s="681">
        <v>721</v>
      </c>
      <c r="B740" s="902"/>
      <c r="C740" s="679"/>
      <c r="D740" s="682"/>
      <c r="E740" s="679"/>
      <c r="F740" s="679"/>
      <c r="G740" s="679" t="e">
        <f t="shared" si="366"/>
        <v>#DIV/0!</v>
      </c>
      <c r="H740" s="679"/>
      <c r="I740" s="101">
        <f t="shared" si="367"/>
        <v>35</v>
      </c>
      <c r="J740" s="101">
        <f t="shared" si="368"/>
        <v>2670</v>
      </c>
      <c r="K740" s="683">
        <f t="shared" si="369"/>
        <v>93450</v>
      </c>
    </row>
    <row r="741" spans="1:11">
      <c r="A741" s="681">
        <v>722</v>
      </c>
      <c r="B741" s="902"/>
      <c r="C741" s="679"/>
      <c r="D741" s="682"/>
      <c r="E741" s="679"/>
      <c r="F741" s="679"/>
      <c r="G741" s="679" t="e">
        <f t="shared" si="366"/>
        <v>#DIV/0!</v>
      </c>
      <c r="H741" s="679"/>
      <c r="I741" s="101">
        <f t="shared" si="367"/>
        <v>35</v>
      </c>
      <c r="J741" s="101">
        <f t="shared" si="368"/>
        <v>2670</v>
      </c>
      <c r="K741" s="683">
        <f t="shared" si="369"/>
        <v>93450</v>
      </c>
    </row>
    <row r="742" spans="1:11">
      <c r="A742" s="681">
        <v>723</v>
      </c>
      <c r="B742" s="902"/>
      <c r="C742" s="679"/>
      <c r="D742" s="682"/>
      <c r="E742" s="679"/>
      <c r="F742" s="679"/>
      <c r="G742" s="679" t="e">
        <f t="shared" si="366"/>
        <v>#DIV/0!</v>
      </c>
      <c r="H742" s="679"/>
      <c r="I742" s="101">
        <f t="shared" si="367"/>
        <v>35</v>
      </c>
      <c r="J742" s="101">
        <f t="shared" si="368"/>
        <v>2670</v>
      </c>
      <c r="K742" s="683">
        <f t="shared" si="369"/>
        <v>93450</v>
      </c>
    </row>
    <row r="743" spans="1:11">
      <c r="A743" s="681">
        <v>724</v>
      </c>
      <c r="B743" s="903"/>
      <c r="C743" s="894"/>
      <c r="D743" s="895"/>
      <c r="E743" s="894"/>
      <c r="F743" s="894"/>
      <c r="G743" s="894"/>
      <c r="H743" s="894"/>
      <c r="I743" s="896"/>
      <c r="J743" s="896"/>
      <c r="K743" s="897"/>
    </row>
    <row r="744" spans="1:11">
      <c r="A744" s="681">
        <v>725</v>
      </c>
      <c r="B744" s="904" t="s">
        <v>1929</v>
      </c>
      <c r="C744" s="679">
        <v>688</v>
      </c>
      <c r="D744" s="682">
        <v>19.09</v>
      </c>
      <c r="E744" s="679"/>
      <c r="F744" s="679">
        <v>32.5</v>
      </c>
      <c r="G744" s="679">
        <f t="shared" ref="G744:G752" si="370">H744/F744</f>
        <v>7600</v>
      </c>
      <c r="H744" s="679">
        <v>247000</v>
      </c>
      <c r="I744" s="101">
        <f t="shared" ref="I744:I752" si="371">+I743+F744</f>
        <v>32.5</v>
      </c>
      <c r="J744" s="101">
        <f t="shared" ref="J744:J752" si="372">+K744/I744</f>
        <v>7600</v>
      </c>
      <c r="K744" s="683">
        <f t="shared" ref="K744:K752" si="373">(+H744+K743)</f>
        <v>247000</v>
      </c>
    </row>
    <row r="745" spans="1:11">
      <c r="A745" s="681">
        <v>726</v>
      </c>
      <c r="B745" s="902"/>
      <c r="C745" s="679">
        <v>125</v>
      </c>
      <c r="D745" s="682">
        <v>17.12</v>
      </c>
      <c r="E745" s="679"/>
      <c r="F745" s="679">
        <v>54.823999999999998</v>
      </c>
      <c r="G745" s="679">
        <f t="shared" si="370"/>
        <v>7600.0839048591861</v>
      </c>
      <c r="H745" s="679">
        <v>416667</v>
      </c>
      <c r="I745" s="101">
        <f t="shared" si="371"/>
        <v>87.323999999999998</v>
      </c>
      <c r="J745" s="101">
        <f t="shared" si="372"/>
        <v>7600.0526773853699</v>
      </c>
      <c r="K745" s="683">
        <f t="shared" si="373"/>
        <v>663667</v>
      </c>
    </row>
    <row r="746" spans="1:11">
      <c r="A746" s="681">
        <v>727</v>
      </c>
      <c r="B746" s="902"/>
      <c r="C746" s="679"/>
      <c r="D746" s="682"/>
      <c r="E746" s="679"/>
      <c r="F746" s="679"/>
      <c r="G746" s="679" t="e">
        <f t="shared" si="370"/>
        <v>#DIV/0!</v>
      </c>
      <c r="H746" s="679"/>
      <c r="I746" s="101">
        <f t="shared" si="371"/>
        <v>87.323999999999998</v>
      </c>
      <c r="J746" s="101">
        <f t="shared" si="372"/>
        <v>7600.0526773853699</v>
      </c>
      <c r="K746" s="683">
        <f t="shared" si="373"/>
        <v>663667</v>
      </c>
    </row>
    <row r="747" spans="1:11">
      <c r="A747" s="681">
        <v>728</v>
      </c>
      <c r="B747" s="902"/>
      <c r="C747" s="679"/>
      <c r="D747" s="682"/>
      <c r="E747" s="679"/>
      <c r="F747" s="679"/>
      <c r="G747" s="679" t="e">
        <f t="shared" si="370"/>
        <v>#DIV/0!</v>
      </c>
      <c r="H747" s="679"/>
      <c r="I747" s="101">
        <f t="shared" si="371"/>
        <v>87.323999999999998</v>
      </c>
      <c r="J747" s="101">
        <f t="shared" si="372"/>
        <v>7600.0526773853699</v>
      </c>
      <c r="K747" s="683">
        <f t="shared" si="373"/>
        <v>663667</v>
      </c>
    </row>
    <row r="748" spans="1:11">
      <c r="A748" s="681">
        <v>729</v>
      </c>
      <c r="B748" s="902"/>
      <c r="C748" s="679"/>
      <c r="D748" s="682"/>
      <c r="E748" s="679"/>
      <c r="F748" s="679"/>
      <c r="G748" s="679" t="e">
        <f t="shared" si="370"/>
        <v>#DIV/0!</v>
      </c>
      <c r="H748" s="679"/>
      <c r="I748" s="101">
        <f t="shared" si="371"/>
        <v>87.323999999999998</v>
      </c>
      <c r="J748" s="101">
        <f t="shared" si="372"/>
        <v>7600.0526773853699</v>
      </c>
      <c r="K748" s="683">
        <f t="shared" si="373"/>
        <v>663667</v>
      </c>
    </row>
    <row r="749" spans="1:11">
      <c r="A749" s="681">
        <v>730</v>
      </c>
      <c r="B749" s="902"/>
      <c r="C749" s="679"/>
      <c r="D749" s="682"/>
      <c r="E749" s="679"/>
      <c r="F749" s="679"/>
      <c r="G749" s="679" t="e">
        <f t="shared" si="370"/>
        <v>#DIV/0!</v>
      </c>
      <c r="H749" s="679"/>
      <c r="I749" s="101">
        <f t="shared" si="371"/>
        <v>87.323999999999998</v>
      </c>
      <c r="J749" s="101">
        <f t="shared" si="372"/>
        <v>7600.0526773853699</v>
      </c>
      <c r="K749" s="683">
        <f t="shared" si="373"/>
        <v>663667</v>
      </c>
    </row>
    <row r="750" spans="1:11">
      <c r="A750" s="681">
        <v>731</v>
      </c>
      <c r="B750" s="902"/>
      <c r="C750" s="679"/>
      <c r="D750" s="682"/>
      <c r="E750" s="679"/>
      <c r="F750" s="679"/>
      <c r="G750" s="679" t="e">
        <f t="shared" si="370"/>
        <v>#DIV/0!</v>
      </c>
      <c r="H750" s="679"/>
      <c r="I750" s="101">
        <f t="shared" si="371"/>
        <v>87.323999999999998</v>
      </c>
      <c r="J750" s="101">
        <f t="shared" si="372"/>
        <v>7600.0526773853699</v>
      </c>
      <c r="K750" s="683">
        <f t="shared" si="373"/>
        <v>663667</v>
      </c>
    </row>
    <row r="751" spans="1:11">
      <c r="A751" s="681">
        <v>732</v>
      </c>
      <c r="B751" s="902"/>
      <c r="C751" s="679"/>
      <c r="D751" s="682"/>
      <c r="E751" s="679"/>
      <c r="F751" s="679"/>
      <c r="G751" s="679" t="e">
        <f t="shared" si="370"/>
        <v>#DIV/0!</v>
      </c>
      <c r="H751" s="679"/>
      <c r="I751" s="101">
        <f t="shared" si="371"/>
        <v>87.323999999999998</v>
      </c>
      <c r="J751" s="101">
        <f t="shared" si="372"/>
        <v>7600.0526773853699</v>
      </c>
      <c r="K751" s="683">
        <f t="shared" si="373"/>
        <v>663667</v>
      </c>
    </row>
    <row r="752" spans="1:11">
      <c r="A752" s="681">
        <v>733</v>
      </c>
      <c r="B752" s="902"/>
      <c r="C752" s="679"/>
      <c r="D752" s="682"/>
      <c r="E752" s="679"/>
      <c r="F752" s="679"/>
      <c r="G752" s="679" t="e">
        <f t="shared" si="370"/>
        <v>#DIV/0!</v>
      </c>
      <c r="H752" s="679"/>
      <c r="I752" s="101">
        <f t="shared" si="371"/>
        <v>87.323999999999998</v>
      </c>
      <c r="J752" s="101">
        <f t="shared" si="372"/>
        <v>7600.0526773853699</v>
      </c>
      <c r="K752" s="683">
        <f t="shared" si="373"/>
        <v>663667</v>
      </c>
    </row>
    <row r="753" spans="1:11">
      <c r="A753" s="681">
        <v>734</v>
      </c>
      <c r="B753" s="903"/>
      <c r="C753" s="894"/>
      <c r="D753" s="895"/>
      <c r="E753" s="894"/>
      <c r="F753" s="894"/>
      <c r="G753" s="894"/>
      <c r="H753" s="894"/>
      <c r="I753" s="896"/>
      <c r="J753" s="896"/>
      <c r="K753" s="897"/>
    </row>
    <row r="754" spans="1:11">
      <c r="A754" s="681">
        <v>735</v>
      </c>
      <c r="B754" s="904" t="s">
        <v>1695</v>
      </c>
      <c r="C754" s="679">
        <v>23</v>
      </c>
      <c r="D754" s="682">
        <v>5.07</v>
      </c>
      <c r="E754" s="679"/>
      <c r="F754" s="679">
        <v>1</v>
      </c>
      <c r="G754" s="679">
        <f t="shared" ref="G754:G762" si="374">H754/F754</f>
        <v>72000</v>
      </c>
      <c r="H754" s="679">
        <v>72000</v>
      </c>
      <c r="I754" s="101">
        <f t="shared" ref="I754:I762" si="375">+I753+F754</f>
        <v>1</v>
      </c>
      <c r="J754" s="101">
        <f t="shared" ref="J754:J762" si="376">+K754/I754</f>
        <v>72000</v>
      </c>
      <c r="K754" s="683">
        <f t="shared" ref="K754:K762" si="377">(+H754+K753)</f>
        <v>72000</v>
      </c>
    </row>
    <row r="755" spans="1:11">
      <c r="A755" s="681">
        <v>736</v>
      </c>
      <c r="B755" s="902"/>
      <c r="C755" s="679"/>
      <c r="D755" s="682"/>
      <c r="E755" s="679"/>
      <c r="F755" s="679"/>
      <c r="G755" s="679" t="e">
        <f t="shared" si="374"/>
        <v>#DIV/0!</v>
      </c>
      <c r="H755" s="679"/>
      <c r="I755" s="101">
        <f t="shared" si="375"/>
        <v>1</v>
      </c>
      <c r="J755" s="101">
        <f t="shared" si="376"/>
        <v>72000</v>
      </c>
      <c r="K755" s="683">
        <f t="shared" si="377"/>
        <v>72000</v>
      </c>
    </row>
    <row r="756" spans="1:11">
      <c r="A756" s="681">
        <v>737</v>
      </c>
      <c r="B756" s="902"/>
      <c r="C756" s="679"/>
      <c r="D756" s="682"/>
      <c r="E756" s="679"/>
      <c r="F756" s="679"/>
      <c r="G756" s="679" t="e">
        <f t="shared" si="374"/>
        <v>#DIV/0!</v>
      </c>
      <c r="H756" s="679"/>
      <c r="I756" s="101">
        <f t="shared" si="375"/>
        <v>1</v>
      </c>
      <c r="J756" s="101">
        <f t="shared" si="376"/>
        <v>72000</v>
      </c>
      <c r="K756" s="683">
        <f t="shared" si="377"/>
        <v>72000</v>
      </c>
    </row>
    <row r="757" spans="1:11">
      <c r="A757" s="681">
        <v>738</v>
      </c>
      <c r="B757" s="902"/>
      <c r="C757" s="679"/>
      <c r="D757" s="682"/>
      <c r="E757" s="679"/>
      <c r="F757" s="679"/>
      <c r="G757" s="679" t="e">
        <f t="shared" si="374"/>
        <v>#DIV/0!</v>
      </c>
      <c r="H757" s="679"/>
      <c r="I757" s="101">
        <f t="shared" si="375"/>
        <v>1</v>
      </c>
      <c r="J757" s="101">
        <f t="shared" si="376"/>
        <v>72000</v>
      </c>
      <c r="K757" s="683">
        <f t="shared" si="377"/>
        <v>72000</v>
      </c>
    </row>
    <row r="758" spans="1:11">
      <c r="A758" s="681">
        <v>739</v>
      </c>
      <c r="B758" s="902"/>
      <c r="C758" s="679"/>
      <c r="D758" s="682"/>
      <c r="E758" s="679"/>
      <c r="F758" s="679"/>
      <c r="G758" s="679" t="e">
        <f t="shared" si="374"/>
        <v>#DIV/0!</v>
      </c>
      <c r="H758" s="679"/>
      <c r="I758" s="101">
        <f t="shared" si="375"/>
        <v>1</v>
      </c>
      <c r="J758" s="101">
        <f t="shared" si="376"/>
        <v>72000</v>
      </c>
      <c r="K758" s="683">
        <f t="shared" si="377"/>
        <v>72000</v>
      </c>
    </row>
    <row r="759" spans="1:11">
      <c r="A759" s="681">
        <v>740</v>
      </c>
      <c r="B759" s="902"/>
      <c r="C759" s="679"/>
      <c r="D759" s="682"/>
      <c r="E759" s="679"/>
      <c r="F759" s="679"/>
      <c r="G759" s="679" t="e">
        <f t="shared" si="374"/>
        <v>#DIV/0!</v>
      </c>
      <c r="H759" s="679"/>
      <c r="I759" s="101">
        <f t="shared" si="375"/>
        <v>1</v>
      </c>
      <c r="J759" s="101">
        <f t="shared" si="376"/>
        <v>72000</v>
      </c>
      <c r="K759" s="683">
        <f t="shared" si="377"/>
        <v>72000</v>
      </c>
    </row>
    <row r="760" spans="1:11">
      <c r="A760" s="681">
        <v>741</v>
      </c>
      <c r="B760" s="902"/>
      <c r="C760" s="679"/>
      <c r="D760" s="682"/>
      <c r="E760" s="679"/>
      <c r="F760" s="679"/>
      <c r="G760" s="679" t="e">
        <f t="shared" si="374"/>
        <v>#DIV/0!</v>
      </c>
      <c r="H760" s="679"/>
      <c r="I760" s="101">
        <f t="shared" si="375"/>
        <v>1</v>
      </c>
      <c r="J760" s="101">
        <f t="shared" si="376"/>
        <v>72000</v>
      </c>
      <c r="K760" s="683">
        <f t="shared" si="377"/>
        <v>72000</v>
      </c>
    </row>
    <row r="761" spans="1:11">
      <c r="A761" s="681">
        <v>742</v>
      </c>
      <c r="B761" s="902"/>
      <c r="C761" s="679"/>
      <c r="D761" s="682"/>
      <c r="E761" s="679"/>
      <c r="F761" s="679"/>
      <c r="G761" s="679" t="e">
        <f t="shared" si="374"/>
        <v>#DIV/0!</v>
      </c>
      <c r="H761" s="679"/>
      <c r="I761" s="101">
        <f t="shared" si="375"/>
        <v>1</v>
      </c>
      <c r="J761" s="101">
        <f t="shared" si="376"/>
        <v>72000</v>
      </c>
      <c r="K761" s="683">
        <f t="shared" si="377"/>
        <v>72000</v>
      </c>
    </row>
    <row r="762" spans="1:11">
      <c r="A762" s="681">
        <v>743</v>
      </c>
      <c r="B762" s="902"/>
      <c r="C762" s="679"/>
      <c r="D762" s="682"/>
      <c r="E762" s="679"/>
      <c r="F762" s="679"/>
      <c r="G762" s="679" t="e">
        <f t="shared" si="374"/>
        <v>#DIV/0!</v>
      </c>
      <c r="H762" s="679"/>
      <c r="I762" s="101">
        <f t="shared" si="375"/>
        <v>1</v>
      </c>
      <c r="J762" s="101">
        <f t="shared" si="376"/>
        <v>72000</v>
      </c>
      <c r="K762" s="683">
        <f t="shared" si="377"/>
        <v>72000</v>
      </c>
    </row>
    <row r="763" spans="1:11">
      <c r="A763" s="681">
        <v>744</v>
      </c>
      <c r="B763" s="903"/>
      <c r="C763" s="894"/>
      <c r="D763" s="895"/>
      <c r="E763" s="894"/>
      <c r="F763" s="894"/>
      <c r="G763" s="894"/>
      <c r="H763" s="894"/>
      <c r="I763" s="896"/>
      <c r="J763" s="896"/>
      <c r="K763" s="897"/>
    </row>
    <row r="764" spans="1:11">
      <c r="A764" s="681">
        <v>745</v>
      </c>
      <c r="B764" s="904" t="s">
        <v>1930</v>
      </c>
      <c r="C764" s="679">
        <v>12</v>
      </c>
      <c r="D764" s="682">
        <v>16.09</v>
      </c>
      <c r="E764" s="679"/>
      <c r="F764" s="679">
        <v>2</v>
      </c>
      <c r="G764" s="679">
        <f t="shared" ref="G764:G772" si="378">H764/F764</f>
        <v>89583</v>
      </c>
      <c r="H764" s="679">
        <v>179166</v>
      </c>
      <c r="I764" s="101">
        <f t="shared" ref="I764:I772" si="379">+I763+F764</f>
        <v>2</v>
      </c>
      <c r="J764" s="101">
        <f t="shared" ref="J764:J772" si="380">+K764/I764</f>
        <v>89583</v>
      </c>
      <c r="K764" s="683">
        <f t="shared" ref="K764:K772" si="381">(+H764+K763)</f>
        <v>179166</v>
      </c>
    </row>
    <row r="765" spans="1:11">
      <c r="A765" s="681">
        <v>746</v>
      </c>
      <c r="B765" s="902"/>
      <c r="C765" s="679"/>
      <c r="D765" s="682"/>
      <c r="E765" s="679"/>
      <c r="F765" s="679"/>
      <c r="G765" s="679" t="e">
        <f t="shared" si="378"/>
        <v>#DIV/0!</v>
      </c>
      <c r="H765" s="679"/>
      <c r="I765" s="101">
        <f t="shared" si="379"/>
        <v>2</v>
      </c>
      <c r="J765" s="101">
        <f t="shared" si="380"/>
        <v>89583</v>
      </c>
      <c r="K765" s="683">
        <f t="shared" si="381"/>
        <v>179166</v>
      </c>
    </row>
    <row r="766" spans="1:11">
      <c r="A766" s="681">
        <v>747</v>
      </c>
      <c r="B766" s="902"/>
      <c r="C766" s="679"/>
      <c r="D766" s="682"/>
      <c r="E766" s="679"/>
      <c r="F766" s="679"/>
      <c r="G766" s="679" t="e">
        <f t="shared" si="378"/>
        <v>#DIV/0!</v>
      </c>
      <c r="H766" s="679"/>
      <c r="I766" s="101">
        <f t="shared" si="379"/>
        <v>2</v>
      </c>
      <c r="J766" s="101">
        <f t="shared" si="380"/>
        <v>89583</v>
      </c>
      <c r="K766" s="683">
        <f t="shared" si="381"/>
        <v>179166</v>
      </c>
    </row>
    <row r="767" spans="1:11">
      <c r="A767" s="681">
        <v>748</v>
      </c>
      <c r="B767" s="902"/>
      <c r="C767" s="679"/>
      <c r="D767" s="682"/>
      <c r="E767" s="679"/>
      <c r="F767" s="679"/>
      <c r="G767" s="679" t="e">
        <f t="shared" si="378"/>
        <v>#DIV/0!</v>
      </c>
      <c r="H767" s="679"/>
      <c r="I767" s="101">
        <f t="shared" si="379"/>
        <v>2</v>
      </c>
      <c r="J767" s="101">
        <f t="shared" si="380"/>
        <v>89583</v>
      </c>
      <c r="K767" s="683">
        <f t="shared" si="381"/>
        <v>179166</v>
      </c>
    </row>
    <row r="768" spans="1:11">
      <c r="A768" s="681">
        <v>749</v>
      </c>
      <c r="B768" s="902"/>
      <c r="C768" s="679"/>
      <c r="D768" s="682"/>
      <c r="E768" s="679"/>
      <c r="F768" s="679"/>
      <c r="G768" s="679" t="e">
        <f t="shared" si="378"/>
        <v>#DIV/0!</v>
      </c>
      <c r="H768" s="679"/>
      <c r="I768" s="101">
        <f t="shared" si="379"/>
        <v>2</v>
      </c>
      <c r="J768" s="101">
        <f t="shared" si="380"/>
        <v>89583</v>
      </c>
      <c r="K768" s="683">
        <f t="shared" si="381"/>
        <v>179166</v>
      </c>
    </row>
    <row r="769" spans="1:11">
      <c r="A769" s="681">
        <v>750</v>
      </c>
      <c r="B769" s="902"/>
      <c r="C769" s="679"/>
      <c r="D769" s="682"/>
      <c r="E769" s="679"/>
      <c r="F769" s="679"/>
      <c r="G769" s="679" t="e">
        <f t="shared" si="378"/>
        <v>#DIV/0!</v>
      </c>
      <c r="H769" s="679"/>
      <c r="I769" s="101">
        <f t="shared" si="379"/>
        <v>2</v>
      </c>
      <c r="J769" s="101">
        <f t="shared" si="380"/>
        <v>89583</v>
      </c>
      <c r="K769" s="683">
        <f t="shared" si="381"/>
        <v>179166</v>
      </c>
    </row>
    <row r="770" spans="1:11">
      <c r="A770" s="681">
        <v>751</v>
      </c>
      <c r="B770" s="902"/>
      <c r="C770" s="679"/>
      <c r="D770" s="682"/>
      <c r="E770" s="679"/>
      <c r="F770" s="679"/>
      <c r="G770" s="679" t="e">
        <f t="shared" si="378"/>
        <v>#DIV/0!</v>
      </c>
      <c r="H770" s="679"/>
      <c r="I770" s="101">
        <f t="shared" si="379"/>
        <v>2</v>
      </c>
      <c r="J770" s="101">
        <f t="shared" si="380"/>
        <v>89583</v>
      </c>
      <c r="K770" s="683">
        <f t="shared" si="381"/>
        <v>179166</v>
      </c>
    </row>
    <row r="771" spans="1:11">
      <c r="A771" s="681">
        <v>752</v>
      </c>
      <c r="B771" s="902"/>
      <c r="C771" s="679"/>
      <c r="D771" s="682"/>
      <c r="E771" s="679"/>
      <c r="F771" s="679"/>
      <c r="G771" s="679" t="e">
        <f t="shared" si="378"/>
        <v>#DIV/0!</v>
      </c>
      <c r="H771" s="679"/>
      <c r="I771" s="101">
        <f t="shared" si="379"/>
        <v>2</v>
      </c>
      <c r="J771" s="101">
        <f t="shared" si="380"/>
        <v>89583</v>
      </c>
      <c r="K771" s="683">
        <f t="shared" si="381"/>
        <v>179166</v>
      </c>
    </row>
    <row r="772" spans="1:11">
      <c r="A772" s="681">
        <v>753</v>
      </c>
      <c r="B772" s="902"/>
      <c r="C772" s="679"/>
      <c r="D772" s="682"/>
      <c r="E772" s="679"/>
      <c r="F772" s="679"/>
      <c r="G772" s="679" t="e">
        <f t="shared" si="378"/>
        <v>#DIV/0!</v>
      </c>
      <c r="H772" s="679"/>
      <c r="I772" s="101">
        <f t="shared" si="379"/>
        <v>2</v>
      </c>
      <c r="J772" s="101">
        <f t="shared" si="380"/>
        <v>89583</v>
      </c>
      <c r="K772" s="683">
        <f t="shared" si="381"/>
        <v>179166</v>
      </c>
    </row>
    <row r="773" spans="1:11">
      <c r="A773" s="681">
        <v>754</v>
      </c>
      <c r="B773" s="903"/>
      <c r="C773" s="894"/>
      <c r="D773" s="895"/>
      <c r="E773" s="894"/>
      <c r="F773" s="894"/>
      <c r="G773" s="894"/>
      <c r="H773" s="894"/>
      <c r="I773" s="896"/>
      <c r="J773" s="896"/>
      <c r="K773" s="897"/>
    </row>
    <row r="774" spans="1:11">
      <c r="A774" s="681">
        <v>755</v>
      </c>
      <c r="B774" s="904" t="s">
        <v>1936</v>
      </c>
      <c r="C774" s="679">
        <v>9746</v>
      </c>
      <c r="D774" s="682">
        <v>15.1</v>
      </c>
      <c r="E774" s="679" t="s">
        <v>961</v>
      </c>
      <c r="F774" s="679">
        <v>3</v>
      </c>
      <c r="G774" s="679">
        <f t="shared" ref="G774:G782" si="382">H774/F774</f>
        <v>90208</v>
      </c>
      <c r="H774" s="1220">
        <f>1920*140.95</f>
        <v>270624</v>
      </c>
      <c r="I774" s="101">
        <f t="shared" ref="I774:I782" si="383">+I773+F774</f>
        <v>3</v>
      </c>
      <c r="J774" s="101">
        <f t="shared" ref="J774:J782" si="384">+K774/I774</f>
        <v>90208</v>
      </c>
      <c r="K774" s="683">
        <f t="shared" ref="K774:K782" si="385">(+H774+K773)</f>
        <v>270624</v>
      </c>
    </row>
    <row r="775" spans="1:11">
      <c r="A775" s="681">
        <v>756</v>
      </c>
      <c r="B775" s="902"/>
      <c r="C775" s="679"/>
      <c r="D775" s="682"/>
      <c r="E775" s="679"/>
      <c r="F775" s="679"/>
      <c r="G775" s="679" t="e">
        <f t="shared" si="382"/>
        <v>#DIV/0!</v>
      </c>
      <c r="H775" s="679"/>
      <c r="I775" s="101">
        <f t="shared" si="383"/>
        <v>3</v>
      </c>
      <c r="J775" s="101">
        <f t="shared" si="384"/>
        <v>90208</v>
      </c>
      <c r="K775" s="683">
        <f t="shared" si="385"/>
        <v>270624</v>
      </c>
    </row>
    <row r="776" spans="1:11">
      <c r="A776" s="681">
        <v>757</v>
      </c>
      <c r="B776" s="902"/>
      <c r="C776" s="679"/>
      <c r="D776" s="682"/>
      <c r="E776" s="679"/>
      <c r="F776" s="679"/>
      <c r="G776" s="679" t="e">
        <f t="shared" si="382"/>
        <v>#DIV/0!</v>
      </c>
      <c r="H776" s="679"/>
      <c r="I776" s="101">
        <f t="shared" si="383"/>
        <v>3</v>
      </c>
      <c r="J776" s="101">
        <f t="shared" si="384"/>
        <v>90208</v>
      </c>
      <c r="K776" s="683">
        <f t="shared" si="385"/>
        <v>270624</v>
      </c>
    </row>
    <row r="777" spans="1:11">
      <c r="A777" s="681">
        <v>758</v>
      </c>
      <c r="B777" s="902"/>
      <c r="C777" s="679"/>
      <c r="D777" s="682"/>
      <c r="E777" s="679"/>
      <c r="F777" s="679"/>
      <c r="G777" s="679" t="e">
        <f t="shared" si="382"/>
        <v>#DIV/0!</v>
      </c>
      <c r="H777" s="679"/>
      <c r="I777" s="101">
        <f t="shared" si="383"/>
        <v>3</v>
      </c>
      <c r="J777" s="101">
        <f t="shared" si="384"/>
        <v>90208</v>
      </c>
      <c r="K777" s="683">
        <f t="shared" si="385"/>
        <v>270624</v>
      </c>
    </row>
    <row r="778" spans="1:11">
      <c r="A778" s="681">
        <v>759</v>
      </c>
      <c r="B778" s="902"/>
      <c r="C778" s="679"/>
      <c r="D778" s="682"/>
      <c r="E778" s="679"/>
      <c r="F778" s="679"/>
      <c r="G778" s="679" t="e">
        <f t="shared" si="382"/>
        <v>#DIV/0!</v>
      </c>
      <c r="H778" s="679"/>
      <c r="I778" s="101">
        <f t="shared" si="383"/>
        <v>3</v>
      </c>
      <c r="J778" s="101">
        <f t="shared" si="384"/>
        <v>90208</v>
      </c>
      <c r="K778" s="683">
        <f t="shared" si="385"/>
        <v>270624</v>
      </c>
    </row>
    <row r="779" spans="1:11">
      <c r="A779" s="681">
        <v>760</v>
      </c>
      <c r="B779" s="902"/>
      <c r="C779" s="679"/>
      <c r="D779" s="682"/>
      <c r="E779" s="679"/>
      <c r="F779" s="679"/>
      <c r="G779" s="679" t="e">
        <f t="shared" si="382"/>
        <v>#DIV/0!</v>
      </c>
      <c r="H779" s="679"/>
      <c r="I779" s="101">
        <f t="shared" si="383"/>
        <v>3</v>
      </c>
      <c r="J779" s="101">
        <f t="shared" si="384"/>
        <v>90208</v>
      </c>
      <c r="K779" s="683">
        <f t="shared" si="385"/>
        <v>270624</v>
      </c>
    </row>
    <row r="780" spans="1:11">
      <c r="A780" s="681">
        <v>761</v>
      </c>
      <c r="B780" s="902"/>
      <c r="C780" s="679"/>
      <c r="D780" s="682"/>
      <c r="E780" s="679"/>
      <c r="F780" s="679"/>
      <c r="G780" s="679" t="e">
        <f t="shared" si="382"/>
        <v>#DIV/0!</v>
      </c>
      <c r="H780" s="679"/>
      <c r="I780" s="101">
        <f t="shared" si="383"/>
        <v>3</v>
      </c>
      <c r="J780" s="101">
        <f t="shared" si="384"/>
        <v>90208</v>
      </c>
      <c r="K780" s="683">
        <f t="shared" si="385"/>
        <v>270624</v>
      </c>
    </row>
    <row r="781" spans="1:11">
      <c r="A781" s="681">
        <v>762</v>
      </c>
      <c r="B781" s="902"/>
      <c r="C781" s="679"/>
      <c r="D781" s="682"/>
      <c r="E781" s="679"/>
      <c r="F781" s="679"/>
      <c r="G781" s="679" t="e">
        <f t="shared" si="382"/>
        <v>#DIV/0!</v>
      </c>
      <c r="H781" s="679"/>
      <c r="I781" s="101">
        <f t="shared" si="383"/>
        <v>3</v>
      </c>
      <c r="J781" s="101">
        <f t="shared" si="384"/>
        <v>90208</v>
      </c>
      <c r="K781" s="683">
        <f t="shared" si="385"/>
        <v>270624</v>
      </c>
    </row>
    <row r="782" spans="1:11">
      <c r="A782" s="681">
        <v>763</v>
      </c>
      <c r="B782" s="902"/>
      <c r="C782" s="679"/>
      <c r="D782" s="682"/>
      <c r="E782" s="679"/>
      <c r="F782" s="679"/>
      <c r="G782" s="679" t="e">
        <f t="shared" si="382"/>
        <v>#DIV/0!</v>
      </c>
      <c r="H782" s="679"/>
      <c r="I782" s="101">
        <f t="shared" si="383"/>
        <v>3</v>
      </c>
      <c r="J782" s="101">
        <f t="shared" si="384"/>
        <v>90208</v>
      </c>
      <c r="K782" s="683">
        <f t="shared" si="385"/>
        <v>270624</v>
      </c>
    </row>
    <row r="783" spans="1:11">
      <c r="A783" s="681">
        <v>764</v>
      </c>
      <c r="B783" s="903"/>
      <c r="C783" s="894"/>
      <c r="D783" s="895"/>
      <c r="E783" s="894"/>
      <c r="F783" s="894"/>
      <c r="G783" s="894"/>
      <c r="H783" s="894"/>
      <c r="I783" s="896"/>
      <c r="J783" s="896"/>
      <c r="K783" s="897"/>
    </row>
    <row r="784" spans="1:11">
      <c r="A784" s="681">
        <v>765</v>
      </c>
      <c r="B784" s="904" t="s">
        <v>1937</v>
      </c>
      <c r="C784" s="679">
        <v>9737</v>
      </c>
      <c r="D784" s="682">
        <v>15.1</v>
      </c>
      <c r="E784" s="679"/>
      <c r="F784" s="679">
        <f>480*0.5</f>
        <v>240</v>
      </c>
      <c r="G784" s="679">
        <f t="shared" ref="G784:G792" si="386">H784/F784</f>
        <v>1694.9237499999997</v>
      </c>
      <c r="H784" s="1220">
        <f>2886*140.95</f>
        <v>406781.69999999995</v>
      </c>
      <c r="I784" s="101">
        <f t="shared" ref="I784:I785" si="387">+I783+F784</f>
        <v>240</v>
      </c>
      <c r="J784" s="101">
        <f t="shared" ref="J784:J785" si="388">+K784/I784</f>
        <v>1694.9237499999997</v>
      </c>
      <c r="K784" s="683">
        <f t="shared" ref="K784:K785" si="389">(+H784+K783)</f>
        <v>406781.69999999995</v>
      </c>
    </row>
    <row r="785" spans="1:11">
      <c r="A785" s="681">
        <v>766</v>
      </c>
      <c r="B785" s="902"/>
      <c r="C785" s="679"/>
      <c r="D785" s="682"/>
      <c r="E785" s="679"/>
      <c r="F785" s="679"/>
      <c r="G785" s="679" t="e">
        <f t="shared" si="386"/>
        <v>#DIV/0!</v>
      </c>
      <c r="H785" s="679"/>
      <c r="I785" s="101">
        <f t="shared" si="387"/>
        <v>240</v>
      </c>
      <c r="J785" s="101">
        <f t="shared" si="388"/>
        <v>1694.9237499999997</v>
      </c>
      <c r="K785" s="683">
        <f t="shared" si="389"/>
        <v>406781.69999999995</v>
      </c>
    </row>
    <row r="786" spans="1:11">
      <c r="A786" s="681">
        <v>767</v>
      </c>
      <c r="B786" s="902"/>
      <c r="C786" s="679"/>
      <c r="D786" s="682"/>
      <c r="E786" s="679"/>
      <c r="F786" s="679"/>
      <c r="G786" s="679" t="e">
        <f t="shared" si="386"/>
        <v>#DIV/0!</v>
      </c>
      <c r="H786" s="679"/>
      <c r="I786" s="101">
        <f t="shared" ref="I786:I792" si="390">+I785+F786</f>
        <v>240</v>
      </c>
      <c r="J786" s="101">
        <f t="shared" ref="J786:J792" si="391">+K786/I786</f>
        <v>1694.9237499999997</v>
      </c>
      <c r="K786" s="683">
        <f t="shared" ref="K786:K792" si="392">(+H786+K785)</f>
        <v>406781.69999999995</v>
      </c>
    </row>
    <row r="787" spans="1:11">
      <c r="A787" s="681">
        <v>768</v>
      </c>
      <c r="B787" s="902"/>
      <c r="C787" s="679"/>
      <c r="D787" s="682"/>
      <c r="E787" s="679"/>
      <c r="F787" s="679"/>
      <c r="G787" s="679" t="e">
        <f t="shared" si="386"/>
        <v>#DIV/0!</v>
      </c>
      <c r="H787" s="679"/>
      <c r="I787" s="101">
        <f t="shared" si="390"/>
        <v>240</v>
      </c>
      <c r="J787" s="101">
        <f t="shared" si="391"/>
        <v>1694.9237499999997</v>
      </c>
      <c r="K787" s="683">
        <f t="shared" si="392"/>
        <v>406781.69999999995</v>
      </c>
    </row>
    <row r="788" spans="1:11">
      <c r="A788" s="681">
        <v>769</v>
      </c>
      <c r="B788" s="902"/>
      <c r="C788" s="679"/>
      <c r="D788" s="682"/>
      <c r="E788" s="679"/>
      <c r="F788" s="679"/>
      <c r="G788" s="679" t="e">
        <f t="shared" si="386"/>
        <v>#DIV/0!</v>
      </c>
      <c r="H788" s="679"/>
      <c r="I788" s="101">
        <f t="shared" si="390"/>
        <v>240</v>
      </c>
      <c r="J788" s="101">
        <f t="shared" si="391"/>
        <v>1694.9237499999997</v>
      </c>
      <c r="K788" s="683">
        <f t="shared" si="392"/>
        <v>406781.69999999995</v>
      </c>
    </row>
    <row r="789" spans="1:11">
      <c r="A789" s="681">
        <v>770</v>
      </c>
      <c r="B789" s="902"/>
      <c r="C789" s="679"/>
      <c r="D789" s="682"/>
      <c r="E789" s="679"/>
      <c r="F789" s="679"/>
      <c r="G789" s="679" t="e">
        <f t="shared" si="386"/>
        <v>#DIV/0!</v>
      </c>
      <c r="H789" s="679"/>
      <c r="I789" s="101">
        <f t="shared" si="390"/>
        <v>240</v>
      </c>
      <c r="J789" s="101">
        <f t="shared" si="391"/>
        <v>1694.9237499999997</v>
      </c>
      <c r="K789" s="683">
        <f t="shared" si="392"/>
        <v>406781.69999999995</v>
      </c>
    </row>
    <row r="790" spans="1:11">
      <c r="A790" s="681">
        <v>771</v>
      </c>
      <c r="B790" s="902"/>
      <c r="C790" s="679"/>
      <c r="D790" s="682"/>
      <c r="E790" s="679"/>
      <c r="F790" s="679"/>
      <c r="G790" s="679" t="e">
        <f t="shared" si="386"/>
        <v>#DIV/0!</v>
      </c>
      <c r="H790" s="679"/>
      <c r="I790" s="101">
        <f t="shared" si="390"/>
        <v>240</v>
      </c>
      <c r="J790" s="101">
        <f t="shared" si="391"/>
        <v>1694.9237499999997</v>
      </c>
      <c r="K790" s="683">
        <f t="shared" si="392"/>
        <v>406781.69999999995</v>
      </c>
    </row>
    <row r="791" spans="1:11">
      <c r="A791" s="681">
        <v>772</v>
      </c>
      <c r="B791" s="902"/>
      <c r="C791" s="679"/>
      <c r="D791" s="682"/>
      <c r="E791" s="679"/>
      <c r="F791" s="679"/>
      <c r="G791" s="679" t="e">
        <f t="shared" si="386"/>
        <v>#DIV/0!</v>
      </c>
      <c r="H791" s="679"/>
      <c r="I791" s="101">
        <f t="shared" si="390"/>
        <v>240</v>
      </c>
      <c r="J791" s="101">
        <f t="shared" si="391"/>
        <v>1694.9237499999997</v>
      </c>
      <c r="K791" s="683">
        <f t="shared" si="392"/>
        <v>406781.69999999995</v>
      </c>
    </row>
    <row r="792" spans="1:11">
      <c r="A792" s="681">
        <v>773</v>
      </c>
      <c r="B792" s="902"/>
      <c r="C792" s="679"/>
      <c r="D792" s="682"/>
      <c r="E792" s="679"/>
      <c r="F792" s="679"/>
      <c r="G792" s="679" t="e">
        <f t="shared" si="386"/>
        <v>#DIV/0!</v>
      </c>
      <c r="H792" s="679"/>
      <c r="I792" s="101">
        <f t="shared" si="390"/>
        <v>240</v>
      </c>
      <c r="J792" s="101">
        <f t="shared" si="391"/>
        <v>1694.9237499999997</v>
      </c>
      <c r="K792" s="683">
        <f t="shared" si="392"/>
        <v>406781.69999999995</v>
      </c>
    </row>
    <row r="793" spans="1:11">
      <c r="A793" s="681">
        <v>774</v>
      </c>
      <c r="B793" s="903"/>
      <c r="C793" s="894"/>
      <c r="D793" s="895"/>
      <c r="E793" s="894"/>
      <c r="F793" s="894"/>
      <c r="G793" s="894"/>
      <c r="H793" s="894"/>
      <c r="I793" s="896"/>
      <c r="J793" s="896"/>
      <c r="K793" s="897"/>
    </row>
    <row r="794" spans="1:11">
      <c r="A794" s="681">
        <v>775</v>
      </c>
      <c r="B794" s="904" t="s">
        <v>1938</v>
      </c>
      <c r="C794" s="679">
        <v>9734</v>
      </c>
      <c r="D794" s="682">
        <v>15.1</v>
      </c>
      <c r="E794" s="679"/>
      <c r="F794" s="679">
        <v>1000</v>
      </c>
      <c r="G794" s="679">
        <f t="shared" ref="G794:G802" si="393">H794/F794</f>
        <v>827.09460000000001</v>
      </c>
      <c r="H794" s="1220">
        <f>5868*140.95</f>
        <v>827094.6</v>
      </c>
      <c r="I794" s="101">
        <f t="shared" ref="I794:I795" si="394">+I793+F794</f>
        <v>1000</v>
      </c>
      <c r="J794" s="101">
        <f t="shared" ref="J794:J795" si="395">+K794/I794</f>
        <v>827.09460000000001</v>
      </c>
      <c r="K794" s="683">
        <f t="shared" ref="K794:K795" si="396">(+H794+K793)</f>
        <v>827094.6</v>
      </c>
    </row>
    <row r="795" spans="1:11">
      <c r="A795" s="681">
        <v>776</v>
      </c>
      <c r="B795" s="902"/>
      <c r="C795" s="679">
        <v>9734</v>
      </c>
      <c r="D795" s="682">
        <v>15.1</v>
      </c>
      <c r="E795" s="679"/>
      <c r="F795" s="679">
        <v>90</v>
      </c>
      <c r="G795" s="679">
        <f t="shared" si="393"/>
        <v>1663.21</v>
      </c>
      <c r="H795" s="1220">
        <f>1062*140.95</f>
        <v>149688.9</v>
      </c>
      <c r="I795" s="101">
        <f t="shared" si="394"/>
        <v>1090</v>
      </c>
      <c r="J795" s="101">
        <f t="shared" si="395"/>
        <v>896.13165137614681</v>
      </c>
      <c r="K795" s="683">
        <f t="shared" si="396"/>
        <v>976783.5</v>
      </c>
    </row>
    <row r="796" spans="1:11">
      <c r="A796" s="681">
        <v>777</v>
      </c>
      <c r="B796" s="902"/>
      <c r="C796" s="679"/>
      <c r="D796" s="682"/>
      <c r="E796" s="679"/>
      <c r="F796" s="679"/>
      <c r="G796" s="679" t="e">
        <f t="shared" si="393"/>
        <v>#DIV/0!</v>
      </c>
      <c r="H796" s="679"/>
      <c r="I796" s="101">
        <f t="shared" ref="I796:I802" si="397">+I795+F796</f>
        <v>1090</v>
      </c>
      <c r="J796" s="101">
        <f t="shared" ref="J796:J802" si="398">+K796/I796</f>
        <v>896.13165137614681</v>
      </c>
      <c r="K796" s="683">
        <f t="shared" ref="K796:K802" si="399">(+H796+K795)</f>
        <v>976783.5</v>
      </c>
    </row>
    <row r="797" spans="1:11">
      <c r="A797" s="681">
        <v>778</v>
      </c>
      <c r="B797" s="902"/>
      <c r="C797" s="679"/>
      <c r="D797" s="682"/>
      <c r="E797" s="679"/>
      <c r="F797" s="679"/>
      <c r="G797" s="679" t="e">
        <f t="shared" si="393"/>
        <v>#DIV/0!</v>
      </c>
      <c r="H797" s="679"/>
      <c r="I797" s="101">
        <f t="shared" si="397"/>
        <v>1090</v>
      </c>
      <c r="J797" s="101">
        <f t="shared" si="398"/>
        <v>896.13165137614681</v>
      </c>
      <c r="K797" s="683">
        <f t="shared" si="399"/>
        <v>976783.5</v>
      </c>
    </row>
    <row r="798" spans="1:11">
      <c r="A798" s="681">
        <v>779</v>
      </c>
      <c r="B798" s="902"/>
      <c r="C798" s="679"/>
      <c r="D798" s="682"/>
      <c r="E798" s="679"/>
      <c r="F798" s="679"/>
      <c r="G798" s="679" t="e">
        <f t="shared" si="393"/>
        <v>#DIV/0!</v>
      </c>
      <c r="H798" s="679"/>
      <c r="I798" s="101">
        <f t="shared" si="397"/>
        <v>1090</v>
      </c>
      <c r="J798" s="101">
        <f t="shared" si="398"/>
        <v>896.13165137614681</v>
      </c>
      <c r="K798" s="683">
        <f t="shared" si="399"/>
        <v>976783.5</v>
      </c>
    </row>
    <row r="799" spans="1:11">
      <c r="A799" s="681">
        <v>780</v>
      </c>
      <c r="B799" s="902"/>
      <c r="C799" s="679"/>
      <c r="D799" s="682"/>
      <c r="E799" s="679"/>
      <c r="F799" s="679"/>
      <c r="G799" s="679" t="e">
        <f t="shared" si="393"/>
        <v>#DIV/0!</v>
      </c>
      <c r="H799" s="679"/>
      <c r="I799" s="101">
        <f t="shared" si="397"/>
        <v>1090</v>
      </c>
      <c r="J799" s="101">
        <f t="shared" si="398"/>
        <v>896.13165137614681</v>
      </c>
      <c r="K799" s="683">
        <f t="shared" si="399"/>
        <v>976783.5</v>
      </c>
    </row>
    <row r="800" spans="1:11">
      <c r="A800" s="681">
        <v>781</v>
      </c>
      <c r="B800" s="902"/>
      <c r="C800" s="679"/>
      <c r="D800" s="682"/>
      <c r="E800" s="679"/>
      <c r="F800" s="679"/>
      <c r="G800" s="679" t="e">
        <f t="shared" si="393"/>
        <v>#DIV/0!</v>
      </c>
      <c r="H800" s="679"/>
      <c r="I800" s="101">
        <f t="shared" si="397"/>
        <v>1090</v>
      </c>
      <c r="J800" s="101">
        <f t="shared" si="398"/>
        <v>896.13165137614681</v>
      </c>
      <c r="K800" s="683">
        <f t="shared" si="399"/>
        <v>976783.5</v>
      </c>
    </row>
    <row r="801" spans="1:11">
      <c r="A801" s="681">
        <v>782</v>
      </c>
      <c r="B801" s="902"/>
      <c r="C801" s="679"/>
      <c r="D801" s="682"/>
      <c r="E801" s="679"/>
      <c r="F801" s="679"/>
      <c r="G801" s="679" t="e">
        <f t="shared" si="393"/>
        <v>#DIV/0!</v>
      </c>
      <c r="H801" s="679"/>
      <c r="I801" s="101">
        <f t="shared" si="397"/>
        <v>1090</v>
      </c>
      <c r="J801" s="101">
        <f t="shared" si="398"/>
        <v>896.13165137614681</v>
      </c>
      <c r="K801" s="683">
        <f t="shared" si="399"/>
        <v>976783.5</v>
      </c>
    </row>
    <row r="802" spans="1:11">
      <c r="A802" s="681">
        <v>783</v>
      </c>
      <c r="B802" s="902"/>
      <c r="C802" s="679"/>
      <c r="D802" s="682"/>
      <c r="E802" s="679"/>
      <c r="F802" s="679"/>
      <c r="G802" s="679" t="e">
        <f t="shared" si="393"/>
        <v>#DIV/0!</v>
      </c>
      <c r="H802" s="679"/>
      <c r="I802" s="101">
        <f t="shared" si="397"/>
        <v>1090</v>
      </c>
      <c r="J802" s="101">
        <f t="shared" si="398"/>
        <v>896.13165137614681</v>
      </c>
      <c r="K802" s="683">
        <f t="shared" si="399"/>
        <v>976783.5</v>
      </c>
    </row>
    <row r="803" spans="1:11">
      <c r="A803" s="681">
        <v>784</v>
      </c>
      <c r="B803" s="903"/>
      <c r="C803" s="894"/>
      <c r="D803" s="895"/>
      <c r="E803" s="894"/>
      <c r="F803" s="894"/>
      <c r="G803" s="894"/>
      <c r="H803" s="894"/>
      <c r="I803" s="896"/>
      <c r="J803" s="896"/>
      <c r="K803" s="897"/>
    </row>
    <row r="804" spans="1:11">
      <c r="A804" s="681">
        <v>785</v>
      </c>
      <c r="B804" s="904" t="s">
        <v>1939</v>
      </c>
      <c r="C804" s="679">
        <v>9751</v>
      </c>
      <c r="D804" s="682">
        <v>15.1</v>
      </c>
      <c r="E804" s="679" t="s">
        <v>961</v>
      </c>
      <c r="F804" s="679">
        <f>150+150+50+50</f>
        <v>400</v>
      </c>
      <c r="G804" s="679">
        <f t="shared" ref="G804:G812" si="400">H804/F804</f>
        <v>456.67799999999994</v>
      </c>
      <c r="H804" s="1220">
        <f>1296*140.95</f>
        <v>182671.19999999998</v>
      </c>
      <c r="I804" s="101">
        <f t="shared" ref="I804:I805" si="401">+I803+F804</f>
        <v>400</v>
      </c>
      <c r="J804" s="101">
        <f t="shared" ref="J804:J805" si="402">+K804/I804</f>
        <v>456.67799999999994</v>
      </c>
      <c r="K804" s="683">
        <f t="shared" ref="K804:K805" si="403">(+H804+K803)</f>
        <v>182671.19999999998</v>
      </c>
    </row>
    <row r="805" spans="1:11">
      <c r="A805" s="681">
        <v>786</v>
      </c>
      <c r="B805" s="902"/>
      <c r="C805" s="679"/>
      <c r="D805" s="682"/>
      <c r="E805" s="679"/>
      <c r="F805" s="679"/>
      <c r="G805" s="679" t="e">
        <f t="shared" si="400"/>
        <v>#DIV/0!</v>
      </c>
      <c r="H805" s="679"/>
      <c r="I805" s="101">
        <f t="shared" si="401"/>
        <v>400</v>
      </c>
      <c r="J805" s="101">
        <f t="shared" si="402"/>
        <v>456.67799999999994</v>
      </c>
      <c r="K805" s="683">
        <f t="shared" si="403"/>
        <v>182671.19999999998</v>
      </c>
    </row>
    <row r="806" spans="1:11">
      <c r="A806" s="681">
        <v>787</v>
      </c>
      <c r="B806" s="902"/>
      <c r="C806" s="679"/>
      <c r="D806" s="682"/>
      <c r="E806" s="679"/>
      <c r="F806" s="679"/>
      <c r="G806" s="679" t="e">
        <f t="shared" si="400"/>
        <v>#DIV/0!</v>
      </c>
      <c r="H806" s="679"/>
      <c r="I806" s="101">
        <f t="shared" ref="I806:I812" si="404">+I805+F806</f>
        <v>400</v>
      </c>
      <c r="J806" s="101">
        <f t="shared" ref="J806:J812" si="405">+K806/I806</f>
        <v>456.67799999999994</v>
      </c>
      <c r="K806" s="683">
        <f t="shared" ref="K806:K812" si="406">(+H806+K805)</f>
        <v>182671.19999999998</v>
      </c>
    </row>
    <row r="807" spans="1:11">
      <c r="A807" s="681">
        <v>788</v>
      </c>
      <c r="B807" s="902"/>
      <c r="C807" s="679"/>
      <c r="D807" s="682"/>
      <c r="E807" s="679"/>
      <c r="F807" s="679"/>
      <c r="G807" s="679" t="e">
        <f t="shared" si="400"/>
        <v>#DIV/0!</v>
      </c>
      <c r="H807" s="679"/>
      <c r="I807" s="101">
        <f t="shared" si="404"/>
        <v>400</v>
      </c>
      <c r="J807" s="101">
        <f t="shared" si="405"/>
        <v>456.67799999999994</v>
      </c>
      <c r="K807" s="683">
        <f t="shared" si="406"/>
        <v>182671.19999999998</v>
      </c>
    </row>
    <row r="808" spans="1:11">
      <c r="A808" s="681">
        <v>789</v>
      </c>
      <c r="B808" s="902"/>
      <c r="C808" s="679"/>
      <c r="D808" s="682"/>
      <c r="E808" s="679"/>
      <c r="F808" s="679"/>
      <c r="G808" s="679" t="e">
        <f t="shared" si="400"/>
        <v>#DIV/0!</v>
      </c>
      <c r="H808" s="679"/>
      <c r="I808" s="101">
        <f t="shared" si="404"/>
        <v>400</v>
      </c>
      <c r="J808" s="101">
        <f t="shared" si="405"/>
        <v>456.67799999999994</v>
      </c>
      <c r="K808" s="683">
        <f t="shared" si="406"/>
        <v>182671.19999999998</v>
      </c>
    </row>
    <row r="809" spans="1:11">
      <c r="A809" s="681">
        <v>790</v>
      </c>
      <c r="B809" s="902"/>
      <c r="C809" s="679"/>
      <c r="D809" s="682"/>
      <c r="E809" s="679"/>
      <c r="F809" s="679"/>
      <c r="G809" s="679" t="e">
        <f t="shared" si="400"/>
        <v>#DIV/0!</v>
      </c>
      <c r="H809" s="679"/>
      <c r="I809" s="101">
        <f t="shared" si="404"/>
        <v>400</v>
      </c>
      <c r="J809" s="101">
        <f t="shared" si="405"/>
        <v>456.67799999999994</v>
      </c>
      <c r="K809" s="683">
        <f t="shared" si="406"/>
        <v>182671.19999999998</v>
      </c>
    </row>
    <row r="810" spans="1:11">
      <c r="A810" s="681">
        <v>791</v>
      </c>
      <c r="B810" s="902"/>
      <c r="C810" s="679"/>
      <c r="D810" s="682"/>
      <c r="E810" s="679"/>
      <c r="F810" s="679"/>
      <c r="G810" s="679" t="e">
        <f t="shared" si="400"/>
        <v>#DIV/0!</v>
      </c>
      <c r="H810" s="679"/>
      <c r="I810" s="101">
        <f t="shared" si="404"/>
        <v>400</v>
      </c>
      <c r="J810" s="101">
        <f t="shared" si="405"/>
        <v>456.67799999999994</v>
      </c>
      <c r="K810" s="683">
        <f t="shared" si="406"/>
        <v>182671.19999999998</v>
      </c>
    </row>
    <row r="811" spans="1:11">
      <c r="A811" s="681">
        <v>792</v>
      </c>
      <c r="B811" s="902"/>
      <c r="C811" s="679"/>
      <c r="D811" s="682"/>
      <c r="E811" s="679"/>
      <c r="F811" s="679"/>
      <c r="G811" s="679" t="e">
        <f t="shared" si="400"/>
        <v>#DIV/0!</v>
      </c>
      <c r="H811" s="679"/>
      <c r="I811" s="101">
        <f t="shared" si="404"/>
        <v>400</v>
      </c>
      <c r="J811" s="101">
        <f t="shared" si="405"/>
        <v>456.67799999999994</v>
      </c>
      <c r="K811" s="683">
        <f t="shared" si="406"/>
        <v>182671.19999999998</v>
      </c>
    </row>
    <row r="812" spans="1:11">
      <c r="A812" s="681">
        <v>793</v>
      </c>
      <c r="B812" s="902"/>
      <c r="C812" s="679"/>
      <c r="D812" s="682"/>
      <c r="E812" s="679"/>
      <c r="F812" s="679"/>
      <c r="G812" s="679" t="e">
        <f t="shared" si="400"/>
        <v>#DIV/0!</v>
      </c>
      <c r="H812" s="679"/>
      <c r="I812" s="101">
        <f t="shared" si="404"/>
        <v>400</v>
      </c>
      <c r="J812" s="101">
        <f t="shared" si="405"/>
        <v>456.67799999999994</v>
      </c>
      <c r="K812" s="683">
        <f t="shared" si="406"/>
        <v>182671.19999999998</v>
      </c>
    </row>
    <row r="813" spans="1:11">
      <c r="A813" s="681">
        <v>794</v>
      </c>
      <c r="B813" s="903"/>
      <c r="C813" s="894"/>
      <c r="D813" s="895"/>
      <c r="E813" s="894"/>
      <c r="F813" s="894"/>
      <c r="G813" s="894"/>
      <c r="H813" s="894"/>
      <c r="I813" s="896"/>
      <c r="J813" s="896"/>
      <c r="K813" s="897"/>
    </row>
    <row r="814" spans="1:11">
      <c r="A814" s="681">
        <v>795</v>
      </c>
      <c r="B814" s="904" t="s">
        <v>1940</v>
      </c>
      <c r="C814" s="679">
        <v>18</v>
      </c>
      <c r="D814" s="682">
        <v>18.100000000000001</v>
      </c>
      <c r="E814" s="679" t="s">
        <v>517</v>
      </c>
      <c r="F814" s="679">
        <v>207</v>
      </c>
      <c r="G814" s="679">
        <f t="shared" ref="G814:G822" si="407">H814/F814</f>
        <v>460</v>
      </c>
      <c r="H814" s="679">
        <v>95220</v>
      </c>
      <c r="I814" s="101">
        <f t="shared" ref="I814:I815" si="408">+I813+F814</f>
        <v>207</v>
      </c>
      <c r="J814" s="101">
        <f t="shared" ref="J814:J815" si="409">+K814/I814</f>
        <v>460</v>
      </c>
      <c r="K814" s="683">
        <f t="shared" ref="K814:K815" si="410">(+H814+K813)</f>
        <v>95220</v>
      </c>
    </row>
    <row r="815" spans="1:11">
      <c r="A815" s="681">
        <v>796</v>
      </c>
      <c r="B815" s="902"/>
      <c r="C815" s="679"/>
      <c r="D815" s="682"/>
      <c r="E815" s="679"/>
      <c r="F815" s="679"/>
      <c r="G815" s="679" t="e">
        <f t="shared" si="407"/>
        <v>#DIV/0!</v>
      </c>
      <c r="H815" s="679"/>
      <c r="I815" s="101">
        <f t="shared" si="408"/>
        <v>207</v>
      </c>
      <c r="J815" s="101">
        <f t="shared" si="409"/>
        <v>460</v>
      </c>
      <c r="K815" s="683">
        <f t="shared" si="410"/>
        <v>95220</v>
      </c>
    </row>
    <row r="816" spans="1:11">
      <c r="A816" s="681">
        <v>797</v>
      </c>
      <c r="B816" s="902"/>
      <c r="C816" s="679"/>
      <c r="D816" s="682"/>
      <c r="E816" s="679"/>
      <c r="F816" s="679"/>
      <c r="G816" s="679" t="e">
        <f t="shared" si="407"/>
        <v>#DIV/0!</v>
      </c>
      <c r="H816" s="679"/>
      <c r="I816" s="101">
        <f t="shared" ref="I816:I822" si="411">+I815+F816</f>
        <v>207</v>
      </c>
      <c r="J816" s="101">
        <f t="shared" ref="J816:J822" si="412">+K816/I816</f>
        <v>460</v>
      </c>
      <c r="K816" s="683">
        <f t="shared" ref="K816:K822" si="413">(+H816+K815)</f>
        <v>95220</v>
      </c>
    </row>
    <row r="817" spans="1:11">
      <c r="A817" s="681">
        <v>798</v>
      </c>
      <c r="B817" s="902"/>
      <c r="C817" s="679"/>
      <c r="D817" s="682"/>
      <c r="E817" s="679"/>
      <c r="F817" s="679"/>
      <c r="G817" s="679" t="e">
        <f t="shared" si="407"/>
        <v>#DIV/0!</v>
      </c>
      <c r="H817" s="679"/>
      <c r="I817" s="101">
        <f t="shared" si="411"/>
        <v>207</v>
      </c>
      <c r="J817" s="101">
        <f t="shared" si="412"/>
        <v>460</v>
      </c>
      <c r="K817" s="683">
        <f t="shared" si="413"/>
        <v>95220</v>
      </c>
    </row>
    <row r="818" spans="1:11">
      <c r="A818" s="681">
        <v>799</v>
      </c>
      <c r="B818" s="902"/>
      <c r="C818" s="679"/>
      <c r="D818" s="682"/>
      <c r="E818" s="679"/>
      <c r="F818" s="679"/>
      <c r="G818" s="679" t="e">
        <f t="shared" si="407"/>
        <v>#DIV/0!</v>
      </c>
      <c r="H818" s="679"/>
      <c r="I818" s="101">
        <f t="shared" si="411"/>
        <v>207</v>
      </c>
      <c r="J818" s="101">
        <f t="shared" si="412"/>
        <v>460</v>
      </c>
      <c r="K818" s="683">
        <f t="shared" si="413"/>
        <v>95220</v>
      </c>
    </row>
    <row r="819" spans="1:11">
      <c r="A819" s="681">
        <v>800</v>
      </c>
      <c r="B819" s="902"/>
      <c r="C819" s="679"/>
      <c r="D819" s="682"/>
      <c r="E819" s="679"/>
      <c r="F819" s="679"/>
      <c r="G819" s="679" t="e">
        <f t="shared" si="407"/>
        <v>#DIV/0!</v>
      </c>
      <c r="H819" s="679"/>
      <c r="I819" s="101">
        <f t="shared" si="411"/>
        <v>207</v>
      </c>
      <c r="J819" s="101">
        <f t="shared" si="412"/>
        <v>460</v>
      </c>
      <c r="K819" s="683">
        <f t="shared" si="413"/>
        <v>95220</v>
      </c>
    </row>
    <row r="820" spans="1:11">
      <c r="A820" s="681">
        <v>801</v>
      </c>
      <c r="B820" s="902"/>
      <c r="C820" s="679"/>
      <c r="D820" s="682"/>
      <c r="E820" s="679"/>
      <c r="F820" s="679"/>
      <c r="G820" s="679" t="e">
        <f t="shared" si="407"/>
        <v>#DIV/0!</v>
      </c>
      <c r="H820" s="679"/>
      <c r="I820" s="101">
        <f t="shared" si="411"/>
        <v>207</v>
      </c>
      <c r="J820" s="101">
        <f t="shared" si="412"/>
        <v>460</v>
      </c>
      <c r="K820" s="683">
        <f t="shared" si="413"/>
        <v>95220</v>
      </c>
    </row>
    <row r="821" spans="1:11">
      <c r="A821" s="681">
        <v>802</v>
      </c>
      <c r="B821" s="902"/>
      <c r="C821" s="679"/>
      <c r="D821" s="682"/>
      <c r="E821" s="679"/>
      <c r="F821" s="679"/>
      <c r="G821" s="679" t="e">
        <f t="shared" si="407"/>
        <v>#DIV/0!</v>
      </c>
      <c r="H821" s="679"/>
      <c r="I821" s="101">
        <f t="shared" si="411"/>
        <v>207</v>
      </c>
      <c r="J821" s="101">
        <f t="shared" si="412"/>
        <v>460</v>
      </c>
      <c r="K821" s="683">
        <f t="shared" si="413"/>
        <v>95220</v>
      </c>
    </row>
    <row r="822" spans="1:11">
      <c r="A822" s="681">
        <v>803</v>
      </c>
      <c r="B822" s="902"/>
      <c r="C822" s="679"/>
      <c r="D822" s="682"/>
      <c r="E822" s="679"/>
      <c r="F822" s="679"/>
      <c r="G822" s="679" t="e">
        <f t="shared" si="407"/>
        <v>#DIV/0!</v>
      </c>
      <c r="H822" s="679"/>
      <c r="I822" s="101">
        <f t="shared" si="411"/>
        <v>207</v>
      </c>
      <c r="J822" s="101">
        <f t="shared" si="412"/>
        <v>460</v>
      </c>
      <c r="K822" s="683">
        <f t="shared" si="413"/>
        <v>95220</v>
      </c>
    </row>
    <row r="823" spans="1:11">
      <c r="A823" s="681">
        <v>804</v>
      </c>
      <c r="B823" s="903"/>
      <c r="C823" s="894"/>
      <c r="D823" s="895"/>
      <c r="E823" s="894"/>
      <c r="F823" s="894"/>
      <c r="G823" s="894"/>
      <c r="H823" s="894"/>
      <c r="I823" s="896"/>
      <c r="J823" s="896"/>
      <c r="K823" s="897"/>
    </row>
    <row r="824" spans="1:11">
      <c r="A824" s="681">
        <v>805</v>
      </c>
      <c r="B824" s="904" t="s">
        <v>1784</v>
      </c>
      <c r="C824" s="679">
        <v>144</v>
      </c>
      <c r="D824" s="682">
        <v>26.11</v>
      </c>
      <c r="E824" s="679" t="s">
        <v>960</v>
      </c>
      <c r="F824" s="679">
        <v>334</v>
      </c>
      <c r="G824" s="679">
        <f t="shared" ref="G824:G832" si="414">H824/F824</f>
        <v>1250</v>
      </c>
      <c r="H824" s="679">
        <v>417500</v>
      </c>
      <c r="I824" s="101">
        <f t="shared" ref="I824:I832" si="415">+I823+F824</f>
        <v>334</v>
      </c>
      <c r="J824" s="101">
        <f t="shared" ref="J824:J832" si="416">+K824/I824</f>
        <v>1250</v>
      </c>
      <c r="K824" s="683">
        <f t="shared" ref="K824:K832" si="417">(+H824+K823)</f>
        <v>417500</v>
      </c>
    </row>
    <row r="825" spans="1:11">
      <c r="A825" s="681">
        <v>806</v>
      </c>
      <c r="B825" s="902"/>
      <c r="C825" s="679"/>
      <c r="D825" s="682"/>
      <c r="E825" s="679"/>
      <c r="F825" s="679"/>
      <c r="G825" s="679" t="e">
        <f t="shared" si="414"/>
        <v>#DIV/0!</v>
      </c>
      <c r="H825" s="679"/>
      <c r="I825" s="101">
        <f t="shared" si="415"/>
        <v>334</v>
      </c>
      <c r="J825" s="101">
        <f t="shared" si="416"/>
        <v>1250</v>
      </c>
      <c r="K825" s="683">
        <f t="shared" si="417"/>
        <v>417500</v>
      </c>
    </row>
    <row r="826" spans="1:11">
      <c r="A826" s="681">
        <v>807</v>
      </c>
      <c r="B826" s="902"/>
      <c r="C826" s="679"/>
      <c r="D826" s="682"/>
      <c r="E826" s="679"/>
      <c r="F826" s="679"/>
      <c r="G826" s="679" t="e">
        <f t="shared" si="414"/>
        <v>#DIV/0!</v>
      </c>
      <c r="H826" s="679"/>
      <c r="I826" s="101">
        <f t="shared" si="415"/>
        <v>334</v>
      </c>
      <c r="J826" s="101">
        <f t="shared" si="416"/>
        <v>1250</v>
      </c>
      <c r="K826" s="683">
        <f t="shared" si="417"/>
        <v>417500</v>
      </c>
    </row>
    <row r="827" spans="1:11">
      <c r="A827" s="681">
        <v>808</v>
      </c>
      <c r="B827" s="902"/>
      <c r="C827" s="679"/>
      <c r="D827" s="682"/>
      <c r="E827" s="679"/>
      <c r="F827" s="679"/>
      <c r="G827" s="679" t="e">
        <f t="shared" si="414"/>
        <v>#DIV/0!</v>
      </c>
      <c r="H827" s="679"/>
      <c r="I827" s="101">
        <f t="shared" si="415"/>
        <v>334</v>
      </c>
      <c r="J827" s="101">
        <f t="shared" si="416"/>
        <v>1250</v>
      </c>
      <c r="K827" s="683">
        <f t="shared" si="417"/>
        <v>417500</v>
      </c>
    </row>
    <row r="828" spans="1:11">
      <c r="A828" s="681">
        <v>809</v>
      </c>
      <c r="B828" s="902"/>
      <c r="C828" s="679"/>
      <c r="D828" s="682"/>
      <c r="E828" s="679"/>
      <c r="F828" s="679"/>
      <c r="G828" s="679" t="e">
        <f t="shared" si="414"/>
        <v>#DIV/0!</v>
      </c>
      <c r="H828" s="679"/>
      <c r="I828" s="101">
        <f t="shared" si="415"/>
        <v>334</v>
      </c>
      <c r="J828" s="101">
        <f t="shared" si="416"/>
        <v>1250</v>
      </c>
      <c r="K828" s="683">
        <f t="shared" si="417"/>
        <v>417500</v>
      </c>
    </row>
    <row r="829" spans="1:11">
      <c r="A829" s="681">
        <v>810</v>
      </c>
      <c r="B829" s="902"/>
      <c r="C829" s="679"/>
      <c r="D829" s="682"/>
      <c r="E829" s="679"/>
      <c r="F829" s="679"/>
      <c r="G829" s="679" t="e">
        <f t="shared" si="414"/>
        <v>#DIV/0!</v>
      </c>
      <c r="H829" s="679"/>
      <c r="I829" s="101">
        <f t="shared" si="415"/>
        <v>334</v>
      </c>
      <c r="J829" s="101">
        <f t="shared" si="416"/>
        <v>1250</v>
      </c>
      <c r="K829" s="683">
        <f t="shared" si="417"/>
        <v>417500</v>
      </c>
    </row>
    <row r="830" spans="1:11">
      <c r="A830" s="681">
        <v>811</v>
      </c>
      <c r="B830" s="902"/>
      <c r="C830" s="679"/>
      <c r="D830" s="682"/>
      <c r="E830" s="679"/>
      <c r="F830" s="679"/>
      <c r="G830" s="679" t="e">
        <f t="shared" si="414"/>
        <v>#DIV/0!</v>
      </c>
      <c r="H830" s="679"/>
      <c r="I830" s="101">
        <f t="shared" si="415"/>
        <v>334</v>
      </c>
      <c r="J830" s="101">
        <f t="shared" si="416"/>
        <v>1250</v>
      </c>
      <c r="K830" s="683">
        <f t="shared" si="417"/>
        <v>417500</v>
      </c>
    </row>
    <row r="831" spans="1:11">
      <c r="A831" s="681">
        <v>812</v>
      </c>
      <c r="B831" s="902"/>
      <c r="C831" s="679"/>
      <c r="D831" s="682"/>
      <c r="E831" s="679"/>
      <c r="F831" s="679"/>
      <c r="G831" s="679" t="e">
        <f t="shared" si="414"/>
        <v>#DIV/0!</v>
      </c>
      <c r="H831" s="679"/>
      <c r="I831" s="101">
        <f t="shared" si="415"/>
        <v>334</v>
      </c>
      <c r="J831" s="101">
        <f t="shared" si="416"/>
        <v>1250</v>
      </c>
      <c r="K831" s="683">
        <f t="shared" si="417"/>
        <v>417500</v>
      </c>
    </row>
    <row r="832" spans="1:11">
      <c r="A832" s="681">
        <v>813</v>
      </c>
      <c r="B832" s="902"/>
      <c r="C832" s="679"/>
      <c r="D832" s="682"/>
      <c r="E832" s="679"/>
      <c r="F832" s="679"/>
      <c r="G832" s="679" t="e">
        <f t="shared" si="414"/>
        <v>#DIV/0!</v>
      </c>
      <c r="H832" s="679"/>
      <c r="I832" s="101">
        <f t="shared" si="415"/>
        <v>334</v>
      </c>
      <c r="J832" s="101">
        <f t="shared" si="416"/>
        <v>1250</v>
      </c>
      <c r="K832" s="683">
        <f t="shared" si="417"/>
        <v>417500</v>
      </c>
    </row>
    <row r="833" spans="1:11">
      <c r="A833" s="681">
        <v>814</v>
      </c>
      <c r="B833" s="903"/>
      <c r="C833" s="894"/>
      <c r="D833" s="895"/>
      <c r="E833" s="894"/>
      <c r="F833" s="894"/>
      <c r="G833" s="894"/>
      <c r="H833" s="894"/>
      <c r="I833" s="896"/>
      <c r="J833" s="896"/>
      <c r="K833" s="897"/>
    </row>
    <row r="834" spans="1:11">
      <c r="A834" s="681">
        <v>815</v>
      </c>
      <c r="B834" s="904" t="s">
        <v>1786</v>
      </c>
      <c r="C834" s="679"/>
      <c r="D834" s="682">
        <v>1.1200000000000001</v>
      </c>
      <c r="E834" s="679"/>
      <c r="F834" s="679">
        <v>1</v>
      </c>
      <c r="G834" s="679">
        <f t="shared" ref="G834:G842" si="418">H834/F834</f>
        <v>13989.0977</v>
      </c>
      <c r="H834" s="679">
        <v>13989.0977</v>
      </c>
      <c r="I834" s="101">
        <f t="shared" ref="I834:I842" si="419">+I833+F834</f>
        <v>1</v>
      </c>
      <c r="J834" s="101">
        <f t="shared" ref="J834:J842" si="420">+K834/I834</f>
        <v>13989.0977</v>
      </c>
      <c r="K834" s="683">
        <f t="shared" ref="K834:K842" si="421">(+H834+K833)</f>
        <v>13989.0977</v>
      </c>
    </row>
    <row r="835" spans="1:11">
      <c r="A835" s="681">
        <v>816</v>
      </c>
      <c r="B835" s="902"/>
      <c r="C835" s="679"/>
      <c r="D835" s="682"/>
      <c r="E835" s="679"/>
      <c r="F835" s="679"/>
      <c r="G835" s="679" t="e">
        <f t="shared" si="418"/>
        <v>#DIV/0!</v>
      </c>
      <c r="H835" s="679"/>
      <c r="I835" s="101">
        <f t="shared" si="419"/>
        <v>1</v>
      </c>
      <c r="J835" s="101">
        <f t="shared" si="420"/>
        <v>13989.0977</v>
      </c>
      <c r="K835" s="683">
        <f t="shared" si="421"/>
        <v>13989.0977</v>
      </c>
    </row>
    <row r="836" spans="1:11">
      <c r="A836" s="681">
        <v>817</v>
      </c>
      <c r="B836" s="902"/>
      <c r="C836" s="679"/>
      <c r="D836" s="682"/>
      <c r="E836" s="679"/>
      <c r="F836" s="679"/>
      <c r="G836" s="679" t="e">
        <f t="shared" si="418"/>
        <v>#DIV/0!</v>
      </c>
      <c r="H836" s="679"/>
      <c r="I836" s="101">
        <f t="shared" si="419"/>
        <v>1</v>
      </c>
      <c r="J836" s="101">
        <f t="shared" si="420"/>
        <v>13989.0977</v>
      </c>
      <c r="K836" s="683">
        <f t="shared" si="421"/>
        <v>13989.0977</v>
      </c>
    </row>
    <row r="837" spans="1:11">
      <c r="A837" s="681">
        <v>818</v>
      </c>
      <c r="B837" s="902"/>
      <c r="C837" s="679"/>
      <c r="D837" s="682"/>
      <c r="E837" s="679"/>
      <c r="F837" s="679"/>
      <c r="G837" s="679" t="e">
        <f t="shared" si="418"/>
        <v>#DIV/0!</v>
      </c>
      <c r="H837" s="679"/>
      <c r="I837" s="101">
        <f t="shared" si="419"/>
        <v>1</v>
      </c>
      <c r="J837" s="101">
        <f t="shared" si="420"/>
        <v>13989.0977</v>
      </c>
      <c r="K837" s="683">
        <f t="shared" si="421"/>
        <v>13989.0977</v>
      </c>
    </row>
    <row r="838" spans="1:11">
      <c r="A838" s="681">
        <v>819</v>
      </c>
      <c r="B838" s="902"/>
      <c r="C838" s="679"/>
      <c r="D838" s="682"/>
      <c r="E838" s="679"/>
      <c r="F838" s="679"/>
      <c r="G838" s="679" t="e">
        <f t="shared" si="418"/>
        <v>#DIV/0!</v>
      </c>
      <c r="H838" s="679"/>
      <c r="I838" s="101">
        <f t="shared" si="419"/>
        <v>1</v>
      </c>
      <c r="J838" s="101">
        <f t="shared" si="420"/>
        <v>13989.0977</v>
      </c>
      <c r="K838" s="683">
        <f t="shared" si="421"/>
        <v>13989.0977</v>
      </c>
    </row>
    <row r="839" spans="1:11">
      <c r="A839" s="681">
        <v>820</v>
      </c>
      <c r="B839" s="902"/>
      <c r="C839" s="679"/>
      <c r="D839" s="682"/>
      <c r="E839" s="679"/>
      <c r="F839" s="679"/>
      <c r="G839" s="679" t="e">
        <f t="shared" si="418"/>
        <v>#DIV/0!</v>
      </c>
      <c r="H839" s="679"/>
      <c r="I839" s="101">
        <f t="shared" si="419"/>
        <v>1</v>
      </c>
      <c r="J839" s="101">
        <f t="shared" si="420"/>
        <v>13989.0977</v>
      </c>
      <c r="K839" s="683">
        <f t="shared" si="421"/>
        <v>13989.0977</v>
      </c>
    </row>
    <row r="840" spans="1:11">
      <c r="A840" s="681">
        <v>821</v>
      </c>
      <c r="B840" s="902"/>
      <c r="C840" s="679"/>
      <c r="D840" s="682"/>
      <c r="E840" s="679"/>
      <c r="F840" s="679"/>
      <c r="G840" s="679" t="e">
        <f t="shared" si="418"/>
        <v>#DIV/0!</v>
      </c>
      <c r="H840" s="679"/>
      <c r="I840" s="101">
        <f t="shared" si="419"/>
        <v>1</v>
      </c>
      <c r="J840" s="101">
        <f t="shared" si="420"/>
        <v>13989.0977</v>
      </c>
      <c r="K840" s="683">
        <f t="shared" si="421"/>
        <v>13989.0977</v>
      </c>
    </row>
    <row r="841" spans="1:11">
      <c r="A841" s="681">
        <v>822</v>
      </c>
      <c r="B841" s="902"/>
      <c r="C841" s="679"/>
      <c r="D841" s="682"/>
      <c r="E841" s="679"/>
      <c r="F841" s="679"/>
      <c r="G841" s="679" t="e">
        <f t="shared" si="418"/>
        <v>#DIV/0!</v>
      </c>
      <c r="H841" s="679"/>
      <c r="I841" s="101">
        <f t="shared" si="419"/>
        <v>1</v>
      </c>
      <c r="J841" s="101">
        <f t="shared" si="420"/>
        <v>13989.0977</v>
      </c>
      <c r="K841" s="683">
        <f t="shared" si="421"/>
        <v>13989.0977</v>
      </c>
    </row>
    <row r="842" spans="1:11">
      <c r="A842" s="681">
        <v>823</v>
      </c>
      <c r="B842" s="902"/>
      <c r="C842" s="679"/>
      <c r="D842" s="682"/>
      <c r="E842" s="679"/>
      <c r="F842" s="679"/>
      <c r="G842" s="679" t="e">
        <f t="shared" si="418"/>
        <v>#DIV/0!</v>
      </c>
      <c r="H842" s="679"/>
      <c r="I842" s="101">
        <f t="shared" si="419"/>
        <v>1</v>
      </c>
      <c r="J842" s="101">
        <f t="shared" si="420"/>
        <v>13989.0977</v>
      </c>
      <c r="K842" s="683">
        <f t="shared" si="421"/>
        <v>13989.0977</v>
      </c>
    </row>
    <row r="843" spans="1:11">
      <c r="A843" s="681">
        <v>824</v>
      </c>
      <c r="B843" s="903"/>
      <c r="C843" s="894"/>
      <c r="D843" s="895"/>
      <c r="E843" s="894"/>
      <c r="F843" s="894"/>
      <c r="G843" s="894"/>
      <c r="H843" s="894"/>
      <c r="I843" s="896"/>
      <c r="J843" s="896"/>
      <c r="K843" s="897"/>
    </row>
    <row r="844" spans="1:11">
      <c r="A844" s="681">
        <v>825</v>
      </c>
      <c r="B844" s="904"/>
      <c r="C844" s="679"/>
      <c r="D844" s="682"/>
      <c r="E844" s="679"/>
      <c r="F844" s="679"/>
      <c r="G844" s="679" t="e">
        <f t="shared" ref="G844:G852" si="422">H844/F844</f>
        <v>#DIV/0!</v>
      </c>
      <c r="H844" s="679"/>
      <c r="I844" s="101">
        <f t="shared" ref="I844:I852" si="423">+I843+F844</f>
        <v>0</v>
      </c>
      <c r="J844" s="101" t="e">
        <f t="shared" ref="J844:J852" si="424">+K844/I844</f>
        <v>#DIV/0!</v>
      </c>
      <c r="K844" s="683">
        <f t="shared" ref="K844:K852" si="425">(+H844+K843)</f>
        <v>0</v>
      </c>
    </row>
    <row r="845" spans="1:11">
      <c r="A845" s="681">
        <v>826</v>
      </c>
      <c r="B845" s="902"/>
      <c r="C845" s="679"/>
      <c r="D845" s="682"/>
      <c r="E845" s="679"/>
      <c r="F845" s="679"/>
      <c r="G845" s="679" t="e">
        <f t="shared" si="422"/>
        <v>#DIV/0!</v>
      </c>
      <c r="H845" s="679"/>
      <c r="I845" s="101">
        <f t="shared" si="423"/>
        <v>0</v>
      </c>
      <c r="J845" s="101" t="e">
        <f t="shared" si="424"/>
        <v>#DIV/0!</v>
      </c>
      <c r="K845" s="683">
        <f t="shared" si="425"/>
        <v>0</v>
      </c>
    </row>
    <row r="846" spans="1:11">
      <c r="A846" s="681">
        <v>827</v>
      </c>
      <c r="B846" s="902"/>
      <c r="C846" s="679"/>
      <c r="D846" s="682"/>
      <c r="E846" s="679"/>
      <c r="F846" s="679"/>
      <c r="G846" s="679" t="e">
        <f t="shared" si="422"/>
        <v>#DIV/0!</v>
      </c>
      <c r="H846" s="679"/>
      <c r="I846" s="101">
        <f t="shared" si="423"/>
        <v>0</v>
      </c>
      <c r="J846" s="101" t="e">
        <f t="shared" si="424"/>
        <v>#DIV/0!</v>
      </c>
      <c r="K846" s="683">
        <f t="shared" si="425"/>
        <v>0</v>
      </c>
    </row>
    <row r="847" spans="1:11">
      <c r="A847" s="681">
        <v>828</v>
      </c>
      <c r="B847" s="902"/>
      <c r="C847" s="679"/>
      <c r="D847" s="682"/>
      <c r="E847" s="679"/>
      <c r="F847" s="679"/>
      <c r="G847" s="679" t="e">
        <f t="shared" si="422"/>
        <v>#DIV/0!</v>
      </c>
      <c r="H847" s="679"/>
      <c r="I847" s="101">
        <f t="shared" si="423"/>
        <v>0</v>
      </c>
      <c r="J847" s="101" t="e">
        <f t="shared" si="424"/>
        <v>#DIV/0!</v>
      </c>
      <c r="K847" s="683">
        <f t="shared" si="425"/>
        <v>0</v>
      </c>
    </row>
    <row r="848" spans="1:11">
      <c r="A848" s="681">
        <v>829</v>
      </c>
      <c r="B848" s="902"/>
      <c r="C848" s="679"/>
      <c r="D848" s="682"/>
      <c r="E848" s="679"/>
      <c r="F848" s="679"/>
      <c r="G848" s="679" t="e">
        <f t="shared" si="422"/>
        <v>#DIV/0!</v>
      </c>
      <c r="H848" s="679"/>
      <c r="I848" s="101">
        <f t="shared" si="423"/>
        <v>0</v>
      </c>
      <c r="J848" s="101" t="e">
        <f t="shared" si="424"/>
        <v>#DIV/0!</v>
      </c>
      <c r="K848" s="683">
        <f t="shared" si="425"/>
        <v>0</v>
      </c>
    </row>
    <row r="849" spans="1:11">
      <c r="A849" s="681">
        <v>830</v>
      </c>
      <c r="B849" s="902"/>
      <c r="C849" s="679"/>
      <c r="D849" s="682"/>
      <c r="E849" s="679"/>
      <c r="F849" s="679"/>
      <c r="G849" s="679" t="e">
        <f t="shared" si="422"/>
        <v>#DIV/0!</v>
      </c>
      <c r="H849" s="679"/>
      <c r="I849" s="101">
        <f t="shared" si="423"/>
        <v>0</v>
      </c>
      <c r="J849" s="101" t="e">
        <f t="shared" si="424"/>
        <v>#DIV/0!</v>
      </c>
      <c r="K849" s="683">
        <f t="shared" si="425"/>
        <v>0</v>
      </c>
    </row>
    <row r="850" spans="1:11">
      <c r="A850" s="681">
        <v>831</v>
      </c>
      <c r="B850" s="902"/>
      <c r="C850" s="679"/>
      <c r="D850" s="682"/>
      <c r="E850" s="679"/>
      <c r="F850" s="679"/>
      <c r="G850" s="679" t="e">
        <f t="shared" si="422"/>
        <v>#DIV/0!</v>
      </c>
      <c r="H850" s="679"/>
      <c r="I850" s="101">
        <f t="shared" si="423"/>
        <v>0</v>
      </c>
      <c r="J850" s="101" t="e">
        <f t="shared" si="424"/>
        <v>#DIV/0!</v>
      </c>
      <c r="K850" s="683">
        <f t="shared" si="425"/>
        <v>0</v>
      </c>
    </row>
    <row r="851" spans="1:11">
      <c r="A851" s="681">
        <v>832</v>
      </c>
      <c r="B851" s="902"/>
      <c r="C851" s="679"/>
      <c r="D851" s="682"/>
      <c r="E851" s="679"/>
      <c r="F851" s="679"/>
      <c r="G851" s="679" t="e">
        <f t="shared" si="422"/>
        <v>#DIV/0!</v>
      </c>
      <c r="H851" s="679"/>
      <c r="I851" s="101">
        <f t="shared" si="423"/>
        <v>0</v>
      </c>
      <c r="J851" s="101" t="e">
        <f t="shared" si="424"/>
        <v>#DIV/0!</v>
      </c>
      <c r="K851" s="683">
        <f t="shared" si="425"/>
        <v>0</v>
      </c>
    </row>
    <row r="852" spans="1:11">
      <c r="A852" s="681">
        <v>833</v>
      </c>
      <c r="B852" s="902"/>
      <c r="C852" s="679"/>
      <c r="D852" s="682"/>
      <c r="E852" s="679"/>
      <c r="F852" s="679"/>
      <c r="G852" s="679" t="e">
        <f t="shared" si="422"/>
        <v>#DIV/0!</v>
      </c>
      <c r="H852" s="679"/>
      <c r="I852" s="101">
        <f t="shared" si="423"/>
        <v>0</v>
      </c>
      <c r="J852" s="101" t="e">
        <f t="shared" si="424"/>
        <v>#DIV/0!</v>
      </c>
      <c r="K852" s="683">
        <f t="shared" si="425"/>
        <v>0</v>
      </c>
    </row>
    <row r="853" spans="1:11">
      <c r="A853" s="681">
        <v>834</v>
      </c>
      <c r="B853" s="903"/>
      <c r="C853" s="894"/>
      <c r="D853" s="895"/>
      <c r="E853" s="894"/>
      <c r="F853" s="894"/>
      <c r="G853" s="894"/>
      <c r="H853" s="894"/>
      <c r="I853" s="896"/>
      <c r="J853" s="896"/>
      <c r="K853" s="897"/>
    </row>
    <row r="854" spans="1:11">
      <c r="A854" s="681">
        <v>835</v>
      </c>
      <c r="B854" s="904"/>
      <c r="C854" s="679"/>
      <c r="D854" s="682"/>
      <c r="E854" s="679"/>
      <c r="F854" s="679"/>
      <c r="G854" s="679" t="e">
        <f t="shared" ref="G854:G862" si="426">H854/F854</f>
        <v>#DIV/0!</v>
      </c>
      <c r="H854" s="679"/>
      <c r="I854" s="101">
        <f t="shared" ref="I854:I862" si="427">+I853+F854</f>
        <v>0</v>
      </c>
      <c r="J854" s="101" t="e">
        <f t="shared" ref="J854:J862" si="428">+K854/I854</f>
        <v>#DIV/0!</v>
      </c>
      <c r="K854" s="683">
        <f t="shared" ref="K854:K862" si="429">(+H854+K853)</f>
        <v>0</v>
      </c>
    </row>
    <row r="855" spans="1:11">
      <c r="A855" s="681">
        <v>836</v>
      </c>
      <c r="B855" s="902"/>
      <c r="C855" s="679"/>
      <c r="D855" s="682"/>
      <c r="E855" s="679"/>
      <c r="F855" s="679"/>
      <c r="G855" s="679" t="e">
        <f t="shared" si="426"/>
        <v>#DIV/0!</v>
      </c>
      <c r="H855" s="679"/>
      <c r="I855" s="101">
        <f t="shared" si="427"/>
        <v>0</v>
      </c>
      <c r="J855" s="101" t="e">
        <f t="shared" si="428"/>
        <v>#DIV/0!</v>
      </c>
      <c r="K855" s="683">
        <f t="shared" si="429"/>
        <v>0</v>
      </c>
    </row>
    <row r="856" spans="1:11">
      <c r="A856" s="681">
        <v>837</v>
      </c>
      <c r="B856" s="902"/>
      <c r="C856" s="679"/>
      <c r="D856" s="682"/>
      <c r="E856" s="679"/>
      <c r="F856" s="679"/>
      <c r="G856" s="679" t="e">
        <f t="shared" si="426"/>
        <v>#DIV/0!</v>
      </c>
      <c r="H856" s="679"/>
      <c r="I856" s="101">
        <f t="shared" si="427"/>
        <v>0</v>
      </c>
      <c r="J856" s="101" t="e">
        <f t="shared" si="428"/>
        <v>#DIV/0!</v>
      </c>
      <c r="K856" s="683">
        <f t="shared" si="429"/>
        <v>0</v>
      </c>
    </row>
    <row r="857" spans="1:11">
      <c r="A857" s="681">
        <v>838</v>
      </c>
      <c r="B857" s="902"/>
      <c r="C857" s="679"/>
      <c r="D857" s="682"/>
      <c r="E857" s="679"/>
      <c r="F857" s="679"/>
      <c r="G857" s="679" t="e">
        <f t="shared" si="426"/>
        <v>#DIV/0!</v>
      </c>
      <c r="H857" s="679"/>
      <c r="I857" s="101">
        <f t="shared" si="427"/>
        <v>0</v>
      </c>
      <c r="J857" s="101" t="e">
        <f t="shared" si="428"/>
        <v>#DIV/0!</v>
      </c>
      <c r="K857" s="683">
        <f t="shared" si="429"/>
        <v>0</v>
      </c>
    </row>
    <row r="858" spans="1:11">
      <c r="A858" s="681">
        <v>839</v>
      </c>
      <c r="B858" s="902"/>
      <c r="C858" s="679"/>
      <c r="D858" s="682"/>
      <c r="E858" s="679"/>
      <c r="F858" s="679"/>
      <c r="G858" s="679" t="e">
        <f t="shared" si="426"/>
        <v>#DIV/0!</v>
      </c>
      <c r="H858" s="679"/>
      <c r="I858" s="101">
        <f t="shared" si="427"/>
        <v>0</v>
      </c>
      <c r="J858" s="101" t="e">
        <f t="shared" si="428"/>
        <v>#DIV/0!</v>
      </c>
      <c r="K858" s="683">
        <f t="shared" si="429"/>
        <v>0</v>
      </c>
    </row>
    <row r="859" spans="1:11">
      <c r="A859" s="681">
        <v>840</v>
      </c>
      <c r="B859" s="902"/>
      <c r="C859" s="679"/>
      <c r="D859" s="682"/>
      <c r="E859" s="679"/>
      <c r="F859" s="679"/>
      <c r="G859" s="679" t="e">
        <f t="shared" si="426"/>
        <v>#DIV/0!</v>
      </c>
      <c r="H859" s="679"/>
      <c r="I859" s="101">
        <f t="shared" si="427"/>
        <v>0</v>
      </c>
      <c r="J859" s="101" t="e">
        <f t="shared" si="428"/>
        <v>#DIV/0!</v>
      </c>
      <c r="K859" s="683">
        <f t="shared" si="429"/>
        <v>0</v>
      </c>
    </row>
    <row r="860" spans="1:11">
      <c r="A860" s="681">
        <v>841</v>
      </c>
      <c r="B860" s="902"/>
      <c r="C860" s="679"/>
      <c r="D860" s="682"/>
      <c r="E860" s="679"/>
      <c r="F860" s="679"/>
      <c r="G860" s="679" t="e">
        <f t="shared" si="426"/>
        <v>#DIV/0!</v>
      </c>
      <c r="H860" s="679"/>
      <c r="I860" s="101">
        <f t="shared" si="427"/>
        <v>0</v>
      </c>
      <c r="J860" s="101" t="e">
        <f t="shared" si="428"/>
        <v>#DIV/0!</v>
      </c>
      <c r="K860" s="683">
        <f t="shared" si="429"/>
        <v>0</v>
      </c>
    </row>
    <row r="861" spans="1:11">
      <c r="A861" s="681">
        <v>842</v>
      </c>
      <c r="B861" s="902"/>
      <c r="C861" s="679"/>
      <c r="D861" s="682"/>
      <c r="E861" s="679"/>
      <c r="F861" s="679"/>
      <c r="G861" s="679" t="e">
        <f t="shared" si="426"/>
        <v>#DIV/0!</v>
      </c>
      <c r="H861" s="679"/>
      <c r="I861" s="101">
        <f t="shared" si="427"/>
        <v>0</v>
      </c>
      <c r="J861" s="101" t="e">
        <f t="shared" si="428"/>
        <v>#DIV/0!</v>
      </c>
      <c r="K861" s="683">
        <f t="shared" si="429"/>
        <v>0</v>
      </c>
    </row>
    <row r="862" spans="1:11">
      <c r="A862" s="681">
        <v>843</v>
      </c>
      <c r="B862" s="902"/>
      <c r="C862" s="679"/>
      <c r="D862" s="682"/>
      <c r="E862" s="679"/>
      <c r="F862" s="679"/>
      <c r="G862" s="679" t="e">
        <f t="shared" si="426"/>
        <v>#DIV/0!</v>
      </c>
      <c r="H862" s="679"/>
      <c r="I862" s="101">
        <f t="shared" si="427"/>
        <v>0</v>
      </c>
      <c r="J862" s="101" t="e">
        <f t="shared" si="428"/>
        <v>#DIV/0!</v>
      </c>
      <c r="K862" s="683">
        <f t="shared" si="429"/>
        <v>0</v>
      </c>
    </row>
    <row r="863" spans="1:11">
      <c r="A863" s="681">
        <v>844</v>
      </c>
      <c r="B863" s="903"/>
      <c r="C863" s="894"/>
      <c r="D863" s="895"/>
      <c r="E863" s="894"/>
      <c r="F863" s="894"/>
      <c r="G863" s="894"/>
      <c r="H863" s="894"/>
      <c r="I863" s="896"/>
      <c r="J863" s="896"/>
      <c r="K863" s="897"/>
    </row>
    <row r="864" spans="1:11">
      <c r="A864" s="681">
        <v>845</v>
      </c>
      <c r="B864" s="904"/>
      <c r="C864" s="679"/>
      <c r="D864" s="682"/>
      <c r="E864" s="679"/>
      <c r="F864" s="679"/>
      <c r="G864" s="679" t="e">
        <f t="shared" ref="G864:G872" si="430">H864/F864</f>
        <v>#DIV/0!</v>
      </c>
      <c r="H864" s="679"/>
      <c r="I864" s="101">
        <f t="shared" ref="I864:I872" si="431">+I863+F864</f>
        <v>0</v>
      </c>
      <c r="J864" s="101" t="e">
        <f t="shared" ref="J864:J872" si="432">+K864/I864</f>
        <v>#DIV/0!</v>
      </c>
      <c r="K864" s="683">
        <f t="shared" ref="K864:K872" si="433">(+H864+K863)</f>
        <v>0</v>
      </c>
    </row>
    <row r="865" spans="1:11">
      <c r="A865" s="681">
        <v>846</v>
      </c>
      <c r="B865" s="902"/>
      <c r="C865" s="679"/>
      <c r="D865" s="682"/>
      <c r="E865" s="679"/>
      <c r="F865" s="679"/>
      <c r="G865" s="679" t="e">
        <f t="shared" si="430"/>
        <v>#DIV/0!</v>
      </c>
      <c r="H865" s="679"/>
      <c r="I865" s="101">
        <f t="shared" si="431"/>
        <v>0</v>
      </c>
      <c r="J865" s="101" t="e">
        <f t="shared" si="432"/>
        <v>#DIV/0!</v>
      </c>
      <c r="K865" s="683">
        <f t="shared" si="433"/>
        <v>0</v>
      </c>
    </row>
    <row r="866" spans="1:11">
      <c r="A866" s="681">
        <v>847</v>
      </c>
      <c r="B866" s="902"/>
      <c r="C866" s="679"/>
      <c r="D866" s="682"/>
      <c r="E866" s="679"/>
      <c r="F866" s="679"/>
      <c r="G866" s="679" t="e">
        <f t="shared" si="430"/>
        <v>#DIV/0!</v>
      </c>
      <c r="H866" s="679"/>
      <c r="I866" s="101">
        <f t="shared" si="431"/>
        <v>0</v>
      </c>
      <c r="J866" s="101" t="e">
        <f t="shared" si="432"/>
        <v>#DIV/0!</v>
      </c>
      <c r="K866" s="683">
        <f t="shared" si="433"/>
        <v>0</v>
      </c>
    </row>
    <row r="867" spans="1:11">
      <c r="A867" s="681">
        <v>848</v>
      </c>
      <c r="B867" s="902"/>
      <c r="C867" s="679"/>
      <c r="D867" s="682"/>
      <c r="E867" s="679"/>
      <c r="F867" s="679"/>
      <c r="G867" s="679" t="e">
        <f t="shared" si="430"/>
        <v>#DIV/0!</v>
      </c>
      <c r="H867" s="679"/>
      <c r="I867" s="101">
        <f t="shared" si="431"/>
        <v>0</v>
      </c>
      <c r="J867" s="101" t="e">
        <f t="shared" si="432"/>
        <v>#DIV/0!</v>
      </c>
      <c r="K867" s="683">
        <f t="shared" si="433"/>
        <v>0</v>
      </c>
    </row>
    <row r="868" spans="1:11">
      <c r="A868" s="681">
        <v>849</v>
      </c>
      <c r="B868" s="902"/>
      <c r="C868" s="679"/>
      <c r="D868" s="682"/>
      <c r="E868" s="679"/>
      <c r="F868" s="679"/>
      <c r="G868" s="679" t="e">
        <f t="shared" si="430"/>
        <v>#DIV/0!</v>
      </c>
      <c r="H868" s="679"/>
      <c r="I868" s="101">
        <f t="shared" si="431"/>
        <v>0</v>
      </c>
      <c r="J868" s="101" t="e">
        <f t="shared" si="432"/>
        <v>#DIV/0!</v>
      </c>
      <c r="K868" s="683">
        <f t="shared" si="433"/>
        <v>0</v>
      </c>
    </row>
    <row r="869" spans="1:11">
      <c r="A869" s="681">
        <v>850</v>
      </c>
      <c r="B869" s="902"/>
      <c r="C869" s="679"/>
      <c r="D869" s="682"/>
      <c r="E869" s="679"/>
      <c r="F869" s="679"/>
      <c r="G869" s="679" t="e">
        <f t="shared" si="430"/>
        <v>#DIV/0!</v>
      </c>
      <c r="H869" s="679"/>
      <c r="I869" s="101">
        <f t="shared" si="431"/>
        <v>0</v>
      </c>
      <c r="J869" s="101" t="e">
        <f t="shared" si="432"/>
        <v>#DIV/0!</v>
      </c>
      <c r="K869" s="683">
        <f t="shared" si="433"/>
        <v>0</v>
      </c>
    </row>
    <row r="870" spans="1:11">
      <c r="A870" s="681">
        <v>851</v>
      </c>
      <c r="B870" s="902"/>
      <c r="C870" s="679"/>
      <c r="D870" s="682"/>
      <c r="E870" s="679"/>
      <c r="F870" s="679"/>
      <c r="G870" s="679" t="e">
        <f t="shared" si="430"/>
        <v>#DIV/0!</v>
      </c>
      <c r="H870" s="679"/>
      <c r="I870" s="101">
        <f t="shared" si="431"/>
        <v>0</v>
      </c>
      <c r="J870" s="101" t="e">
        <f t="shared" si="432"/>
        <v>#DIV/0!</v>
      </c>
      <c r="K870" s="683">
        <f t="shared" si="433"/>
        <v>0</v>
      </c>
    </row>
    <row r="871" spans="1:11">
      <c r="A871" s="681">
        <v>852</v>
      </c>
      <c r="B871" s="902"/>
      <c r="C871" s="679"/>
      <c r="D871" s="682"/>
      <c r="E871" s="679"/>
      <c r="F871" s="679"/>
      <c r="G871" s="679" t="e">
        <f t="shared" si="430"/>
        <v>#DIV/0!</v>
      </c>
      <c r="H871" s="679"/>
      <c r="I871" s="101">
        <f t="shared" si="431"/>
        <v>0</v>
      </c>
      <c r="J871" s="101" t="e">
        <f t="shared" si="432"/>
        <v>#DIV/0!</v>
      </c>
      <c r="K871" s="683">
        <f t="shared" si="433"/>
        <v>0</v>
      </c>
    </row>
    <row r="872" spans="1:11">
      <c r="A872" s="681">
        <v>853</v>
      </c>
      <c r="B872" s="902"/>
      <c r="C872" s="679"/>
      <c r="D872" s="682"/>
      <c r="E872" s="679"/>
      <c r="F872" s="679"/>
      <c r="G872" s="679" t="e">
        <f t="shared" si="430"/>
        <v>#DIV/0!</v>
      </c>
      <c r="H872" s="679"/>
      <c r="I872" s="101">
        <f t="shared" si="431"/>
        <v>0</v>
      </c>
      <c r="J872" s="101" t="e">
        <f t="shared" si="432"/>
        <v>#DIV/0!</v>
      </c>
      <c r="K872" s="683">
        <f t="shared" si="433"/>
        <v>0</v>
      </c>
    </row>
    <row r="873" spans="1:11">
      <c r="A873" s="681">
        <v>854</v>
      </c>
      <c r="B873" s="903"/>
      <c r="C873" s="894"/>
      <c r="D873" s="895"/>
      <c r="E873" s="894"/>
      <c r="F873" s="894"/>
      <c r="G873" s="894"/>
      <c r="H873" s="894"/>
      <c r="I873" s="896"/>
      <c r="J873" s="896"/>
      <c r="K873" s="897"/>
    </row>
    <row r="874" spans="1:11">
      <c r="A874" s="681">
        <v>855</v>
      </c>
      <c r="B874" s="904"/>
      <c r="C874" s="679"/>
      <c r="D874" s="682"/>
      <c r="E874" s="679"/>
      <c r="F874" s="679"/>
      <c r="G874" s="679" t="e">
        <f t="shared" ref="G874:G882" si="434">H874/F874</f>
        <v>#DIV/0!</v>
      </c>
      <c r="H874" s="679"/>
      <c r="I874" s="101">
        <f t="shared" ref="I874:I882" si="435">+I873+F874</f>
        <v>0</v>
      </c>
      <c r="J874" s="101" t="e">
        <f t="shared" ref="J874:J882" si="436">+K874/I874</f>
        <v>#DIV/0!</v>
      </c>
      <c r="K874" s="683">
        <f t="shared" ref="K874:K882" si="437">(+H874+K873)</f>
        <v>0</v>
      </c>
    </row>
    <row r="875" spans="1:11">
      <c r="A875" s="681">
        <v>856</v>
      </c>
      <c r="B875" s="902"/>
      <c r="C875" s="679"/>
      <c r="D875" s="682"/>
      <c r="E875" s="679"/>
      <c r="F875" s="679"/>
      <c r="G875" s="679" t="e">
        <f t="shared" si="434"/>
        <v>#DIV/0!</v>
      </c>
      <c r="H875" s="679"/>
      <c r="I875" s="101">
        <f t="shared" si="435"/>
        <v>0</v>
      </c>
      <c r="J875" s="101" t="e">
        <f t="shared" si="436"/>
        <v>#DIV/0!</v>
      </c>
      <c r="K875" s="683">
        <f t="shared" si="437"/>
        <v>0</v>
      </c>
    </row>
    <row r="876" spans="1:11">
      <c r="A876" s="681">
        <v>857</v>
      </c>
      <c r="B876" s="902"/>
      <c r="C876" s="679"/>
      <c r="D876" s="682"/>
      <c r="E876" s="679"/>
      <c r="F876" s="679"/>
      <c r="G876" s="679" t="e">
        <f t="shared" si="434"/>
        <v>#DIV/0!</v>
      </c>
      <c r="H876" s="679"/>
      <c r="I876" s="101">
        <f t="shared" si="435"/>
        <v>0</v>
      </c>
      <c r="J876" s="101" t="e">
        <f t="shared" si="436"/>
        <v>#DIV/0!</v>
      </c>
      <c r="K876" s="683">
        <f t="shared" si="437"/>
        <v>0</v>
      </c>
    </row>
    <row r="877" spans="1:11">
      <c r="A877" s="681">
        <v>858</v>
      </c>
      <c r="B877" s="902"/>
      <c r="C877" s="679"/>
      <c r="D877" s="682"/>
      <c r="E877" s="679"/>
      <c r="F877" s="679"/>
      <c r="G877" s="679" t="e">
        <f t="shared" si="434"/>
        <v>#DIV/0!</v>
      </c>
      <c r="H877" s="679"/>
      <c r="I877" s="101">
        <f t="shared" si="435"/>
        <v>0</v>
      </c>
      <c r="J877" s="101" t="e">
        <f t="shared" si="436"/>
        <v>#DIV/0!</v>
      </c>
      <c r="K877" s="683">
        <f t="shared" si="437"/>
        <v>0</v>
      </c>
    </row>
    <row r="878" spans="1:11">
      <c r="A878" s="681">
        <v>859</v>
      </c>
      <c r="B878" s="902"/>
      <c r="C878" s="679"/>
      <c r="D878" s="682"/>
      <c r="E878" s="679"/>
      <c r="F878" s="679"/>
      <c r="G878" s="679" t="e">
        <f t="shared" si="434"/>
        <v>#DIV/0!</v>
      </c>
      <c r="H878" s="679"/>
      <c r="I878" s="101">
        <f t="shared" si="435"/>
        <v>0</v>
      </c>
      <c r="J878" s="101" t="e">
        <f t="shared" si="436"/>
        <v>#DIV/0!</v>
      </c>
      <c r="K878" s="683">
        <f t="shared" si="437"/>
        <v>0</v>
      </c>
    </row>
    <row r="879" spans="1:11">
      <c r="A879" s="681">
        <v>860</v>
      </c>
      <c r="B879" s="902"/>
      <c r="C879" s="679"/>
      <c r="D879" s="682"/>
      <c r="E879" s="679"/>
      <c r="F879" s="679"/>
      <c r="G879" s="679" t="e">
        <f t="shared" si="434"/>
        <v>#DIV/0!</v>
      </c>
      <c r="H879" s="679"/>
      <c r="I879" s="101">
        <f t="shared" si="435"/>
        <v>0</v>
      </c>
      <c r="J879" s="101" t="e">
        <f t="shared" si="436"/>
        <v>#DIV/0!</v>
      </c>
      <c r="K879" s="683">
        <f t="shared" si="437"/>
        <v>0</v>
      </c>
    </row>
    <row r="880" spans="1:11">
      <c r="A880" s="681">
        <v>861</v>
      </c>
      <c r="B880" s="902"/>
      <c r="C880" s="679"/>
      <c r="D880" s="682"/>
      <c r="E880" s="679"/>
      <c r="F880" s="679"/>
      <c r="G880" s="679" t="e">
        <f t="shared" si="434"/>
        <v>#DIV/0!</v>
      </c>
      <c r="H880" s="679"/>
      <c r="I880" s="101">
        <f t="shared" si="435"/>
        <v>0</v>
      </c>
      <c r="J880" s="101" t="e">
        <f t="shared" si="436"/>
        <v>#DIV/0!</v>
      </c>
      <c r="K880" s="683">
        <f t="shared" si="437"/>
        <v>0</v>
      </c>
    </row>
    <row r="881" spans="1:11">
      <c r="A881" s="681">
        <v>862</v>
      </c>
      <c r="B881" s="902"/>
      <c r="C881" s="679"/>
      <c r="D881" s="682"/>
      <c r="E881" s="679"/>
      <c r="F881" s="679"/>
      <c r="G881" s="679" t="e">
        <f t="shared" si="434"/>
        <v>#DIV/0!</v>
      </c>
      <c r="H881" s="679"/>
      <c r="I881" s="101">
        <f t="shared" si="435"/>
        <v>0</v>
      </c>
      <c r="J881" s="101" t="e">
        <f t="shared" si="436"/>
        <v>#DIV/0!</v>
      </c>
      <c r="K881" s="683">
        <f t="shared" si="437"/>
        <v>0</v>
      </c>
    </row>
    <row r="882" spans="1:11">
      <c r="A882" s="681">
        <v>863</v>
      </c>
      <c r="B882" s="902"/>
      <c r="C882" s="679"/>
      <c r="D882" s="682"/>
      <c r="E882" s="679"/>
      <c r="F882" s="679"/>
      <c r="G882" s="679" t="e">
        <f t="shared" si="434"/>
        <v>#DIV/0!</v>
      </c>
      <c r="H882" s="679"/>
      <c r="I882" s="101">
        <f t="shared" si="435"/>
        <v>0</v>
      </c>
      <c r="J882" s="101" t="e">
        <f t="shared" si="436"/>
        <v>#DIV/0!</v>
      </c>
      <c r="K882" s="683">
        <f t="shared" si="437"/>
        <v>0</v>
      </c>
    </row>
    <row r="883" spans="1:11">
      <c r="A883" s="681">
        <v>864</v>
      </c>
      <c r="B883" s="903"/>
      <c r="C883" s="894"/>
      <c r="D883" s="895"/>
      <c r="E883" s="894"/>
      <c r="F883" s="894"/>
      <c r="G883" s="894"/>
      <c r="H883" s="894"/>
      <c r="I883" s="896"/>
      <c r="J883" s="896"/>
      <c r="K883" s="897"/>
    </row>
    <row r="884" spans="1:11">
      <c r="A884" s="681">
        <v>865</v>
      </c>
      <c r="B884" s="904"/>
      <c r="C884" s="679"/>
      <c r="D884" s="682"/>
      <c r="E884" s="679"/>
      <c r="F884" s="679"/>
      <c r="G884" s="679" t="e">
        <f t="shared" ref="G884:G892" si="438">H884/F884</f>
        <v>#DIV/0!</v>
      </c>
      <c r="H884" s="679"/>
      <c r="I884" s="101">
        <f t="shared" ref="I884:I892" si="439">+I883+F884</f>
        <v>0</v>
      </c>
      <c r="J884" s="101" t="e">
        <f t="shared" ref="J884:J892" si="440">+K884/I884</f>
        <v>#DIV/0!</v>
      </c>
      <c r="K884" s="683">
        <f t="shared" ref="K884:K892" si="441">(+H884+K883)</f>
        <v>0</v>
      </c>
    </row>
    <row r="885" spans="1:11">
      <c r="A885" s="681">
        <v>866</v>
      </c>
      <c r="B885" s="902"/>
      <c r="C885" s="679"/>
      <c r="D885" s="682"/>
      <c r="E885" s="679"/>
      <c r="F885" s="679"/>
      <c r="G885" s="679" t="e">
        <f t="shared" si="438"/>
        <v>#DIV/0!</v>
      </c>
      <c r="H885" s="679"/>
      <c r="I885" s="101">
        <f t="shared" si="439"/>
        <v>0</v>
      </c>
      <c r="J885" s="101" t="e">
        <f t="shared" si="440"/>
        <v>#DIV/0!</v>
      </c>
      <c r="K885" s="683">
        <f t="shared" si="441"/>
        <v>0</v>
      </c>
    </row>
    <row r="886" spans="1:11">
      <c r="A886" s="681">
        <v>867</v>
      </c>
      <c r="B886" s="902"/>
      <c r="C886" s="679"/>
      <c r="D886" s="682"/>
      <c r="E886" s="679"/>
      <c r="F886" s="679"/>
      <c r="G886" s="679" t="e">
        <f t="shared" si="438"/>
        <v>#DIV/0!</v>
      </c>
      <c r="H886" s="679"/>
      <c r="I886" s="101">
        <f t="shared" si="439"/>
        <v>0</v>
      </c>
      <c r="J886" s="101" t="e">
        <f t="shared" si="440"/>
        <v>#DIV/0!</v>
      </c>
      <c r="K886" s="683">
        <f t="shared" si="441"/>
        <v>0</v>
      </c>
    </row>
    <row r="887" spans="1:11">
      <c r="A887" s="681">
        <v>868</v>
      </c>
      <c r="B887" s="902"/>
      <c r="C887" s="679"/>
      <c r="D887" s="682"/>
      <c r="E887" s="679"/>
      <c r="F887" s="679"/>
      <c r="G887" s="679" t="e">
        <f t="shared" si="438"/>
        <v>#DIV/0!</v>
      </c>
      <c r="H887" s="679"/>
      <c r="I887" s="101">
        <f t="shared" si="439"/>
        <v>0</v>
      </c>
      <c r="J887" s="101" t="e">
        <f t="shared" si="440"/>
        <v>#DIV/0!</v>
      </c>
      <c r="K887" s="683">
        <f t="shared" si="441"/>
        <v>0</v>
      </c>
    </row>
    <row r="888" spans="1:11">
      <c r="A888" s="681">
        <v>869</v>
      </c>
      <c r="B888" s="902"/>
      <c r="C888" s="679"/>
      <c r="D888" s="682"/>
      <c r="E888" s="679"/>
      <c r="F888" s="679"/>
      <c r="G888" s="679" t="e">
        <f t="shared" si="438"/>
        <v>#DIV/0!</v>
      </c>
      <c r="H888" s="679"/>
      <c r="I888" s="101">
        <f t="shared" si="439"/>
        <v>0</v>
      </c>
      <c r="J888" s="101" t="e">
        <f t="shared" si="440"/>
        <v>#DIV/0!</v>
      </c>
      <c r="K888" s="683">
        <f t="shared" si="441"/>
        <v>0</v>
      </c>
    </row>
    <row r="889" spans="1:11">
      <c r="A889" s="681">
        <v>870</v>
      </c>
      <c r="B889" s="902"/>
      <c r="C889" s="679"/>
      <c r="D889" s="682"/>
      <c r="E889" s="679"/>
      <c r="F889" s="679"/>
      <c r="G889" s="679" t="e">
        <f t="shared" si="438"/>
        <v>#DIV/0!</v>
      </c>
      <c r="H889" s="679"/>
      <c r="I889" s="101">
        <f t="shared" si="439"/>
        <v>0</v>
      </c>
      <c r="J889" s="101" t="e">
        <f t="shared" si="440"/>
        <v>#DIV/0!</v>
      </c>
      <c r="K889" s="683">
        <f t="shared" si="441"/>
        <v>0</v>
      </c>
    </row>
    <row r="890" spans="1:11">
      <c r="A890" s="681">
        <v>871</v>
      </c>
      <c r="B890" s="902"/>
      <c r="C890" s="679"/>
      <c r="D890" s="682"/>
      <c r="E890" s="679"/>
      <c r="F890" s="679"/>
      <c r="G890" s="679" t="e">
        <f t="shared" si="438"/>
        <v>#DIV/0!</v>
      </c>
      <c r="H890" s="679"/>
      <c r="I890" s="101">
        <f t="shared" si="439"/>
        <v>0</v>
      </c>
      <c r="J890" s="101" t="e">
        <f t="shared" si="440"/>
        <v>#DIV/0!</v>
      </c>
      <c r="K890" s="683">
        <f t="shared" si="441"/>
        <v>0</v>
      </c>
    </row>
    <row r="891" spans="1:11">
      <c r="A891" s="681">
        <v>872</v>
      </c>
      <c r="B891" s="902"/>
      <c r="C891" s="679"/>
      <c r="D891" s="682"/>
      <c r="E891" s="679"/>
      <c r="F891" s="679"/>
      <c r="G891" s="679" t="e">
        <f t="shared" si="438"/>
        <v>#DIV/0!</v>
      </c>
      <c r="H891" s="679"/>
      <c r="I891" s="101">
        <f t="shared" si="439"/>
        <v>0</v>
      </c>
      <c r="J891" s="101" t="e">
        <f t="shared" si="440"/>
        <v>#DIV/0!</v>
      </c>
      <c r="K891" s="683">
        <f t="shared" si="441"/>
        <v>0</v>
      </c>
    </row>
    <row r="892" spans="1:11">
      <c r="A892" s="681">
        <v>873</v>
      </c>
      <c r="B892" s="902"/>
      <c r="C892" s="679"/>
      <c r="D892" s="682"/>
      <c r="E892" s="679"/>
      <c r="F892" s="679"/>
      <c r="G892" s="679" t="e">
        <f t="shared" si="438"/>
        <v>#DIV/0!</v>
      </c>
      <c r="H892" s="679"/>
      <c r="I892" s="101">
        <f t="shared" si="439"/>
        <v>0</v>
      </c>
      <c r="J892" s="101" t="e">
        <f t="shared" si="440"/>
        <v>#DIV/0!</v>
      </c>
      <c r="K892" s="683">
        <f t="shared" si="441"/>
        <v>0</v>
      </c>
    </row>
    <row r="893" spans="1:11">
      <c r="A893" s="681">
        <v>874</v>
      </c>
      <c r="B893" s="903"/>
      <c r="C893" s="894"/>
      <c r="D893" s="895"/>
      <c r="E893" s="894"/>
      <c r="F893" s="894"/>
      <c r="G893" s="894"/>
      <c r="H893" s="894"/>
      <c r="I893" s="896"/>
      <c r="J893" s="896"/>
      <c r="K893" s="897"/>
    </row>
    <row r="894" spans="1:11">
      <c r="A894" s="681">
        <v>875</v>
      </c>
      <c r="B894" s="904"/>
      <c r="C894" s="679"/>
      <c r="D894" s="682"/>
      <c r="E894" s="679"/>
      <c r="F894" s="679"/>
      <c r="G894" s="679" t="e">
        <f t="shared" ref="G894:G902" si="442">H894/F894</f>
        <v>#DIV/0!</v>
      </c>
      <c r="H894" s="679"/>
      <c r="I894" s="101">
        <f t="shared" ref="I894:I902" si="443">+I893+F894</f>
        <v>0</v>
      </c>
      <c r="J894" s="101" t="e">
        <f t="shared" ref="J894:J902" si="444">+K894/I894</f>
        <v>#DIV/0!</v>
      </c>
      <c r="K894" s="683">
        <f t="shared" ref="K894:K902" si="445">(+H894+K893)</f>
        <v>0</v>
      </c>
    </row>
    <row r="895" spans="1:11">
      <c r="A895" s="681">
        <v>876</v>
      </c>
      <c r="B895" s="902"/>
      <c r="C895" s="679"/>
      <c r="D895" s="682"/>
      <c r="E895" s="679"/>
      <c r="F895" s="679"/>
      <c r="G895" s="679" t="e">
        <f t="shared" si="442"/>
        <v>#DIV/0!</v>
      </c>
      <c r="H895" s="679"/>
      <c r="I895" s="101">
        <f t="shared" si="443"/>
        <v>0</v>
      </c>
      <c r="J895" s="101" t="e">
        <f t="shared" si="444"/>
        <v>#DIV/0!</v>
      </c>
      <c r="K895" s="683">
        <f t="shared" si="445"/>
        <v>0</v>
      </c>
    </row>
    <row r="896" spans="1:11">
      <c r="A896" s="681">
        <v>877</v>
      </c>
      <c r="B896" s="902"/>
      <c r="C896" s="679"/>
      <c r="D896" s="682"/>
      <c r="E896" s="679"/>
      <c r="F896" s="679"/>
      <c r="G896" s="679" t="e">
        <f t="shared" si="442"/>
        <v>#DIV/0!</v>
      </c>
      <c r="H896" s="679"/>
      <c r="I896" s="101">
        <f t="shared" si="443"/>
        <v>0</v>
      </c>
      <c r="J896" s="101" t="e">
        <f t="shared" si="444"/>
        <v>#DIV/0!</v>
      </c>
      <c r="K896" s="683">
        <f t="shared" si="445"/>
        <v>0</v>
      </c>
    </row>
    <row r="897" spans="1:11">
      <c r="A897" s="681">
        <v>878</v>
      </c>
      <c r="B897" s="902"/>
      <c r="C897" s="679"/>
      <c r="D897" s="682"/>
      <c r="E897" s="679"/>
      <c r="F897" s="679"/>
      <c r="G897" s="679" t="e">
        <f t="shared" si="442"/>
        <v>#DIV/0!</v>
      </c>
      <c r="H897" s="679"/>
      <c r="I897" s="101">
        <f t="shared" si="443"/>
        <v>0</v>
      </c>
      <c r="J897" s="101" t="e">
        <f t="shared" si="444"/>
        <v>#DIV/0!</v>
      </c>
      <c r="K897" s="683">
        <f t="shared" si="445"/>
        <v>0</v>
      </c>
    </row>
    <row r="898" spans="1:11">
      <c r="A898" s="681">
        <v>879</v>
      </c>
      <c r="B898" s="902"/>
      <c r="C898" s="679"/>
      <c r="D898" s="682"/>
      <c r="E898" s="679"/>
      <c r="F898" s="679"/>
      <c r="G898" s="679" t="e">
        <f t="shared" si="442"/>
        <v>#DIV/0!</v>
      </c>
      <c r="H898" s="679"/>
      <c r="I898" s="101">
        <f t="shared" si="443"/>
        <v>0</v>
      </c>
      <c r="J898" s="101" t="e">
        <f t="shared" si="444"/>
        <v>#DIV/0!</v>
      </c>
      <c r="K898" s="683">
        <f t="shared" si="445"/>
        <v>0</v>
      </c>
    </row>
    <row r="899" spans="1:11">
      <c r="A899" s="681">
        <v>880</v>
      </c>
      <c r="B899" s="902"/>
      <c r="C899" s="679"/>
      <c r="D899" s="682"/>
      <c r="E899" s="679"/>
      <c r="F899" s="679"/>
      <c r="G899" s="679" t="e">
        <f t="shared" si="442"/>
        <v>#DIV/0!</v>
      </c>
      <c r="H899" s="679"/>
      <c r="I899" s="101">
        <f t="shared" si="443"/>
        <v>0</v>
      </c>
      <c r="J899" s="101" t="e">
        <f t="shared" si="444"/>
        <v>#DIV/0!</v>
      </c>
      <c r="K899" s="683">
        <f t="shared" si="445"/>
        <v>0</v>
      </c>
    </row>
    <row r="900" spans="1:11">
      <c r="A900" s="681">
        <v>881</v>
      </c>
      <c r="B900" s="902"/>
      <c r="C900" s="679"/>
      <c r="D900" s="682"/>
      <c r="E900" s="679"/>
      <c r="F900" s="679"/>
      <c r="G900" s="679" t="e">
        <f t="shared" si="442"/>
        <v>#DIV/0!</v>
      </c>
      <c r="H900" s="679"/>
      <c r="I900" s="101">
        <f t="shared" si="443"/>
        <v>0</v>
      </c>
      <c r="J900" s="101" t="e">
        <f t="shared" si="444"/>
        <v>#DIV/0!</v>
      </c>
      <c r="K900" s="683">
        <f t="shared" si="445"/>
        <v>0</v>
      </c>
    </row>
    <row r="901" spans="1:11">
      <c r="A901" s="681">
        <v>882</v>
      </c>
      <c r="B901" s="902"/>
      <c r="C901" s="679"/>
      <c r="D901" s="682"/>
      <c r="E901" s="679"/>
      <c r="F901" s="679"/>
      <c r="G901" s="679" t="e">
        <f t="shared" si="442"/>
        <v>#DIV/0!</v>
      </c>
      <c r="H901" s="679"/>
      <c r="I901" s="101">
        <f t="shared" si="443"/>
        <v>0</v>
      </c>
      <c r="J901" s="101" t="e">
        <f t="shared" si="444"/>
        <v>#DIV/0!</v>
      </c>
      <c r="K901" s="683">
        <f t="shared" si="445"/>
        <v>0</v>
      </c>
    </row>
    <row r="902" spans="1:11">
      <c r="A902" s="681">
        <v>883</v>
      </c>
      <c r="B902" s="902"/>
      <c r="C902" s="679"/>
      <c r="D902" s="682"/>
      <c r="E902" s="679"/>
      <c r="F902" s="679"/>
      <c r="G902" s="679" t="e">
        <f t="shared" si="442"/>
        <v>#DIV/0!</v>
      </c>
      <c r="H902" s="679"/>
      <c r="I902" s="101">
        <f t="shared" si="443"/>
        <v>0</v>
      </c>
      <c r="J902" s="101" t="e">
        <f t="shared" si="444"/>
        <v>#DIV/0!</v>
      </c>
      <c r="K902" s="683">
        <f t="shared" si="445"/>
        <v>0</v>
      </c>
    </row>
    <row r="903" spans="1:11">
      <c r="A903" s="681">
        <v>884</v>
      </c>
      <c r="B903" s="903"/>
      <c r="C903" s="894"/>
      <c r="D903" s="895"/>
      <c r="E903" s="894"/>
      <c r="F903" s="894"/>
      <c r="G903" s="894"/>
      <c r="H903" s="894"/>
      <c r="I903" s="896"/>
      <c r="J903" s="896"/>
      <c r="K903" s="897"/>
    </row>
    <row r="904" spans="1:11">
      <c r="A904" s="681">
        <v>885</v>
      </c>
      <c r="B904" s="904"/>
      <c r="C904" s="679"/>
      <c r="D904" s="682"/>
      <c r="E904" s="679"/>
      <c r="F904" s="679"/>
      <c r="G904" s="679" t="e">
        <f t="shared" ref="G904:G912" si="446">H904/F904</f>
        <v>#DIV/0!</v>
      </c>
      <c r="H904" s="679"/>
      <c r="I904" s="101">
        <f t="shared" ref="I904:I912" si="447">+I903+F904</f>
        <v>0</v>
      </c>
      <c r="J904" s="101" t="e">
        <f t="shared" ref="J904:J912" si="448">+K904/I904</f>
        <v>#DIV/0!</v>
      </c>
      <c r="K904" s="683">
        <f t="shared" ref="K904:K912" si="449">(+H904+K903)</f>
        <v>0</v>
      </c>
    </row>
    <row r="905" spans="1:11">
      <c r="A905" s="681">
        <v>886</v>
      </c>
      <c r="B905" s="902"/>
      <c r="C905" s="679"/>
      <c r="D905" s="682"/>
      <c r="E905" s="679"/>
      <c r="F905" s="679"/>
      <c r="G905" s="679" t="e">
        <f t="shared" si="446"/>
        <v>#DIV/0!</v>
      </c>
      <c r="H905" s="679"/>
      <c r="I905" s="101">
        <f t="shared" si="447"/>
        <v>0</v>
      </c>
      <c r="J905" s="101" t="e">
        <f t="shared" si="448"/>
        <v>#DIV/0!</v>
      </c>
      <c r="K905" s="683">
        <f t="shared" si="449"/>
        <v>0</v>
      </c>
    </row>
    <row r="906" spans="1:11">
      <c r="A906" s="681">
        <v>887</v>
      </c>
      <c r="B906" s="902"/>
      <c r="C906" s="679"/>
      <c r="D906" s="682"/>
      <c r="E906" s="679"/>
      <c r="F906" s="679"/>
      <c r="G906" s="679" t="e">
        <f t="shared" si="446"/>
        <v>#DIV/0!</v>
      </c>
      <c r="H906" s="679"/>
      <c r="I906" s="101">
        <f t="shared" si="447"/>
        <v>0</v>
      </c>
      <c r="J906" s="101" t="e">
        <f t="shared" si="448"/>
        <v>#DIV/0!</v>
      </c>
      <c r="K906" s="683">
        <f t="shared" si="449"/>
        <v>0</v>
      </c>
    </row>
    <row r="907" spans="1:11">
      <c r="A907" s="681">
        <v>888</v>
      </c>
      <c r="B907" s="902"/>
      <c r="C907" s="679"/>
      <c r="D907" s="682"/>
      <c r="E907" s="679"/>
      <c r="F907" s="679"/>
      <c r="G907" s="679" t="e">
        <f t="shared" si="446"/>
        <v>#DIV/0!</v>
      </c>
      <c r="H907" s="679"/>
      <c r="I907" s="101">
        <f t="shared" si="447"/>
        <v>0</v>
      </c>
      <c r="J907" s="101" t="e">
        <f t="shared" si="448"/>
        <v>#DIV/0!</v>
      </c>
      <c r="K907" s="683">
        <f t="shared" si="449"/>
        <v>0</v>
      </c>
    </row>
    <row r="908" spans="1:11">
      <c r="A908" s="681">
        <v>889</v>
      </c>
      <c r="B908" s="902"/>
      <c r="C908" s="679"/>
      <c r="D908" s="682"/>
      <c r="E908" s="679"/>
      <c r="F908" s="679"/>
      <c r="G908" s="679" t="e">
        <f t="shared" si="446"/>
        <v>#DIV/0!</v>
      </c>
      <c r="H908" s="679"/>
      <c r="I908" s="101">
        <f t="shared" si="447"/>
        <v>0</v>
      </c>
      <c r="J908" s="101" t="e">
        <f t="shared" si="448"/>
        <v>#DIV/0!</v>
      </c>
      <c r="K908" s="683">
        <f t="shared" si="449"/>
        <v>0</v>
      </c>
    </row>
    <row r="909" spans="1:11">
      <c r="A909" s="681">
        <v>890</v>
      </c>
      <c r="B909" s="902"/>
      <c r="C909" s="679"/>
      <c r="D909" s="682"/>
      <c r="E909" s="679"/>
      <c r="F909" s="679"/>
      <c r="G909" s="679" t="e">
        <f t="shared" si="446"/>
        <v>#DIV/0!</v>
      </c>
      <c r="H909" s="679"/>
      <c r="I909" s="101">
        <f t="shared" si="447"/>
        <v>0</v>
      </c>
      <c r="J909" s="101" t="e">
        <f t="shared" si="448"/>
        <v>#DIV/0!</v>
      </c>
      <c r="K909" s="683">
        <f t="shared" si="449"/>
        <v>0</v>
      </c>
    </row>
    <row r="910" spans="1:11">
      <c r="A910" s="681">
        <v>891</v>
      </c>
      <c r="B910" s="902"/>
      <c r="C910" s="679"/>
      <c r="D910" s="682"/>
      <c r="E910" s="679"/>
      <c r="F910" s="679"/>
      <c r="G910" s="679" t="e">
        <f t="shared" si="446"/>
        <v>#DIV/0!</v>
      </c>
      <c r="H910" s="679"/>
      <c r="I910" s="101">
        <f t="shared" si="447"/>
        <v>0</v>
      </c>
      <c r="J910" s="101" t="e">
        <f t="shared" si="448"/>
        <v>#DIV/0!</v>
      </c>
      <c r="K910" s="683">
        <f t="shared" si="449"/>
        <v>0</v>
      </c>
    </row>
    <row r="911" spans="1:11">
      <c r="A911" s="681">
        <v>892</v>
      </c>
      <c r="B911" s="902"/>
      <c r="C911" s="679"/>
      <c r="D911" s="682"/>
      <c r="E911" s="679"/>
      <c r="F911" s="679"/>
      <c r="G911" s="679" t="e">
        <f t="shared" si="446"/>
        <v>#DIV/0!</v>
      </c>
      <c r="H911" s="679"/>
      <c r="I911" s="101">
        <f t="shared" si="447"/>
        <v>0</v>
      </c>
      <c r="J911" s="101" t="e">
        <f t="shared" si="448"/>
        <v>#DIV/0!</v>
      </c>
      <c r="K911" s="683">
        <f t="shared" si="449"/>
        <v>0</v>
      </c>
    </row>
    <row r="912" spans="1:11">
      <c r="A912" s="681">
        <v>893</v>
      </c>
      <c r="B912" s="902"/>
      <c r="C912" s="679"/>
      <c r="D912" s="682"/>
      <c r="E912" s="679"/>
      <c r="F912" s="679"/>
      <c r="G912" s="679" t="e">
        <f t="shared" si="446"/>
        <v>#DIV/0!</v>
      </c>
      <c r="H912" s="679"/>
      <c r="I912" s="101">
        <f t="shared" si="447"/>
        <v>0</v>
      </c>
      <c r="J912" s="101" t="e">
        <f t="shared" si="448"/>
        <v>#DIV/0!</v>
      </c>
      <c r="K912" s="683">
        <f t="shared" si="449"/>
        <v>0</v>
      </c>
    </row>
    <row r="913" spans="1:11">
      <c r="A913" s="681">
        <v>894</v>
      </c>
      <c r="B913" s="903"/>
      <c r="C913" s="894"/>
      <c r="D913" s="895"/>
      <c r="E913" s="894"/>
      <c r="F913" s="894"/>
      <c r="G913" s="894"/>
      <c r="H913" s="894"/>
      <c r="I913" s="896"/>
      <c r="J913" s="896"/>
      <c r="K913" s="897"/>
    </row>
    <row r="914" spans="1:11">
      <c r="A914" s="681">
        <v>895</v>
      </c>
      <c r="B914" s="904"/>
      <c r="C914" s="679"/>
      <c r="D914" s="682"/>
      <c r="E914" s="679"/>
      <c r="F914" s="679"/>
      <c r="G914" s="679" t="e">
        <f t="shared" ref="G914:G922" si="450">H914/F914</f>
        <v>#DIV/0!</v>
      </c>
      <c r="H914" s="679"/>
      <c r="I914" s="101">
        <f t="shared" ref="I914:I922" si="451">+I913+F914</f>
        <v>0</v>
      </c>
      <c r="J914" s="101" t="e">
        <f t="shared" ref="J914:J922" si="452">+K914/I914</f>
        <v>#DIV/0!</v>
      </c>
      <c r="K914" s="683">
        <f t="shared" ref="K914:K922" si="453">(+H914+K913)</f>
        <v>0</v>
      </c>
    </row>
    <row r="915" spans="1:11">
      <c r="A915" s="681">
        <v>896</v>
      </c>
      <c r="B915" s="902"/>
      <c r="C915" s="679"/>
      <c r="D915" s="682"/>
      <c r="E915" s="679"/>
      <c r="F915" s="679"/>
      <c r="G915" s="679" t="e">
        <f t="shared" si="450"/>
        <v>#DIV/0!</v>
      </c>
      <c r="H915" s="679"/>
      <c r="I915" s="101">
        <f t="shared" si="451"/>
        <v>0</v>
      </c>
      <c r="J915" s="101" t="e">
        <f t="shared" si="452"/>
        <v>#DIV/0!</v>
      </c>
      <c r="K915" s="683">
        <f t="shared" si="453"/>
        <v>0</v>
      </c>
    </row>
    <row r="916" spans="1:11">
      <c r="A916" s="681">
        <v>897</v>
      </c>
      <c r="B916" s="902"/>
      <c r="C916" s="679"/>
      <c r="D916" s="682"/>
      <c r="E916" s="679"/>
      <c r="F916" s="679"/>
      <c r="G916" s="679" t="e">
        <f t="shared" si="450"/>
        <v>#DIV/0!</v>
      </c>
      <c r="H916" s="679"/>
      <c r="I916" s="101">
        <f t="shared" si="451"/>
        <v>0</v>
      </c>
      <c r="J916" s="101" t="e">
        <f t="shared" si="452"/>
        <v>#DIV/0!</v>
      </c>
      <c r="K916" s="683">
        <f t="shared" si="453"/>
        <v>0</v>
      </c>
    </row>
    <row r="917" spans="1:11">
      <c r="A917" s="681">
        <v>898</v>
      </c>
      <c r="B917" s="902"/>
      <c r="C917" s="679"/>
      <c r="D917" s="682"/>
      <c r="E917" s="679"/>
      <c r="F917" s="679"/>
      <c r="G917" s="679" t="e">
        <f t="shared" si="450"/>
        <v>#DIV/0!</v>
      </c>
      <c r="H917" s="679"/>
      <c r="I917" s="101">
        <f t="shared" si="451"/>
        <v>0</v>
      </c>
      <c r="J917" s="101" t="e">
        <f t="shared" si="452"/>
        <v>#DIV/0!</v>
      </c>
      <c r="K917" s="683">
        <f t="shared" si="453"/>
        <v>0</v>
      </c>
    </row>
    <row r="918" spans="1:11">
      <c r="A918" s="681">
        <v>899</v>
      </c>
      <c r="B918" s="902"/>
      <c r="C918" s="679"/>
      <c r="D918" s="682"/>
      <c r="E918" s="679"/>
      <c r="F918" s="679"/>
      <c r="G918" s="679" t="e">
        <f t="shared" si="450"/>
        <v>#DIV/0!</v>
      </c>
      <c r="H918" s="679"/>
      <c r="I918" s="101">
        <f t="shared" si="451"/>
        <v>0</v>
      </c>
      <c r="J918" s="101" t="e">
        <f t="shared" si="452"/>
        <v>#DIV/0!</v>
      </c>
      <c r="K918" s="683">
        <f t="shared" si="453"/>
        <v>0</v>
      </c>
    </row>
    <row r="919" spans="1:11">
      <c r="A919" s="681">
        <v>900</v>
      </c>
      <c r="B919" s="902"/>
      <c r="C919" s="679"/>
      <c r="D919" s="682"/>
      <c r="E919" s="679"/>
      <c r="F919" s="679"/>
      <c r="G919" s="679" t="e">
        <f t="shared" si="450"/>
        <v>#DIV/0!</v>
      </c>
      <c r="H919" s="679"/>
      <c r="I919" s="101">
        <f t="shared" si="451"/>
        <v>0</v>
      </c>
      <c r="J919" s="101" t="e">
        <f t="shared" si="452"/>
        <v>#DIV/0!</v>
      </c>
      <c r="K919" s="683">
        <f t="shared" si="453"/>
        <v>0</v>
      </c>
    </row>
    <row r="920" spans="1:11">
      <c r="A920" s="681">
        <v>901</v>
      </c>
      <c r="B920" s="902"/>
      <c r="C920" s="679"/>
      <c r="D920" s="682"/>
      <c r="E920" s="679"/>
      <c r="F920" s="679"/>
      <c r="G920" s="679" t="e">
        <f t="shared" si="450"/>
        <v>#DIV/0!</v>
      </c>
      <c r="H920" s="679"/>
      <c r="I920" s="101">
        <f t="shared" si="451"/>
        <v>0</v>
      </c>
      <c r="J920" s="101" t="e">
        <f t="shared" si="452"/>
        <v>#DIV/0!</v>
      </c>
      <c r="K920" s="683">
        <f t="shared" si="453"/>
        <v>0</v>
      </c>
    </row>
    <row r="921" spans="1:11">
      <c r="A921" s="681">
        <v>902</v>
      </c>
      <c r="B921" s="902"/>
      <c r="C921" s="679"/>
      <c r="D921" s="682"/>
      <c r="E921" s="679"/>
      <c r="F921" s="679"/>
      <c r="G921" s="679" t="e">
        <f t="shared" si="450"/>
        <v>#DIV/0!</v>
      </c>
      <c r="H921" s="679"/>
      <c r="I921" s="101">
        <f t="shared" si="451"/>
        <v>0</v>
      </c>
      <c r="J921" s="101" t="e">
        <f t="shared" si="452"/>
        <v>#DIV/0!</v>
      </c>
      <c r="K921" s="683">
        <f t="shared" si="453"/>
        <v>0</v>
      </c>
    </row>
    <row r="922" spans="1:11">
      <c r="A922" s="681">
        <v>903</v>
      </c>
      <c r="B922" s="902"/>
      <c r="C922" s="679"/>
      <c r="D922" s="682"/>
      <c r="E922" s="679"/>
      <c r="F922" s="679"/>
      <c r="G922" s="679" t="e">
        <f t="shared" si="450"/>
        <v>#DIV/0!</v>
      </c>
      <c r="H922" s="679"/>
      <c r="I922" s="101">
        <f t="shared" si="451"/>
        <v>0</v>
      </c>
      <c r="J922" s="101" t="e">
        <f t="shared" si="452"/>
        <v>#DIV/0!</v>
      </c>
      <c r="K922" s="683">
        <f t="shared" si="453"/>
        <v>0</v>
      </c>
    </row>
    <row r="923" spans="1:11">
      <c r="A923" s="681">
        <v>904</v>
      </c>
      <c r="B923" s="903"/>
      <c r="C923" s="894"/>
      <c r="D923" s="895"/>
      <c r="E923" s="894"/>
      <c r="F923" s="894"/>
      <c r="G923" s="894"/>
      <c r="H923" s="894"/>
      <c r="I923" s="896"/>
      <c r="J923" s="896"/>
      <c r="K923" s="897"/>
    </row>
    <row r="924" spans="1:11">
      <c r="A924" s="681">
        <v>905</v>
      </c>
      <c r="B924" s="904"/>
      <c r="C924" s="679"/>
      <c r="D924" s="682"/>
      <c r="E924" s="679"/>
      <c r="F924" s="679"/>
      <c r="G924" s="679" t="e">
        <f t="shared" ref="G924:G932" si="454">H924/F924</f>
        <v>#DIV/0!</v>
      </c>
      <c r="H924" s="679"/>
      <c r="I924" s="101">
        <f t="shared" ref="I924:I932" si="455">+I923+F924</f>
        <v>0</v>
      </c>
      <c r="J924" s="101" t="e">
        <f t="shared" ref="J924:J932" si="456">+K924/I924</f>
        <v>#DIV/0!</v>
      </c>
      <c r="K924" s="683">
        <f t="shared" ref="K924:K932" si="457">(+H924+K923)</f>
        <v>0</v>
      </c>
    </row>
    <row r="925" spans="1:11">
      <c r="A925" s="681">
        <v>906</v>
      </c>
      <c r="B925" s="902"/>
      <c r="C925" s="679"/>
      <c r="D925" s="682"/>
      <c r="E925" s="679"/>
      <c r="F925" s="679"/>
      <c r="G925" s="679" t="e">
        <f t="shared" si="454"/>
        <v>#DIV/0!</v>
      </c>
      <c r="H925" s="679"/>
      <c r="I925" s="101">
        <f t="shared" si="455"/>
        <v>0</v>
      </c>
      <c r="J925" s="101" t="e">
        <f t="shared" si="456"/>
        <v>#DIV/0!</v>
      </c>
      <c r="K925" s="683">
        <f t="shared" si="457"/>
        <v>0</v>
      </c>
    </row>
    <row r="926" spans="1:11">
      <c r="A926" s="681">
        <v>907</v>
      </c>
      <c r="B926" s="902"/>
      <c r="C926" s="679"/>
      <c r="D926" s="682"/>
      <c r="E926" s="679"/>
      <c r="F926" s="679"/>
      <c r="G926" s="679" t="e">
        <f t="shared" si="454"/>
        <v>#DIV/0!</v>
      </c>
      <c r="H926" s="679"/>
      <c r="I926" s="101">
        <f t="shared" si="455"/>
        <v>0</v>
      </c>
      <c r="J926" s="101" t="e">
        <f t="shared" si="456"/>
        <v>#DIV/0!</v>
      </c>
      <c r="K926" s="683">
        <f t="shared" si="457"/>
        <v>0</v>
      </c>
    </row>
    <row r="927" spans="1:11">
      <c r="A927" s="681">
        <v>908</v>
      </c>
      <c r="B927" s="902"/>
      <c r="C927" s="679"/>
      <c r="D927" s="682"/>
      <c r="E927" s="679"/>
      <c r="F927" s="679"/>
      <c r="G927" s="679" t="e">
        <f t="shared" si="454"/>
        <v>#DIV/0!</v>
      </c>
      <c r="H927" s="679"/>
      <c r="I927" s="101">
        <f t="shared" si="455"/>
        <v>0</v>
      </c>
      <c r="J927" s="101" t="e">
        <f t="shared" si="456"/>
        <v>#DIV/0!</v>
      </c>
      <c r="K927" s="683">
        <f t="shared" si="457"/>
        <v>0</v>
      </c>
    </row>
    <row r="928" spans="1:11">
      <c r="A928" s="681">
        <v>909</v>
      </c>
      <c r="B928" s="902"/>
      <c r="C928" s="679"/>
      <c r="D928" s="682"/>
      <c r="E928" s="679"/>
      <c r="F928" s="679"/>
      <c r="G928" s="679" t="e">
        <f t="shared" si="454"/>
        <v>#DIV/0!</v>
      </c>
      <c r="H928" s="679"/>
      <c r="I928" s="101">
        <f t="shared" si="455"/>
        <v>0</v>
      </c>
      <c r="J928" s="101" t="e">
        <f t="shared" si="456"/>
        <v>#DIV/0!</v>
      </c>
      <c r="K928" s="683">
        <f t="shared" si="457"/>
        <v>0</v>
      </c>
    </row>
    <row r="929" spans="1:11">
      <c r="A929" s="681">
        <v>910</v>
      </c>
      <c r="B929" s="902"/>
      <c r="C929" s="679"/>
      <c r="D929" s="682"/>
      <c r="E929" s="679"/>
      <c r="F929" s="679"/>
      <c r="G929" s="679" t="e">
        <f t="shared" si="454"/>
        <v>#DIV/0!</v>
      </c>
      <c r="H929" s="679"/>
      <c r="I929" s="101">
        <f t="shared" si="455"/>
        <v>0</v>
      </c>
      <c r="J929" s="101" t="e">
        <f t="shared" si="456"/>
        <v>#DIV/0!</v>
      </c>
      <c r="K929" s="683">
        <f t="shared" si="457"/>
        <v>0</v>
      </c>
    </row>
    <row r="930" spans="1:11">
      <c r="A930" s="681">
        <v>911</v>
      </c>
      <c r="B930" s="902"/>
      <c r="C930" s="679"/>
      <c r="D930" s="682"/>
      <c r="E930" s="679"/>
      <c r="F930" s="679"/>
      <c r="G930" s="679" t="e">
        <f t="shared" si="454"/>
        <v>#DIV/0!</v>
      </c>
      <c r="H930" s="679"/>
      <c r="I930" s="101">
        <f t="shared" si="455"/>
        <v>0</v>
      </c>
      <c r="J930" s="101" t="e">
        <f t="shared" si="456"/>
        <v>#DIV/0!</v>
      </c>
      <c r="K930" s="683">
        <f t="shared" si="457"/>
        <v>0</v>
      </c>
    </row>
    <row r="931" spans="1:11">
      <c r="A931" s="681">
        <v>912</v>
      </c>
      <c r="B931" s="902"/>
      <c r="C931" s="679"/>
      <c r="D931" s="682"/>
      <c r="E931" s="679"/>
      <c r="F931" s="679"/>
      <c r="G931" s="679" t="e">
        <f t="shared" si="454"/>
        <v>#DIV/0!</v>
      </c>
      <c r="H931" s="679"/>
      <c r="I931" s="101">
        <f t="shared" si="455"/>
        <v>0</v>
      </c>
      <c r="J931" s="101" t="e">
        <f t="shared" si="456"/>
        <v>#DIV/0!</v>
      </c>
      <c r="K931" s="683">
        <f t="shared" si="457"/>
        <v>0</v>
      </c>
    </row>
    <row r="932" spans="1:11">
      <c r="A932" s="681">
        <v>913</v>
      </c>
      <c r="B932" s="902"/>
      <c r="C932" s="679"/>
      <c r="D932" s="682"/>
      <c r="E932" s="679"/>
      <c r="F932" s="679"/>
      <c r="G932" s="679" t="e">
        <f t="shared" si="454"/>
        <v>#DIV/0!</v>
      </c>
      <c r="H932" s="679"/>
      <c r="I932" s="101">
        <f t="shared" si="455"/>
        <v>0</v>
      </c>
      <c r="J932" s="101" t="e">
        <f t="shared" si="456"/>
        <v>#DIV/0!</v>
      </c>
      <c r="K932" s="683">
        <f t="shared" si="457"/>
        <v>0</v>
      </c>
    </row>
    <row r="933" spans="1:11">
      <c r="A933" s="681">
        <v>914</v>
      </c>
      <c r="B933" s="903"/>
      <c r="C933" s="894"/>
      <c r="D933" s="895"/>
      <c r="E933" s="894"/>
      <c r="F933" s="894"/>
      <c r="G933" s="894"/>
      <c r="H933" s="894"/>
      <c r="I933" s="896"/>
      <c r="J933" s="896"/>
      <c r="K933" s="897"/>
    </row>
    <row r="934" spans="1:11">
      <c r="A934" s="681">
        <v>915</v>
      </c>
      <c r="B934" s="904"/>
      <c r="C934" s="679"/>
      <c r="D934" s="682"/>
      <c r="E934" s="679"/>
      <c r="F934" s="679"/>
      <c r="G934" s="679" t="e">
        <f t="shared" ref="G934:G939" si="458">H934/F934</f>
        <v>#DIV/0!</v>
      </c>
      <c r="H934" s="679"/>
      <c r="I934" s="101">
        <f t="shared" ref="I934:I939" si="459">+I933+F934</f>
        <v>0</v>
      </c>
      <c r="J934" s="101" t="e">
        <f t="shared" ref="J934:J939" si="460">+K934/I934</f>
        <v>#DIV/0!</v>
      </c>
      <c r="K934" s="683">
        <f t="shared" ref="K934:K939" si="461">(+H934+K933)</f>
        <v>0</v>
      </c>
    </row>
    <row r="935" spans="1:11">
      <c r="A935" s="681">
        <v>916</v>
      </c>
      <c r="B935" s="902"/>
      <c r="C935" s="679"/>
      <c r="D935" s="682"/>
      <c r="E935" s="679"/>
      <c r="F935" s="679"/>
      <c r="G935" s="679" t="e">
        <f t="shared" si="458"/>
        <v>#DIV/0!</v>
      </c>
      <c r="H935" s="679"/>
      <c r="I935" s="101">
        <f t="shared" si="459"/>
        <v>0</v>
      </c>
      <c r="J935" s="101" t="e">
        <f t="shared" si="460"/>
        <v>#DIV/0!</v>
      </c>
      <c r="K935" s="683">
        <f t="shared" si="461"/>
        <v>0</v>
      </c>
    </row>
    <row r="936" spans="1:11">
      <c r="A936" s="681">
        <v>917</v>
      </c>
      <c r="B936" s="902"/>
      <c r="C936" s="679"/>
      <c r="D936" s="682"/>
      <c r="E936" s="679"/>
      <c r="F936" s="679"/>
      <c r="G936" s="679" t="e">
        <f t="shared" si="458"/>
        <v>#DIV/0!</v>
      </c>
      <c r="H936" s="679"/>
      <c r="I936" s="101">
        <f t="shared" si="459"/>
        <v>0</v>
      </c>
      <c r="J936" s="101" t="e">
        <f t="shared" si="460"/>
        <v>#DIV/0!</v>
      </c>
      <c r="K936" s="683">
        <f t="shared" si="461"/>
        <v>0</v>
      </c>
    </row>
    <row r="937" spans="1:11">
      <c r="A937" s="681">
        <v>918</v>
      </c>
      <c r="B937" s="902"/>
      <c r="C937" s="679"/>
      <c r="D937" s="682"/>
      <c r="E937" s="679"/>
      <c r="F937" s="679"/>
      <c r="G937" s="679" t="e">
        <f t="shared" si="458"/>
        <v>#DIV/0!</v>
      </c>
      <c r="H937" s="679"/>
      <c r="I937" s="101">
        <f t="shared" si="459"/>
        <v>0</v>
      </c>
      <c r="J937" s="101" t="e">
        <f t="shared" si="460"/>
        <v>#DIV/0!</v>
      </c>
      <c r="K937" s="683">
        <f t="shared" si="461"/>
        <v>0</v>
      </c>
    </row>
    <row r="938" spans="1:11">
      <c r="A938" s="681">
        <v>919</v>
      </c>
      <c r="B938" s="902"/>
      <c r="C938" s="679"/>
      <c r="D938" s="682"/>
      <c r="E938" s="679"/>
      <c r="F938" s="679"/>
      <c r="G938" s="679" t="e">
        <f t="shared" si="458"/>
        <v>#DIV/0!</v>
      </c>
      <c r="H938" s="679"/>
      <c r="I938" s="101">
        <f t="shared" si="459"/>
        <v>0</v>
      </c>
      <c r="J938" s="101" t="e">
        <f t="shared" si="460"/>
        <v>#DIV/0!</v>
      </c>
      <c r="K938" s="683">
        <f t="shared" si="461"/>
        <v>0</v>
      </c>
    </row>
    <row r="939" spans="1:11">
      <c r="A939" s="681">
        <v>920</v>
      </c>
      <c r="B939" s="902"/>
      <c r="C939" s="679"/>
      <c r="D939" s="682"/>
      <c r="E939" s="679"/>
      <c r="F939" s="679"/>
      <c r="G939" s="679" t="e">
        <f t="shared" si="458"/>
        <v>#DIV/0!</v>
      </c>
      <c r="H939" s="679"/>
      <c r="I939" s="101">
        <f t="shared" si="459"/>
        <v>0</v>
      </c>
      <c r="J939" s="101" t="e">
        <f t="shared" si="460"/>
        <v>#DIV/0!</v>
      </c>
      <c r="K939" s="683">
        <f t="shared" si="461"/>
        <v>0</v>
      </c>
    </row>
    <row r="941" spans="1:11">
      <c r="H941" s="977">
        <f>SUM(H8:H940)</f>
        <v>49896005.660700008</v>
      </c>
      <c r="I941" s="113">
        <f>+H941-P83</f>
        <v>0</v>
      </c>
    </row>
    <row r="942" spans="1:11">
      <c r="H942" s="977">
        <f>+S!P20</f>
        <v>49890356.929500006</v>
      </c>
    </row>
    <row r="943" spans="1:11">
      <c r="H943" s="977">
        <f>+H941-H942</f>
        <v>5648.7312000021338</v>
      </c>
    </row>
  </sheetData>
  <sortState ref="M114:T284">
    <sortCondition ref="M114"/>
  </sortState>
  <mergeCells count="30">
    <mergeCell ref="AD2:AD3"/>
    <mergeCell ref="AA2:AA3"/>
    <mergeCell ref="AB2:AB3"/>
    <mergeCell ref="AC2:AC3"/>
    <mergeCell ref="V2:V3"/>
    <mergeCell ref="W2:W3"/>
    <mergeCell ref="X2:X3"/>
    <mergeCell ref="Y2:Y3"/>
    <mergeCell ref="Z2:Z3"/>
    <mergeCell ref="Q2:Q3"/>
    <mergeCell ref="R2:R3"/>
    <mergeCell ref="S2:S3"/>
    <mergeCell ref="T2:T3"/>
    <mergeCell ref="U2:U3"/>
    <mergeCell ref="A5:A7"/>
    <mergeCell ref="C6:D6"/>
    <mergeCell ref="F6:F7"/>
    <mergeCell ref="G6:G7"/>
    <mergeCell ref="H6:H7"/>
    <mergeCell ref="K6:K7"/>
    <mergeCell ref="I5:K5"/>
    <mergeCell ref="I6:I7"/>
    <mergeCell ref="J6:J7"/>
    <mergeCell ref="B5:H5"/>
    <mergeCell ref="L1:L3"/>
    <mergeCell ref="M1:M3"/>
    <mergeCell ref="N1:P1"/>
    <mergeCell ref="N2:N3"/>
    <mergeCell ref="O2:O3"/>
    <mergeCell ref="P2:P3"/>
  </mergeCells>
  <pageMargins left="0" right="0" top="0" bottom="0" header="0" footer="0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FFCC"/>
  </sheetPr>
  <dimension ref="A1:AI226"/>
  <sheetViews>
    <sheetView workbookViewId="0">
      <selection activeCell="Q117" sqref="Q117:Q128"/>
    </sheetView>
  </sheetViews>
  <sheetFormatPr defaultRowHeight="12.75"/>
  <cols>
    <col min="1" max="1" width="3.28515625" style="687" customWidth="1"/>
    <col min="2" max="2" width="6.7109375" style="687" customWidth="1"/>
    <col min="3" max="3" width="8.42578125" style="687" customWidth="1"/>
    <col min="4" max="4" width="9.140625" style="687"/>
    <col min="5" max="5" width="14.85546875" style="687" customWidth="1"/>
    <col min="6" max="6" width="15.7109375" style="687" customWidth="1"/>
    <col min="7" max="7" width="9.85546875" style="687" customWidth="1"/>
    <col min="8" max="8" width="16.5703125" style="361" customWidth="1"/>
    <col min="9" max="9" width="6.5703125" style="687" customWidth="1"/>
    <col min="10" max="10" width="4" style="687" customWidth="1"/>
    <col min="11" max="11" width="7.28515625" style="687" customWidth="1"/>
    <col min="12" max="12" width="9" style="687" customWidth="1"/>
    <col min="13" max="14" width="9.140625" style="687"/>
    <col min="15" max="15" width="10.42578125" style="687" customWidth="1"/>
    <col min="16" max="16" width="14.85546875" style="687" customWidth="1"/>
    <col min="17" max="17" width="17.28515625" style="361" customWidth="1"/>
    <col min="18" max="18" width="8" style="90" customWidth="1"/>
    <col min="19" max="19" width="4.7109375" style="687" customWidth="1"/>
    <col min="20" max="20" width="6.5703125" style="687" customWidth="1"/>
    <col min="21" max="22" width="9.140625" style="687"/>
    <col min="23" max="23" width="17.140625" style="687" customWidth="1"/>
    <col min="24" max="24" width="13.42578125" style="687" customWidth="1"/>
    <col min="25" max="25" width="13.85546875" style="687" customWidth="1"/>
    <col min="26" max="26" width="11.140625" style="361" customWidth="1"/>
    <col min="27" max="28" width="9.140625" style="687"/>
    <col min="29" max="29" width="12.85546875" style="361" bestFit="1" customWidth="1"/>
    <col min="30" max="30" width="10.28515625" style="361" customWidth="1"/>
    <col min="31" max="31" width="14" style="361" bestFit="1" customWidth="1"/>
    <col min="32" max="33" width="9.140625" style="687"/>
  </cols>
  <sheetData>
    <row r="1" spans="1:35">
      <c r="A1" s="143" t="s">
        <v>1333</v>
      </c>
      <c r="J1" s="143" t="s">
        <v>1333</v>
      </c>
      <c r="S1" s="143" t="s">
        <v>1333</v>
      </c>
    </row>
    <row r="2" spans="1:35">
      <c r="A2" s="143" t="s">
        <v>940</v>
      </c>
      <c r="B2" s="143"/>
      <c r="C2" s="143"/>
      <c r="D2" s="143"/>
      <c r="E2" s="143"/>
      <c r="F2" s="143"/>
      <c r="G2" s="143"/>
      <c r="H2" s="364"/>
      <c r="I2" s="143"/>
      <c r="J2" s="143" t="s">
        <v>940</v>
      </c>
      <c r="K2" s="143"/>
      <c r="L2" s="143"/>
      <c r="M2" s="143"/>
      <c r="N2" s="143"/>
      <c r="O2" s="143"/>
      <c r="P2" s="143"/>
      <c r="S2" s="143"/>
    </row>
    <row r="3" spans="1:35" ht="15" customHeight="1" thickBot="1">
      <c r="A3" s="143"/>
      <c r="B3" s="143" t="s">
        <v>1334</v>
      </c>
      <c r="C3" s="143"/>
      <c r="D3" s="143"/>
      <c r="E3" s="143"/>
      <c r="F3" s="143"/>
      <c r="G3" s="143"/>
      <c r="H3" s="364"/>
      <c r="I3" s="143"/>
      <c r="J3" s="143"/>
      <c r="K3" s="143" t="s">
        <v>1335</v>
      </c>
      <c r="L3" s="143"/>
      <c r="M3" s="143"/>
      <c r="N3" s="143"/>
      <c r="O3" s="143"/>
      <c r="P3" s="143"/>
    </row>
    <row r="4" spans="1:35" ht="12.75" customHeight="1" thickBot="1">
      <c r="A4" s="705" t="s">
        <v>1</v>
      </c>
      <c r="B4" s="2115" t="s">
        <v>941</v>
      </c>
      <c r="C4" s="2116"/>
      <c r="D4" s="706"/>
      <c r="E4" s="706" t="s">
        <v>942</v>
      </c>
      <c r="F4" s="706" t="s">
        <v>943</v>
      </c>
      <c r="G4" s="706" t="s">
        <v>944</v>
      </c>
      <c r="H4" s="936" t="s">
        <v>945</v>
      </c>
      <c r="J4" s="707" t="s">
        <v>1</v>
      </c>
      <c r="K4" s="2117" t="s">
        <v>941</v>
      </c>
      <c r="L4" s="2118"/>
      <c r="M4" s="707"/>
      <c r="N4" s="707" t="s">
        <v>942</v>
      </c>
      <c r="O4" s="707" t="s">
        <v>943</v>
      </c>
      <c r="P4" s="707" t="s">
        <v>944</v>
      </c>
      <c r="Q4" s="927" t="s">
        <v>945</v>
      </c>
      <c r="R4" s="89"/>
      <c r="S4" s="707" t="s">
        <v>1</v>
      </c>
      <c r="T4" s="2117" t="s">
        <v>941</v>
      </c>
      <c r="U4" s="2118"/>
      <c r="V4" s="707"/>
      <c r="W4" s="707" t="s">
        <v>942</v>
      </c>
      <c r="X4" s="707" t="s">
        <v>943</v>
      </c>
      <c r="Y4" s="707" t="s">
        <v>946</v>
      </c>
      <c r="Z4" s="927" t="s">
        <v>945</v>
      </c>
    </row>
    <row r="5" spans="1:35" ht="12.75" customHeight="1" thickBot="1">
      <c r="A5" s="708"/>
      <c r="B5" s="709" t="s">
        <v>1</v>
      </c>
      <c r="C5" s="709" t="s">
        <v>220</v>
      </c>
      <c r="D5" s="710" t="s">
        <v>947</v>
      </c>
      <c r="E5" s="710"/>
      <c r="F5" s="710"/>
      <c r="G5" s="710"/>
      <c r="H5" s="937"/>
      <c r="J5" s="711"/>
      <c r="K5" s="707" t="s">
        <v>1</v>
      </c>
      <c r="L5" s="707" t="s">
        <v>220</v>
      </c>
      <c r="M5" s="711" t="s">
        <v>947</v>
      </c>
      <c r="N5" s="711"/>
      <c r="O5" s="711"/>
      <c r="P5" s="711"/>
      <c r="Q5" s="928"/>
      <c r="R5" s="89"/>
      <c r="S5" s="711"/>
      <c r="T5" s="707" t="s">
        <v>1</v>
      </c>
      <c r="U5" s="707" t="s">
        <v>220</v>
      </c>
      <c r="V5" s="711" t="s">
        <v>947</v>
      </c>
      <c r="W5" s="711"/>
      <c r="X5" s="711"/>
      <c r="Y5" s="711" t="s">
        <v>948</v>
      </c>
      <c r="Z5" s="928"/>
    </row>
    <row r="6" spans="1:35" ht="12.75" customHeight="1">
      <c r="A6" s="690">
        <v>1</v>
      </c>
      <c r="B6" s="929">
        <v>6</v>
      </c>
      <c r="C6" s="929">
        <v>84240406</v>
      </c>
      <c r="D6" s="929">
        <v>40562</v>
      </c>
      <c r="E6" s="929" t="s">
        <v>998</v>
      </c>
      <c r="F6" s="929" t="s">
        <v>999</v>
      </c>
      <c r="G6" s="929" t="s">
        <v>1298</v>
      </c>
      <c r="H6" s="678">
        <v>200000</v>
      </c>
      <c r="J6" s="690">
        <v>1</v>
      </c>
      <c r="K6" s="929"/>
      <c r="L6" s="929"/>
      <c r="M6" s="929"/>
      <c r="N6" s="929"/>
      <c r="O6" s="929"/>
      <c r="P6" s="929"/>
      <c r="Q6" s="678"/>
      <c r="R6" s="141"/>
      <c r="S6" s="690">
        <v>1</v>
      </c>
      <c r="T6" s="919">
        <v>147</v>
      </c>
      <c r="U6" s="919">
        <v>71851449</v>
      </c>
      <c r="V6" s="920">
        <v>40525</v>
      </c>
      <c r="W6" s="919" t="s">
        <v>977</v>
      </c>
      <c r="X6" s="919" t="s">
        <v>978</v>
      </c>
      <c r="Y6" s="921" t="s">
        <v>1245</v>
      </c>
      <c r="Z6" s="922">
        <v>18000</v>
      </c>
      <c r="AB6" s="361" t="s">
        <v>173</v>
      </c>
      <c r="AC6" s="361">
        <f>+Z22+Q7+H9</f>
        <v>3156733</v>
      </c>
      <c r="AD6" s="361">
        <f>+'P -Ardh Analiz '!N14+'P -Ardh Analiz '!J14</f>
        <v>3156733</v>
      </c>
      <c r="AE6" s="361">
        <f>+AC6-AD6</f>
        <v>0</v>
      </c>
      <c r="AF6" s="361"/>
      <c r="AH6" s="687"/>
      <c r="AI6" s="687"/>
    </row>
    <row r="7" spans="1:35" ht="12.75" customHeight="1">
      <c r="A7" s="181">
        <v>2</v>
      </c>
      <c r="B7" s="923">
        <v>34</v>
      </c>
      <c r="C7" s="923">
        <v>716288943</v>
      </c>
      <c r="D7" s="924">
        <v>40567</v>
      </c>
      <c r="E7" s="923" t="s">
        <v>985</v>
      </c>
      <c r="F7" s="923" t="s">
        <v>986</v>
      </c>
      <c r="G7" s="887" t="s">
        <v>1300</v>
      </c>
      <c r="H7" s="925">
        <v>249600</v>
      </c>
      <c r="J7" s="181">
        <v>2</v>
      </c>
      <c r="K7" s="2114" t="s">
        <v>959</v>
      </c>
      <c r="L7" s="2114"/>
      <c r="M7" s="2114"/>
      <c r="N7" s="2114"/>
      <c r="O7" s="2114"/>
      <c r="P7" s="2114"/>
      <c r="Q7" s="619">
        <f>SUM(Q5:Q6)</f>
        <v>0</v>
      </c>
      <c r="R7" s="141"/>
      <c r="S7" s="181">
        <v>2</v>
      </c>
      <c r="T7" s="923">
        <v>568</v>
      </c>
      <c r="U7" s="923">
        <v>72565568</v>
      </c>
      <c r="V7" s="924">
        <v>40553</v>
      </c>
      <c r="W7" s="923" t="s">
        <v>979</v>
      </c>
      <c r="X7" s="923" t="s">
        <v>980</v>
      </c>
      <c r="Y7" s="887" t="s">
        <v>1293</v>
      </c>
      <c r="Z7" s="925">
        <v>170223</v>
      </c>
      <c r="AB7" s="361" t="s">
        <v>174</v>
      </c>
      <c r="AC7" s="361">
        <f>+Z32+Q9+H14</f>
        <v>5445066.0200000005</v>
      </c>
      <c r="AD7" s="361">
        <f>+'P -Ardh Analiz '!N15+'P -Ardh Analiz '!J15</f>
        <v>5445066.0200000005</v>
      </c>
      <c r="AE7" s="361">
        <f t="shared" ref="AE7:AE17" si="0">+AC7-AD7</f>
        <v>0</v>
      </c>
      <c r="AF7" s="361"/>
      <c r="AH7" s="687"/>
      <c r="AI7" s="687"/>
    </row>
    <row r="8" spans="1:35" ht="12.75" customHeight="1">
      <c r="A8" s="181">
        <v>3</v>
      </c>
      <c r="B8" s="311">
        <v>4</v>
      </c>
      <c r="C8" s="311">
        <v>84240404</v>
      </c>
      <c r="D8" s="311">
        <v>40549</v>
      </c>
      <c r="E8" s="311" t="s">
        <v>998</v>
      </c>
      <c r="F8" s="311" t="s">
        <v>999</v>
      </c>
      <c r="G8" s="311" t="s">
        <v>1298</v>
      </c>
      <c r="H8" s="683">
        <v>375000</v>
      </c>
      <c r="J8" s="181">
        <v>3</v>
      </c>
      <c r="K8" s="311"/>
      <c r="L8" s="311"/>
      <c r="M8" s="311"/>
      <c r="N8" s="311"/>
      <c r="O8" s="311"/>
      <c r="P8" s="311"/>
      <c r="Q8" s="683"/>
      <c r="R8" s="141"/>
      <c r="S8" s="181">
        <v>3</v>
      </c>
      <c r="T8" s="923">
        <v>569</v>
      </c>
      <c r="U8" s="923">
        <v>72565569</v>
      </c>
      <c r="V8" s="924">
        <v>40553</v>
      </c>
      <c r="W8" s="923" t="s">
        <v>979</v>
      </c>
      <c r="X8" s="923" t="s">
        <v>980</v>
      </c>
      <c r="Y8" s="887" t="s">
        <v>1294</v>
      </c>
      <c r="Z8" s="925">
        <v>15210</v>
      </c>
      <c r="AB8" s="361" t="s">
        <v>175</v>
      </c>
      <c r="AC8" s="361">
        <f>+Z37+Q11+H22</f>
        <v>5302034.7</v>
      </c>
      <c r="AD8" s="361">
        <f>+'P -Ardh Analiz '!N16+'P -Ardh Analiz '!J16</f>
        <v>5302034.7</v>
      </c>
      <c r="AE8" s="361">
        <f t="shared" si="0"/>
        <v>0</v>
      </c>
      <c r="AF8" s="361"/>
      <c r="AH8" s="687"/>
      <c r="AI8" s="687"/>
    </row>
    <row r="9" spans="1:35" ht="12.75" customHeight="1">
      <c r="A9" s="181">
        <v>4</v>
      </c>
      <c r="B9" s="2114" t="s">
        <v>959</v>
      </c>
      <c r="C9" s="2114"/>
      <c r="D9" s="2114"/>
      <c r="E9" s="2114"/>
      <c r="F9" s="2114"/>
      <c r="G9" s="2114"/>
      <c r="H9" s="619">
        <f>SUM(H6:H8)</f>
        <v>824600</v>
      </c>
      <c r="J9" s="181">
        <v>4</v>
      </c>
      <c r="K9" s="2114" t="s">
        <v>174</v>
      </c>
      <c r="L9" s="2114"/>
      <c r="M9" s="2114"/>
      <c r="N9" s="2114"/>
      <c r="O9" s="2114"/>
      <c r="P9" s="2114"/>
      <c r="Q9" s="619">
        <f>SUM(Q8)</f>
        <v>0</v>
      </c>
      <c r="R9" s="141"/>
      <c r="S9" s="181">
        <v>4</v>
      </c>
      <c r="T9" s="923">
        <v>75</v>
      </c>
      <c r="U9" s="923">
        <v>72642535</v>
      </c>
      <c r="V9" s="924">
        <v>40560</v>
      </c>
      <c r="W9" s="923" t="s">
        <v>981</v>
      </c>
      <c r="X9" s="923" t="s">
        <v>982</v>
      </c>
      <c r="Y9" s="887" t="s">
        <v>912</v>
      </c>
      <c r="Z9" s="925">
        <v>193343</v>
      </c>
      <c r="AB9" s="361" t="s">
        <v>176</v>
      </c>
      <c r="AC9" s="361">
        <f>+Z45+Q13+H34</f>
        <v>3620882</v>
      </c>
      <c r="AD9" s="361">
        <f>+'P -Ardh Analiz '!N17+'P -Ardh Analiz '!J17</f>
        <v>3620882</v>
      </c>
      <c r="AE9" s="361">
        <f t="shared" si="0"/>
        <v>0</v>
      </c>
      <c r="AF9" s="361"/>
      <c r="AH9" s="687"/>
      <c r="AI9" s="687"/>
    </row>
    <row r="10" spans="1:35" ht="12.75" customHeight="1">
      <c r="A10" s="691">
        <v>5</v>
      </c>
      <c r="B10" s="1225">
        <v>62</v>
      </c>
      <c r="C10" s="1225">
        <v>71628971</v>
      </c>
      <c r="D10" s="926" t="s">
        <v>1014</v>
      </c>
      <c r="E10" s="926" t="s">
        <v>985</v>
      </c>
      <c r="F10" s="926" t="s">
        <v>986</v>
      </c>
      <c r="G10" s="890" t="s">
        <v>1303</v>
      </c>
      <c r="H10" s="925">
        <v>249959</v>
      </c>
      <c r="J10" s="181">
        <v>5</v>
      </c>
      <c r="K10" s="311"/>
      <c r="L10" s="311"/>
      <c r="M10" s="311"/>
      <c r="N10" s="311"/>
      <c r="O10" s="311"/>
      <c r="P10" s="311"/>
      <c r="Q10" s="683"/>
      <c r="R10" s="141"/>
      <c r="S10" s="181">
        <v>5</v>
      </c>
      <c r="T10" s="923">
        <v>90</v>
      </c>
      <c r="U10" s="923">
        <v>72642550</v>
      </c>
      <c r="V10" s="924">
        <v>40562</v>
      </c>
      <c r="W10" s="923" t="s">
        <v>981</v>
      </c>
      <c r="X10" s="923" t="s">
        <v>982</v>
      </c>
      <c r="Y10" s="887" t="s">
        <v>912</v>
      </c>
      <c r="Z10" s="925">
        <v>165341</v>
      </c>
      <c r="AB10" s="361" t="s">
        <v>177</v>
      </c>
      <c r="AC10" s="361">
        <f>+Z78+Q15+H39</f>
        <v>5657299</v>
      </c>
      <c r="AD10" s="361">
        <f>+'P -Ardh Analiz '!N18+'P -Ardh Analiz '!J18</f>
        <v>5651640</v>
      </c>
      <c r="AE10" s="361">
        <f t="shared" si="0"/>
        <v>5659</v>
      </c>
      <c r="AF10" s="361"/>
      <c r="AH10" s="687"/>
      <c r="AI10" s="687"/>
    </row>
    <row r="11" spans="1:35" ht="12.75" customHeight="1">
      <c r="A11" s="181">
        <v>6</v>
      </c>
      <c r="B11" s="1225">
        <v>316</v>
      </c>
      <c r="C11" s="1225">
        <v>84889666</v>
      </c>
      <c r="D11" s="926" t="s">
        <v>1022</v>
      </c>
      <c r="E11" s="926" t="s">
        <v>995</v>
      </c>
      <c r="F11" s="926" t="s">
        <v>997</v>
      </c>
      <c r="G11" s="890" t="s">
        <v>1253</v>
      </c>
      <c r="H11" s="925">
        <v>232541</v>
      </c>
      <c r="J11" s="181">
        <v>6</v>
      </c>
      <c r="K11" s="2114" t="s">
        <v>175</v>
      </c>
      <c r="L11" s="2114"/>
      <c r="M11" s="2114"/>
      <c r="N11" s="2114"/>
      <c r="O11" s="2114"/>
      <c r="P11" s="2114"/>
      <c r="Q11" s="619">
        <f>SUM(Q10)</f>
        <v>0</v>
      </c>
      <c r="S11" s="181">
        <v>6</v>
      </c>
      <c r="T11" s="923">
        <v>369</v>
      </c>
      <c r="U11" s="923">
        <v>70519440</v>
      </c>
      <c r="V11" s="924">
        <v>40560</v>
      </c>
      <c r="W11" s="923" t="s">
        <v>983</v>
      </c>
      <c r="X11" s="923" t="s">
        <v>984</v>
      </c>
      <c r="Y11" s="887" t="s">
        <v>1239</v>
      </c>
      <c r="Z11" s="925">
        <v>240535</v>
      </c>
      <c r="AB11" s="1222" t="s">
        <v>178</v>
      </c>
      <c r="AC11" s="361">
        <f>+Z118+H41+Q17</f>
        <v>3510016.67</v>
      </c>
      <c r="AD11" s="361">
        <f>+'P -Ardh Analiz '!N19+'P -Ardh Analiz '!J19</f>
        <v>3510016.67</v>
      </c>
      <c r="AE11" s="361">
        <f t="shared" si="0"/>
        <v>0</v>
      </c>
      <c r="AF11" s="361"/>
      <c r="AH11" s="687"/>
      <c r="AI11" s="687"/>
    </row>
    <row r="12" spans="1:35" ht="12.75" customHeight="1">
      <c r="A12" s="181">
        <v>7</v>
      </c>
      <c r="B12" s="1225">
        <v>413</v>
      </c>
      <c r="C12" s="1225">
        <v>84889763</v>
      </c>
      <c r="D12" s="926" t="s">
        <v>1038</v>
      </c>
      <c r="E12" s="926" t="s">
        <v>995</v>
      </c>
      <c r="F12" s="926" t="s">
        <v>997</v>
      </c>
      <c r="G12" s="890" t="s">
        <v>1253</v>
      </c>
      <c r="H12" s="925">
        <v>245692</v>
      </c>
      <c r="J12" s="181">
        <v>7</v>
      </c>
      <c r="K12" s="311"/>
      <c r="L12" s="311"/>
      <c r="M12" s="311"/>
      <c r="N12" s="311"/>
      <c r="O12" s="311"/>
      <c r="P12" s="311"/>
      <c r="Q12" s="683"/>
      <c r="R12" s="141"/>
      <c r="S12" s="181">
        <v>7</v>
      </c>
      <c r="T12" s="923">
        <v>10</v>
      </c>
      <c r="U12" s="923">
        <v>72425664</v>
      </c>
      <c r="V12" s="924">
        <v>40569</v>
      </c>
      <c r="W12" s="923" t="s">
        <v>987</v>
      </c>
      <c r="X12" s="923" t="s">
        <v>988</v>
      </c>
      <c r="Y12" s="887" t="s">
        <v>914</v>
      </c>
      <c r="Z12" s="925">
        <v>256000</v>
      </c>
      <c r="AB12" s="669" t="s">
        <v>179</v>
      </c>
      <c r="AC12" s="669">
        <f>+Z145+Q19+H44</f>
        <v>2174861.34</v>
      </c>
      <c r="AD12" s="361">
        <f>+'P -Ardh Analiz '!N20+'P -Ardh Analiz '!J20</f>
        <v>2174860.34</v>
      </c>
      <c r="AE12" s="361">
        <f t="shared" si="0"/>
        <v>1</v>
      </c>
      <c r="AF12" s="361"/>
      <c r="AH12" s="687"/>
      <c r="AI12" s="687"/>
    </row>
    <row r="13" spans="1:35" ht="12.75" customHeight="1">
      <c r="A13" s="691">
        <v>8</v>
      </c>
      <c r="B13" s="1225">
        <v>8</v>
      </c>
      <c r="C13" s="1225">
        <v>84240408</v>
      </c>
      <c r="D13" s="926" t="s">
        <v>1028</v>
      </c>
      <c r="E13" s="926" t="s">
        <v>998</v>
      </c>
      <c r="F13" s="926" t="s">
        <v>999</v>
      </c>
      <c r="G13" s="890" t="s">
        <v>1298</v>
      </c>
      <c r="H13" s="925">
        <v>325000</v>
      </c>
      <c r="J13" s="181">
        <v>8</v>
      </c>
      <c r="K13" s="2114" t="s">
        <v>176</v>
      </c>
      <c r="L13" s="2114"/>
      <c r="M13" s="2114"/>
      <c r="N13" s="2114"/>
      <c r="O13" s="2114"/>
      <c r="P13" s="2114"/>
      <c r="Q13" s="619">
        <f>SUM(Q12)</f>
        <v>0</v>
      </c>
      <c r="R13" s="141"/>
      <c r="S13" s="181">
        <v>8</v>
      </c>
      <c r="T13" s="923">
        <v>13</v>
      </c>
      <c r="U13" s="923">
        <v>84196562</v>
      </c>
      <c r="V13" s="924">
        <v>40558</v>
      </c>
      <c r="W13" s="923" t="s">
        <v>989</v>
      </c>
      <c r="X13" s="923" t="s">
        <v>991</v>
      </c>
      <c r="Y13" s="887" t="s">
        <v>1295</v>
      </c>
      <c r="Z13" s="925">
        <v>106000</v>
      </c>
      <c r="AB13" s="361" t="s">
        <v>180</v>
      </c>
      <c r="AC13" s="361">
        <f>+Z165+H49+Q21</f>
        <v>6229179.8799999999</v>
      </c>
      <c r="AD13" s="361">
        <f>+'P -Ardh Analiz '!N21+'P -Ardh Analiz '!J21</f>
        <v>6229179.8799999999</v>
      </c>
      <c r="AE13" s="361">
        <f t="shared" si="0"/>
        <v>0</v>
      </c>
      <c r="AF13" s="361"/>
      <c r="AH13" s="687"/>
      <c r="AI13" s="687"/>
    </row>
    <row r="14" spans="1:35" ht="12.75" customHeight="1">
      <c r="A14" s="181">
        <v>9</v>
      </c>
      <c r="B14" s="2114" t="s">
        <v>174</v>
      </c>
      <c r="C14" s="2114"/>
      <c r="D14" s="2114"/>
      <c r="E14" s="2114"/>
      <c r="F14" s="2114"/>
      <c r="G14" s="2114"/>
      <c r="H14" s="619">
        <f>SUM(H10:H13)</f>
        <v>1053192</v>
      </c>
      <c r="I14" s="712"/>
      <c r="J14" s="181">
        <v>9</v>
      </c>
      <c r="K14" s="311"/>
      <c r="L14" s="311"/>
      <c r="M14" s="311"/>
      <c r="N14" s="311"/>
      <c r="O14" s="311"/>
      <c r="P14" s="311"/>
      <c r="Q14" s="683"/>
      <c r="R14" s="141"/>
      <c r="S14" s="181">
        <v>9</v>
      </c>
      <c r="T14" s="923">
        <v>232</v>
      </c>
      <c r="U14" s="923">
        <v>72618582</v>
      </c>
      <c r="V14" s="924">
        <v>40569</v>
      </c>
      <c r="W14" s="923" t="s">
        <v>992</v>
      </c>
      <c r="X14" s="923" t="s">
        <v>994</v>
      </c>
      <c r="Y14" s="887" t="s">
        <v>1296</v>
      </c>
      <c r="Z14" s="925">
        <v>329960</v>
      </c>
      <c r="AB14" s="361" t="s">
        <v>181</v>
      </c>
      <c r="AC14" s="361">
        <f>+Z181+H51+Q23</f>
        <v>2006639</v>
      </c>
      <c r="AD14" s="361">
        <f>+'P -Ardh Analiz '!N22+'P -Ardh Analiz '!J22</f>
        <v>2006639</v>
      </c>
      <c r="AE14" s="361">
        <f t="shared" si="0"/>
        <v>0</v>
      </c>
      <c r="AF14" s="361"/>
      <c r="AH14" s="687"/>
      <c r="AI14" s="687"/>
    </row>
    <row r="15" spans="1:35" ht="12.75" customHeight="1">
      <c r="A15" s="181">
        <v>10</v>
      </c>
      <c r="B15" s="1224">
        <v>102</v>
      </c>
      <c r="C15" s="1224">
        <v>85276555</v>
      </c>
      <c r="D15" s="311" t="s">
        <v>1061</v>
      </c>
      <c r="E15" s="311" t="s">
        <v>1062</v>
      </c>
      <c r="F15" s="311" t="s">
        <v>1063</v>
      </c>
      <c r="G15" s="311" t="s">
        <v>1309</v>
      </c>
      <c r="H15" s="683">
        <v>591250</v>
      </c>
      <c r="I15" s="712"/>
      <c r="J15" s="181">
        <v>10</v>
      </c>
      <c r="K15" s="2114" t="s">
        <v>177</v>
      </c>
      <c r="L15" s="2114"/>
      <c r="M15" s="2114"/>
      <c r="N15" s="2114"/>
      <c r="O15" s="2114"/>
      <c r="P15" s="2114"/>
      <c r="Q15" s="619">
        <f>SUM(Q14)</f>
        <v>0</v>
      </c>
      <c r="R15" s="141"/>
      <c r="S15" s="181">
        <v>10</v>
      </c>
      <c r="T15" s="923">
        <v>374</v>
      </c>
      <c r="U15" s="923">
        <v>70519445</v>
      </c>
      <c r="V15" s="924">
        <v>40554</v>
      </c>
      <c r="W15" s="923" t="s">
        <v>983</v>
      </c>
      <c r="X15" s="923" t="s">
        <v>984</v>
      </c>
      <c r="Y15" s="887" t="s">
        <v>1239</v>
      </c>
      <c r="Z15" s="925">
        <v>192000</v>
      </c>
      <c r="AB15" s="361" t="s">
        <v>182</v>
      </c>
      <c r="AC15" s="361">
        <f>+Z197+Q25+H53</f>
        <v>10232819.829</v>
      </c>
      <c r="AD15" s="361">
        <f>+'P -Ardh Analiz '!N23+'P -Ardh Analiz '!J23</f>
        <v>10347256</v>
      </c>
      <c r="AE15" s="361">
        <f t="shared" si="0"/>
        <v>-114436.17100000009</v>
      </c>
      <c r="AF15" s="361">
        <f>+AE15+S!U17</f>
        <v>1.4095000006491318</v>
      </c>
      <c r="AH15" s="687"/>
      <c r="AI15" s="687"/>
    </row>
    <row r="16" spans="1:35" ht="12.75" customHeight="1">
      <c r="A16" s="691">
        <v>11</v>
      </c>
      <c r="B16" s="1219">
        <v>746</v>
      </c>
      <c r="C16" s="1219">
        <v>84685555</v>
      </c>
      <c r="D16" s="182" t="s">
        <v>1055</v>
      </c>
      <c r="E16" s="182" t="s">
        <v>985</v>
      </c>
      <c r="F16" s="182" t="s">
        <v>986</v>
      </c>
      <c r="G16" s="182" t="s">
        <v>1308</v>
      </c>
      <c r="H16" s="683">
        <v>249173</v>
      </c>
      <c r="J16" s="181">
        <v>11</v>
      </c>
      <c r="K16" s="311"/>
      <c r="L16" s="311"/>
      <c r="M16" s="311"/>
      <c r="N16" s="311"/>
      <c r="O16" s="311"/>
      <c r="P16" s="311"/>
      <c r="Q16" s="683"/>
      <c r="R16" s="141"/>
      <c r="S16" s="181">
        <v>11</v>
      </c>
      <c r="T16" s="923">
        <v>377</v>
      </c>
      <c r="U16" s="923">
        <v>70519448</v>
      </c>
      <c r="V16" s="924">
        <v>40562</v>
      </c>
      <c r="W16" s="923" t="s">
        <v>983</v>
      </c>
      <c r="X16" s="923" t="s">
        <v>984</v>
      </c>
      <c r="Y16" s="887" t="s">
        <v>1233</v>
      </c>
      <c r="Z16" s="925">
        <v>99200</v>
      </c>
      <c r="AB16" s="361" t="s">
        <v>183</v>
      </c>
      <c r="AC16" s="361">
        <f>+Z205+Q27+H55</f>
        <v>1524095</v>
      </c>
      <c r="AD16" s="361">
        <f>+'P -Ardh Analiz '!N24+'P -Ardh Analiz '!J24</f>
        <v>1524096</v>
      </c>
      <c r="AE16" s="361">
        <f t="shared" si="0"/>
        <v>-1</v>
      </c>
      <c r="AF16" s="361"/>
      <c r="AH16" s="687"/>
      <c r="AI16" s="687"/>
    </row>
    <row r="17" spans="1:35" ht="12.75" customHeight="1" thickBot="1">
      <c r="A17" s="181">
        <v>12</v>
      </c>
      <c r="B17" s="1219">
        <v>124</v>
      </c>
      <c r="C17" s="1219">
        <v>84685533</v>
      </c>
      <c r="D17" s="182" t="s">
        <v>1072</v>
      </c>
      <c r="E17" s="182" t="s">
        <v>985</v>
      </c>
      <c r="F17" s="182" t="s">
        <v>986</v>
      </c>
      <c r="G17" s="182" t="s">
        <v>1307</v>
      </c>
      <c r="H17" s="683">
        <v>242149</v>
      </c>
      <c r="J17" s="181">
        <v>12</v>
      </c>
      <c r="K17" s="2114" t="s">
        <v>178</v>
      </c>
      <c r="L17" s="2114"/>
      <c r="M17" s="2114"/>
      <c r="N17" s="2114"/>
      <c r="O17" s="2114"/>
      <c r="P17" s="2114"/>
      <c r="Q17" s="619">
        <f>SUM(Q16)</f>
        <v>0</v>
      </c>
      <c r="R17" s="141"/>
      <c r="S17" s="181">
        <v>12</v>
      </c>
      <c r="T17" s="923">
        <v>216</v>
      </c>
      <c r="U17" s="923">
        <v>84660916</v>
      </c>
      <c r="V17" s="924">
        <v>40571</v>
      </c>
      <c r="W17" s="923" t="s">
        <v>995</v>
      </c>
      <c r="X17" s="923" t="s">
        <v>997</v>
      </c>
      <c r="Y17" s="887" t="s">
        <v>1234</v>
      </c>
      <c r="Z17" s="925">
        <v>234998</v>
      </c>
      <c r="AB17" s="361" t="s">
        <v>184</v>
      </c>
      <c r="AC17" s="361">
        <f>+Z210++Q29+H57</f>
        <v>1036392.0977</v>
      </c>
      <c r="AD17" s="361">
        <f>+'P -Ardh Analiz '!N25+'P -Ardh Analiz '!J25</f>
        <v>1036392.097</v>
      </c>
      <c r="AE17" s="361">
        <f t="shared" si="0"/>
        <v>7.0000009145587683E-4</v>
      </c>
      <c r="AF17" s="361"/>
      <c r="AH17" s="687"/>
      <c r="AI17" s="687"/>
    </row>
    <row r="18" spans="1:35" ht="12.75" customHeight="1" thickBot="1">
      <c r="A18" s="181">
        <v>13</v>
      </c>
      <c r="B18" s="1219">
        <v>34</v>
      </c>
      <c r="C18" s="1219">
        <v>84783184</v>
      </c>
      <c r="D18" s="182" t="s">
        <v>1045</v>
      </c>
      <c r="E18" s="182" t="s">
        <v>1046</v>
      </c>
      <c r="F18" s="182" t="s">
        <v>1047</v>
      </c>
      <c r="G18" s="182" t="s">
        <v>1306</v>
      </c>
      <c r="H18" s="683">
        <v>1422452</v>
      </c>
      <c r="J18" s="181">
        <v>13</v>
      </c>
      <c r="K18" s="311"/>
      <c r="L18" s="311"/>
      <c r="M18" s="311"/>
      <c r="N18" s="311"/>
      <c r="O18" s="311"/>
      <c r="P18" s="311"/>
      <c r="Q18" s="683"/>
      <c r="R18" s="141"/>
      <c r="S18" s="181">
        <v>13</v>
      </c>
      <c r="T18" s="923">
        <v>999</v>
      </c>
      <c r="U18" s="923">
        <v>84332999</v>
      </c>
      <c r="V18" s="924">
        <v>40572</v>
      </c>
      <c r="W18" s="923" t="s">
        <v>979</v>
      </c>
      <c r="X18" s="923" t="s">
        <v>980</v>
      </c>
      <c r="Y18" s="887" t="s">
        <v>1297</v>
      </c>
      <c r="Z18" s="925">
        <v>173422</v>
      </c>
      <c r="AB18" s="361"/>
      <c r="AC18" s="938">
        <f>SUM(AC6:AC17)</f>
        <v>49896018.536699995</v>
      </c>
      <c r="AD18" s="939">
        <f>SUM(AD6:AD17)</f>
        <v>50004795.707000002</v>
      </c>
      <c r="AE18" s="940">
        <f>SUM(AE6:AE17)</f>
        <v>-108777.1703</v>
      </c>
      <c r="AF18" s="361"/>
      <c r="AH18" s="687"/>
      <c r="AI18" s="687"/>
    </row>
    <row r="19" spans="1:35" ht="12.75" customHeight="1">
      <c r="A19" s="691">
        <v>14</v>
      </c>
      <c r="B19" s="1219">
        <v>30</v>
      </c>
      <c r="C19" s="1219">
        <v>84783180</v>
      </c>
      <c r="D19" s="182" t="s">
        <v>1050</v>
      </c>
      <c r="E19" s="182" t="s">
        <v>1046</v>
      </c>
      <c r="F19" s="182" t="s">
        <v>1047</v>
      </c>
      <c r="G19" s="182" t="s">
        <v>1306</v>
      </c>
      <c r="H19" s="683">
        <v>1668280</v>
      </c>
      <c r="J19" s="181">
        <v>14</v>
      </c>
      <c r="K19" s="2114" t="s">
        <v>179</v>
      </c>
      <c r="L19" s="2114"/>
      <c r="M19" s="2114"/>
      <c r="N19" s="2114"/>
      <c r="O19" s="2114"/>
      <c r="P19" s="2114"/>
      <c r="Q19" s="619">
        <f>SUM(Q18)</f>
        <v>0</v>
      </c>
      <c r="R19" s="141"/>
      <c r="S19" s="181">
        <v>14</v>
      </c>
      <c r="T19" s="923">
        <v>6</v>
      </c>
      <c r="U19" s="923">
        <v>84240406</v>
      </c>
      <c r="V19" s="924">
        <v>40562</v>
      </c>
      <c r="W19" s="923" t="s">
        <v>998</v>
      </c>
      <c r="X19" s="923" t="s">
        <v>999</v>
      </c>
      <c r="Y19" s="887" t="s">
        <v>1299</v>
      </c>
      <c r="Z19" s="925">
        <v>1638</v>
      </c>
      <c r="AB19" s="361"/>
      <c r="AF19" s="361"/>
      <c r="AH19" s="687"/>
      <c r="AI19" s="687"/>
    </row>
    <row r="20" spans="1:35" ht="12.75" customHeight="1">
      <c r="A20" s="181">
        <v>15</v>
      </c>
      <c r="B20" s="1219">
        <v>544</v>
      </c>
      <c r="C20" s="1219">
        <v>84889894</v>
      </c>
      <c r="D20" s="182" t="s">
        <v>958</v>
      </c>
      <c r="E20" s="182" t="s">
        <v>995</v>
      </c>
      <c r="F20" s="182" t="s">
        <v>997</v>
      </c>
      <c r="G20" s="182" t="s">
        <v>1253</v>
      </c>
      <c r="H20" s="683">
        <v>246247.7</v>
      </c>
      <c r="J20" s="181">
        <v>17</v>
      </c>
      <c r="K20" s="1216">
        <v>79</v>
      </c>
      <c r="L20" s="1216">
        <v>87217879</v>
      </c>
      <c r="M20" s="1217" t="s">
        <v>1660</v>
      </c>
      <c r="N20" s="1217" t="s">
        <v>1656</v>
      </c>
      <c r="O20" s="1217" t="s">
        <v>1657</v>
      </c>
      <c r="P20" s="311" t="s">
        <v>1608</v>
      </c>
      <c r="Q20" s="683">
        <v>98000</v>
      </c>
      <c r="R20" s="141"/>
      <c r="S20" s="181">
        <v>15</v>
      </c>
      <c r="T20" s="923">
        <v>4</v>
      </c>
      <c r="U20" s="923">
        <v>84240404</v>
      </c>
      <c r="V20" s="924">
        <v>40549</v>
      </c>
      <c r="W20" s="923" t="s">
        <v>998</v>
      </c>
      <c r="X20" s="923" t="s">
        <v>999</v>
      </c>
      <c r="Y20" s="887" t="s">
        <v>1299</v>
      </c>
      <c r="Z20" s="925">
        <v>2730</v>
      </c>
      <c r="AB20" s="361"/>
      <c r="AF20" s="361"/>
      <c r="AH20" s="687"/>
      <c r="AI20" s="687"/>
    </row>
    <row r="21" spans="1:35" ht="12.75" customHeight="1">
      <c r="A21" s="181">
        <v>16</v>
      </c>
      <c r="B21" s="1224">
        <v>104</v>
      </c>
      <c r="C21" s="1224">
        <v>85276557</v>
      </c>
      <c r="D21" s="311" t="s">
        <v>1066</v>
      </c>
      <c r="E21" s="311" t="s">
        <v>1062</v>
      </c>
      <c r="F21" s="311" t="s">
        <v>1063</v>
      </c>
      <c r="G21" s="311" t="s">
        <v>1309</v>
      </c>
      <c r="H21" s="683">
        <v>212850</v>
      </c>
      <c r="J21" s="181">
        <v>18</v>
      </c>
      <c r="K21" s="2114" t="s">
        <v>180</v>
      </c>
      <c r="L21" s="2114"/>
      <c r="M21" s="2114"/>
      <c r="N21" s="2114"/>
      <c r="O21" s="2114"/>
      <c r="P21" s="2114"/>
      <c r="Q21" s="619">
        <f>SUM(Q20:Q20)</f>
        <v>98000</v>
      </c>
      <c r="R21" s="141"/>
      <c r="S21" s="181">
        <v>16</v>
      </c>
      <c r="T21" s="923">
        <v>55</v>
      </c>
      <c r="U21" s="923">
        <v>83846857</v>
      </c>
      <c r="V21" s="924">
        <v>40549</v>
      </c>
      <c r="W21" s="923" t="s">
        <v>1000</v>
      </c>
      <c r="X21" s="923" t="s">
        <v>1001</v>
      </c>
      <c r="Y21" s="887" t="s">
        <v>965</v>
      </c>
      <c r="Z21" s="925">
        <v>133533</v>
      </c>
      <c r="AB21" s="361"/>
      <c r="AF21" s="361"/>
      <c r="AH21" s="687"/>
      <c r="AI21" s="687"/>
    </row>
    <row r="22" spans="1:35" ht="12.75" customHeight="1">
      <c r="A22" s="691">
        <v>17</v>
      </c>
      <c r="B22" s="2114" t="s">
        <v>175</v>
      </c>
      <c r="C22" s="2114"/>
      <c r="D22" s="2114"/>
      <c r="E22" s="2114"/>
      <c r="F22" s="2114"/>
      <c r="G22" s="2114"/>
      <c r="H22" s="619">
        <f>SUM(H15:H21)</f>
        <v>4632401.7</v>
      </c>
      <c r="J22" s="181">
        <v>19</v>
      </c>
      <c r="K22" s="311"/>
      <c r="L22" s="311"/>
      <c r="M22" s="311"/>
      <c r="N22" s="311"/>
      <c r="O22" s="311"/>
      <c r="P22" s="311"/>
      <c r="Q22" s="683"/>
      <c r="R22" s="141"/>
      <c r="S22" s="181">
        <v>17</v>
      </c>
      <c r="T22" s="2114" t="s">
        <v>959</v>
      </c>
      <c r="U22" s="2114"/>
      <c r="V22" s="2114"/>
      <c r="W22" s="2114"/>
      <c r="X22" s="2114"/>
      <c r="Y22" s="2114"/>
      <c r="Z22" s="619">
        <f>SUM(Z6:Z21)</f>
        <v>2332133</v>
      </c>
      <c r="AH22" s="687"/>
      <c r="AI22" s="687"/>
    </row>
    <row r="23" spans="1:35" ht="12.75" customHeight="1">
      <c r="A23" s="181">
        <v>18</v>
      </c>
      <c r="B23" s="311">
        <v>21</v>
      </c>
      <c r="C23" s="311">
        <v>84057871</v>
      </c>
      <c r="D23" s="311">
        <v>40640</v>
      </c>
      <c r="E23" s="311" t="s">
        <v>1076</v>
      </c>
      <c r="F23" s="311" t="s">
        <v>1077</v>
      </c>
      <c r="G23" s="311" t="s">
        <v>1314</v>
      </c>
      <c r="H23" s="683">
        <v>375082</v>
      </c>
      <c r="J23" s="181">
        <v>20</v>
      </c>
      <c r="K23" s="2114" t="s">
        <v>181</v>
      </c>
      <c r="L23" s="2114"/>
      <c r="M23" s="2114"/>
      <c r="N23" s="2114"/>
      <c r="O23" s="2114"/>
      <c r="P23" s="2114"/>
      <c r="Q23" s="619">
        <f>SUM(Q22)</f>
        <v>0</v>
      </c>
      <c r="R23" s="141"/>
      <c r="S23" s="181">
        <v>18</v>
      </c>
      <c r="T23" s="1225">
        <v>65</v>
      </c>
      <c r="U23" s="1225">
        <v>84196614</v>
      </c>
      <c r="V23" s="926" t="s">
        <v>953</v>
      </c>
      <c r="W23" s="926" t="s">
        <v>989</v>
      </c>
      <c r="X23" s="926" t="s">
        <v>991</v>
      </c>
      <c r="Y23" s="890" t="s">
        <v>1301</v>
      </c>
      <c r="Z23" s="925">
        <v>84000</v>
      </c>
      <c r="AH23" s="687"/>
      <c r="AI23" s="687"/>
    </row>
    <row r="24" spans="1:35" ht="12.75" customHeight="1">
      <c r="A24" s="181">
        <v>19</v>
      </c>
      <c r="B24" s="311">
        <v>134</v>
      </c>
      <c r="C24" s="311">
        <v>85276587</v>
      </c>
      <c r="D24" s="311">
        <v>40641</v>
      </c>
      <c r="E24" s="311" t="s">
        <v>1078</v>
      </c>
      <c r="F24" s="311" t="s">
        <v>1063</v>
      </c>
      <c r="G24" s="311" t="s">
        <v>1309</v>
      </c>
      <c r="H24" s="683">
        <v>321200</v>
      </c>
      <c r="J24" s="181">
        <v>21</v>
      </c>
      <c r="K24" s="311"/>
      <c r="L24" s="311"/>
      <c r="M24" s="311"/>
      <c r="N24" s="311"/>
      <c r="O24" s="311"/>
      <c r="P24" s="311"/>
      <c r="Q24" s="683"/>
      <c r="R24" s="141"/>
      <c r="S24" s="181">
        <v>19</v>
      </c>
      <c r="T24" s="1225">
        <v>396</v>
      </c>
      <c r="U24" s="1225">
        <v>84782817</v>
      </c>
      <c r="V24" s="926" t="s">
        <v>955</v>
      </c>
      <c r="W24" s="926" t="s">
        <v>983</v>
      </c>
      <c r="X24" s="926" t="s">
        <v>984</v>
      </c>
      <c r="Y24" s="890" t="s">
        <v>1239</v>
      </c>
      <c r="Z24" s="925">
        <v>208000</v>
      </c>
      <c r="AH24" s="687"/>
      <c r="AI24" s="687"/>
    </row>
    <row r="25" spans="1:35" ht="12.75" customHeight="1">
      <c r="A25" s="691">
        <v>20</v>
      </c>
      <c r="B25" s="182">
        <v>769</v>
      </c>
      <c r="C25" s="182">
        <v>85762969</v>
      </c>
      <c r="D25" s="182">
        <v>40639</v>
      </c>
      <c r="E25" s="182" t="s">
        <v>995</v>
      </c>
      <c r="F25" s="182" t="s">
        <v>997</v>
      </c>
      <c r="G25" s="182" t="s">
        <v>1312</v>
      </c>
      <c r="H25" s="683">
        <v>121688</v>
      </c>
      <c r="J25" s="181">
        <v>22</v>
      </c>
      <c r="K25" s="2114" t="s">
        <v>182</v>
      </c>
      <c r="L25" s="2114"/>
      <c r="M25" s="2114"/>
      <c r="N25" s="2114"/>
      <c r="O25" s="2114"/>
      <c r="P25" s="2114"/>
      <c r="Q25" s="619">
        <f>SUM(Q24)</f>
        <v>0</v>
      </c>
      <c r="R25" s="141"/>
      <c r="S25" s="181">
        <v>20</v>
      </c>
      <c r="T25" s="1225">
        <v>8</v>
      </c>
      <c r="U25" s="1225">
        <v>70512158</v>
      </c>
      <c r="V25" s="926" t="s">
        <v>954</v>
      </c>
      <c r="W25" s="926" t="s">
        <v>1010</v>
      </c>
      <c r="X25" s="926" t="s">
        <v>1011</v>
      </c>
      <c r="Y25" s="890" t="s">
        <v>1228</v>
      </c>
      <c r="Z25" s="925">
        <v>949133.83</v>
      </c>
      <c r="AH25" s="687"/>
      <c r="AI25" s="687"/>
    </row>
    <row r="26" spans="1:35" ht="12.75" customHeight="1">
      <c r="A26" s="181">
        <v>21</v>
      </c>
      <c r="B26" s="182">
        <v>169</v>
      </c>
      <c r="C26" s="182">
        <v>86485578</v>
      </c>
      <c r="D26" s="182">
        <v>40640</v>
      </c>
      <c r="E26" s="182" t="s">
        <v>1075</v>
      </c>
      <c r="F26" s="182" t="s">
        <v>986</v>
      </c>
      <c r="G26" s="182" t="s">
        <v>1313</v>
      </c>
      <c r="H26" s="683">
        <v>249491</v>
      </c>
      <c r="J26" s="181">
        <v>23</v>
      </c>
      <c r="K26" s="311"/>
      <c r="L26" s="311"/>
      <c r="M26" s="311"/>
      <c r="N26" s="311"/>
      <c r="O26" s="311"/>
      <c r="P26" s="311"/>
      <c r="Q26" s="683"/>
      <c r="R26" s="141"/>
      <c r="S26" s="181">
        <v>21</v>
      </c>
      <c r="T26" s="1225">
        <v>10</v>
      </c>
      <c r="U26" s="1225">
        <v>70512160</v>
      </c>
      <c r="V26" s="926" t="s">
        <v>1014</v>
      </c>
      <c r="W26" s="926" t="s">
        <v>1010</v>
      </c>
      <c r="X26" s="926" t="s">
        <v>1011</v>
      </c>
      <c r="Y26" s="890" t="s">
        <v>1228</v>
      </c>
      <c r="Z26" s="925">
        <v>1138960.6000000001</v>
      </c>
      <c r="AH26" s="687"/>
      <c r="AI26" s="687"/>
    </row>
    <row r="27" spans="1:35" ht="12.75" customHeight="1">
      <c r="A27" s="181">
        <v>22</v>
      </c>
      <c r="B27" s="182">
        <v>28</v>
      </c>
      <c r="C27" s="182">
        <v>70975079</v>
      </c>
      <c r="D27" s="182">
        <v>40642</v>
      </c>
      <c r="E27" s="182" t="s">
        <v>1079</v>
      </c>
      <c r="F27" s="182" t="s">
        <v>1080</v>
      </c>
      <c r="G27" s="182" t="s">
        <v>1315</v>
      </c>
      <c r="H27" s="683">
        <v>251000</v>
      </c>
      <c r="J27" s="181">
        <v>24</v>
      </c>
      <c r="K27" s="2114" t="s">
        <v>1945</v>
      </c>
      <c r="L27" s="2114"/>
      <c r="M27" s="2114"/>
      <c r="N27" s="2114"/>
      <c r="O27" s="2114"/>
      <c r="P27" s="2114"/>
      <c r="Q27" s="619">
        <f>SUM(Q26)</f>
        <v>0</v>
      </c>
      <c r="R27" s="141"/>
      <c r="S27" s="181">
        <v>22</v>
      </c>
      <c r="T27" s="1225">
        <v>9</v>
      </c>
      <c r="U27" s="1225">
        <v>70512159</v>
      </c>
      <c r="V27" s="926" t="s">
        <v>1017</v>
      </c>
      <c r="W27" s="926" t="s">
        <v>1010</v>
      </c>
      <c r="X27" s="926" t="s">
        <v>1011</v>
      </c>
      <c r="Y27" s="890" t="s">
        <v>1228</v>
      </c>
      <c r="Z27" s="925">
        <v>949133.83</v>
      </c>
      <c r="AH27" s="687"/>
      <c r="AI27" s="687"/>
    </row>
    <row r="28" spans="1:35" ht="12.75" customHeight="1">
      <c r="A28" s="691">
        <v>23</v>
      </c>
      <c r="B28" s="182">
        <v>178</v>
      </c>
      <c r="C28" s="182">
        <v>84685587</v>
      </c>
      <c r="D28" s="182">
        <v>40645</v>
      </c>
      <c r="E28" s="182" t="s">
        <v>1075</v>
      </c>
      <c r="F28" s="182" t="s">
        <v>986</v>
      </c>
      <c r="G28" s="182" t="s">
        <v>1313</v>
      </c>
      <c r="H28" s="683">
        <v>249997</v>
      </c>
      <c r="J28" s="181">
        <v>25</v>
      </c>
      <c r="K28" s="311"/>
      <c r="L28" s="311"/>
      <c r="M28" s="311"/>
      <c r="N28" s="311"/>
      <c r="O28" s="311"/>
      <c r="P28" s="311"/>
      <c r="Q28" s="683"/>
      <c r="R28" s="141"/>
      <c r="S28" s="181">
        <v>23</v>
      </c>
      <c r="T28" s="1225">
        <v>11</v>
      </c>
      <c r="U28" s="1225">
        <v>70512161</v>
      </c>
      <c r="V28" s="926" t="s">
        <v>956</v>
      </c>
      <c r="W28" s="926" t="s">
        <v>1010</v>
      </c>
      <c r="X28" s="926" t="s">
        <v>1011</v>
      </c>
      <c r="Y28" s="890" t="s">
        <v>1228</v>
      </c>
      <c r="Z28" s="925">
        <v>759307</v>
      </c>
      <c r="AH28" s="687"/>
      <c r="AI28" s="687"/>
    </row>
    <row r="29" spans="1:35" ht="12.75" customHeight="1" thickBot="1">
      <c r="A29" s="181">
        <v>24</v>
      </c>
      <c r="B29" s="182">
        <v>193</v>
      </c>
      <c r="C29" s="182">
        <v>84685602</v>
      </c>
      <c r="D29" s="182">
        <v>40656</v>
      </c>
      <c r="E29" s="182" t="s">
        <v>1075</v>
      </c>
      <c r="F29" s="182" t="s">
        <v>986</v>
      </c>
      <c r="G29" s="182" t="s">
        <v>1316</v>
      </c>
      <c r="H29" s="683">
        <v>210304</v>
      </c>
      <c r="J29" s="726">
        <v>26</v>
      </c>
      <c r="K29" s="2113" t="s">
        <v>184</v>
      </c>
      <c r="L29" s="2113"/>
      <c r="M29" s="2113"/>
      <c r="N29" s="2113"/>
      <c r="O29" s="2113"/>
      <c r="P29" s="2113"/>
      <c r="Q29" s="1223">
        <f>SUM(Q28)</f>
        <v>0</v>
      </c>
      <c r="R29" s="141"/>
      <c r="S29" s="181">
        <v>24</v>
      </c>
      <c r="T29" s="1225">
        <v>902</v>
      </c>
      <c r="U29" s="1225">
        <v>52644036</v>
      </c>
      <c r="V29" s="926" t="s">
        <v>1022</v>
      </c>
      <c r="W29" s="926" t="s">
        <v>1023</v>
      </c>
      <c r="X29" s="926" t="s">
        <v>1024</v>
      </c>
      <c r="Y29" s="890" t="s">
        <v>1302</v>
      </c>
      <c r="Z29" s="925">
        <v>253008.76</v>
      </c>
      <c r="AH29" s="687"/>
      <c r="AI29" s="687"/>
    </row>
    <row r="30" spans="1:35" ht="12.75" customHeight="1">
      <c r="A30" s="181">
        <v>25</v>
      </c>
      <c r="B30" s="182">
        <v>671</v>
      </c>
      <c r="C30" s="182">
        <v>85762871</v>
      </c>
      <c r="D30" s="182">
        <v>40627</v>
      </c>
      <c r="E30" s="182" t="s">
        <v>995</v>
      </c>
      <c r="F30" s="182" t="s">
        <v>997</v>
      </c>
      <c r="G30" s="182" t="s">
        <v>1253</v>
      </c>
      <c r="H30" s="683">
        <v>242422</v>
      </c>
      <c r="J30" s="43"/>
      <c r="K30" s="90"/>
      <c r="L30" s="90"/>
      <c r="M30" s="90"/>
      <c r="N30" s="90"/>
      <c r="O30" s="90"/>
      <c r="P30" s="90"/>
      <c r="Q30" s="141"/>
      <c r="S30" s="181">
        <v>25</v>
      </c>
      <c r="T30" s="1225">
        <v>8</v>
      </c>
      <c r="U30" s="1225">
        <v>84240408</v>
      </c>
      <c r="V30" s="926" t="s">
        <v>1028</v>
      </c>
      <c r="W30" s="926" t="s">
        <v>998</v>
      </c>
      <c r="X30" s="926" t="s">
        <v>999</v>
      </c>
      <c r="Y30" s="890" t="s">
        <v>1304</v>
      </c>
      <c r="Z30" s="925">
        <v>2730</v>
      </c>
      <c r="AH30" s="687"/>
      <c r="AI30" s="687"/>
    </row>
    <row r="31" spans="1:35" ht="12.75" customHeight="1">
      <c r="A31" s="691">
        <v>26</v>
      </c>
      <c r="B31" s="182">
        <v>23</v>
      </c>
      <c r="C31" s="182">
        <v>84133023</v>
      </c>
      <c r="D31" s="182">
        <v>40661</v>
      </c>
      <c r="E31" s="182" t="s">
        <v>1090</v>
      </c>
      <c r="F31" s="182" t="s">
        <v>1091</v>
      </c>
      <c r="G31" s="182" t="s">
        <v>1318</v>
      </c>
      <c r="H31" s="683">
        <v>125400</v>
      </c>
      <c r="J31" s="43"/>
      <c r="K31" s="90"/>
      <c r="L31" s="90"/>
      <c r="M31" s="90"/>
      <c r="N31" s="90"/>
      <c r="O31" s="90"/>
      <c r="P31" s="90"/>
      <c r="Q31" s="141"/>
      <c r="S31" s="181">
        <v>26</v>
      </c>
      <c r="T31" s="1225">
        <v>172</v>
      </c>
      <c r="U31" s="1225">
        <v>70365988</v>
      </c>
      <c r="V31" s="926" t="s">
        <v>1033</v>
      </c>
      <c r="W31" s="926" t="s">
        <v>1034</v>
      </c>
      <c r="X31" s="926" t="s">
        <v>1035</v>
      </c>
      <c r="Y31" s="890" t="s">
        <v>1254</v>
      </c>
      <c r="Z31" s="925">
        <v>47600</v>
      </c>
      <c r="AH31" s="687"/>
      <c r="AI31" s="687"/>
    </row>
    <row r="32" spans="1:35" ht="12.75" customHeight="1">
      <c r="A32" s="181">
        <v>27</v>
      </c>
      <c r="B32" s="311">
        <v>15</v>
      </c>
      <c r="C32" s="311">
        <v>84240415</v>
      </c>
      <c r="D32" s="311">
        <v>40651</v>
      </c>
      <c r="E32" s="311" t="s">
        <v>1087</v>
      </c>
      <c r="F32" s="311" t="s">
        <v>999</v>
      </c>
      <c r="G32" s="311" t="s">
        <v>1243</v>
      </c>
      <c r="H32" s="683">
        <v>225000</v>
      </c>
      <c r="J32" s="43"/>
      <c r="K32" s="90"/>
      <c r="L32" s="90"/>
      <c r="M32" s="90"/>
      <c r="N32" s="90"/>
      <c r="O32" s="90"/>
      <c r="P32" s="90"/>
      <c r="Q32" s="141"/>
      <c r="S32" s="181">
        <v>27</v>
      </c>
      <c r="T32" s="2114" t="s">
        <v>174</v>
      </c>
      <c r="U32" s="2114"/>
      <c r="V32" s="2114"/>
      <c r="W32" s="2114"/>
      <c r="X32" s="2114"/>
      <c r="Y32" s="2114"/>
      <c r="Z32" s="619">
        <f>SUM(Z23:Z31)</f>
        <v>4391874.0200000005</v>
      </c>
      <c r="AH32" s="687"/>
      <c r="AI32" s="687"/>
    </row>
    <row r="33" spans="1:35" ht="12.75" customHeight="1">
      <c r="A33" s="181">
        <v>28</v>
      </c>
      <c r="B33" s="311">
        <v>155</v>
      </c>
      <c r="C33" s="311">
        <v>85276708</v>
      </c>
      <c r="D33" s="311">
        <v>40656</v>
      </c>
      <c r="E33" s="311" t="s">
        <v>1078</v>
      </c>
      <c r="F33" s="311" t="s">
        <v>1063</v>
      </c>
      <c r="G33" s="311" t="s">
        <v>1309</v>
      </c>
      <c r="H33" s="683">
        <v>270050</v>
      </c>
      <c r="J33" s="43"/>
      <c r="K33" s="90"/>
      <c r="L33" s="90"/>
      <c r="M33" s="90"/>
      <c r="N33" s="90"/>
      <c r="O33" s="90"/>
      <c r="P33" s="90"/>
      <c r="Q33" s="141"/>
      <c r="S33" s="181">
        <v>28</v>
      </c>
      <c r="T33" s="1219">
        <v>357</v>
      </c>
      <c r="U33" s="1219">
        <v>84782838</v>
      </c>
      <c r="V33" s="182" t="s">
        <v>1042</v>
      </c>
      <c r="W33" s="182" t="s">
        <v>983</v>
      </c>
      <c r="X33" s="182" t="s">
        <v>984</v>
      </c>
      <c r="Y33" s="182" t="s">
        <v>1239</v>
      </c>
      <c r="Z33" s="103">
        <v>160000</v>
      </c>
      <c r="AH33" s="687"/>
      <c r="AI33" s="687"/>
    </row>
    <row r="34" spans="1:35" ht="12.75" customHeight="1">
      <c r="A34" s="691">
        <v>29</v>
      </c>
      <c r="B34" s="2114" t="s">
        <v>176</v>
      </c>
      <c r="C34" s="2114"/>
      <c r="D34" s="2114"/>
      <c r="E34" s="2114"/>
      <c r="F34" s="2114"/>
      <c r="G34" s="2114"/>
      <c r="H34" s="619">
        <f>SUM(H23:H33)</f>
        <v>2641634</v>
      </c>
      <c r="J34" s="43"/>
      <c r="K34" s="90"/>
      <c r="L34" s="90"/>
      <c r="M34" s="90"/>
      <c r="N34" s="90"/>
      <c r="O34" s="90"/>
      <c r="P34" s="90"/>
      <c r="Q34" s="141"/>
      <c r="S34" s="181">
        <v>29</v>
      </c>
      <c r="T34" s="1219">
        <v>1576</v>
      </c>
      <c r="U34" s="1219">
        <v>85400651</v>
      </c>
      <c r="V34" s="182" t="s">
        <v>1058</v>
      </c>
      <c r="W34" s="182" t="s">
        <v>1000</v>
      </c>
      <c r="X34" s="182" t="s">
        <v>1001</v>
      </c>
      <c r="Y34" s="182" t="s">
        <v>965</v>
      </c>
      <c r="Z34" s="103">
        <v>167133</v>
      </c>
      <c r="AE34" s="361" t="s">
        <v>1944</v>
      </c>
      <c r="AH34" s="687"/>
      <c r="AI34" s="687"/>
    </row>
    <row r="35" spans="1:35" ht="12.75" customHeight="1">
      <c r="A35" s="181">
        <v>30</v>
      </c>
      <c r="B35" s="311">
        <v>19</v>
      </c>
      <c r="C35" s="311">
        <v>84240419</v>
      </c>
      <c r="D35" s="311">
        <v>40683</v>
      </c>
      <c r="E35" s="311" t="s">
        <v>1092</v>
      </c>
      <c r="F35" s="311" t="s">
        <v>999</v>
      </c>
      <c r="G35" s="311" t="s">
        <v>1321</v>
      </c>
      <c r="H35" s="683">
        <v>225000</v>
      </c>
      <c r="J35" s="43"/>
      <c r="K35" s="90"/>
      <c r="L35" s="90"/>
      <c r="M35" s="90"/>
      <c r="N35" s="90"/>
      <c r="O35" s="90"/>
      <c r="P35" s="90"/>
      <c r="Q35" s="141"/>
      <c r="S35" s="181">
        <v>30</v>
      </c>
      <c r="T35" s="1219">
        <v>284</v>
      </c>
      <c r="U35" s="1219">
        <v>72642744</v>
      </c>
      <c r="V35" s="182" t="s">
        <v>953</v>
      </c>
      <c r="W35" s="182" t="s">
        <v>981</v>
      </c>
      <c r="X35" s="182" t="s">
        <v>982</v>
      </c>
      <c r="Y35" s="182" t="s">
        <v>1305</v>
      </c>
      <c r="Z35" s="103">
        <v>300000</v>
      </c>
      <c r="AH35" s="687"/>
      <c r="AI35" s="687"/>
    </row>
    <row r="36" spans="1:35" ht="12.75" customHeight="1">
      <c r="A36" s="181">
        <v>31</v>
      </c>
      <c r="B36" s="182">
        <v>199</v>
      </c>
      <c r="C36" s="182">
        <v>84685608</v>
      </c>
      <c r="D36" s="182">
        <v>40663</v>
      </c>
      <c r="E36" s="182" t="s">
        <v>985</v>
      </c>
      <c r="F36" s="182" t="s">
        <v>986</v>
      </c>
      <c r="G36" s="182" t="s">
        <v>1320</v>
      </c>
      <c r="H36" s="103">
        <v>138573</v>
      </c>
      <c r="J36" s="43"/>
      <c r="K36" s="43"/>
      <c r="L36" s="43"/>
      <c r="M36" s="43"/>
      <c r="N36" s="43"/>
      <c r="O36" s="43"/>
      <c r="P36" s="43"/>
      <c r="Q36" s="100"/>
      <c r="S36" s="181">
        <v>31</v>
      </c>
      <c r="T36" s="1219">
        <v>18</v>
      </c>
      <c r="U36" s="1219">
        <v>84242026</v>
      </c>
      <c r="V36" s="182" t="s">
        <v>1014</v>
      </c>
      <c r="W36" s="182" t="s">
        <v>977</v>
      </c>
      <c r="X36" s="182" t="s">
        <v>978</v>
      </c>
      <c r="Y36" s="182" t="s">
        <v>1310</v>
      </c>
      <c r="Z36" s="103">
        <v>42500</v>
      </c>
      <c r="AH36" s="687"/>
      <c r="AI36" s="687"/>
    </row>
    <row r="37" spans="1:35" ht="12.75" customHeight="1">
      <c r="A37" s="691">
        <v>32</v>
      </c>
      <c r="B37" s="182">
        <v>221</v>
      </c>
      <c r="C37" s="182">
        <v>84685630</v>
      </c>
      <c r="D37" s="182">
        <v>40673</v>
      </c>
      <c r="E37" s="182" t="s">
        <v>985</v>
      </c>
      <c r="F37" s="182" t="s">
        <v>986</v>
      </c>
      <c r="G37" s="182" t="s">
        <v>1326</v>
      </c>
      <c r="H37" s="103">
        <v>172109</v>
      </c>
      <c r="J37" s="43"/>
      <c r="K37" s="43"/>
      <c r="L37" s="43"/>
      <c r="M37" s="43"/>
      <c r="N37" s="43"/>
      <c r="O37" s="43"/>
      <c r="P37" s="43"/>
      <c r="Q37" s="100"/>
      <c r="S37" s="181">
        <v>32</v>
      </c>
      <c r="T37" s="2114" t="s">
        <v>175</v>
      </c>
      <c r="U37" s="2114"/>
      <c r="V37" s="2114"/>
      <c r="W37" s="2114"/>
      <c r="X37" s="2114"/>
      <c r="Y37" s="2114"/>
      <c r="Z37" s="619">
        <f>SUM(Z33:Z36)</f>
        <v>669633</v>
      </c>
      <c r="AH37" s="687"/>
      <c r="AI37" s="687"/>
    </row>
    <row r="38" spans="1:35" ht="12.75" customHeight="1">
      <c r="A38" s="181">
        <v>33</v>
      </c>
      <c r="B38" s="182">
        <v>1136</v>
      </c>
      <c r="C38" s="182">
        <v>86802436</v>
      </c>
      <c r="D38" s="182">
        <v>40681</v>
      </c>
      <c r="E38" s="182" t="s">
        <v>995</v>
      </c>
      <c r="F38" s="182" t="s">
        <v>997</v>
      </c>
      <c r="G38" s="182" t="s">
        <v>1312</v>
      </c>
      <c r="H38" s="103">
        <v>186557</v>
      </c>
      <c r="J38" s="43"/>
      <c r="K38" s="43"/>
      <c r="L38" s="43"/>
      <c r="M38" s="43"/>
      <c r="N38" s="43"/>
      <c r="O38" s="43"/>
      <c r="P38" s="43"/>
      <c r="Q38" s="100"/>
      <c r="S38" s="181">
        <v>33</v>
      </c>
      <c r="T38" s="182">
        <v>115</v>
      </c>
      <c r="U38" s="182">
        <v>86200514</v>
      </c>
      <c r="V38" s="182">
        <v>40634</v>
      </c>
      <c r="W38" s="182" t="s">
        <v>1074</v>
      </c>
      <c r="X38" s="182" t="s">
        <v>991</v>
      </c>
      <c r="Y38" s="182" t="s">
        <v>1311</v>
      </c>
      <c r="Z38" s="103">
        <v>91000</v>
      </c>
      <c r="AH38" s="687"/>
      <c r="AI38" s="687"/>
    </row>
    <row r="39" spans="1:35" ht="12.75" customHeight="1">
      <c r="A39" s="181">
        <v>34</v>
      </c>
      <c r="B39" s="2114" t="s">
        <v>177</v>
      </c>
      <c r="C39" s="2114"/>
      <c r="D39" s="2114"/>
      <c r="E39" s="2114"/>
      <c r="F39" s="2114"/>
      <c r="G39" s="2114"/>
      <c r="H39" s="619">
        <f>SUM(H35:H38)</f>
        <v>722239</v>
      </c>
      <c r="J39" s="43"/>
      <c r="K39" s="43"/>
      <c r="L39" s="43"/>
      <c r="M39" s="43"/>
      <c r="N39" s="43"/>
      <c r="O39" s="43"/>
      <c r="P39" s="43"/>
      <c r="Q39" s="100"/>
      <c r="S39" s="181">
        <v>34</v>
      </c>
      <c r="T39" s="182">
        <v>344</v>
      </c>
      <c r="U39" s="182">
        <v>85786122</v>
      </c>
      <c r="V39" s="182">
        <v>40648</v>
      </c>
      <c r="W39" s="182" t="s">
        <v>1081</v>
      </c>
      <c r="X39" s="182" t="s">
        <v>1083</v>
      </c>
      <c r="Y39" s="182" t="s">
        <v>965</v>
      </c>
      <c r="Z39" s="103">
        <v>132350</v>
      </c>
      <c r="AH39" s="687"/>
      <c r="AI39" s="687"/>
    </row>
    <row r="40" spans="1:35" ht="12.75" customHeight="1">
      <c r="A40" s="691">
        <v>35</v>
      </c>
      <c r="B40" s="1219">
        <v>233</v>
      </c>
      <c r="C40" s="1219">
        <v>85276536</v>
      </c>
      <c r="D40" s="182" t="s">
        <v>1358</v>
      </c>
      <c r="E40" s="99" t="s">
        <v>1359</v>
      </c>
      <c r="F40" s="182" t="s">
        <v>1063</v>
      </c>
      <c r="G40" s="182" t="s">
        <v>1309</v>
      </c>
      <c r="H40" s="103">
        <v>424600</v>
      </c>
      <c r="J40" s="43"/>
      <c r="K40" s="43"/>
      <c r="L40" s="43"/>
      <c r="M40" s="43"/>
      <c r="N40" s="43"/>
      <c r="O40" s="43"/>
      <c r="P40" s="43"/>
      <c r="Q40" s="100"/>
      <c r="S40" s="181">
        <v>35</v>
      </c>
      <c r="T40" s="182">
        <v>1491</v>
      </c>
      <c r="U40" s="182">
        <v>32831</v>
      </c>
      <c r="V40" s="182">
        <v>40649</v>
      </c>
      <c r="W40" s="182" t="s">
        <v>1084</v>
      </c>
      <c r="X40" s="182" t="s">
        <v>1086</v>
      </c>
      <c r="Y40" s="182" t="s">
        <v>965</v>
      </c>
      <c r="Z40" s="103">
        <v>131213</v>
      </c>
      <c r="AH40" s="687"/>
      <c r="AI40" s="687"/>
    </row>
    <row r="41" spans="1:35" ht="12.75" customHeight="1">
      <c r="A41" s="181">
        <v>36</v>
      </c>
      <c r="B41" s="2114" t="s">
        <v>178</v>
      </c>
      <c r="C41" s="2114"/>
      <c r="D41" s="2114"/>
      <c r="E41" s="2114"/>
      <c r="F41" s="2114"/>
      <c r="G41" s="2114"/>
      <c r="H41" s="619">
        <f>SUM(H40)</f>
        <v>424600</v>
      </c>
      <c r="J41" s="43"/>
      <c r="K41" s="43"/>
      <c r="L41" s="43"/>
      <c r="M41" s="43"/>
      <c r="N41" s="43"/>
      <c r="O41" s="43"/>
      <c r="P41" s="43"/>
      <c r="Q41" s="100"/>
      <c r="S41" s="181">
        <v>36</v>
      </c>
      <c r="T41" s="182">
        <v>55635427</v>
      </c>
      <c r="U41" s="182">
        <v>55635427</v>
      </c>
      <c r="V41" s="182">
        <v>40651</v>
      </c>
      <c r="W41" s="182" t="s">
        <v>987</v>
      </c>
      <c r="X41" s="182" t="s">
        <v>988</v>
      </c>
      <c r="Y41" s="182" t="s">
        <v>914</v>
      </c>
      <c r="Z41" s="103">
        <v>258000</v>
      </c>
      <c r="AH41" s="687"/>
      <c r="AI41" s="687"/>
    </row>
    <row r="42" spans="1:35" ht="12.75" customHeight="1">
      <c r="A42" s="181">
        <v>37</v>
      </c>
      <c r="B42" s="1216">
        <v>38</v>
      </c>
      <c r="C42" s="1216">
        <v>84057886</v>
      </c>
      <c r="D42" s="1217" t="s">
        <v>1419</v>
      </c>
      <c r="E42" s="1217" t="s">
        <v>1420</v>
      </c>
      <c r="F42" s="1217" t="s">
        <v>1077</v>
      </c>
      <c r="G42" s="1218" t="s">
        <v>1278</v>
      </c>
      <c r="H42" s="1226">
        <v>504000</v>
      </c>
      <c r="J42" s="43"/>
      <c r="K42" s="43"/>
      <c r="L42" s="43"/>
      <c r="M42" s="43"/>
      <c r="N42" s="43"/>
      <c r="O42" s="43"/>
      <c r="P42" s="43"/>
      <c r="Q42" s="100"/>
      <c r="S42" s="181">
        <v>37</v>
      </c>
      <c r="T42" s="182">
        <v>31</v>
      </c>
      <c r="U42" s="182">
        <v>67212632</v>
      </c>
      <c r="V42" s="182">
        <v>40658</v>
      </c>
      <c r="W42" s="182" t="s">
        <v>1088</v>
      </c>
      <c r="X42" s="182" t="s">
        <v>1089</v>
      </c>
      <c r="Y42" s="182" t="s">
        <v>1317</v>
      </c>
      <c r="Z42" s="103">
        <v>246935</v>
      </c>
      <c r="AH42" s="687"/>
      <c r="AI42" s="687"/>
    </row>
    <row r="43" spans="1:35" ht="12.75" customHeight="1">
      <c r="A43" s="691">
        <v>38</v>
      </c>
      <c r="B43" s="1216">
        <v>241</v>
      </c>
      <c r="C43" s="1216">
        <v>85276544</v>
      </c>
      <c r="D43" s="1217" t="s">
        <v>1431</v>
      </c>
      <c r="E43" s="1217" t="s">
        <v>1432</v>
      </c>
      <c r="F43" s="1217" t="s">
        <v>1063</v>
      </c>
      <c r="G43" s="1218" t="s">
        <v>1309</v>
      </c>
      <c r="H43" s="1226">
        <v>236500</v>
      </c>
      <c r="J43" s="43"/>
      <c r="K43" s="43"/>
      <c r="L43" s="43"/>
      <c r="M43" s="43"/>
      <c r="N43" s="43"/>
      <c r="O43" s="43"/>
      <c r="P43" s="43"/>
      <c r="Q43" s="100"/>
      <c r="S43" s="181">
        <v>38</v>
      </c>
      <c r="T43" s="182">
        <v>33</v>
      </c>
      <c r="U43" s="182">
        <v>84242042</v>
      </c>
      <c r="V43" s="182">
        <v>40659</v>
      </c>
      <c r="W43" s="182" t="s">
        <v>977</v>
      </c>
      <c r="X43" s="182" t="s">
        <v>978</v>
      </c>
      <c r="Y43" s="182" t="s">
        <v>1310</v>
      </c>
      <c r="Z43" s="103">
        <v>46417</v>
      </c>
      <c r="AH43" s="687"/>
      <c r="AI43" s="687"/>
    </row>
    <row r="44" spans="1:35" ht="12.75" customHeight="1">
      <c r="A44" s="181">
        <v>39</v>
      </c>
      <c r="B44" s="2114" t="s">
        <v>179</v>
      </c>
      <c r="C44" s="2114"/>
      <c r="D44" s="2114"/>
      <c r="E44" s="2114"/>
      <c r="F44" s="2114"/>
      <c r="G44" s="2114"/>
      <c r="H44" s="619">
        <f>SUM(H42:H43)</f>
        <v>740500</v>
      </c>
      <c r="J44" s="43"/>
      <c r="K44" s="43"/>
      <c r="L44" s="43"/>
      <c r="M44" s="43"/>
      <c r="N44" s="43"/>
      <c r="O44" s="43"/>
      <c r="P44" s="43"/>
      <c r="Q44" s="100"/>
      <c r="S44" s="181">
        <v>39</v>
      </c>
      <c r="T44" s="182">
        <v>38</v>
      </c>
      <c r="U44" s="182">
        <v>84242047</v>
      </c>
      <c r="V44" s="182">
        <v>40649</v>
      </c>
      <c r="W44" s="182" t="s">
        <v>977</v>
      </c>
      <c r="X44" s="182" t="s">
        <v>978</v>
      </c>
      <c r="Y44" s="182" t="s">
        <v>1310</v>
      </c>
      <c r="Z44" s="103">
        <v>73333</v>
      </c>
      <c r="AH44" s="687"/>
      <c r="AI44" s="687"/>
    </row>
    <row r="45" spans="1:35" ht="12.75" customHeight="1">
      <c r="A45" s="181">
        <v>40</v>
      </c>
      <c r="B45" s="1216">
        <v>650</v>
      </c>
      <c r="C45" s="1216">
        <v>84071100</v>
      </c>
      <c r="D45" s="1217" t="s">
        <v>1646</v>
      </c>
      <c r="E45" s="1217" t="s">
        <v>1647</v>
      </c>
      <c r="F45" s="1217" t="s">
        <v>1648</v>
      </c>
      <c r="G45" s="182" t="s">
        <v>1922</v>
      </c>
      <c r="H45" s="1226">
        <v>246500</v>
      </c>
      <c r="J45" s="43"/>
      <c r="K45" s="43"/>
      <c r="L45" s="43"/>
      <c r="M45" s="43"/>
      <c r="N45" s="43"/>
      <c r="O45" s="43"/>
      <c r="P45" s="43"/>
      <c r="Q45" s="100"/>
      <c r="S45" s="181">
        <v>40</v>
      </c>
      <c r="T45" s="2114" t="s">
        <v>176</v>
      </c>
      <c r="U45" s="2114"/>
      <c r="V45" s="2114"/>
      <c r="W45" s="2114"/>
      <c r="X45" s="2114"/>
      <c r="Y45" s="2114"/>
      <c r="Z45" s="619">
        <f>SUM(Z38:Z44)</f>
        <v>979248</v>
      </c>
      <c r="AH45" s="687"/>
      <c r="AI45" s="687"/>
    </row>
    <row r="46" spans="1:35" ht="12.75" customHeight="1">
      <c r="A46" s="691">
        <v>41</v>
      </c>
      <c r="B46" s="1216">
        <v>7</v>
      </c>
      <c r="C46" s="1216">
        <v>85351907</v>
      </c>
      <c r="D46" s="1217" t="s">
        <v>1610</v>
      </c>
      <c r="E46" s="1217" t="s">
        <v>1635</v>
      </c>
      <c r="F46" s="1217" t="s">
        <v>1636</v>
      </c>
      <c r="G46" s="182" t="s">
        <v>1605</v>
      </c>
      <c r="H46" s="1226">
        <v>500000</v>
      </c>
      <c r="J46" s="43"/>
      <c r="K46" s="43"/>
      <c r="L46" s="43"/>
      <c r="M46" s="43"/>
      <c r="N46" s="43"/>
      <c r="O46" s="43"/>
      <c r="P46" s="43"/>
      <c r="Q46" s="100"/>
      <c r="S46" s="181">
        <v>41</v>
      </c>
      <c r="T46" s="182">
        <v>48</v>
      </c>
      <c r="U46" s="182">
        <v>86191048</v>
      </c>
      <c r="V46" s="182">
        <v>40664</v>
      </c>
      <c r="W46" s="182" t="s">
        <v>1098</v>
      </c>
      <c r="X46" s="182" t="s">
        <v>972</v>
      </c>
      <c r="Y46" s="182" t="s">
        <v>1325</v>
      </c>
      <c r="Z46" s="103">
        <v>62500</v>
      </c>
      <c r="AH46" s="687"/>
      <c r="AI46" s="687"/>
    </row>
    <row r="47" spans="1:35" ht="12.75" customHeight="1">
      <c r="A47" s="181">
        <v>42</v>
      </c>
      <c r="B47" s="1216">
        <v>79</v>
      </c>
      <c r="C47" s="1216">
        <v>87217879</v>
      </c>
      <c r="D47" s="1217" t="s">
        <v>1660</v>
      </c>
      <c r="E47" s="1217" t="s">
        <v>1656</v>
      </c>
      <c r="F47" s="1217" t="s">
        <v>1657</v>
      </c>
      <c r="G47" s="182" t="s">
        <v>1605</v>
      </c>
      <c r="H47" s="1226">
        <v>704000</v>
      </c>
      <c r="J47" s="43"/>
      <c r="K47" s="43"/>
      <c r="L47" s="43"/>
      <c r="M47" s="43"/>
      <c r="N47" s="43"/>
      <c r="O47" s="43"/>
      <c r="P47" s="43"/>
      <c r="Q47" s="100"/>
      <c r="S47" s="181">
        <v>42</v>
      </c>
      <c r="T47" s="182">
        <v>102</v>
      </c>
      <c r="U47" s="182">
        <v>87216002</v>
      </c>
      <c r="V47" s="182">
        <v>40665</v>
      </c>
      <c r="W47" s="182" t="s">
        <v>1098</v>
      </c>
      <c r="X47" s="182" t="s">
        <v>972</v>
      </c>
      <c r="Y47" s="182" t="s">
        <v>1287</v>
      </c>
      <c r="Z47" s="103">
        <v>58333</v>
      </c>
      <c r="AH47" s="687"/>
      <c r="AI47" s="687"/>
    </row>
    <row r="48" spans="1:35" ht="12.75" customHeight="1">
      <c r="A48" s="181">
        <v>43</v>
      </c>
      <c r="B48" s="1216">
        <v>78</v>
      </c>
      <c r="C48" s="1216">
        <v>87217878</v>
      </c>
      <c r="D48" s="1217" t="s">
        <v>1631</v>
      </c>
      <c r="E48" s="1217" t="s">
        <v>1656</v>
      </c>
      <c r="F48" s="1217" t="s">
        <v>1657</v>
      </c>
      <c r="G48" s="182" t="s">
        <v>1914</v>
      </c>
      <c r="H48" s="1226">
        <v>1302252</v>
      </c>
      <c r="J48" s="43"/>
      <c r="K48" s="43"/>
      <c r="L48" s="43"/>
      <c r="M48" s="43"/>
      <c r="N48" s="43"/>
      <c r="O48" s="43"/>
      <c r="P48" s="43"/>
      <c r="Q48" s="100"/>
      <c r="S48" s="181">
        <v>43</v>
      </c>
      <c r="T48" s="182">
        <v>32</v>
      </c>
      <c r="U48" s="182">
        <v>85442932</v>
      </c>
      <c r="V48" s="182">
        <v>40693</v>
      </c>
      <c r="W48" s="182" t="s">
        <v>1093</v>
      </c>
      <c r="X48" s="182" t="s">
        <v>1095</v>
      </c>
      <c r="Y48" s="182" t="s">
        <v>1324</v>
      </c>
      <c r="Z48" s="103">
        <v>105300</v>
      </c>
      <c r="AH48" s="687"/>
      <c r="AI48" s="687"/>
    </row>
    <row r="49" spans="1:35" ht="12.75" customHeight="1">
      <c r="A49" s="691">
        <v>44</v>
      </c>
      <c r="B49" s="2114" t="s">
        <v>180</v>
      </c>
      <c r="C49" s="2114"/>
      <c r="D49" s="2114"/>
      <c r="E49" s="2114"/>
      <c r="F49" s="2114"/>
      <c r="G49" s="2114"/>
      <c r="H49" s="619">
        <f>SUM(H45:H48)</f>
        <v>2752752</v>
      </c>
      <c r="J49" s="43"/>
      <c r="K49" s="43"/>
      <c r="L49" s="43"/>
      <c r="M49" s="43"/>
      <c r="N49" s="43"/>
      <c r="O49" s="43"/>
      <c r="P49" s="43"/>
      <c r="Q49" s="100"/>
      <c r="S49" s="181">
        <v>44</v>
      </c>
      <c r="T49" s="182">
        <v>182</v>
      </c>
      <c r="U49" s="182">
        <v>86200581</v>
      </c>
      <c r="V49" s="182">
        <v>40673</v>
      </c>
      <c r="W49" s="182" t="s">
        <v>1074</v>
      </c>
      <c r="X49" s="182" t="s">
        <v>991</v>
      </c>
      <c r="Y49" s="182" t="s">
        <v>1319</v>
      </c>
      <c r="Z49" s="103">
        <v>102000</v>
      </c>
      <c r="AH49" s="687"/>
      <c r="AI49" s="687"/>
    </row>
    <row r="50" spans="1:35" ht="12.75" customHeight="1">
      <c r="A50" s="181">
        <v>45</v>
      </c>
      <c r="B50" s="1219">
        <v>688</v>
      </c>
      <c r="C50" s="1219">
        <v>88463688</v>
      </c>
      <c r="D50" s="182" t="s">
        <v>1717</v>
      </c>
      <c r="E50" s="182" t="s">
        <v>1718</v>
      </c>
      <c r="F50" s="99" t="s">
        <v>1648</v>
      </c>
      <c r="G50" s="182" t="s">
        <v>1931</v>
      </c>
      <c r="H50" s="103">
        <v>247000</v>
      </c>
      <c r="J50" s="43"/>
      <c r="K50" s="43"/>
      <c r="L50" s="43"/>
      <c r="M50" s="43"/>
      <c r="N50" s="43"/>
      <c r="O50" s="43"/>
      <c r="P50" s="43"/>
      <c r="Q50" s="100"/>
      <c r="S50" s="181">
        <v>45</v>
      </c>
      <c r="T50" s="182">
        <v>110</v>
      </c>
      <c r="U50" s="182">
        <v>71490949</v>
      </c>
      <c r="V50" s="182">
        <v>40694</v>
      </c>
      <c r="W50" s="182" t="s">
        <v>1096</v>
      </c>
      <c r="X50" s="182" t="s">
        <v>1097</v>
      </c>
      <c r="Y50" s="182" t="s">
        <v>965</v>
      </c>
      <c r="Z50" s="103">
        <v>166656</v>
      </c>
      <c r="AH50" s="687"/>
      <c r="AI50" s="687"/>
    </row>
    <row r="51" spans="1:35" ht="12.75" customHeight="1">
      <c r="A51" s="181">
        <v>46</v>
      </c>
      <c r="B51" s="2114" t="s">
        <v>181</v>
      </c>
      <c r="C51" s="2114"/>
      <c r="D51" s="2114"/>
      <c r="E51" s="2114"/>
      <c r="F51" s="2114"/>
      <c r="G51" s="2114"/>
      <c r="H51" s="619">
        <f>SUM(H50)</f>
        <v>247000</v>
      </c>
      <c r="J51" s="43"/>
      <c r="K51" s="43"/>
      <c r="L51" s="43"/>
      <c r="M51" s="43"/>
      <c r="N51" s="43"/>
      <c r="O51" s="43"/>
      <c r="P51" s="43"/>
      <c r="Q51" s="100"/>
      <c r="S51" s="181">
        <v>46</v>
      </c>
      <c r="T51" s="182">
        <v>111</v>
      </c>
      <c r="U51" s="182">
        <v>71490950</v>
      </c>
      <c r="V51" s="182">
        <v>40694</v>
      </c>
      <c r="W51" s="182" t="s">
        <v>1096</v>
      </c>
      <c r="X51" s="182" t="s">
        <v>1097</v>
      </c>
      <c r="Y51" s="182" t="s">
        <v>965</v>
      </c>
      <c r="Z51" s="103">
        <v>166658</v>
      </c>
      <c r="AH51" s="687"/>
      <c r="AI51" s="687"/>
    </row>
    <row r="52" spans="1:35" ht="12.75" customHeight="1">
      <c r="A52" s="691">
        <v>47</v>
      </c>
      <c r="B52" s="311"/>
      <c r="C52" s="311"/>
      <c r="D52" s="311"/>
      <c r="E52" s="311"/>
      <c r="F52" s="311"/>
      <c r="G52" s="311"/>
      <c r="H52" s="683"/>
      <c r="J52" s="43"/>
      <c r="K52" s="43"/>
      <c r="L52" s="43"/>
      <c r="M52" s="43"/>
      <c r="N52" s="43"/>
      <c r="O52" s="43"/>
      <c r="P52" s="43"/>
      <c r="Q52" s="100"/>
      <c r="S52" s="181">
        <v>47</v>
      </c>
      <c r="T52" s="182">
        <v>112</v>
      </c>
      <c r="U52" s="182">
        <v>86189001</v>
      </c>
      <c r="V52" s="182">
        <v>40694</v>
      </c>
      <c r="W52" s="182" t="s">
        <v>1096</v>
      </c>
      <c r="X52" s="182" t="s">
        <v>1097</v>
      </c>
      <c r="Y52" s="182" t="s">
        <v>965</v>
      </c>
      <c r="Z52" s="103">
        <v>115248</v>
      </c>
      <c r="AH52" s="687"/>
      <c r="AI52" s="687"/>
    </row>
    <row r="53" spans="1:35" ht="12.75" customHeight="1">
      <c r="A53" s="181">
        <v>48</v>
      </c>
      <c r="B53" s="2114" t="s">
        <v>182</v>
      </c>
      <c r="C53" s="2114"/>
      <c r="D53" s="2114"/>
      <c r="E53" s="2114"/>
      <c r="F53" s="2114"/>
      <c r="G53" s="2114"/>
      <c r="H53" s="619">
        <f>SUM(H52)</f>
        <v>0</v>
      </c>
      <c r="J53" s="43"/>
      <c r="K53" s="43"/>
      <c r="L53" s="43"/>
      <c r="M53" s="43"/>
      <c r="N53" s="43"/>
      <c r="O53" s="43"/>
      <c r="P53" s="43"/>
      <c r="Q53" s="100"/>
      <c r="S53" s="181">
        <v>48</v>
      </c>
      <c r="T53" s="182">
        <v>19</v>
      </c>
      <c r="U53" s="182">
        <v>84240419</v>
      </c>
      <c r="V53" s="182">
        <v>40683</v>
      </c>
      <c r="W53" s="182" t="s">
        <v>1092</v>
      </c>
      <c r="X53" s="182" t="s">
        <v>999</v>
      </c>
      <c r="Y53" s="182" t="s">
        <v>1322</v>
      </c>
      <c r="Z53" s="103">
        <v>7074</v>
      </c>
      <c r="AH53" s="687"/>
      <c r="AI53" s="687"/>
    </row>
    <row r="54" spans="1:35" ht="12.75" customHeight="1">
      <c r="A54" s="181">
        <v>49</v>
      </c>
      <c r="B54" s="1216">
        <v>144</v>
      </c>
      <c r="C54" s="1216">
        <v>72786204</v>
      </c>
      <c r="D54" s="1217" t="s">
        <v>1861</v>
      </c>
      <c r="E54" s="1217" t="s">
        <v>1867</v>
      </c>
      <c r="F54" s="1217" t="s">
        <v>1035</v>
      </c>
      <c r="G54" s="1215" t="s">
        <v>1784</v>
      </c>
      <c r="H54" s="1227">
        <v>417500</v>
      </c>
      <c r="S54" s="181">
        <v>49</v>
      </c>
      <c r="T54" s="182">
        <v>34</v>
      </c>
      <c r="U54" s="182">
        <v>70512184</v>
      </c>
      <c r="V54" s="182">
        <v>40693</v>
      </c>
      <c r="W54" s="182" t="s">
        <v>1010</v>
      </c>
      <c r="X54" s="182" t="s">
        <v>1011</v>
      </c>
      <c r="Y54" s="182" t="s">
        <v>1323</v>
      </c>
      <c r="Z54" s="103">
        <v>1004000</v>
      </c>
      <c r="AH54" s="687"/>
      <c r="AI54" s="687"/>
    </row>
    <row r="55" spans="1:35" ht="12.75" customHeight="1">
      <c r="A55" s="691">
        <v>50</v>
      </c>
      <c r="B55" s="2114" t="s">
        <v>1945</v>
      </c>
      <c r="C55" s="2114"/>
      <c r="D55" s="2114"/>
      <c r="E55" s="2114"/>
      <c r="F55" s="2114"/>
      <c r="G55" s="2114"/>
      <c r="H55" s="619">
        <f>SUM(H54)</f>
        <v>417500</v>
      </c>
      <c r="S55" s="181">
        <v>50</v>
      </c>
      <c r="T55" s="182">
        <v>1779</v>
      </c>
      <c r="U55" s="182">
        <v>33110</v>
      </c>
      <c r="V55" s="182">
        <v>40665</v>
      </c>
      <c r="W55" s="182" t="s">
        <v>1084</v>
      </c>
      <c r="X55" s="182" t="s">
        <v>1086</v>
      </c>
      <c r="Y55" s="182" t="s">
        <v>965</v>
      </c>
      <c r="Z55" s="103">
        <v>138694</v>
      </c>
      <c r="AH55" s="687"/>
      <c r="AI55" s="687"/>
    </row>
    <row r="56" spans="1:35" ht="12.75" customHeight="1">
      <c r="A56" s="181">
        <v>51</v>
      </c>
      <c r="B56" s="1216">
        <v>125</v>
      </c>
      <c r="C56" s="1216">
        <v>88463125</v>
      </c>
      <c r="D56" s="1217" t="s">
        <v>1888</v>
      </c>
      <c r="E56" s="1217" t="s">
        <v>1889</v>
      </c>
      <c r="F56" s="1217" t="s">
        <v>1648</v>
      </c>
      <c r="G56" s="182" t="s">
        <v>1949</v>
      </c>
      <c r="H56" s="1227">
        <v>416667</v>
      </c>
      <c r="S56" s="181">
        <v>51</v>
      </c>
      <c r="T56" s="182">
        <v>1780</v>
      </c>
      <c r="U56" s="182">
        <v>33111</v>
      </c>
      <c r="V56" s="182">
        <v>40665</v>
      </c>
      <c r="W56" s="182" t="s">
        <v>1084</v>
      </c>
      <c r="X56" s="182" t="s">
        <v>1086</v>
      </c>
      <c r="Y56" s="182" t="s">
        <v>965</v>
      </c>
      <c r="Z56" s="103">
        <v>149363</v>
      </c>
      <c r="AH56" s="687"/>
      <c r="AI56" s="687"/>
    </row>
    <row r="57" spans="1:35" ht="12.75" customHeight="1" thickBot="1">
      <c r="A57" s="181">
        <v>52</v>
      </c>
      <c r="B57" s="2113" t="s">
        <v>184</v>
      </c>
      <c r="C57" s="2113"/>
      <c r="D57" s="2113"/>
      <c r="E57" s="2113"/>
      <c r="F57" s="2113"/>
      <c r="G57" s="2113"/>
      <c r="H57" s="1223">
        <f>SUM(H56)</f>
        <v>416667</v>
      </c>
      <c r="S57" s="181">
        <v>52</v>
      </c>
      <c r="T57" s="182">
        <v>1781</v>
      </c>
      <c r="U57" s="182">
        <v>33112</v>
      </c>
      <c r="V57" s="182">
        <v>40665</v>
      </c>
      <c r="W57" s="182" t="s">
        <v>1084</v>
      </c>
      <c r="X57" s="182" t="s">
        <v>1086</v>
      </c>
      <c r="Y57" s="182" t="s">
        <v>965</v>
      </c>
      <c r="Z57" s="103">
        <v>133360</v>
      </c>
      <c r="AH57" s="687"/>
      <c r="AI57" s="687"/>
    </row>
    <row r="58" spans="1:35" ht="12.75" customHeight="1">
      <c r="S58" s="181">
        <v>53</v>
      </c>
      <c r="T58" s="182">
        <v>1783</v>
      </c>
      <c r="U58" s="182">
        <v>33114</v>
      </c>
      <c r="V58" s="182">
        <v>40665</v>
      </c>
      <c r="W58" s="182" t="s">
        <v>1084</v>
      </c>
      <c r="X58" s="182" t="s">
        <v>1086</v>
      </c>
      <c r="Y58" s="182" t="s">
        <v>965</v>
      </c>
      <c r="Z58" s="103">
        <v>128026</v>
      </c>
      <c r="AH58" s="687"/>
      <c r="AI58" s="687"/>
    </row>
    <row r="59" spans="1:35" ht="12.75" customHeight="1">
      <c r="S59" s="181">
        <v>54</v>
      </c>
      <c r="T59" s="182">
        <v>1793</v>
      </c>
      <c r="U59" s="182">
        <v>33124</v>
      </c>
      <c r="V59" s="182">
        <v>40666</v>
      </c>
      <c r="W59" s="182" t="s">
        <v>1084</v>
      </c>
      <c r="X59" s="182" t="s">
        <v>1086</v>
      </c>
      <c r="Y59" s="182" t="s">
        <v>965</v>
      </c>
      <c r="Z59" s="103">
        <v>128026</v>
      </c>
      <c r="AH59" s="687"/>
      <c r="AI59" s="687"/>
    </row>
    <row r="60" spans="1:35" ht="12.75" customHeight="1">
      <c r="S60" s="181">
        <v>55</v>
      </c>
      <c r="T60" s="182">
        <v>1794</v>
      </c>
      <c r="U60" s="182">
        <v>33125</v>
      </c>
      <c r="V60" s="182">
        <v>40666</v>
      </c>
      <c r="W60" s="182" t="s">
        <v>1084</v>
      </c>
      <c r="X60" s="182" t="s">
        <v>1086</v>
      </c>
      <c r="Y60" s="182" t="s">
        <v>965</v>
      </c>
      <c r="Z60" s="103">
        <v>138694</v>
      </c>
      <c r="AH60" s="687"/>
      <c r="AI60" s="687"/>
    </row>
    <row r="61" spans="1:35" ht="12.75" customHeight="1">
      <c r="S61" s="181">
        <v>56</v>
      </c>
      <c r="T61" s="182">
        <v>1795</v>
      </c>
      <c r="U61" s="182">
        <v>33126</v>
      </c>
      <c r="V61" s="182">
        <v>40666</v>
      </c>
      <c r="W61" s="182" t="s">
        <v>1084</v>
      </c>
      <c r="X61" s="182" t="s">
        <v>1086</v>
      </c>
      <c r="Y61" s="182" t="s">
        <v>965</v>
      </c>
      <c r="Z61" s="103">
        <v>138694</v>
      </c>
      <c r="AH61" s="687"/>
      <c r="AI61" s="687"/>
    </row>
    <row r="62" spans="1:35" ht="12.75" customHeight="1">
      <c r="S62" s="181">
        <v>57</v>
      </c>
      <c r="T62" s="182">
        <v>1798</v>
      </c>
      <c r="U62" s="182">
        <v>33129</v>
      </c>
      <c r="V62" s="182">
        <v>40666</v>
      </c>
      <c r="W62" s="182" t="s">
        <v>1084</v>
      </c>
      <c r="X62" s="182" t="s">
        <v>1086</v>
      </c>
      <c r="Y62" s="182" t="s">
        <v>965</v>
      </c>
      <c r="Z62" s="103">
        <v>138694</v>
      </c>
      <c r="AH62" s="687"/>
      <c r="AI62" s="687"/>
    </row>
    <row r="63" spans="1:35" ht="12.75" customHeight="1">
      <c r="S63" s="181">
        <v>58</v>
      </c>
      <c r="T63" s="182">
        <v>1805</v>
      </c>
      <c r="U63" s="182">
        <v>33136</v>
      </c>
      <c r="V63" s="182">
        <v>40667</v>
      </c>
      <c r="W63" s="182" t="s">
        <v>1084</v>
      </c>
      <c r="X63" s="182" t="s">
        <v>1086</v>
      </c>
      <c r="Y63" s="182" t="s">
        <v>965</v>
      </c>
      <c r="Z63" s="103">
        <v>138694</v>
      </c>
      <c r="AH63" s="687"/>
      <c r="AI63" s="687"/>
    </row>
    <row r="64" spans="1:35" ht="12.75" customHeight="1">
      <c r="S64" s="181">
        <v>59</v>
      </c>
      <c r="T64" s="182">
        <v>1806</v>
      </c>
      <c r="U64" s="182">
        <v>33137</v>
      </c>
      <c r="V64" s="182">
        <v>40667</v>
      </c>
      <c r="W64" s="182" t="s">
        <v>1084</v>
      </c>
      <c r="X64" s="182" t="s">
        <v>1086</v>
      </c>
      <c r="Y64" s="182" t="s">
        <v>965</v>
      </c>
      <c r="Z64" s="103">
        <v>128026</v>
      </c>
      <c r="AH64" s="687"/>
      <c r="AI64" s="687"/>
    </row>
    <row r="65" spans="19:35" ht="12.75" customHeight="1">
      <c r="S65" s="181">
        <v>60</v>
      </c>
      <c r="T65" s="182">
        <v>1807</v>
      </c>
      <c r="U65" s="182">
        <v>33138</v>
      </c>
      <c r="V65" s="182">
        <v>40667</v>
      </c>
      <c r="W65" s="182" t="s">
        <v>1084</v>
      </c>
      <c r="X65" s="182" t="s">
        <v>1086</v>
      </c>
      <c r="Y65" s="182" t="s">
        <v>965</v>
      </c>
      <c r="Z65" s="103">
        <v>138694</v>
      </c>
      <c r="AH65" s="687"/>
      <c r="AI65" s="687"/>
    </row>
    <row r="66" spans="19:35" ht="12.75" customHeight="1">
      <c r="S66" s="181">
        <v>61</v>
      </c>
      <c r="T66" s="182">
        <v>1811</v>
      </c>
      <c r="U66" s="182">
        <v>33142</v>
      </c>
      <c r="V66" s="182">
        <v>40667</v>
      </c>
      <c r="W66" s="182" t="s">
        <v>1084</v>
      </c>
      <c r="X66" s="182" t="s">
        <v>1086</v>
      </c>
      <c r="Y66" s="182" t="s">
        <v>965</v>
      </c>
      <c r="Z66" s="103">
        <v>138694</v>
      </c>
      <c r="AH66" s="687"/>
      <c r="AI66" s="687"/>
    </row>
    <row r="67" spans="19:35" ht="12.75" customHeight="1">
      <c r="S67" s="181">
        <v>62</v>
      </c>
      <c r="T67" s="182">
        <v>1834</v>
      </c>
      <c r="U67" s="182">
        <v>33165</v>
      </c>
      <c r="V67" s="182">
        <v>40668</v>
      </c>
      <c r="W67" s="182" t="s">
        <v>1084</v>
      </c>
      <c r="X67" s="182" t="s">
        <v>1086</v>
      </c>
      <c r="Y67" s="182" t="s">
        <v>965</v>
      </c>
      <c r="Z67" s="103">
        <v>138694</v>
      </c>
      <c r="AH67" s="687"/>
      <c r="AI67" s="687"/>
    </row>
    <row r="68" spans="19:35" ht="12.75" customHeight="1">
      <c r="S68" s="181">
        <v>63</v>
      </c>
      <c r="T68" s="182">
        <v>1835</v>
      </c>
      <c r="U68" s="182">
        <v>33166</v>
      </c>
      <c r="V68" s="182">
        <v>40668</v>
      </c>
      <c r="W68" s="182" t="s">
        <v>1084</v>
      </c>
      <c r="X68" s="182" t="s">
        <v>1086</v>
      </c>
      <c r="Y68" s="182" t="s">
        <v>965</v>
      </c>
      <c r="Z68" s="103">
        <v>138694</v>
      </c>
      <c r="AH68" s="687"/>
      <c r="AI68" s="687"/>
    </row>
    <row r="69" spans="19:35" ht="12.75" customHeight="1">
      <c r="S69" s="181">
        <v>64</v>
      </c>
      <c r="T69" s="182">
        <v>1863</v>
      </c>
      <c r="U69" s="182">
        <v>33194</v>
      </c>
      <c r="V69" s="182">
        <v>40672</v>
      </c>
      <c r="W69" s="182" t="s">
        <v>1084</v>
      </c>
      <c r="X69" s="182" t="s">
        <v>1086</v>
      </c>
      <c r="Y69" s="182" t="s">
        <v>965</v>
      </c>
      <c r="Z69" s="103">
        <v>133360</v>
      </c>
      <c r="AH69" s="687"/>
      <c r="AI69" s="687"/>
    </row>
    <row r="70" spans="19:35" ht="12.75" customHeight="1">
      <c r="S70" s="181">
        <v>65</v>
      </c>
      <c r="T70" s="182">
        <v>1874</v>
      </c>
      <c r="U70" s="182">
        <v>33205</v>
      </c>
      <c r="V70" s="182">
        <v>40672</v>
      </c>
      <c r="W70" s="182" t="s">
        <v>1084</v>
      </c>
      <c r="X70" s="182" t="s">
        <v>1086</v>
      </c>
      <c r="Y70" s="182" t="s">
        <v>965</v>
      </c>
      <c r="Z70" s="103">
        <v>138694</v>
      </c>
      <c r="AH70" s="687"/>
      <c r="AI70" s="687"/>
    </row>
    <row r="71" spans="19:35" ht="12.75" customHeight="1">
      <c r="S71" s="181">
        <v>66</v>
      </c>
      <c r="T71" s="182">
        <v>1876</v>
      </c>
      <c r="U71" s="182">
        <v>33207</v>
      </c>
      <c r="V71" s="182">
        <v>40673</v>
      </c>
      <c r="W71" s="182" t="s">
        <v>1084</v>
      </c>
      <c r="X71" s="182" t="s">
        <v>1086</v>
      </c>
      <c r="Y71" s="182" t="s">
        <v>965</v>
      </c>
      <c r="Z71" s="103">
        <v>138694</v>
      </c>
      <c r="AH71" s="687"/>
      <c r="AI71" s="687"/>
    </row>
    <row r="72" spans="19:35" ht="12.75" customHeight="1">
      <c r="S72" s="181">
        <v>67</v>
      </c>
      <c r="T72" s="182">
        <v>1878</v>
      </c>
      <c r="U72" s="182">
        <v>33209</v>
      </c>
      <c r="V72" s="182">
        <v>40673</v>
      </c>
      <c r="W72" s="182" t="s">
        <v>1084</v>
      </c>
      <c r="X72" s="182" t="s">
        <v>1086</v>
      </c>
      <c r="Y72" s="182" t="s">
        <v>965</v>
      </c>
      <c r="Z72" s="103">
        <v>128026</v>
      </c>
      <c r="AH72" s="687"/>
      <c r="AI72" s="687"/>
    </row>
    <row r="73" spans="19:35" ht="12.75" customHeight="1">
      <c r="S73" s="181">
        <v>68</v>
      </c>
      <c r="T73" s="182">
        <v>1893</v>
      </c>
      <c r="U73" s="182">
        <v>33224</v>
      </c>
      <c r="V73" s="182">
        <v>40674</v>
      </c>
      <c r="W73" s="182" t="s">
        <v>1084</v>
      </c>
      <c r="X73" s="182" t="s">
        <v>1086</v>
      </c>
      <c r="Y73" s="182" t="s">
        <v>965</v>
      </c>
      <c r="Z73" s="103">
        <v>138694</v>
      </c>
      <c r="AH73" s="687"/>
      <c r="AI73" s="687"/>
    </row>
    <row r="74" spans="19:35" ht="12.75" customHeight="1">
      <c r="S74" s="181">
        <v>69</v>
      </c>
      <c r="T74" s="182">
        <v>1894</v>
      </c>
      <c r="U74" s="182">
        <v>33225</v>
      </c>
      <c r="V74" s="182">
        <v>40674</v>
      </c>
      <c r="W74" s="182" t="s">
        <v>1084</v>
      </c>
      <c r="X74" s="182" t="s">
        <v>1086</v>
      </c>
      <c r="Y74" s="182" t="s">
        <v>965</v>
      </c>
      <c r="Z74" s="103">
        <v>138694</v>
      </c>
      <c r="AH74" s="687"/>
      <c r="AI74" s="687"/>
    </row>
    <row r="75" spans="19:35" ht="12.75" customHeight="1">
      <c r="S75" s="181">
        <v>70</v>
      </c>
      <c r="T75" s="182">
        <v>1904</v>
      </c>
      <c r="U75" s="182">
        <v>33234</v>
      </c>
      <c r="V75" s="182">
        <v>40675</v>
      </c>
      <c r="W75" s="182" t="s">
        <v>1084</v>
      </c>
      <c r="X75" s="182" t="s">
        <v>1086</v>
      </c>
      <c r="Y75" s="182" t="s">
        <v>965</v>
      </c>
      <c r="Z75" s="103">
        <v>138694</v>
      </c>
      <c r="AH75" s="687"/>
      <c r="AI75" s="687"/>
    </row>
    <row r="76" spans="19:35" ht="12.75" customHeight="1">
      <c r="S76" s="181">
        <v>71</v>
      </c>
      <c r="T76" s="182">
        <v>1905</v>
      </c>
      <c r="U76" s="182">
        <v>33235</v>
      </c>
      <c r="V76" s="182">
        <v>40675</v>
      </c>
      <c r="W76" s="182" t="s">
        <v>1084</v>
      </c>
      <c r="X76" s="182" t="s">
        <v>1086</v>
      </c>
      <c r="Y76" s="182" t="s">
        <v>965</v>
      </c>
      <c r="Z76" s="103">
        <v>138694</v>
      </c>
      <c r="AH76" s="687"/>
      <c r="AI76" s="687"/>
    </row>
    <row r="77" spans="19:35" ht="12.75" customHeight="1">
      <c r="S77" s="181">
        <v>72</v>
      </c>
      <c r="T77" s="182">
        <v>1972</v>
      </c>
      <c r="U77" s="182">
        <v>33300</v>
      </c>
      <c r="V77" s="182">
        <v>40680</v>
      </c>
      <c r="W77" s="182" t="s">
        <v>1084</v>
      </c>
      <c r="X77" s="182" t="s">
        <v>1086</v>
      </c>
      <c r="Y77" s="182" t="s">
        <v>965</v>
      </c>
      <c r="Z77" s="103">
        <v>138694</v>
      </c>
      <c r="AH77" s="687"/>
      <c r="AI77" s="687"/>
    </row>
    <row r="78" spans="19:35" ht="12.75" customHeight="1">
      <c r="S78" s="181">
        <v>73</v>
      </c>
      <c r="T78" s="2114" t="s">
        <v>177</v>
      </c>
      <c r="U78" s="2114"/>
      <c r="V78" s="2114"/>
      <c r="W78" s="2114"/>
      <c r="X78" s="2114"/>
      <c r="Y78" s="2114"/>
      <c r="Z78" s="619">
        <f>SUM(Z46:Z77)</f>
        <v>4935060</v>
      </c>
      <c r="AH78" s="687"/>
      <c r="AI78" s="687"/>
    </row>
    <row r="79" spans="19:35" ht="12.75" customHeight="1">
      <c r="S79" s="181">
        <v>74</v>
      </c>
      <c r="T79" s="1219">
        <v>372</v>
      </c>
      <c r="U79" s="1219">
        <v>86131122</v>
      </c>
      <c r="V79" s="182" t="s">
        <v>1342</v>
      </c>
      <c r="W79" s="182" t="s">
        <v>1343</v>
      </c>
      <c r="X79" s="182" t="s">
        <v>994</v>
      </c>
      <c r="Y79" s="182" t="s">
        <v>1459</v>
      </c>
      <c r="Z79" s="103">
        <v>52500</v>
      </c>
      <c r="AH79" s="687"/>
      <c r="AI79" s="687"/>
    </row>
    <row r="80" spans="19:35" ht="12.75" customHeight="1">
      <c r="S80" s="181">
        <v>75</v>
      </c>
      <c r="T80" s="1219">
        <v>372</v>
      </c>
      <c r="U80" s="1219">
        <v>86131122</v>
      </c>
      <c r="V80" s="182" t="s">
        <v>1342</v>
      </c>
      <c r="W80" s="182" t="s">
        <v>1343</v>
      </c>
      <c r="X80" s="182" t="s">
        <v>994</v>
      </c>
      <c r="Y80" s="182" t="s">
        <v>1460</v>
      </c>
      <c r="Z80" s="103">
        <v>4600</v>
      </c>
      <c r="AH80" s="687"/>
      <c r="AI80" s="687"/>
    </row>
    <row r="81" spans="19:35" ht="12.75" customHeight="1">
      <c r="S81" s="181">
        <v>76</v>
      </c>
      <c r="T81" s="1219">
        <v>372</v>
      </c>
      <c r="U81" s="1219">
        <v>86131122</v>
      </c>
      <c r="V81" s="182" t="s">
        <v>1342</v>
      </c>
      <c r="W81" s="182" t="s">
        <v>1343</v>
      </c>
      <c r="X81" s="182" t="s">
        <v>994</v>
      </c>
      <c r="Y81" s="182" t="s">
        <v>1461</v>
      </c>
      <c r="Z81" s="103">
        <v>40000</v>
      </c>
      <c r="AH81" s="687"/>
      <c r="AI81" s="687"/>
    </row>
    <row r="82" spans="19:35" ht="12.75" customHeight="1">
      <c r="S82" s="181">
        <v>77</v>
      </c>
      <c r="T82" s="1219">
        <v>169</v>
      </c>
      <c r="U82" s="1219">
        <v>72768169</v>
      </c>
      <c r="V82" s="182" t="s">
        <v>1347</v>
      </c>
      <c r="W82" s="182" t="s">
        <v>1348</v>
      </c>
      <c r="X82" s="182" t="s">
        <v>1350</v>
      </c>
      <c r="Y82" s="182" t="s">
        <v>909</v>
      </c>
      <c r="Z82" s="103">
        <v>666698</v>
      </c>
      <c r="AH82" s="687"/>
      <c r="AI82" s="687"/>
    </row>
    <row r="83" spans="19:35" ht="12.75" customHeight="1">
      <c r="S83" s="181">
        <v>78</v>
      </c>
      <c r="T83" s="1219">
        <v>169</v>
      </c>
      <c r="U83" s="1219">
        <v>72768169</v>
      </c>
      <c r="V83" s="182" t="s">
        <v>1347</v>
      </c>
      <c r="W83" s="182" t="s">
        <v>1348</v>
      </c>
      <c r="X83" s="182" t="s">
        <v>1350</v>
      </c>
      <c r="Y83" s="182" t="s">
        <v>914</v>
      </c>
      <c r="Z83" s="103">
        <v>166666</v>
      </c>
      <c r="AH83" s="687"/>
      <c r="AI83" s="687"/>
    </row>
    <row r="84" spans="19:35" ht="12.75" customHeight="1">
      <c r="S84" s="181">
        <v>79</v>
      </c>
      <c r="T84" s="1219">
        <v>228</v>
      </c>
      <c r="U84" s="1219">
        <v>86476127</v>
      </c>
      <c r="V84" s="182" t="s">
        <v>1353</v>
      </c>
      <c r="W84" s="182" t="s">
        <v>1354</v>
      </c>
      <c r="X84" s="182" t="s">
        <v>991</v>
      </c>
      <c r="Y84" s="182" t="s">
        <v>1461</v>
      </c>
      <c r="Z84" s="103">
        <v>165000</v>
      </c>
      <c r="AH84" s="687"/>
      <c r="AI84" s="687"/>
    </row>
    <row r="85" spans="19:35" ht="12.75" customHeight="1">
      <c r="S85" s="181">
        <v>80</v>
      </c>
      <c r="T85" s="1219">
        <v>73</v>
      </c>
      <c r="U85" s="1219">
        <v>86404073</v>
      </c>
      <c r="V85" s="182" t="s">
        <v>1339</v>
      </c>
      <c r="W85" s="182" t="s">
        <v>1363</v>
      </c>
      <c r="X85" s="182" t="s">
        <v>980</v>
      </c>
      <c r="Y85" s="99" t="s">
        <v>1228</v>
      </c>
      <c r="Z85" s="103">
        <v>38332</v>
      </c>
      <c r="AB85" s="361"/>
      <c r="AE85" s="687"/>
      <c r="AH85" s="687"/>
      <c r="AI85" s="687"/>
    </row>
    <row r="86" spans="19:35" ht="12.75" customHeight="1">
      <c r="S86" s="181">
        <v>81</v>
      </c>
      <c r="T86" s="1219">
        <v>132</v>
      </c>
      <c r="U86" s="1219">
        <v>86404132</v>
      </c>
      <c r="V86" s="182" t="s">
        <v>1366</v>
      </c>
      <c r="W86" s="182" t="s">
        <v>1363</v>
      </c>
      <c r="X86" s="182" t="s">
        <v>980</v>
      </c>
      <c r="Y86" s="99" t="s">
        <v>1228</v>
      </c>
      <c r="Z86" s="103">
        <v>67088</v>
      </c>
      <c r="AB86" s="361"/>
      <c r="AE86" s="687"/>
      <c r="AH86" s="687"/>
      <c r="AI86" s="687"/>
    </row>
    <row r="87" spans="19:35" ht="12.75" customHeight="1">
      <c r="S87" s="181">
        <v>82</v>
      </c>
      <c r="T87" s="1219">
        <v>131</v>
      </c>
      <c r="U87" s="1219">
        <v>86189020</v>
      </c>
      <c r="V87" s="182" t="s">
        <v>1369</v>
      </c>
      <c r="W87" s="182" t="s">
        <v>1370</v>
      </c>
      <c r="X87" s="182" t="s">
        <v>1097</v>
      </c>
      <c r="Y87" s="99" t="s">
        <v>1462</v>
      </c>
      <c r="Z87" s="103">
        <v>127400</v>
      </c>
      <c r="AB87" s="361"/>
      <c r="AE87" s="687"/>
      <c r="AH87" s="687"/>
      <c r="AI87" s="687"/>
    </row>
    <row r="88" spans="19:35" ht="12.75" customHeight="1">
      <c r="S88" s="181">
        <v>83</v>
      </c>
      <c r="T88" s="1219">
        <v>132</v>
      </c>
      <c r="U88" s="1219">
        <v>86189021</v>
      </c>
      <c r="V88" s="182" t="s">
        <v>1369</v>
      </c>
      <c r="W88" s="182" t="s">
        <v>1370</v>
      </c>
      <c r="X88" s="182" t="s">
        <v>1097</v>
      </c>
      <c r="Y88" s="99" t="s">
        <v>965</v>
      </c>
      <c r="Z88" s="103">
        <v>126028</v>
      </c>
      <c r="AB88" s="361"/>
      <c r="AE88" s="687"/>
      <c r="AH88" s="687"/>
      <c r="AI88" s="687"/>
    </row>
    <row r="89" spans="19:35" ht="12.75" customHeight="1">
      <c r="S89" s="181">
        <v>84</v>
      </c>
      <c r="T89" s="1219">
        <v>230</v>
      </c>
      <c r="U89" s="1219">
        <v>72786047</v>
      </c>
      <c r="V89" s="182" t="s">
        <v>1374</v>
      </c>
      <c r="W89" s="182" t="s">
        <v>1375</v>
      </c>
      <c r="X89" s="182" t="s">
        <v>1035</v>
      </c>
      <c r="Y89" s="99" t="s">
        <v>1463</v>
      </c>
      <c r="Z89" s="103">
        <v>44100</v>
      </c>
      <c r="AB89" s="361"/>
      <c r="AE89" s="687"/>
      <c r="AH89" s="687"/>
      <c r="AI89" s="687"/>
    </row>
    <row r="90" spans="19:35" ht="12.75" customHeight="1">
      <c r="S90" s="181">
        <v>85</v>
      </c>
      <c r="T90" s="1219">
        <v>41</v>
      </c>
      <c r="U90" s="1219">
        <v>72786091</v>
      </c>
      <c r="V90" s="182" t="s">
        <v>1358</v>
      </c>
      <c r="W90" s="182" t="s">
        <v>1375</v>
      </c>
      <c r="X90" s="182" t="s">
        <v>1035</v>
      </c>
      <c r="Y90" s="99" t="s">
        <v>1463</v>
      </c>
      <c r="Z90" s="103">
        <v>44100</v>
      </c>
      <c r="AB90" s="361"/>
      <c r="AE90" s="687"/>
      <c r="AH90" s="687"/>
      <c r="AI90" s="687"/>
    </row>
    <row r="91" spans="19:35" ht="12.75" customHeight="1">
      <c r="S91" s="181">
        <v>86</v>
      </c>
      <c r="T91" s="1219">
        <v>67</v>
      </c>
      <c r="U91" s="1219">
        <v>84242077</v>
      </c>
      <c r="V91" s="182" t="s">
        <v>1380</v>
      </c>
      <c r="W91" s="182" t="s">
        <v>1381</v>
      </c>
      <c r="X91" s="182" t="s">
        <v>978</v>
      </c>
      <c r="Y91" s="99" t="s">
        <v>1464</v>
      </c>
      <c r="Z91" s="103">
        <v>78750</v>
      </c>
      <c r="AB91" s="361"/>
      <c r="AE91" s="687"/>
      <c r="AH91" s="687"/>
      <c r="AI91" s="687"/>
    </row>
    <row r="92" spans="19:35" ht="12.75" customHeight="1">
      <c r="S92" s="181">
        <v>87</v>
      </c>
      <c r="T92" s="1219">
        <v>51</v>
      </c>
      <c r="U92" s="1219">
        <v>84242061</v>
      </c>
      <c r="V92" s="182" t="s">
        <v>1384</v>
      </c>
      <c r="W92" s="182" t="s">
        <v>1381</v>
      </c>
      <c r="X92" s="182" t="s">
        <v>978</v>
      </c>
      <c r="Y92" s="99" t="s">
        <v>1464</v>
      </c>
      <c r="Z92" s="103">
        <v>20416.669999999998</v>
      </c>
      <c r="AB92" s="361"/>
      <c r="AE92" s="687"/>
      <c r="AH92" s="687"/>
      <c r="AI92" s="687"/>
    </row>
    <row r="93" spans="19:35" ht="12.75" customHeight="1">
      <c r="S93" s="181">
        <v>88</v>
      </c>
      <c r="T93" s="1219">
        <v>330</v>
      </c>
      <c r="U93" s="1219">
        <v>84685739</v>
      </c>
      <c r="V93" s="182" t="s">
        <v>1387</v>
      </c>
      <c r="W93" s="182" t="s">
        <v>1388</v>
      </c>
      <c r="X93" s="182" t="s">
        <v>986</v>
      </c>
      <c r="Y93" s="99" t="s">
        <v>1465</v>
      </c>
      <c r="Z93" s="103">
        <v>3500</v>
      </c>
      <c r="AB93" s="361"/>
      <c r="AE93" s="687"/>
      <c r="AH93" s="687"/>
      <c r="AI93" s="687"/>
    </row>
    <row r="94" spans="19:35" ht="12.75" customHeight="1">
      <c r="S94" s="181">
        <v>89</v>
      </c>
      <c r="T94" s="1219">
        <v>330</v>
      </c>
      <c r="U94" s="1219">
        <v>84685739</v>
      </c>
      <c r="V94" s="182" t="s">
        <v>1387</v>
      </c>
      <c r="W94" s="182" t="s">
        <v>1388</v>
      </c>
      <c r="X94" s="182" t="s">
        <v>986</v>
      </c>
      <c r="Y94" s="99" t="s">
        <v>1466</v>
      </c>
      <c r="Z94" s="103">
        <v>2200</v>
      </c>
      <c r="AB94" s="361"/>
      <c r="AE94" s="687"/>
      <c r="AH94" s="687"/>
      <c r="AI94" s="687"/>
    </row>
    <row r="95" spans="19:35" ht="12.75" customHeight="1">
      <c r="S95" s="181">
        <v>90</v>
      </c>
      <c r="T95" s="1219">
        <v>330</v>
      </c>
      <c r="U95" s="1219">
        <v>84685739</v>
      </c>
      <c r="V95" s="182" t="s">
        <v>1387</v>
      </c>
      <c r="W95" s="182" t="s">
        <v>1388</v>
      </c>
      <c r="X95" s="182" t="s">
        <v>986</v>
      </c>
      <c r="Y95" s="99" t="s">
        <v>1467</v>
      </c>
      <c r="Z95" s="103">
        <v>7410</v>
      </c>
      <c r="AB95" s="361"/>
      <c r="AE95" s="687"/>
      <c r="AH95" s="687"/>
      <c r="AI95" s="687"/>
    </row>
    <row r="96" spans="19:35" ht="12.75" customHeight="1">
      <c r="S96" s="181">
        <v>91</v>
      </c>
      <c r="T96" s="1219">
        <v>330</v>
      </c>
      <c r="U96" s="1219">
        <v>84685739</v>
      </c>
      <c r="V96" s="182" t="s">
        <v>1387</v>
      </c>
      <c r="W96" s="182" t="s">
        <v>1388</v>
      </c>
      <c r="X96" s="182" t="s">
        <v>986</v>
      </c>
      <c r="Y96" s="99" t="s">
        <v>1468</v>
      </c>
      <c r="Z96" s="103">
        <v>1880</v>
      </c>
      <c r="AB96" s="361"/>
      <c r="AE96" s="687"/>
      <c r="AH96" s="687"/>
      <c r="AI96" s="687"/>
    </row>
    <row r="97" spans="19:35" ht="12.75" customHeight="1">
      <c r="S97" s="181">
        <v>92</v>
      </c>
      <c r="T97" s="1219">
        <v>330</v>
      </c>
      <c r="U97" s="1219">
        <v>84685739</v>
      </c>
      <c r="V97" s="182" t="s">
        <v>1387</v>
      </c>
      <c r="W97" s="182" t="s">
        <v>1388</v>
      </c>
      <c r="X97" s="182" t="s">
        <v>986</v>
      </c>
      <c r="Y97" s="99" t="s">
        <v>1469</v>
      </c>
      <c r="Z97" s="103">
        <v>21240</v>
      </c>
      <c r="AB97" s="361"/>
      <c r="AE97" s="687"/>
      <c r="AH97" s="687"/>
      <c r="AI97" s="687"/>
    </row>
    <row r="98" spans="19:35" ht="12.75" customHeight="1">
      <c r="S98" s="181">
        <v>93</v>
      </c>
      <c r="T98" s="1219">
        <v>330</v>
      </c>
      <c r="U98" s="1219">
        <v>84685739</v>
      </c>
      <c r="V98" s="182" t="s">
        <v>1387</v>
      </c>
      <c r="W98" s="182" t="s">
        <v>1388</v>
      </c>
      <c r="X98" s="182" t="s">
        <v>986</v>
      </c>
      <c r="Y98" s="99" t="s">
        <v>1470</v>
      </c>
      <c r="Z98" s="103">
        <v>213590</v>
      </c>
      <c r="AB98" s="361"/>
      <c r="AE98" s="687"/>
      <c r="AH98" s="687"/>
      <c r="AI98" s="687"/>
    </row>
    <row r="99" spans="19:35" ht="12.75" customHeight="1">
      <c r="S99" s="181">
        <v>94</v>
      </c>
      <c r="T99" s="1219">
        <v>314</v>
      </c>
      <c r="U99" s="1219">
        <v>84685726</v>
      </c>
      <c r="V99" s="182" t="s">
        <v>1391</v>
      </c>
      <c r="W99" s="182" t="s">
        <v>1388</v>
      </c>
      <c r="X99" s="182" t="s">
        <v>986</v>
      </c>
      <c r="Y99" s="182" t="s">
        <v>1471</v>
      </c>
      <c r="Z99" s="103">
        <v>3980</v>
      </c>
      <c r="AB99" s="361"/>
      <c r="AE99" s="687"/>
      <c r="AH99" s="687"/>
      <c r="AI99" s="687"/>
    </row>
    <row r="100" spans="19:35" ht="12.75" customHeight="1">
      <c r="S100" s="181">
        <v>95</v>
      </c>
      <c r="T100" s="1219">
        <v>314</v>
      </c>
      <c r="U100" s="1219">
        <v>84685726</v>
      </c>
      <c r="V100" s="182" t="s">
        <v>1391</v>
      </c>
      <c r="W100" s="182" t="s">
        <v>1388</v>
      </c>
      <c r="X100" s="182" t="s">
        <v>986</v>
      </c>
      <c r="Y100" s="182" t="s">
        <v>1469</v>
      </c>
      <c r="Z100" s="103">
        <v>34170</v>
      </c>
      <c r="AH100" s="687"/>
      <c r="AI100" s="687"/>
    </row>
    <row r="101" spans="19:35" ht="12.75" customHeight="1">
      <c r="S101" s="181">
        <v>96</v>
      </c>
      <c r="T101" s="1219">
        <v>314</v>
      </c>
      <c r="U101" s="1219">
        <v>84685726</v>
      </c>
      <c r="V101" s="182" t="s">
        <v>1391</v>
      </c>
      <c r="W101" s="182" t="s">
        <v>1388</v>
      </c>
      <c r="X101" s="182" t="s">
        <v>986</v>
      </c>
      <c r="Y101" s="182" t="s">
        <v>1470</v>
      </c>
      <c r="Z101" s="103">
        <v>100440</v>
      </c>
      <c r="AH101" s="687"/>
      <c r="AI101" s="687"/>
    </row>
    <row r="102" spans="19:35" ht="12.75" customHeight="1">
      <c r="S102" s="181">
        <v>97</v>
      </c>
      <c r="T102" s="1219">
        <v>261</v>
      </c>
      <c r="U102" s="1219">
        <v>84685670</v>
      </c>
      <c r="V102" s="182" t="s">
        <v>1342</v>
      </c>
      <c r="W102" s="182" t="s">
        <v>1388</v>
      </c>
      <c r="X102" s="182" t="s">
        <v>986</v>
      </c>
      <c r="Y102" s="182" t="s">
        <v>1472</v>
      </c>
      <c r="Z102" s="103">
        <v>20400</v>
      </c>
      <c r="AH102" s="687"/>
      <c r="AI102" s="687"/>
    </row>
    <row r="103" spans="19:35" ht="12.75" customHeight="1">
      <c r="S103" s="181">
        <v>98</v>
      </c>
      <c r="T103" s="1219">
        <v>261</v>
      </c>
      <c r="U103" s="1219">
        <v>84685670</v>
      </c>
      <c r="V103" s="182" t="s">
        <v>1342</v>
      </c>
      <c r="W103" s="182" t="s">
        <v>1388</v>
      </c>
      <c r="X103" s="182" t="s">
        <v>986</v>
      </c>
      <c r="Y103" s="182" t="s">
        <v>1257</v>
      </c>
      <c r="Z103" s="103">
        <v>9534</v>
      </c>
      <c r="AH103" s="687"/>
      <c r="AI103" s="687"/>
    </row>
    <row r="104" spans="19:35" ht="12.75" customHeight="1">
      <c r="S104" s="181">
        <v>99</v>
      </c>
      <c r="T104" s="1219">
        <v>261</v>
      </c>
      <c r="U104" s="1219">
        <v>84685670</v>
      </c>
      <c r="V104" s="182" t="s">
        <v>1342</v>
      </c>
      <c r="W104" s="182" t="s">
        <v>1388</v>
      </c>
      <c r="X104" s="182" t="s">
        <v>986</v>
      </c>
      <c r="Y104" s="182" t="s">
        <v>1468</v>
      </c>
      <c r="Z104" s="103">
        <v>8295</v>
      </c>
      <c r="AH104" s="687"/>
      <c r="AI104" s="687"/>
    </row>
    <row r="105" spans="19:35" ht="12.75" customHeight="1">
      <c r="S105" s="181">
        <v>100</v>
      </c>
      <c r="T105" s="1219">
        <v>261</v>
      </c>
      <c r="U105" s="1219">
        <v>84685670</v>
      </c>
      <c r="V105" s="182" t="s">
        <v>1342</v>
      </c>
      <c r="W105" s="182" t="s">
        <v>1388</v>
      </c>
      <c r="X105" s="182" t="s">
        <v>986</v>
      </c>
      <c r="Y105" s="182" t="s">
        <v>1473</v>
      </c>
      <c r="Z105" s="103">
        <v>65076</v>
      </c>
      <c r="AH105" s="687"/>
      <c r="AI105" s="687"/>
    </row>
    <row r="106" spans="19:35" ht="12.75" customHeight="1">
      <c r="S106" s="181">
        <v>101</v>
      </c>
      <c r="T106" s="1219">
        <v>261</v>
      </c>
      <c r="U106" s="1219">
        <v>84685670</v>
      </c>
      <c r="V106" s="182" t="s">
        <v>1342</v>
      </c>
      <c r="W106" s="182" t="s">
        <v>1388</v>
      </c>
      <c r="X106" s="182" t="s">
        <v>986</v>
      </c>
      <c r="Y106" s="182" t="s">
        <v>1474</v>
      </c>
      <c r="Z106" s="103">
        <v>121250</v>
      </c>
      <c r="AH106" s="687"/>
      <c r="AI106" s="687"/>
    </row>
    <row r="107" spans="19:35" ht="12.75" customHeight="1">
      <c r="S107" s="181">
        <v>102</v>
      </c>
      <c r="T107" s="1219">
        <v>297</v>
      </c>
      <c r="U107" s="1219">
        <v>84685706</v>
      </c>
      <c r="V107" s="182" t="s">
        <v>1396</v>
      </c>
      <c r="W107" s="182" t="s">
        <v>1388</v>
      </c>
      <c r="X107" s="182" t="s">
        <v>986</v>
      </c>
      <c r="Y107" s="182" t="s">
        <v>1475</v>
      </c>
      <c r="Z107" s="103">
        <v>700</v>
      </c>
      <c r="AH107" s="687"/>
      <c r="AI107" s="687"/>
    </row>
    <row r="108" spans="19:35" ht="12.75" customHeight="1">
      <c r="S108" s="181">
        <v>103</v>
      </c>
      <c r="T108" s="1219">
        <v>297</v>
      </c>
      <c r="U108" s="1219">
        <v>84685706</v>
      </c>
      <c r="V108" s="182" t="s">
        <v>1396</v>
      </c>
      <c r="W108" s="182" t="s">
        <v>1388</v>
      </c>
      <c r="X108" s="182" t="s">
        <v>986</v>
      </c>
      <c r="Y108" s="182" t="s">
        <v>1476</v>
      </c>
      <c r="Z108" s="103">
        <v>3760</v>
      </c>
      <c r="AH108" s="687"/>
      <c r="AI108" s="687"/>
    </row>
    <row r="109" spans="19:35" ht="12.75" customHeight="1">
      <c r="S109" s="181">
        <v>104</v>
      </c>
      <c r="T109" s="1219">
        <v>297</v>
      </c>
      <c r="U109" s="1219">
        <v>84685706</v>
      </c>
      <c r="V109" s="182" t="s">
        <v>1396</v>
      </c>
      <c r="W109" s="182" t="s">
        <v>1388</v>
      </c>
      <c r="X109" s="182" t="s">
        <v>986</v>
      </c>
      <c r="Y109" s="182" t="s">
        <v>1477</v>
      </c>
      <c r="Z109" s="103">
        <v>1575</v>
      </c>
      <c r="AH109" s="687"/>
      <c r="AI109" s="687"/>
    </row>
    <row r="110" spans="19:35" ht="12.75" customHeight="1">
      <c r="S110" s="181">
        <v>105</v>
      </c>
      <c r="T110" s="1219">
        <v>297</v>
      </c>
      <c r="U110" s="1219">
        <v>84685706</v>
      </c>
      <c r="V110" s="182" t="s">
        <v>1396</v>
      </c>
      <c r="W110" s="182" t="s">
        <v>1388</v>
      </c>
      <c r="X110" s="182" t="s">
        <v>986</v>
      </c>
      <c r="Y110" s="182" t="s">
        <v>1478</v>
      </c>
      <c r="Z110" s="103">
        <v>38475</v>
      </c>
      <c r="AH110" s="687"/>
      <c r="AI110" s="687"/>
    </row>
    <row r="111" spans="19:35" ht="12.75" customHeight="1">
      <c r="S111" s="181">
        <v>106</v>
      </c>
      <c r="T111" s="1219">
        <v>297</v>
      </c>
      <c r="U111" s="1219">
        <v>84685706</v>
      </c>
      <c r="V111" s="182" t="s">
        <v>1396</v>
      </c>
      <c r="W111" s="182" t="s">
        <v>1388</v>
      </c>
      <c r="X111" s="182" t="s">
        <v>986</v>
      </c>
      <c r="Y111" s="182" t="s">
        <v>1479</v>
      </c>
      <c r="Z111" s="103">
        <v>203515</v>
      </c>
      <c r="AH111" s="687"/>
      <c r="AI111" s="687"/>
    </row>
    <row r="112" spans="19:35" ht="12.75" customHeight="1">
      <c r="S112" s="181">
        <v>107</v>
      </c>
      <c r="T112" s="1219">
        <v>288</v>
      </c>
      <c r="U112" s="1219">
        <v>84685697</v>
      </c>
      <c r="V112" s="182" t="s">
        <v>1399</v>
      </c>
      <c r="W112" s="182" t="s">
        <v>1388</v>
      </c>
      <c r="X112" s="182" t="s">
        <v>986</v>
      </c>
      <c r="Y112" s="182" t="s">
        <v>1480</v>
      </c>
      <c r="Z112" s="103">
        <v>8910</v>
      </c>
      <c r="AH112" s="687"/>
      <c r="AI112" s="687"/>
    </row>
    <row r="113" spans="18:35" ht="12.75" customHeight="1">
      <c r="S113" s="181">
        <v>108</v>
      </c>
      <c r="T113" s="1219">
        <v>288</v>
      </c>
      <c r="U113" s="1219">
        <v>84685697</v>
      </c>
      <c r="V113" s="182" t="s">
        <v>1399</v>
      </c>
      <c r="W113" s="182" t="s">
        <v>1388</v>
      </c>
      <c r="X113" s="182" t="s">
        <v>986</v>
      </c>
      <c r="Y113" s="182" t="s">
        <v>1468</v>
      </c>
      <c r="Z113" s="103">
        <v>5640</v>
      </c>
      <c r="AH113" s="687"/>
      <c r="AI113" s="687"/>
    </row>
    <row r="114" spans="18:35" ht="12.75" customHeight="1">
      <c r="S114" s="181">
        <v>109</v>
      </c>
      <c r="T114" s="1219">
        <v>288</v>
      </c>
      <c r="U114" s="1219">
        <v>84685697</v>
      </c>
      <c r="V114" s="182" t="s">
        <v>1399</v>
      </c>
      <c r="W114" s="182" t="s">
        <v>1388</v>
      </c>
      <c r="X114" s="182" t="s">
        <v>986</v>
      </c>
      <c r="Y114" s="182" t="s">
        <v>1257</v>
      </c>
      <c r="Z114" s="103">
        <v>4275</v>
      </c>
      <c r="AH114" s="687"/>
      <c r="AI114" s="687"/>
    </row>
    <row r="115" spans="18:35" ht="12.75" customHeight="1">
      <c r="S115" s="181">
        <v>110</v>
      </c>
      <c r="T115" s="1219">
        <v>288</v>
      </c>
      <c r="U115" s="1219">
        <v>84685697</v>
      </c>
      <c r="V115" s="182" t="s">
        <v>1399</v>
      </c>
      <c r="W115" s="182" t="s">
        <v>1388</v>
      </c>
      <c r="X115" s="182" t="s">
        <v>986</v>
      </c>
      <c r="Y115" s="182" t="s">
        <v>1276</v>
      </c>
      <c r="Z115" s="103">
        <v>187860</v>
      </c>
      <c r="AH115" s="687"/>
      <c r="AI115" s="687"/>
    </row>
    <row r="116" spans="18:35" ht="12.75" customHeight="1">
      <c r="S116" s="181">
        <v>111</v>
      </c>
      <c r="T116" s="1219">
        <v>1363</v>
      </c>
      <c r="U116" s="1219">
        <v>86887263</v>
      </c>
      <c r="V116" s="182" t="s">
        <v>1402</v>
      </c>
      <c r="W116" s="182" t="s">
        <v>1403</v>
      </c>
      <c r="X116" s="182" t="s">
        <v>997</v>
      </c>
      <c r="Y116" s="182" t="s">
        <v>1253</v>
      </c>
      <c r="Z116" s="103">
        <v>209343</v>
      </c>
      <c r="AH116" s="687"/>
      <c r="AI116" s="687"/>
    </row>
    <row r="117" spans="18:35" ht="12.75" customHeight="1">
      <c r="S117" s="181">
        <v>112</v>
      </c>
      <c r="T117" s="1219">
        <v>2116</v>
      </c>
      <c r="U117" s="1219">
        <v>33436</v>
      </c>
      <c r="V117" s="182" t="s">
        <v>1342</v>
      </c>
      <c r="W117" s="182" t="s">
        <v>1406</v>
      </c>
      <c r="X117" s="182" t="s">
        <v>1086</v>
      </c>
      <c r="Y117" s="182" t="s">
        <v>965</v>
      </c>
      <c r="Z117" s="103">
        <v>166720</v>
      </c>
      <c r="AH117" s="687"/>
      <c r="AI117" s="687"/>
    </row>
    <row r="118" spans="18:35" ht="12.75" customHeight="1">
      <c r="S118" s="181">
        <v>113</v>
      </c>
      <c r="T118" s="2114" t="s">
        <v>178</v>
      </c>
      <c r="U118" s="2114"/>
      <c r="V118" s="2114"/>
      <c r="W118" s="2114"/>
      <c r="X118" s="2114"/>
      <c r="Y118" s="2114"/>
      <c r="Z118" s="619">
        <f>SUM(Z79:Z117)</f>
        <v>3085416.67</v>
      </c>
      <c r="AH118" s="687"/>
      <c r="AI118" s="687"/>
    </row>
    <row r="119" spans="18:35" ht="12.75" customHeight="1">
      <c r="S119" s="181">
        <v>114</v>
      </c>
      <c r="T119" s="1216">
        <v>74</v>
      </c>
      <c r="U119" s="1216">
        <v>84242085</v>
      </c>
      <c r="V119" s="1217" t="s">
        <v>1423</v>
      </c>
      <c r="W119" s="1217" t="s">
        <v>1381</v>
      </c>
      <c r="X119" s="1217" t="s">
        <v>978</v>
      </c>
      <c r="Y119" s="1218" t="s">
        <v>1464</v>
      </c>
      <c r="Z119" s="1226">
        <v>23333.34</v>
      </c>
      <c r="AH119" s="687"/>
      <c r="AI119" s="687"/>
    </row>
    <row r="120" spans="18:35" ht="12.75" customHeight="1">
      <c r="S120" s="181">
        <v>115</v>
      </c>
      <c r="T120" s="1216">
        <v>7</v>
      </c>
      <c r="U120" s="1216">
        <v>86189407</v>
      </c>
      <c r="V120" s="1217" t="s">
        <v>1426</v>
      </c>
      <c r="W120" s="1217" t="s">
        <v>1427</v>
      </c>
      <c r="X120" s="1217" t="s">
        <v>1428</v>
      </c>
      <c r="Y120" s="1218" t="s">
        <v>1481</v>
      </c>
      <c r="Z120" s="1226">
        <v>80000</v>
      </c>
      <c r="AH120" s="687"/>
      <c r="AI120" s="687"/>
    </row>
    <row r="121" spans="18:35" ht="12.75" customHeight="1">
      <c r="R121" s="687"/>
      <c r="S121" s="181">
        <v>116</v>
      </c>
      <c r="T121" s="1216">
        <v>7</v>
      </c>
      <c r="U121" s="1216">
        <v>86189407</v>
      </c>
      <c r="V121" s="1217" t="s">
        <v>1426</v>
      </c>
      <c r="W121" s="1217" t="s">
        <v>1427</v>
      </c>
      <c r="X121" s="1217" t="s">
        <v>1428</v>
      </c>
      <c r="Y121" s="1218" t="s">
        <v>1482</v>
      </c>
      <c r="Z121" s="1226">
        <v>42500</v>
      </c>
      <c r="AH121" s="687"/>
      <c r="AI121" s="687"/>
    </row>
    <row r="122" spans="18:35" ht="12.75" customHeight="1">
      <c r="R122" s="687"/>
      <c r="S122" s="181">
        <v>117</v>
      </c>
      <c r="T122" s="1216">
        <v>7</v>
      </c>
      <c r="U122" s="1216">
        <v>86189407</v>
      </c>
      <c r="V122" s="1217" t="s">
        <v>1426</v>
      </c>
      <c r="W122" s="1217" t="s">
        <v>1427</v>
      </c>
      <c r="X122" s="1217" t="s">
        <v>1428</v>
      </c>
      <c r="Y122" s="1218" t="s">
        <v>1482</v>
      </c>
      <c r="Z122" s="1226">
        <v>29166</v>
      </c>
      <c r="AH122" s="687"/>
      <c r="AI122" s="687"/>
    </row>
    <row r="123" spans="18:35" ht="12.75" customHeight="1">
      <c r="R123" s="687"/>
      <c r="S123" s="181">
        <v>118</v>
      </c>
      <c r="T123" s="1216">
        <v>7</v>
      </c>
      <c r="U123" s="1216">
        <v>86189407</v>
      </c>
      <c r="V123" s="1217" t="s">
        <v>1426</v>
      </c>
      <c r="W123" s="1217" t="s">
        <v>1427</v>
      </c>
      <c r="X123" s="1217" t="s">
        <v>1428</v>
      </c>
      <c r="Y123" s="1218" t="s">
        <v>1460</v>
      </c>
      <c r="Z123" s="1226">
        <v>16666</v>
      </c>
      <c r="AH123" s="687"/>
      <c r="AI123" s="687"/>
    </row>
    <row r="124" spans="18:35" ht="12.75" customHeight="1">
      <c r="R124" s="687"/>
      <c r="S124" s="181">
        <v>119</v>
      </c>
      <c r="T124" s="1216">
        <v>7</v>
      </c>
      <c r="U124" s="1216">
        <v>86189407</v>
      </c>
      <c r="V124" s="1217" t="s">
        <v>1426</v>
      </c>
      <c r="W124" s="1217" t="s">
        <v>1427</v>
      </c>
      <c r="X124" s="1217" t="s">
        <v>1428</v>
      </c>
      <c r="Y124" s="1218" t="s">
        <v>1484</v>
      </c>
      <c r="Z124" s="1226">
        <v>15000</v>
      </c>
      <c r="AH124" s="687"/>
      <c r="AI124" s="687"/>
    </row>
    <row r="125" spans="18:35" ht="12.75" customHeight="1">
      <c r="R125" s="687"/>
      <c r="S125" s="181">
        <v>120</v>
      </c>
      <c r="T125" s="1216">
        <v>7</v>
      </c>
      <c r="U125" s="1216">
        <v>86189407</v>
      </c>
      <c r="V125" s="1217" t="s">
        <v>1426</v>
      </c>
      <c r="W125" s="1217" t="s">
        <v>1427</v>
      </c>
      <c r="X125" s="1217" t="s">
        <v>1428</v>
      </c>
      <c r="Y125" s="1218" t="s">
        <v>1484</v>
      </c>
      <c r="Z125" s="1226">
        <v>10000</v>
      </c>
      <c r="AH125" s="687"/>
      <c r="AI125" s="687"/>
    </row>
    <row r="126" spans="18:35" ht="12.75" customHeight="1">
      <c r="R126" s="687"/>
      <c r="S126" s="181">
        <v>121</v>
      </c>
      <c r="T126" s="1216">
        <v>7</v>
      </c>
      <c r="U126" s="1216">
        <v>86189407</v>
      </c>
      <c r="V126" s="1217" t="s">
        <v>1426</v>
      </c>
      <c r="W126" s="1217" t="s">
        <v>1427</v>
      </c>
      <c r="X126" s="1217" t="s">
        <v>1428</v>
      </c>
      <c r="Y126" s="1228" t="s">
        <v>1485</v>
      </c>
      <c r="Z126" s="1226">
        <v>5000</v>
      </c>
      <c r="AH126" s="687"/>
      <c r="AI126" s="687"/>
    </row>
    <row r="127" spans="18:35" ht="12.75" customHeight="1">
      <c r="R127" s="687"/>
      <c r="S127" s="181">
        <v>122</v>
      </c>
      <c r="T127" s="1216">
        <v>7</v>
      </c>
      <c r="U127" s="1216">
        <v>86189407</v>
      </c>
      <c r="V127" s="1217" t="s">
        <v>1426</v>
      </c>
      <c r="W127" s="1217" t="s">
        <v>1427</v>
      </c>
      <c r="X127" s="1217" t="s">
        <v>1428</v>
      </c>
      <c r="Y127" s="1228" t="s">
        <v>1486</v>
      </c>
      <c r="Z127" s="1226">
        <v>4667</v>
      </c>
      <c r="AH127" s="687"/>
      <c r="AI127" s="687"/>
    </row>
    <row r="128" spans="18:35" ht="12.75" customHeight="1">
      <c r="R128" s="687"/>
      <c r="S128" s="181">
        <v>123</v>
      </c>
      <c r="T128" s="1216">
        <v>7</v>
      </c>
      <c r="U128" s="1216">
        <v>86189407</v>
      </c>
      <c r="V128" s="1217" t="s">
        <v>1426</v>
      </c>
      <c r="W128" s="1217" t="s">
        <v>1427</v>
      </c>
      <c r="X128" s="1217" t="s">
        <v>1428</v>
      </c>
      <c r="Y128" s="1218" t="s">
        <v>1489</v>
      </c>
      <c r="Z128" s="1226">
        <v>16666</v>
      </c>
      <c r="AH128" s="687"/>
      <c r="AI128" s="687"/>
    </row>
    <row r="129" spans="18:35" ht="12.75" customHeight="1">
      <c r="R129" s="687"/>
      <c r="S129" s="181">
        <v>124</v>
      </c>
      <c r="T129" s="1216">
        <v>305</v>
      </c>
      <c r="U129" s="1216">
        <v>87850304</v>
      </c>
      <c r="V129" s="1217" t="s">
        <v>1435</v>
      </c>
      <c r="W129" s="1217" t="s">
        <v>1354</v>
      </c>
      <c r="X129" s="1217" t="s">
        <v>1436</v>
      </c>
      <c r="Y129" s="1218" t="s">
        <v>1459</v>
      </c>
      <c r="Z129" s="1226">
        <v>44000</v>
      </c>
      <c r="AB129" s="361"/>
      <c r="AE129" s="687"/>
      <c r="AH129" s="687"/>
      <c r="AI129" s="687"/>
    </row>
    <row r="130" spans="18:35" ht="12.75" customHeight="1">
      <c r="R130" s="687"/>
      <c r="S130" s="181">
        <v>125</v>
      </c>
      <c r="T130" s="1216">
        <v>372</v>
      </c>
      <c r="U130" s="1216">
        <v>87742281</v>
      </c>
      <c r="V130" s="1217" t="s">
        <v>1438</v>
      </c>
      <c r="W130" s="1217" t="s">
        <v>1439</v>
      </c>
      <c r="X130" s="1217" t="s">
        <v>986</v>
      </c>
      <c r="Y130" s="1218" t="s">
        <v>1490</v>
      </c>
      <c r="Z130" s="1226">
        <v>43200</v>
      </c>
      <c r="AB130" s="361"/>
      <c r="AE130" s="687"/>
      <c r="AH130" s="687"/>
      <c r="AI130" s="687"/>
    </row>
    <row r="131" spans="18:35" ht="12.75" customHeight="1">
      <c r="R131" s="687"/>
      <c r="S131" s="181">
        <v>126</v>
      </c>
      <c r="T131" s="1216">
        <v>372</v>
      </c>
      <c r="U131" s="1216">
        <v>87742281</v>
      </c>
      <c r="V131" s="1217" t="s">
        <v>1438</v>
      </c>
      <c r="W131" s="1217" t="s">
        <v>1439</v>
      </c>
      <c r="X131" s="1217" t="s">
        <v>986</v>
      </c>
      <c r="Y131" s="1218" t="s">
        <v>1473</v>
      </c>
      <c r="Z131" s="1226">
        <v>66780</v>
      </c>
      <c r="AA131" s="361"/>
      <c r="AB131" s="361"/>
      <c r="AD131" s="687"/>
      <c r="AE131" s="687"/>
      <c r="AH131" s="687"/>
      <c r="AI131" s="687"/>
    </row>
    <row r="132" spans="18:35" ht="12.75" customHeight="1">
      <c r="R132" s="687"/>
      <c r="S132" s="181">
        <v>127</v>
      </c>
      <c r="T132" s="1216">
        <v>372</v>
      </c>
      <c r="U132" s="1216">
        <v>87742281</v>
      </c>
      <c r="V132" s="1217" t="s">
        <v>1438</v>
      </c>
      <c r="W132" s="1217" t="s">
        <v>1439</v>
      </c>
      <c r="X132" s="1217" t="s">
        <v>986</v>
      </c>
      <c r="Y132" s="1218" t="s">
        <v>1491</v>
      </c>
      <c r="Z132" s="1226">
        <v>117700</v>
      </c>
      <c r="AB132" s="361"/>
      <c r="AE132" s="687"/>
      <c r="AH132" s="687"/>
      <c r="AI132" s="687"/>
    </row>
    <row r="133" spans="18:35" ht="12.75" customHeight="1">
      <c r="R133" s="687"/>
      <c r="S133" s="181">
        <v>128</v>
      </c>
      <c r="T133" s="1216">
        <v>372</v>
      </c>
      <c r="U133" s="1216">
        <v>87742281</v>
      </c>
      <c r="V133" s="1217" t="s">
        <v>1438</v>
      </c>
      <c r="W133" s="1217" t="s">
        <v>1439</v>
      </c>
      <c r="X133" s="1217" t="s">
        <v>986</v>
      </c>
      <c r="Y133" s="1218" t="s">
        <v>1258</v>
      </c>
      <c r="Z133" s="1226">
        <v>5950</v>
      </c>
      <c r="AB133" s="361"/>
      <c r="AE133" s="687"/>
      <c r="AH133" s="687"/>
      <c r="AI133" s="687"/>
    </row>
    <row r="134" spans="18:35" ht="12.75" customHeight="1">
      <c r="R134" s="687"/>
      <c r="S134" s="181">
        <v>129</v>
      </c>
      <c r="T134" s="1216">
        <v>372</v>
      </c>
      <c r="U134" s="1216">
        <v>87742281</v>
      </c>
      <c r="V134" s="1217" t="s">
        <v>1438</v>
      </c>
      <c r="W134" s="1217" t="s">
        <v>1439</v>
      </c>
      <c r="X134" s="1217" t="s">
        <v>986</v>
      </c>
      <c r="Y134" s="1218" t="s">
        <v>1257</v>
      </c>
      <c r="Z134" s="1226">
        <v>3600</v>
      </c>
      <c r="AB134" s="361"/>
      <c r="AE134" s="687"/>
      <c r="AH134" s="687"/>
      <c r="AI134" s="687"/>
    </row>
    <row r="135" spans="18:35" ht="12.75" customHeight="1">
      <c r="R135" s="687"/>
      <c r="S135" s="181">
        <v>130</v>
      </c>
      <c r="T135" s="1216">
        <v>372</v>
      </c>
      <c r="U135" s="1216">
        <v>87742281</v>
      </c>
      <c r="V135" s="1217" t="s">
        <v>1438</v>
      </c>
      <c r="W135" s="1217" t="s">
        <v>1439</v>
      </c>
      <c r="X135" s="1217" t="s">
        <v>986</v>
      </c>
      <c r="Y135" s="1218" t="s">
        <v>1467</v>
      </c>
      <c r="Z135" s="1226">
        <v>7455</v>
      </c>
      <c r="AB135" s="361"/>
      <c r="AE135" s="687"/>
      <c r="AH135" s="687"/>
      <c r="AI135" s="687"/>
    </row>
    <row r="136" spans="18:35" ht="12.75" customHeight="1">
      <c r="R136" s="687"/>
      <c r="S136" s="181">
        <v>131</v>
      </c>
      <c r="T136" s="1216">
        <v>398</v>
      </c>
      <c r="U136" s="1216">
        <v>87742307</v>
      </c>
      <c r="V136" s="1217" t="s">
        <v>1442</v>
      </c>
      <c r="W136" s="1217" t="s">
        <v>1439</v>
      </c>
      <c r="X136" s="1217" t="s">
        <v>986</v>
      </c>
      <c r="Y136" s="1218" t="s">
        <v>1492</v>
      </c>
      <c r="Z136" s="1226">
        <v>227695</v>
      </c>
      <c r="AB136" s="361"/>
      <c r="AE136" s="687"/>
      <c r="AH136" s="687"/>
      <c r="AI136" s="687"/>
    </row>
    <row r="137" spans="18:35" ht="12.75" customHeight="1">
      <c r="R137" s="687"/>
      <c r="S137" s="181">
        <v>132</v>
      </c>
      <c r="T137" s="1216">
        <v>398</v>
      </c>
      <c r="U137" s="1216">
        <v>87742307</v>
      </c>
      <c r="V137" s="1217" t="s">
        <v>1442</v>
      </c>
      <c r="W137" s="1217" t="s">
        <v>1439</v>
      </c>
      <c r="X137" s="1217" t="s">
        <v>986</v>
      </c>
      <c r="Y137" s="1218" t="s">
        <v>1288</v>
      </c>
      <c r="Z137" s="1226">
        <v>4050</v>
      </c>
      <c r="AB137" s="361"/>
      <c r="AE137" s="687"/>
      <c r="AH137" s="687"/>
      <c r="AI137" s="687"/>
    </row>
    <row r="138" spans="18:35" ht="12.75" customHeight="1">
      <c r="R138" s="687"/>
      <c r="S138" s="181">
        <v>133</v>
      </c>
      <c r="T138" s="1216">
        <v>398</v>
      </c>
      <c r="U138" s="1216">
        <v>87742307</v>
      </c>
      <c r="V138" s="1217" t="s">
        <v>1442</v>
      </c>
      <c r="W138" s="1217" t="s">
        <v>1439</v>
      </c>
      <c r="X138" s="1217" t="s">
        <v>986</v>
      </c>
      <c r="Y138" s="1218" t="s">
        <v>1493</v>
      </c>
      <c r="Z138" s="1226">
        <v>15355</v>
      </c>
      <c r="AB138" s="361"/>
      <c r="AE138" s="687"/>
      <c r="AH138" s="687"/>
      <c r="AI138" s="687"/>
    </row>
    <row r="139" spans="18:35" ht="12.75" customHeight="1">
      <c r="R139" s="687"/>
      <c r="S139" s="181">
        <v>134</v>
      </c>
      <c r="T139" s="1216">
        <v>2434</v>
      </c>
      <c r="U139" s="1216">
        <v>33730</v>
      </c>
      <c r="V139" s="1217" t="s">
        <v>1445</v>
      </c>
      <c r="W139" s="1217" t="s">
        <v>1406</v>
      </c>
      <c r="X139" s="1217" t="s">
        <v>1086</v>
      </c>
      <c r="Y139" s="1218" t="s">
        <v>965</v>
      </c>
      <c r="Z139" s="1226">
        <v>74682</v>
      </c>
      <c r="AB139" s="361"/>
      <c r="AE139" s="687"/>
      <c r="AH139" s="687"/>
      <c r="AI139" s="687"/>
    </row>
    <row r="140" spans="18:35" ht="12.75" customHeight="1">
      <c r="R140" s="687"/>
      <c r="S140" s="181">
        <v>135</v>
      </c>
      <c r="T140" s="1216">
        <v>2412</v>
      </c>
      <c r="U140" s="1216">
        <v>33710</v>
      </c>
      <c r="V140" s="1217" t="s">
        <v>1448</v>
      </c>
      <c r="W140" s="1217" t="s">
        <v>1406</v>
      </c>
      <c r="X140" s="1217" t="s">
        <v>1086</v>
      </c>
      <c r="Y140" s="1218" t="s">
        <v>965</v>
      </c>
      <c r="Z140" s="1226">
        <v>138694</v>
      </c>
      <c r="AB140" s="361"/>
      <c r="AE140" s="687"/>
      <c r="AH140" s="687"/>
      <c r="AI140" s="687"/>
    </row>
    <row r="141" spans="18:35" ht="12.75" customHeight="1">
      <c r="R141" s="687"/>
      <c r="S141" s="181">
        <v>136</v>
      </c>
      <c r="T141" s="1216">
        <v>2466</v>
      </c>
      <c r="U141" s="1216">
        <v>33762</v>
      </c>
      <c r="V141" s="1217" t="s">
        <v>1451</v>
      </c>
      <c r="W141" s="1217" t="s">
        <v>1406</v>
      </c>
      <c r="X141" s="1217" t="s">
        <v>1086</v>
      </c>
      <c r="Y141" s="1218" t="s">
        <v>965</v>
      </c>
      <c r="Z141" s="1226">
        <v>74682</v>
      </c>
      <c r="AB141" s="361"/>
      <c r="AE141" s="687"/>
      <c r="AH141" s="687"/>
      <c r="AI141" s="687"/>
    </row>
    <row r="142" spans="18:35" ht="12.75" customHeight="1">
      <c r="R142" s="687"/>
      <c r="S142" s="181">
        <v>137</v>
      </c>
      <c r="T142" s="1216">
        <v>2461</v>
      </c>
      <c r="U142" s="1216">
        <v>33757</v>
      </c>
      <c r="V142" s="1217" t="s">
        <v>1451</v>
      </c>
      <c r="W142" s="1217" t="s">
        <v>1406</v>
      </c>
      <c r="X142" s="1217" t="s">
        <v>1086</v>
      </c>
      <c r="Y142" s="1218" t="s">
        <v>965</v>
      </c>
      <c r="Z142" s="1226">
        <v>74682</v>
      </c>
      <c r="AB142" s="361"/>
      <c r="AE142" s="687"/>
      <c r="AH142" s="687"/>
      <c r="AI142" s="687"/>
    </row>
    <row r="143" spans="18:35" ht="12.75" customHeight="1">
      <c r="R143" s="687"/>
      <c r="S143" s="181">
        <v>138</v>
      </c>
      <c r="T143" s="1216">
        <v>2326</v>
      </c>
      <c r="U143" s="1216">
        <v>33631</v>
      </c>
      <c r="V143" s="1217" t="s">
        <v>1387</v>
      </c>
      <c r="W143" s="1217" t="s">
        <v>1406</v>
      </c>
      <c r="X143" s="1217" t="s">
        <v>1086</v>
      </c>
      <c r="Y143" s="1218" t="s">
        <v>965</v>
      </c>
      <c r="Z143" s="1226">
        <v>138694</v>
      </c>
      <c r="AB143" s="361"/>
      <c r="AE143" s="687"/>
      <c r="AH143" s="687"/>
      <c r="AI143" s="687"/>
    </row>
    <row r="144" spans="18:35" ht="12.75" customHeight="1">
      <c r="R144" s="687"/>
      <c r="S144" s="181">
        <v>139</v>
      </c>
      <c r="T144" s="1216">
        <v>2387</v>
      </c>
      <c r="U144" s="1216">
        <v>33686</v>
      </c>
      <c r="V144" s="1217" t="s">
        <v>1458</v>
      </c>
      <c r="W144" s="1217" t="s">
        <v>1406</v>
      </c>
      <c r="X144" s="1217" t="s">
        <v>1086</v>
      </c>
      <c r="Y144" s="1218" t="s">
        <v>965</v>
      </c>
      <c r="Z144" s="1226">
        <v>154144</v>
      </c>
      <c r="AB144" s="361"/>
      <c r="AE144" s="687"/>
      <c r="AH144" s="687"/>
      <c r="AI144" s="687"/>
    </row>
    <row r="145" spans="18:35" ht="12.75" customHeight="1">
      <c r="R145" s="687"/>
      <c r="S145" s="181">
        <v>140</v>
      </c>
      <c r="T145" s="2114" t="s">
        <v>179</v>
      </c>
      <c r="U145" s="2114"/>
      <c r="V145" s="2114"/>
      <c r="W145" s="2114"/>
      <c r="X145" s="2114"/>
      <c r="Y145" s="2114"/>
      <c r="Z145" s="619">
        <f>SUM(Z119:Z144)</f>
        <v>1434361.3399999999</v>
      </c>
      <c r="AB145" s="361"/>
      <c r="AE145" s="687"/>
      <c r="AH145" s="687"/>
      <c r="AI145" s="687"/>
    </row>
    <row r="146" spans="18:35" ht="12.75" customHeight="1">
      <c r="R146" s="687"/>
      <c r="S146" s="181">
        <v>141</v>
      </c>
      <c r="T146" s="1216">
        <v>916</v>
      </c>
      <c r="U146" s="1216">
        <v>87478916</v>
      </c>
      <c r="V146" s="1217" t="s">
        <v>1500</v>
      </c>
      <c r="W146" s="1217" t="s">
        <v>1363</v>
      </c>
      <c r="X146" s="1217" t="s">
        <v>980</v>
      </c>
      <c r="Y146" s="182" t="s">
        <v>1228</v>
      </c>
      <c r="Z146" s="1226">
        <v>57851</v>
      </c>
      <c r="AB146" s="361"/>
      <c r="AE146" s="687"/>
      <c r="AH146" s="687"/>
      <c r="AI146" s="687"/>
    </row>
    <row r="147" spans="18:35" ht="12.75" customHeight="1">
      <c r="R147" s="687"/>
      <c r="S147" s="181">
        <v>142</v>
      </c>
      <c r="T147" s="1216">
        <v>141</v>
      </c>
      <c r="U147" s="1216">
        <v>87216041</v>
      </c>
      <c r="V147" s="1217" t="s">
        <v>1500</v>
      </c>
      <c r="W147" s="1217" t="s">
        <v>1613</v>
      </c>
      <c r="X147" s="1217" t="s">
        <v>1614</v>
      </c>
      <c r="Y147" s="182" t="s">
        <v>1325</v>
      </c>
      <c r="Z147" s="1226">
        <v>37500</v>
      </c>
      <c r="AB147" s="361"/>
      <c r="AE147" s="687"/>
      <c r="AH147" s="687"/>
      <c r="AI147" s="687"/>
    </row>
    <row r="148" spans="18:35" ht="12.75" customHeight="1">
      <c r="R148" s="687"/>
      <c r="S148" s="181">
        <v>143</v>
      </c>
      <c r="T148" s="1216">
        <v>461</v>
      </c>
      <c r="U148" s="1216">
        <v>87742370</v>
      </c>
      <c r="V148" s="1217" t="s">
        <v>1617</v>
      </c>
      <c r="W148" s="1217" t="s">
        <v>1618</v>
      </c>
      <c r="X148" s="1217" t="s">
        <v>986</v>
      </c>
      <c r="Y148" s="182" t="s">
        <v>1917</v>
      </c>
      <c r="Z148" s="1226">
        <v>2520</v>
      </c>
      <c r="AB148" s="361"/>
      <c r="AE148" s="687"/>
      <c r="AH148" s="687"/>
      <c r="AI148" s="687"/>
    </row>
    <row r="149" spans="18:35" ht="12.75" customHeight="1">
      <c r="R149" s="687"/>
      <c r="S149" s="181">
        <v>144</v>
      </c>
      <c r="T149" s="1216">
        <v>461</v>
      </c>
      <c r="U149" s="1216">
        <v>87742370</v>
      </c>
      <c r="V149" s="1217" t="s">
        <v>1617</v>
      </c>
      <c r="W149" s="1217" t="s">
        <v>1618</v>
      </c>
      <c r="X149" s="1217" t="s">
        <v>986</v>
      </c>
      <c r="Y149" s="182" t="s">
        <v>1599</v>
      </c>
      <c r="Z149" s="1226">
        <v>1250</v>
      </c>
      <c r="AB149" s="361"/>
      <c r="AE149" s="687"/>
      <c r="AH149" s="687"/>
      <c r="AI149" s="687"/>
    </row>
    <row r="150" spans="18:35" ht="12.75" customHeight="1">
      <c r="R150" s="687"/>
      <c r="S150" s="181">
        <v>145</v>
      </c>
      <c r="T150" s="1216">
        <v>461</v>
      </c>
      <c r="U150" s="1216">
        <v>87742370</v>
      </c>
      <c r="V150" s="1217" t="s">
        <v>1617</v>
      </c>
      <c r="W150" s="1217" t="s">
        <v>1618</v>
      </c>
      <c r="X150" s="1217" t="s">
        <v>986</v>
      </c>
      <c r="Y150" s="182" t="s">
        <v>1918</v>
      </c>
      <c r="Z150" s="1226">
        <v>7945</v>
      </c>
      <c r="AB150" s="361"/>
      <c r="AE150" s="687"/>
      <c r="AH150" s="687"/>
      <c r="AI150" s="687"/>
    </row>
    <row r="151" spans="18:35" ht="12.75" customHeight="1">
      <c r="R151" s="687"/>
      <c r="S151" s="181">
        <v>146</v>
      </c>
      <c r="T151" s="1216">
        <v>461</v>
      </c>
      <c r="U151" s="1216">
        <v>87742370</v>
      </c>
      <c r="V151" s="1217" t="s">
        <v>1617</v>
      </c>
      <c r="W151" s="1217" t="s">
        <v>1618</v>
      </c>
      <c r="X151" s="1217" t="s">
        <v>986</v>
      </c>
      <c r="Y151" s="182" t="s">
        <v>1276</v>
      </c>
      <c r="Z151" s="1226">
        <v>235940</v>
      </c>
      <c r="AB151" s="361"/>
      <c r="AE151" s="687"/>
      <c r="AH151" s="687"/>
      <c r="AI151" s="687"/>
    </row>
    <row r="152" spans="18:35" ht="12.75" customHeight="1">
      <c r="R152" s="687"/>
      <c r="S152" s="181">
        <v>147</v>
      </c>
      <c r="T152" s="1216">
        <v>513</v>
      </c>
      <c r="U152" s="1216">
        <v>88116163</v>
      </c>
      <c r="V152" s="1217" t="s">
        <v>1621</v>
      </c>
      <c r="W152" s="1217" t="s">
        <v>1622</v>
      </c>
      <c r="X152" s="1217" t="s">
        <v>994</v>
      </c>
      <c r="Y152" s="182" t="s">
        <v>1919</v>
      </c>
      <c r="Z152" s="1226">
        <v>129000</v>
      </c>
      <c r="AB152" s="361"/>
      <c r="AE152" s="687"/>
      <c r="AH152" s="687"/>
      <c r="AI152" s="687"/>
    </row>
    <row r="153" spans="18:35" ht="12.75" customHeight="1">
      <c r="R153" s="687"/>
      <c r="S153" s="181">
        <v>148</v>
      </c>
      <c r="T153" s="1216">
        <v>364</v>
      </c>
      <c r="U153" s="1216">
        <v>87850363</v>
      </c>
      <c r="V153" s="1217" t="s">
        <v>1625</v>
      </c>
      <c r="W153" s="1217" t="s">
        <v>1354</v>
      </c>
      <c r="X153" s="1217" t="s">
        <v>991</v>
      </c>
      <c r="Y153" s="182" t="s">
        <v>1920</v>
      </c>
      <c r="Z153" s="1226">
        <v>94000</v>
      </c>
      <c r="AB153" s="361"/>
      <c r="AE153" s="687"/>
      <c r="AH153" s="687"/>
      <c r="AI153" s="687"/>
    </row>
    <row r="154" spans="18:35" ht="12.75" customHeight="1">
      <c r="R154" s="687"/>
      <c r="S154" s="181">
        <v>149</v>
      </c>
      <c r="T154" s="1216">
        <v>81</v>
      </c>
      <c r="U154" s="1216">
        <v>88172681</v>
      </c>
      <c r="V154" s="1217" t="s">
        <v>1628</v>
      </c>
      <c r="W154" s="1217" t="s">
        <v>1629</v>
      </c>
      <c r="X154" s="1217" t="s">
        <v>1047</v>
      </c>
      <c r="Y154" s="182" t="s">
        <v>1234</v>
      </c>
      <c r="Z154" s="1226">
        <v>122085</v>
      </c>
      <c r="AB154" s="361"/>
      <c r="AE154" s="687"/>
      <c r="AH154" s="687"/>
      <c r="AI154" s="687"/>
    </row>
    <row r="155" spans="18:35" ht="12.75" customHeight="1">
      <c r="R155" s="687"/>
      <c r="S155" s="181">
        <v>150</v>
      </c>
      <c r="T155" s="1216">
        <v>172</v>
      </c>
      <c r="U155" s="1216">
        <v>87466172</v>
      </c>
      <c r="V155" s="1217" t="s">
        <v>1631</v>
      </c>
      <c r="W155" s="1217" t="s">
        <v>1632</v>
      </c>
      <c r="X155" s="1217" t="s">
        <v>1633</v>
      </c>
      <c r="Y155" s="182" t="s">
        <v>1921</v>
      </c>
      <c r="Z155" s="1226">
        <v>51030</v>
      </c>
      <c r="AB155" s="361"/>
      <c r="AE155" s="687"/>
      <c r="AH155" s="687"/>
      <c r="AI155" s="687"/>
    </row>
    <row r="156" spans="18:35" ht="12.75" customHeight="1">
      <c r="R156" s="687"/>
      <c r="S156" s="181">
        <v>151</v>
      </c>
      <c r="T156" s="1216">
        <v>1958</v>
      </c>
      <c r="U156" s="1216">
        <v>88194608</v>
      </c>
      <c r="V156" s="1217" t="s">
        <v>1639</v>
      </c>
      <c r="W156" s="1217" t="s">
        <v>1640</v>
      </c>
      <c r="X156" s="1217" t="s">
        <v>997</v>
      </c>
      <c r="Y156" s="182" t="s">
        <v>1253</v>
      </c>
      <c r="Z156" s="1226">
        <v>362524</v>
      </c>
      <c r="AB156" s="361"/>
      <c r="AE156" s="687"/>
      <c r="AH156" s="687"/>
      <c r="AI156" s="687"/>
    </row>
    <row r="157" spans="18:35" ht="12.75" customHeight="1">
      <c r="R157" s="687"/>
      <c r="S157" s="181">
        <v>152</v>
      </c>
      <c r="T157" s="1217"/>
      <c r="U157" s="1216">
        <v>21052834</v>
      </c>
      <c r="V157" s="1217" t="s">
        <v>1639</v>
      </c>
      <c r="W157" s="1217" t="s">
        <v>1642</v>
      </c>
      <c r="X157" s="1217" t="s">
        <v>1643</v>
      </c>
      <c r="Y157" s="182" t="s">
        <v>909</v>
      </c>
      <c r="Z157" s="1226">
        <v>1070446</v>
      </c>
      <c r="AB157" s="361"/>
      <c r="AE157" s="687"/>
      <c r="AH157" s="687"/>
      <c r="AI157" s="687"/>
    </row>
    <row r="158" spans="18:35" ht="12.75" customHeight="1">
      <c r="R158" s="687"/>
      <c r="S158" s="181">
        <v>153</v>
      </c>
      <c r="T158" s="1216">
        <v>667</v>
      </c>
      <c r="U158" s="1216">
        <v>87519497</v>
      </c>
      <c r="V158" s="1217" t="s">
        <v>1651</v>
      </c>
      <c r="W158" s="1217" t="s">
        <v>1652</v>
      </c>
      <c r="X158" s="1217" t="s">
        <v>1083</v>
      </c>
      <c r="Y158" s="182" t="s">
        <v>965</v>
      </c>
      <c r="Z158" s="1226">
        <v>166245</v>
      </c>
      <c r="AB158" s="361"/>
      <c r="AE158" s="687"/>
      <c r="AH158" s="687"/>
      <c r="AI158" s="687"/>
    </row>
    <row r="159" spans="18:35" ht="13.5" customHeight="1">
      <c r="R159" s="687"/>
      <c r="S159" s="181">
        <v>154</v>
      </c>
      <c r="T159" s="1216">
        <v>62</v>
      </c>
      <c r="U159" s="1216">
        <v>85852062</v>
      </c>
      <c r="V159" s="1217" t="s">
        <v>1651</v>
      </c>
      <c r="W159" s="1217" t="s">
        <v>1663</v>
      </c>
      <c r="X159" s="1217" t="s">
        <v>1664</v>
      </c>
      <c r="Y159" s="182" t="s">
        <v>914</v>
      </c>
      <c r="Z159" s="1226">
        <v>264000</v>
      </c>
      <c r="AB159" s="361"/>
      <c r="AE159" s="687"/>
      <c r="AH159" s="687"/>
      <c r="AI159" s="687"/>
    </row>
    <row r="160" spans="18:35" ht="13.5" customHeight="1">
      <c r="R160" s="687"/>
      <c r="S160" s="181">
        <v>155</v>
      </c>
      <c r="T160" s="1216">
        <v>63</v>
      </c>
      <c r="U160" s="1216">
        <v>85852063</v>
      </c>
      <c r="V160" s="1217" t="s">
        <v>1651</v>
      </c>
      <c r="W160" s="1217" t="s">
        <v>1663</v>
      </c>
      <c r="X160" s="1217" t="s">
        <v>1664</v>
      </c>
      <c r="Y160" s="182" t="s">
        <v>914</v>
      </c>
      <c r="Z160" s="1226">
        <v>264000</v>
      </c>
      <c r="AB160" s="361"/>
      <c r="AE160" s="687"/>
      <c r="AH160" s="687"/>
      <c r="AI160" s="687"/>
    </row>
    <row r="161" spans="18:35" ht="13.5" customHeight="1">
      <c r="R161" s="687"/>
      <c r="S161" s="181">
        <v>156</v>
      </c>
      <c r="T161" s="1216">
        <v>86</v>
      </c>
      <c r="U161" s="1216">
        <v>84242097</v>
      </c>
      <c r="V161" s="1217" t="s">
        <v>1500</v>
      </c>
      <c r="W161" s="1217" t="s">
        <v>1381</v>
      </c>
      <c r="X161" s="1217" t="s">
        <v>978</v>
      </c>
      <c r="Y161" s="182" t="s">
        <v>1236</v>
      </c>
      <c r="Z161" s="1226">
        <v>114583.33</v>
      </c>
      <c r="AB161" s="361"/>
      <c r="AE161" s="687"/>
      <c r="AH161" s="687"/>
      <c r="AI161" s="687"/>
    </row>
    <row r="162" spans="18:35" ht="13.5" customHeight="1">
      <c r="R162" s="687"/>
      <c r="S162" s="181">
        <v>157</v>
      </c>
      <c r="T162" s="1216">
        <v>97</v>
      </c>
      <c r="U162" s="1216">
        <v>84242108</v>
      </c>
      <c r="V162" s="1217" t="s">
        <v>1671</v>
      </c>
      <c r="W162" s="1217" t="s">
        <v>1381</v>
      </c>
      <c r="X162" s="1217" t="s">
        <v>978</v>
      </c>
      <c r="Y162" s="182" t="s">
        <v>1236</v>
      </c>
      <c r="Z162" s="1226">
        <v>25000</v>
      </c>
      <c r="AB162" s="361"/>
      <c r="AE162" s="687"/>
      <c r="AH162" s="687"/>
      <c r="AI162" s="687"/>
    </row>
    <row r="163" spans="18:35" ht="13.5" customHeight="1">
      <c r="R163" s="687"/>
      <c r="S163" s="181">
        <v>158</v>
      </c>
      <c r="T163" s="1217" t="s">
        <v>1672</v>
      </c>
      <c r="U163" s="1216">
        <v>105583149</v>
      </c>
      <c r="V163" s="1217" t="s">
        <v>1610</v>
      </c>
      <c r="W163" s="1217" t="s">
        <v>1674</v>
      </c>
      <c r="X163" s="1217" t="s">
        <v>1024</v>
      </c>
      <c r="Y163" s="182" t="s">
        <v>914</v>
      </c>
      <c r="Z163" s="1226">
        <v>233814.55</v>
      </c>
      <c r="AB163" s="361"/>
      <c r="AE163" s="687"/>
      <c r="AH163" s="687"/>
      <c r="AI163" s="687"/>
    </row>
    <row r="164" spans="18:35" ht="13.5" customHeight="1">
      <c r="R164" s="687"/>
      <c r="S164" s="181">
        <v>159</v>
      </c>
      <c r="T164" s="1216">
        <v>2731</v>
      </c>
      <c r="U164" s="1216">
        <v>33998</v>
      </c>
      <c r="V164" s="1217" t="s">
        <v>1617</v>
      </c>
      <c r="W164" s="1217" t="s">
        <v>1406</v>
      </c>
      <c r="X164" s="1217" t="s">
        <v>1086</v>
      </c>
      <c r="Y164" s="182" t="s">
        <v>1462</v>
      </c>
      <c r="Z164" s="1226">
        <v>138694</v>
      </c>
      <c r="AB164" s="361"/>
      <c r="AE164" s="687"/>
      <c r="AH164" s="687"/>
      <c r="AI164" s="687"/>
    </row>
    <row r="165" spans="18:35" ht="13.5" customHeight="1">
      <c r="R165" s="687"/>
      <c r="S165" s="181">
        <v>160</v>
      </c>
      <c r="T165" s="2114" t="s">
        <v>180</v>
      </c>
      <c r="U165" s="2114"/>
      <c r="V165" s="2114"/>
      <c r="W165" s="2114"/>
      <c r="X165" s="2114"/>
      <c r="Y165" s="2114"/>
      <c r="Z165" s="619">
        <f>SUM(Z146:Z164)</f>
        <v>3378427.88</v>
      </c>
      <c r="AB165" s="361"/>
      <c r="AE165" s="687"/>
      <c r="AH165" s="687"/>
      <c r="AI165" s="687"/>
    </row>
    <row r="166" spans="18:35" ht="13.5" customHeight="1">
      <c r="R166" s="687"/>
      <c r="S166" s="181">
        <v>161</v>
      </c>
      <c r="T166" s="1219">
        <v>102</v>
      </c>
      <c r="U166" s="1219">
        <v>84242113</v>
      </c>
      <c r="V166" s="182" t="s">
        <v>1704</v>
      </c>
      <c r="W166" s="182" t="s">
        <v>1381</v>
      </c>
      <c r="X166" s="99" t="s">
        <v>978</v>
      </c>
      <c r="Y166" s="182" t="s">
        <v>1236</v>
      </c>
      <c r="Z166" s="103">
        <v>26250</v>
      </c>
      <c r="AB166" s="361"/>
      <c r="AE166" s="687"/>
      <c r="AH166" s="687"/>
      <c r="AI166" s="687"/>
    </row>
    <row r="167" spans="18:35" ht="13.5" customHeight="1">
      <c r="R167" s="687"/>
      <c r="S167" s="181">
        <v>162</v>
      </c>
      <c r="T167" s="1219">
        <v>102</v>
      </c>
      <c r="U167" s="1219">
        <v>72786152</v>
      </c>
      <c r="V167" s="182" t="s">
        <v>1706</v>
      </c>
      <c r="W167" s="182" t="s">
        <v>1707</v>
      </c>
      <c r="X167" s="99" t="s">
        <v>1035</v>
      </c>
      <c r="Y167" s="182" t="s">
        <v>1692</v>
      </c>
      <c r="Z167" s="103">
        <v>54600</v>
      </c>
      <c r="AB167" s="361"/>
      <c r="AE167" s="687"/>
      <c r="AH167" s="687"/>
      <c r="AI167" s="687"/>
    </row>
    <row r="168" spans="18:35" ht="13.5" customHeight="1">
      <c r="R168" s="687"/>
      <c r="S168" s="181">
        <v>163</v>
      </c>
      <c r="T168" s="1219">
        <v>2490</v>
      </c>
      <c r="U168" s="1219">
        <v>88403990</v>
      </c>
      <c r="V168" s="182" t="s">
        <v>1706</v>
      </c>
      <c r="W168" s="182" t="s">
        <v>1710</v>
      </c>
      <c r="X168" s="99" t="s">
        <v>997</v>
      </c>
      <c r="Y168" s="182" t="s">
        <v>1253</v>
      </c>
      <c r="Z168" s="103">
        <v>208333</v>
      </c>
      <c r="AB168" s="361"/>
      <c r="AE168" s="687"/>
      <c r="AH168" s="687"/>
      <c r="AI168" s="687"/>
    </row>
    <row r="169" spans="18:35" ht="13.5" customHeight="1">
      <c r="R169" s="687"/>
      <c r="S169" s="181">
        <v>164</v>
      </c>
      <c r="T169" s="1219">
        <v>554</v>
      </c>
      <c r="U169" s="1219">
        <v>88116204</v>
      </c>
      <c r="V169" s="182" t="s">
        <v>1713</v>
      </c>
      <c r="W169" s="182" t="s">
        <v>1714</v>
      </c>
      <c r="X169" s="99" t="s">
        <v>994</v>
      </c>
      <c r="Y169" s="182" t="s">
        <v>1693</v>
      </c>
      <c r="Z169" s="103">
        <v>93450</v>
      </c>
      <c r="AB169" s="361"/>
      <c r="AE169" s="687"/>
      <c r="AH169" s="687"/>
      <c r="AI169" s="687"/>
    </row>
    <row r="170" spans="18:35" ht="13.5" customHeight="1">
      <c r="R170" s="687"/>
      <c r="S170" s="181">
        <v>165</v>
      </c>
      <c r="T170" s="1219">
        <v>23</v>
      </c>
      <c r="U170" s="1219">
        <v>84789829</v>
      </c>
      <c r="V170" s="182" t="s">
        <v>1721</v>
      </c>
      <c r="W170" s="182" t="s">
        <v>1722</v>
      </c>
      <c r="X170" s="99" t="s">
        <v>1723</v>
      </c>
      <c r="Y170" s="182" t="s">
        <v>1924</v>
      </c>
      <c r="Z170" s="103">
        <v>72000</v>
      </c>
      <c r="AB170" s="361"/>
      <c r="AE170" s="687"/>
      <c r="AH170" s="687"/>
      <c r="AI170" s="687"/>
    </row>
    <row r="171" spans="18:35" ht="13.5" customHeight="1">
      <c r="R171" s="687"/>
      <c r="S171" s="181">
        <v>166</v>
      </c>
      <c r="T171" s="1219">
        <v>484</v>
      </c>
      <c r="U171" s="1219">
        <v>87205116</v>
      </c>
      <c r="V171" s="182" t="s">
        <v>1726</v>
      </c>
      <c r="W171" s="182" t="s">
        <v>1727</v>
      </c>
      <c r="X171" s="99" t="s">
        <v>984</v>
      </c>
      <c r="Y171" s="182" t="s">
        <v>1239</v>
      </c>
      <c r="Z171" s="103">
        <v>80000</v>
      </c>
      <c r="AB171" s="361"/>
      <c r="AE171" s="687"/>
      <c r="AH171" s="687"/>
      <c r="AI171" s="687"/>
    </row>
    <row r="172" spans="18:35" ht="13.5" customHeight="1">
      <c r="R172" s="687"/>
      <c r="S172" s="181">
        <v>167</v>
      </c>
      <c r="T172" s="1219">
        <v>12</v>
      </c>
      <c r="U172" s="1219">
        <v>87222112</v>
      </c>
      <c r="V172" s="182" t="s">
        <v>1730</v>
      </c>
      <c r="W172" s="182" t="s">
        <v>1731</v>
      </c>
      <c r="X172" s="99" t="s">
        <v>1732</v>
      </c>
      <c r="Y172" s="182" t="s">
        <v>1932</v>
      </c>
      <c r="Z172" s="103">
        <v>179166</v>
      </c>
      <c r="AB172" s="361"/>
      <c r="AE172" s="687"/>
      <c r="AH172" s="687"/>
      <c r="AI172" s="687"/>
    </row>
    <row r="173" spans="18:35" ht="13.5" customHeight="1">
      <c r="R173" s="687"/>
      <c r="S173" s="181">
        <v>168</v>
      </c>
      <c r="T173" s="1219">
        <v>413</v>
      </c>
      <c r="U173" s="1219">
        <v>88842612</v>
      </c>
      <c r="V173" s="182" t="s">
        <v>1734</v>
      </c>
      <c r="W173" s="182" t="s">
        <v>1735</v>
      </c>
      <c r="X173" s="99" t="s">
        <v>991</v>
      </c>
      <c r="Y173" s="182" t="s">
        <v>1933</v>
      </c>
      <c r="Z173" s="103">
        <v>54000</v>
      </c>
      <c r="AB173" s="361"/>
      <c r="AE173" s="687"/>
      <c r="AH173" s="687"/>
      <c r="AI173" s="687"/>
    </row>
    <row r="174" spans="18:35" ht="13.5" customHeight="1">
      <c r="R174" s="687"/>
      <c r="S174" s="181">
        <v>169</v>
      </c>
      <c r="T174" s="1219">
        <v>414</v>
      </c>
      <c r="U174" s="1219">
        <v>88842613</v>
      </c>
      <c r="V174" s="182" t="s">
        <v>1734</v>
      </c>
      <c r="W174" s="182" t="s">
        <v>1735</v>
      </c>
      <c r="X174" s="99" t="s">
        <v>991</v>
      </c>
      <c r="Y174" s="182" t="s">
        <v>1933</v>
      </c>
      <c r="Z174" s="103">
        <v>84000</v>
      </c>
      <c r="AB174" s="361"/>
      <c r="AE174" s="687"/>
      <c r="AH174" s="687"/>
      <c r="AI174" s="687"/>
    </row>
    <row r="175" spans="18:35" ht="13.5" customHeight="1">
      <c r="R175" s="687"/>
      <c r="S175" s="181">
        <v>170</v>
      </c>
      <c r="T175" s="1219">
        <v>2831</v>
      </c>
      <c r="U175" s="1219">
        <v>34083</v>
      </c>
      <c r="V175" s="182" t="s">
        <v>1740</v>
      </c>
      <c r="W175" s="182" t="s">
        <v>1741</v>
      </c>
      <c r="X175" s="99" t="s">
        <v>1086</v>
      </c>
      <c r="Y175" s="182" t="s">
        <v>965</v>
      </c>
      <c r="Z175" s="103">
        <v>128026</v>
      </c>
      <c r="AB175" s="361"/>
      <c r="AE175" s="687"/>
      <c r="AH175" s="687"/>
      <c r="AI175" s="687"/>
    </row>
    <row r="176" spans="18:35" ht="13.5" customHeight="1">
      <c r="R176" s="687"/>
      <c r="S176" s="181">
        <v>171</v>
      </c>
      <c r="T176" s="1219">
        <v>2838</v>
      </c>
      <c r="U176" s="1219">
        <v>34090</v>
      </c>
      <c r="V176" s="182" t="s">
        <v>1740</v>
      </c>
      <c r="W176" s="182" t="s">
        <v>1741</v>
      </c>
      <c r="X176" s="99" t="s">
        <v>1086</v>
      </c>
      <c r="Y176" s="182" t="s">
        <v>965</v>
      </c>
      <c r="Z176" s="103">
        <v>187200</v>
      </c>
      <c r="AB176" s="361"/>
      <c r="AE176" s="687"/>
      <c r="AH176" s="687"/>
      <c r="AI176" s="687"/>
    </row>
    <row r="177" spans="18:35" ht="13.5" customHeight="1">
      <c r="R177" s="687"/>
      <c r="S177" s="181">
        <v>172</v>
      </c>
      <c r="T177" s="1219">
        <v>2847</v>
      </c>
      <c r="U177" s="1219">
        <v>34097</v>
      </c>
      <c r="V177" s="182" t="s">
        <v>1746</v>
      </c>
      <c r="W177" s="182" t="s">
        <v>1741</v>
      </c>
      <c r="X177" s="99" t="s">
        <v>1086</v>
      </c>
      <c r="Y177" s="182" t="s">
        <v>965</v>
      </c>
      <c r="Z177" s="103">
        <v>128026</v>
      </c>
      <c r="AB177" s="361"/>
      <c r="AE177" s="687"/>
      <c r="AH177" s="687"/>
      <c r="AI177" s="687"/>
    </row>
    <row r="178" spans="18:35" ht="13.5" customHeight="1">
      <c r="R178" s="687"/>
      <c r="S178" s="181">
        <v>173</v>
      </c>
      <c r="T178" s="1219">
        <v>2852</v>
      </c>
      <c r="U178" s="1219">
        <v>34102</v>
      </c>
      <c r="V178" s="182" t="s">
        <v>1746</v>
      </c>
      <c r="W178" s="182" t="s">
        <v>1741</v>
      </c>
      <c r="X178" s="99" t="s">
        <v>1086</v>
      </c>
      <c r="Y178" s="182" t="s">
        <v>965</v>
      </c>
      <c r="Z178" s="103">
        <v>138694</v>
      </c>
      <c r="AB178" s="361"/>
      <c r="AE178" s="687"/>
      <c r="AH178" s="687"/>
      <c r="AI178" s="687"/>
    </row>
    <row r="179" spans="18:35" ht="13.5" customHeight="1">
      <c r="R179" s="687"/>
      <c r="S179" s="181">
        <v>174</v>
      </c>
      <c r="T179" s="1219">
        <v>2875</v>
      </c>
      <c r="U179" s="1219">
        <v>34123</v>
      </c>
      <c r="V179" s="182" t="s">
        <v>1751</v>
      </c>
      <c r="W179" s="182" t="s">
        <v>1741</v>
      </c>
      <c r="X179" s="99" t="s">
        <v>1086</v>
      </c>
      <c r="Y179" s="182" t="s">
        <v>965</v>
      </c>
      <c r="Z179" s="103">
        <v>187200</v>
      </c>
      <c r="AB179" s="361"/>
      <c r="AE179" s="687"/>
      <c r="AH179" s="687"/>
      <c r="AI179" s="687"/>
    </row>
    <row r="180" spans="18:35" ht="13.5" customHeight="1">
      <c r="R180" s="687"/>
      <c r="S180" s="181">
        <v>175</v>
      </c>
      <c r="T180" s="1219">
        <v>2876</v>
      </c>
      <c r="U180" s="1219">
        <v>34124</v>
      </c>
      <c r="V180" s="182" t="s">
        <v>1751</v>
      </c>
      <c r="W180" s="182" t="s">
        <v>1741</v>
      </c>
      <c r="X180" s="99" t="s">
        <v>1086</v>
      </c>
      <c r="Y180" s="182" t="s">
        <v>965</v>
      </c>
      <c r="Z180" s="103">
        <v>138694</v>
      </c>
      <c r="AB180" s="361"/>
      <c r="AE180" s="687"/>
      <c r="AH180" s="687"/>
      <c r="AI180" s="687"/>
    </row>
    <row r="181" spans="18:35" ht="13.5" customHeight="1">
      <c r="R181" s="687"/>
      <c r="S181" s="181">
        <v>176</v>
      </c>
      <c r="T181" s="2114" t="s">
        <v>181</v>
      </c>
      <c r="U181" s="2114"/>
      <c r="V181" s="2114"/>
      <c r="W181" s="2114"/>
      <c r="X181" s="2114"/>
      <c r="Y181" s="2114"/>
      <c r="Z181" s="619">
        <f>SUM(Z166:Z180)</f>
        <v>1759639</v>
      </c>
      <c r="AB181" s="361"/>
      <c r="AE181" s="687"/>
      <c r="AH181" s="687"/>
      <c r="AI181" s="687"/>
    </row>
    <row r="182" spans="18:35" ht="13.5" customHeight="1">
      <c r="R182" s="687"/>
      <c r="S182" s="181">
        <v>177</v>
      </c>
      <c r="T182" s="1216">
        <v>9746</v>
      </c>
      <c r="U182" s="1216">
        <v>9746</v>
      </c>
      <c r="V182" s="1217" t="s">
        <v>1801</v>
      </c>
      <c r="W182" s="1217" t="s">
        <v>1802</v>
      </c>
      <c r="X182" s="1217" t="s">
        <v>1804</v>
      </c>
      <c r="Y182" s="1217" t="s">
        <v>1234</v>
      </c>
      <c r="Z182" s="1227">
        <f>12217.09*140.95</f>
        <v>1721998.8354999998</v>
      </c>
      <c r="AB182" s="361"/>
      <c r="AE182" s="687"/>
      <c r="AH182" s="687"/>
      <c r="AI182" s="687"/>
    </row>
    <row r="183" spans="18:35" ht="13.5" customHeight="1">
      <c r="R183" s="687"/>
      <c r="S183" s="181">
        <v>178</v>
      </c>
      <c r="T183" s="1216">
        <v>9737</v>
      </c>
      <c r="U183" s="1216">
        <v>9737</v>
      </c>
      <c r="V183" s="1217" t="s">
        <v>1801</v>
      </c>
      <c r="W183" s="1217" t="s">
        <v>1806</v>
      </c>
      <c r="X183" s="1217" t="s">
        <v>1804</v>
      </c>
      <c r="Y183" s="1217" t="s">
        <v>1934</v>
      </c>
      <c r="Z183" s="1227">
        <f>5295.92*140.95</f>
        <v>746459.924</v>
      </c>
      <c r="AB183" s="361"/>
      <c r="AE183" s="687"/>
      <c r="AH183" s="687"/>
      <c r="AI183" s="687"/>
    </row>
    <row r="184" spans="18:35" ht="13.5" customHeight="1">
      <c r="R184" s="687"/>
      <c r="S184" s="181">
        <v>179</v>
      </c>
      <c r="T184" s="1216">
        <v>9734</v>
      </c>
      <c r="U184" s="1216">
        <v>9734</v>
      </c>
      <c r="V184" s="1217" t="s">
        <v>1801</v>
      </c>
      <c r="W184" s="1217" t="s">
        <v>1808</v>
      </c>
      <c r="X184" s="1217" t="s">
        <v>1804</v>
      </c>
      <c r="Y184" s="1217" t="s">
        <v>1941</v>
      </c>
      <c r="Z184" s="1227">
        <f>7969.5*140.95</f>
        <v>1123301.0249999999</v>
      </c>
      <c r="AB184" s="361"/>
      <c r="AE184" s="687"/>
      <c r="AH184" s="687"/>
      <c r="AI184" s="687"/>
    </row>
    <row r="185" spans="18:35" ht="13.5" customHeight="1">
      <c r="R185" s="687"/>
      <c r="S185" s="181">
        <v>180</v>
      </c>
      <c r="T185" s="1216">
        <v>9751</v>
      </c>
      <c r="U185" s="1216">
        <v>9751</v>
      </c>
      <c r="V185" s="1217" t="s">
        <v>1801</v>
      </c>
      <c r="W185" s="1217" t="s">
        <v>1810</v>
      </c>
      <c r="X185" s="1217" t="s">
        <v>1804</v>
      </c>
      <c r="Y185" s="1217" t="s">
        <v>1280</v>
      </c>
      <c r="Z185" s="1227">
        <f>10955.85*140.95</f>
        <v>1544227.0574999999</v>
      </c>
      <c r="AB185" s="361"/>
      <c r="AE185" s="687"/>
      <c r="AH185" s="687"/>
      <c r="AI185" s="687"/>
    </row>
    <row r="186" spans="18:35" ht="13.5" customHeight="1">
      <c r="R186" s="687"/>
      <c r="S186" s="181">
        <v>181</v>
      </c>
      <c r="T186" s="1216">
        <v>9755</v>
      </c>
      <c r="U186" s="1216">
        <v>9755</v>
      </c>
      <c r="V186" s="1217" t="s">
        <v>1801</v>
      </c>
      <c r="W186" s="1217" t="s">
        <v>1812</v>
      </c>
      <c r="X186" s="1217" t="s">
        <v>1804</v>
      </c>
      <c r="Y186" s="1217" t="s">
        <v>1234</v>
      </c>
      <c r="Z186" s="1227">
        <f>18237.46*140.95</f>
        <v>2570569.9869999997</v>
      </c>
      <c r="AB186" s="361"/>
      <c r="AE186" s="687"/>
      <c r="AH186" s="687"/>
      <c r="AI186" s="687"/>
    </row>
    <row r="187" spans="18:35" ht="13.5" customHeight="1">
      <c r="R187" s="687"/>
      <c r="S187" s="181">
        <v>182</v>
      </c>
      <c r="T187" s="1216">
        <v>882</v>
      </c>
      <c r="U187" s="1216">
        <v>88949882</v>
      </c>
      <c r="V187" s="1217" t="s">
        <v>1815</v>
      </c>
      <c r="W187" s="1217" t="s">
        <v>1363</v>
      </c>
      <c r="X187" s="1217" t="s">
        <v>980</v>
      </c>
      <c r="Y187" s="1217" t="s">
        <v>1228</v>
      </c>
      <c r="Z187" s="1227">
        <v>248192</v>
      </c>
      <c r="AB187" s="361"/>
      <c r="AE187" s="687"/>
      <c r="AH187" s="687"/>
      <c r="AI187" s="687"/>
    </row>
    <row r="188" spans="18:35" ht="13.5" customHeight="1">
      <c r="R188" s="687"/>
      <c r="S188" s="181">
        <v>183</v>
      </c>
      <c r="T188" s="1216">
        <v>2635</v>
      </c>
      <c r="U188" s="1216">
        <v>89299206</v>
      </c>
      <c r="V188" s="1217" t="s">
        <v>1818</v>
      </c>
      <c r="W188" s="1217" t="s">
        <v>1819</v>
      </c>
      <c r="X188" s="1217" t="s">
        <v>1820</v>
      </c>
      <c r="Y188" s="1217" t="s">
        <v>1267</v>
      </c>
      <c r="Z188" s="1227">
        <v>236300</v>
      </c>
      <c r="AB188" s="361"/>
      <c r="AE188" s="687"/>
      <c r="AH188" s="687"/>
      <c r="AI188" s="687"/>
    </row>
    <row r="189" spans="18:35" ht="13.5" customHeight="1">
      <c r="R189" s="687"/>
      <c r="S189" s="181">
        <v>184</v>
      </c>
      <c r="T189" s="1216">
        <v>18</v>
      </c>
      <c r="U189" s="1216">
        <v>85442968</v>
      </c>
      <c r="V189" s="1217" t="s">
        <v>1822</v>
      </c>
      <c r="W189" s="1217" t="s">
        <v>1823</v>
      </c>
      <c r="X189" s="1217" t="s">
        <v>1095</v>
      </c>
      <c r="Y189" s="1217" t="s">
        <v>1942</v>
      </c>
      <c r="Z189" s="1227">
        <v>95220</v>
      </c>
      <c r="AB189" s="361"/>
      <c r="AE189" s="687"/>
      <c r="AH189" s="687"/>
      <c r="AI189" s="687"/>
    </row>
    <row r="190" spans="18:35" ht="13.5" customHeight="1">
      <c r="R190" s="687"/>
      <c r="S190" s="181">
        <v>185</v>
      </c>
      <c r="T190" s="1216">
        <v>666</v>
      </c>
      <c r="U190" s="1216">
        <v>87201907</v>
      </c>
      <c r="V190" s="1217" t="s">
        <v>1827</v>
      </c>
      <c r="W190" s="1217" t="s">
        <v>1828</v>
      </c>
      <c r="X190" s="1217" t="s">
        <v>1829</v>
      </c>
      <c r="Y190" s="1217" t="s">
        <v>1234</v>
      </c>
      <c r="Z190" s="1227">
        <v>291305</v>
      </c>
      <c r="AB190" s="361"/>
      <c r="AE190" s="687"/>
      <c r="AH190" s="687"/>
      <c r="AI190" s="687"/>
    </row>
    <row r="191" spans="18:35" ht="13.5" customHeight="1">
      <c r="R191" s="687"/>
      <c r="S191" s="181">
        <v>186</v>
      </c>
      <c r="T191" s="1216">
        <v>860</v>
      </c>
      <c r="U191" s="1216">
        <v>87214860</v>
      </c>
      <c r="V191" s="1217" t="s">
        <v>1832</v>
      </c>
      <c r="W191" s="1217" t="s">
        <v>1833</v>
      </c>
      <c r="X191" s="1217" t="s">
        <v>1834</v>
      </c>
      <c r="Y191" s="1217" t="s">
        <v>1234</v>
      </c>
      <c r="Z191" s="1227">
        <v>240000</v>
      </c>
      <c r="AB191" s="361"/>
      <c r="AE191" s="687"/>
      <c r="AH191" s="687"/>
      <c r="AI191" s="687"/>
    </row>
    <row r="192" spans="18:35" ht="13.5" customHeight="1">
      <c r="S192" s="181">
        <v>187</v>
      </c>
      <c r="T192" s="1216">
        <v>862</v>
      </c>
      <c r="U192" s="1216">
        <v>87214862</v>
      </c>
      <c r="V192" s="1217" t="s">
        <v>1837</v>
      </c>
      <c r="W192" s="1217" t="s">
        <v>1833</v>
      </c>
      <c r="X192" s="1217" t="s">
        <v>1834</v>
      </c>
      <c r="Y192" s="1217" t="s">
        <v>1234</v>
      </c>
      <c r="Z192" s="1227">
        <v>232500</v>
      </c>
      <c r="AB192" s="361"/>
      <c r="AE192" s="687"/>
      <c r="AH192" s="687"/>
      <c r="AI192" s="687"/>
    </row>
    <row r="193" spans="19:35" ht="13.5" customHeight="1">
      <c r="S193" s="181">
        <v>188</v>
      </c>
      <c r="T193" s="1216">
        <v>909</v>
      </c>
      <c r="U193" s="1216">
        <v>88949909</v>
      </c>
      <c r="V193" s="1217" t="s">
        <v>1840</v>
      </c>
      <c r="W193" s="1217" t="s">
        <v>1841</v>
      </c>
      <c r="X193" s="1217" t="s">
        <v>980</v>
      </c>
      <c r="Y193" s="1217" t="s">
        <v>1228</v>
      </c>
      <c r="Z193" s="1227">
        <v>79355</v>
      </c>
      <c r="AB193" s="361"/>
      <c r="AE193" s="687"/>
      <c r="AH193" s="687"/>
      <c r="AI193" s="687"/>
    </row>
    <row r="194" spans="19:35" ht="13.5" customHeight="1">
      <c r="S194" s="181">
        <v>189</v>
      </c>
      <c r="T194" s="1216">
        <v>948</v>
      </c>
      <c r="U194" s="1216">
        <v>88949948</v>
      </c>
      <c r="V194" s="1217" t="s">
        <v>1801</v>
      </c>
      <c r="W194" s="1217" t="s">
        <v>1841</v>
      </c>
      <c r="X194" s="1217" t="s">
        <v>980</v>
      </c>
      <c r="Y194" s="1217" t="s">
        <v>1228</v>
      </c>
      <c r="Z194" s="1227">
        <v>218644</v>
      </c>
      <c r="AB194" s="361"/>
      <c r="AE194" s="687"/>
      <c r="AH194" s="687"/>
      <c r="AI194" s="687"/>
    </row>
    <row r="195" spans="19:35" ht="13.5" customHeight="1">
      <c r="S195" s="181">
        <v>190</v>
      </c>
      <c r="T195" s="1216">
        <v>590</v>
      </c>
      <c r="U195" s="1216">
        <v>88949590</v>
      </c>
      <c r="V195" s="1217" t="s">
        <v>1846</v>
      </c>
      <c r="W195" s="1217" t="s">
        <v>1841</v>
      </c>
      <c r="X195" s="1217" t="s">
        <v>980</v>
      </c>
      <c r="Y195" s="1217" t="s">
        <v>1228</v>
      </c>
      <c r="Z195" s="1227">
        <v>51414</v>
      </c>
      <c r="AB195" s="361"/>
      <c r="AE195" s="687"/>
      <c r="AH195" s="687"/>
      <c r="AI195" s="687"/>
    </row>
    <row r="196" spans="19:35" ht="13.5" customHeight="1">
      <c r="S196" s="181">
        <v>191</v>
      </c>
      <c r="T196" s="1216">
        <v>7412</v>
      </c>
      <c r="U196" s="1216">
        <v>89010312</v>
      </c>
      <c r="V196" s="1217" t="s">
        <v>1801</v>
      </c>
      <c r="W196" s="1217" t="s">
        <v>1849</v>
      </c>
      <c r="X196" s="1217" t="s">
        <v>1851</v>
      </c>
      <c r="Y196" s="1217" t="s">
        <v>1943</v>
      </c>
      <c r="Z196" s="1227">
        <v>833333</v>
      </c>
      <c r="AB196" s="361"/>
      <c r="AE196" s="687"/>
      <c r="AH196" s="687"/>
      <c r="AI196" s="687"/>
    </row>
    <row r="197" spans="19:35" ht="13.5" customHeight="1">
      <c r="S197" s="181">
        <v>192</v>
      </c>
      <c r="T197" s="2114" t="s">
        <v>182</v>
      </c>
      <c r="U197" s="2114"/>
      <c r="V197" s="2114"/>
      <c r="W197" s="2114"/>
      <c r="X197" s="2114"/>
      <c r="Y197" s="2114"/>
      <c r="Z197" s="619">
        <f>SUM(Z182:Z196)</f>
        <v>10232819.829</v>
      </c>
      <c r="AB197" s="361"/>
      <c r="AE197" s="687"/>
      <c r="AH197" s="687"/>
      <c r="AI197" s="687"/>
    </row>
    <row r="198" spans="19:35" ht="13.5" customHeight="1">
      <c r="S198" s="181">
        <v>193</v>
      </c>
      <c r="T198" s="1216">
        <v>118</v>
      </c>
      <c r="U198" s="1216">
        <v>84242129</v>
      </c>
      <c r="V198" s="1217" t="s">
        <v>1858</v>
      </c>
      <c r="W198" s="1217" t="s">
        <v>1381</v>
      </c>
      <c r="X198" s="1217" t="s">
        <v>978</v>
      </c>
      <c r="Y198" s="1215" t="s">
        <v>1236</v>
      </c>
      <c r="Z198" s="1227">
        <v>31250</v>
      </c>
      <c r="AB198" s="361"/>
      <c r="AE198" s="687"/>
      <c r="AH198" s="687"/>
      <c r="AI198" s="687"/>
    </row>
    <row r="199" spans="19:35" ht="13.5" customHeight="1">
      <c r="S199" s="181">
        <v>194</v>
      </c>
      <c r="T199" s="1216">
        <v>136</v>
      </c>
      <c r="U199" s="1216">
        <v>84242149</v>
      </c>
      <c r="V199" s="1217" t="s">
        <v>1861</v>
      </c>
      <c r="W199" s="1217" t="s">
        <v>1381</v>
      </c>
      <c r="X199" s="1217" t="s">
        <v>978</v>
      </c>
      <c r="Y199" s="1215" t="s">
        <v>1236</v>
      </c>
      <c r="Z199" s="1227">
        <v>15000</v>
      </c>
      <c r="AB199" s="361"/>
      <c r="AE199" s="687"/>
      <c r="AH199" s="687"/>
      <c r="AI199" s="687"/>
    </row>
    <row r="200" spans="19:35" ht="13.5" customHeight="1">
      <c r="S200" s="181">
        <v>195</v>
      </c>
      <c r="T200" s="1216">
        <v>476</v>
      </c>
      <c r="U200" s="1216">
        <v>88842675</v>
      </c>
      <c r="V200" s="1217" t="s">
        <v>1864</v>
      </c>
      <c r="W200" s="1217" t="s">
        <v>1354</v>
      </c>
      <c r="X200" s="1217" t="s">
        <v>991</v>
      </c>
      <c r="Y200" s="1215" t="s">
        <v>1317</v>
      </c>
      <c r="Z200" s="1227">
        <v>43700</v>
      </c>
      <c r="AB200" s="361"/>
      <c r="AE200" s="687"/>
      <c r="AH200" s="687"/>
      <c r="AI200" s="687"/>
    </row>
    <row r="201" spans="19:35" ht="13.5" customHeight="1">
      <c r="S201" s="181">
        <v>196</v>
      </c>
      <c r="T201" s="1216">
        <v>172</v>
      </c>
      <c r="U201" s="1216">
        <v>87235621</v>
      </c>
      <c r="V201" s="1217" t="s">
        <v>1869</v>
      </c>
      <c r="W201" s="1217" t="s">
        <v>1870</v>
      </c>
      <c r="X201" s="1217" t="s">
        <v>1871</v>
      </c>
      <c r="Y201" s="1215" t="s">
        <v>1234</v>
      </c>
      <c r="Z201" s="1227">
        <v>249405</v>
      </c>
      <c r="AB201" s="361"/>
      <c r="AE201" s="687"/>
      <c r="AH201" s="687"/>
      <c r="AI201" s="687"/>
    </row>
    <row r="202" spans="19:35" ht="13.5" customHeight="1">
      <c r="S202" s="181">
        <v>197</v>
      </c>
      <c r="T202" s="1216">
        <v>189</v>
      </c>
      <c r="U202" s="1216">
        <v>87235639</v>
      </c>
      <c r="V202" s="1217" t="s">
        <v>1864</v>
      </c>
      <c r="W202" s="1217" t="s">
        <v>1870</v>
      </c>
      <c r="X202" s="1217" t="s">
        <v>1871</v>
      </c>
      <c r="Y202" s="1215" t="s">
        <v>1234</v>
      </c>
      <c r="Z202" s="1227">
        <v>247205</v>
      </c>
      <c r="AH202" s="687"/>
      <c r="AI202" s="687"/>
    </row>
    <row r="203" spans="19:35" ht="13.5" customHeight="1">
      <c r="S203" s="181">
        <v>198</v>
      </c>
      <c r="T203" s="1216">
        <v>536</v>
      </c>
      <c r="U203" s="1216">
        <v>88224536</v>
      </c>
      <c r="V203" s="1217" t="s">
        <v>1876</v>
      </c>
      <c r="W203" s="1217" t="s">
        <v>1877</v>
      </c>
      <c r="X203" s="1217" t="s">
        <v>1664</v>
      </c>
      <c r="Y203" s="1215" t="s">
        <v>914</v>
      </c>
      <c r="Z203" s="1227">
        <v>264000</v>
      </c>
      <c r="AH203" s="687"/>
      <c r="AI203" s="687"/>
    </row>
    <row r="204" spans="19:35" ht="13.5" customHeight="1">
      <c r="S204" s="181">
        <v>199</v>
      </c>
      <c r="T204" s="1216">
        <v>3053</v>
      </c>
      <c r="U204" s="1216">
        <v>326703</v>
      </c>
      <c r="V204" s="1217" t="s">
        <v>1880</v>
      </c>
      <c r="W204" s="1217" t="s">
        <v>1640</v>
      </c>
      <c r="X204" s="1217" t="s">
        <v>997</v>
      </c>
      <c r="Y204" s="1215" t="s">
        <v>1253</v>
      </c>
      <c r="Z204" s="1227">
        <v>256035</v>
      </c>
      <c r="AH204" s="687"/>
      <c r="AI204" s="687"/>
    </row>
    <row r="205" spans="19:35" ht="13.5" customHeight="1">
      <c r="S205" s="181">
        <v>200</v>
      </c>
      <c r="T205" s="2114" t="s">
        <v>1945</v>
      </c>
      <c r="U205" s="2114"/>
      <c r="V205" s="2114"/>
      <c r="W205" s="2114"/>
      <c r="X205" s="2114"/>
      <c r="Y205" s="2114"/>
      <c r="Z205" s="619">
        <f>SUM(Z198:Z204)</f>
        <v>1106595</v>
      </c>
      <c r="AH205" s="687"/>
      <c r="AI205" s="687"/>
    </row>
    <row r="206" spans="19:35" ht="13.5" customHeight="1">
      <c r="S206" s="181">
        <v>201</v>
      </c>
      <c r="T206" s="1216">
        <v>3505</v>
      </c>
      <c r="U206" s="1216">
        <v>570205</v>
      </c>
      <c r="V206" s="1217" t="s">
        <v>1885</v>
      </c>
      <c r="W206" s="1217" t="s">
        <v>1640</v>
      </c>
      <c r="X206" s="1217" t="s">
        <v>997</v>
      </c>
      <c r="Y206" s="182" t="s">
        <v>1253</v>
      </c>
      <c r="Z206" s="1227">
        <v>291712</v>
      </c>
      <c r="AH206" s="687"/>
      <c r="AI206" s="687"/>
    </row>
    <row r="207" spans="19:35" ht="13.5" customHeight="1">
      <c r="S207" s="181">
        <v>202</v>
      </c>
      <c r="T207" s="1216">
        <v>176</v>
      </c>
      <c r="U207" s="1216">
        <v>87216076</v>
      </c>
      <c r="V207" s="1217" t="s">
        <v>1892</v>
      </c>
      <c r="W207" s="1217" t="s">
        <v>1893</v>
      </c>
      <c r="X207" s="1217" t="s">
        <v>972</v>
      </c>
      <c r="Y207" s="182" t="s">
        <v>1325</v>
      </c>
      <c r="Z207" s="1227">
        <v>50000</v>
      </c>
      <c r="AH207" s="687"/>
      <c r="AI207" s="687"/>
    </row>
    <row r="208" spans="19:35" ht="13.5" customHeight="1">
      <c r="S208" s="181">
        <v>203</v>
      </c>
      <c r="T208" s="1216">
        <v>599</v>
      </c>
      <c r="U208" s="1216">
        <v>88224599</v>
      </c>
      <c r="V208" s="1217" t="s">
        <v>1896</v>
      </c>
      <c r="W208" s="1217" t="s">
        <v>1897</v>
      </c>
      <c r="X208" s="1217" t="s">
        <v>1664</v>
      </c>
      <c r="Y208" s="182" t="s">
        <v>914</v>
      </c>
      <c r="Z208" s="1227">
        <v>264024</v>
      </c>
      <c r="AH208" s="687"/>
      <c r="AI208" s="687"/>
    </row>
    <row r="209" spans="19:35" ht="13.5" customHeight="1">
      <c r="S209" s="181">
        <v>204</v>
      </c>
      <c r="T209" s="1216">
        <v>81154606.799999997</v>
      </c>
      <c r="U209" s="1216">
        <v>81154606.799999997</v>
      </c>
      <c r="V209" s="1217" t="s">
        <v>1899</v>
      </c>
      <c r="W209" s="1217" t="s">
        <v>1900</v>
      </c>
      <c r="X209" s="1217" t="s">
        <v>1901</v>
      </c>
      <c r="Y209" s="182" t="s">
        <v>1786</v>
      </c>
      <c r="Z209" s="1227">
        <v>13989.0977</v>
      </c>
      <c r="AH209" s="687"/>
      <c r="AI209" s="687"/>
    </row>
    <row r="210" spans="19:35" ht="13.5" customHeight="1" thickBot="1">
      <c r="S210" s="1229">
        <v>205</v>
      </c>
      <c r="T210" s="2113" t="s">
        <v>184</v>
      </c>
      <c r="U210" s="2113"/>
      <c r="V210" s="2113"/>
      <c r="W210" s="2113"/>
      <c r="X210" s="2113"/>
      <c r="Y210" s="2113"/>
      <c r="Z210" s="1223">
        <f>SUM(Z206:Z209)</f>
        <v>619725.09770000004</v>
      </c>
      <c r="AH210" s="687"/>
      <c r="AI210" s="687"/>
    </row>
    <row r="211" spans="19:35" ht="13.5" customHeight="1">
      <c r="AH211" s="687"/>
      <c r="AI211" s="687"/>
    </row>
    <row r="212" spans="19:35" ht="13.5" customHeight="1">
      <c r="AH212" s="687"/>
      <c r="AI212" s="687"/>
    </row>
    <row r="213" spans="19:35" ht="13.5" customHeight="1">
      <c r="AH213" s="687"/>
      <c r="AI213" s="687"/>
    </row>
    <row r="214" spans="19:35" ht="13.5" customHeight="1">
      <c r="AH214" s="687"/>
      <c r="AI214" s="687"/>
    </row>
    <row r="215" spans="19:35" ht="13.5" customHeight="1">
      <c r="AH215" s="687"/>
      <c r="AI215" s="687"/>
    </row>
    <row r="216" spans="19:35" ht="13.5" customHeight="1">
      <c r="AH216" s="687"/>
      <c r="AI216" s="687"/>
    </row>
    <row r="217" spans="19:35" ht="13.5" customHeight="1">
      <c r="AH217" s="687"/>
      <c r="AI217" s="687"/>
    </row>
    <row r="218" spans="19:35" ht="13.5" customHeight="1">
      <c r="AH218" s="687"/>
      <c r="AI218" s="687"/>
    </row>
    <row r="219" spans="19:35" ht="13.5" customHeight="1">
      <c r="AH219" s="687"/>
      <c r="AI219" s="687"/>
    </row>
    <row r="220" spans="19:35" ht="13.5" customHeight="1">
      <c r="AH220" s="687"/>
      <c r="AI220" s="687"/>
    </row>
    <row r="221" spans="19:35" ht="13.5" customHeight="1">
      <c r="AH221" s="687"/>
      <c r="AI221" s="687"/>
    </row>
    <row r="222" spans="19:35" ht="13.5" customHeight="1">
      <c r="AH222" s="687"/>
      <c r="AI222" s="687"/>
    </row>
    <row r="223" spans="19:35" ht="13.5" customHeight="1">
      <c r="AH223" s="687"/>
      <c r="AI223" s="687"/>
    </row>
    <row r="224" spans="19:35" ht="13.5" customHeight="1">
      <c r="AH224" s="687"/>
      <c r="AI224" s="687"/>
    </row>
    <row r="225" spans="34:35">
      <c r="AH225" s="687"/>
      <c r="AI225" s="687"/>
    </row>
    <row r="226" spans="34:35">
      <c r="AH226" s="687"/>
      <c r="AI226" s="687"/>
    </row>
  </sheetData>
  <mergeCells count="39">
    <mergeCell ref="K23:P23"/>
    <mergeCell ref="B4:C4"/>
    <mergeCell ref="K4:L4"/>
    <mergeCell ref="T4:U4"/>
    <mergeCell ref="B9:G9"/>
    <mergeCell ref="K7:P7"/>
    <mergeCell ref="K9:P9"/>
    <mergeCell ref="T118:Y118"/>
    <mergeCell ref="K17:P17"/>
    <mergeCell ref="B44:G44"/>
    <mergeCell ref="K19:P19"/>
    <mergeCell ref="K11:P11"/>
    <mergeCell ref="T45:Y45"/>
    <mergeCell ref="B34:G34"/>
    <mergeCell ref="K13:P13"/>
    <mergeCell ref="K15:P15"/>
    <mergeCell ref="T22:Y22"/>
    <mergeCell ref="T32:Y32"/>
    <mergeCell ref="B41:G41"/>
    <mergeCell ref="B14:G14"/>
    <mergeCell ref="T37:Y37"/>
    <mergeCell ref="K21:P21"/>
    <mergeCell ref="B22:G22"/>
    <mergeCell ref="T210:Y210"/>
    <mergeCell ref="B57:G57"/>
    <mergeCell ref="K29:P29"/>
    <mergeCell ref="T197:Y197"/>
    <mergeCell ref="K25:P25"/>
    <mergeCell ref="B53:G53"/>
    <mergeCell ref="T205:Y205"/>
    <mergeCell ref="K27:P27"/>
    <mergeCell ref="B55:G55"/>
    <mergeCell ref="T165:Y165"/>
    <mergeCell ref="B49:G49"/>
    <mergeCell ref="T181:Y181"/>
    <mergeCell ref="B51:G51"/>
    <mergeCell ref="T145:Y145"/>
    <mergeCell ref="T78:Y78"/>
    <mergeCell ref="B39:G39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FFCC"/>
  </sheetPr>
  <dimension ref="A3:L33"/>
  <sheetViews>
    <sheetView workbookViewId="0">
      <selection activeCell="Q117" sqref="Q117:Q128"/>
    </sheetView>
  </sheetViews>
  <sheetFormatPr defaultRowHeight="12.75"/>
  <cols>
    <col min="2" max="2" width="11.42578125" customWidth="1"/>
    <col min="3" max="4" width="9.28515625" bestFit="1" customWidth="1"/>
    <col min="5" max="5" width="13.28515625" bestFit="1" customWidth="1"/>
    <col min="6" max="6" width="11.140625" customWidth="1"/>
    <col min="7" max="7" width="10.7109375" customWidth="1"/>
    <col min="8" max="8" width="13.28515625" bestFit="1" customWidth="1"/>
    <col min="9" max="9" width="11.28515625" customWidth="1"/>
    <col min="10" max="11" width="11" customWidth="1"/>
    <col min="12" max="12" width="12" customWidth="1"/>
  </cols>
  <sheetData>
    <row r="3" spans="1:12" ht="36.75" customHeight="1">
      <c r="A3" s="2121" t="s">
        <v>1328</v>
      </c>
      <c r="B3" s="2121"/>
      <c r="C3" s="694"/>
      <c r="D3" s="694"/>
      <c r="E3" s="694"/>
      <c r="F3" s="694"/>
      <c r="G3" s="694"/>
      <c r="H3" s="694"/>
      <c r="I3" s="694"/>
      <c r="J3" s="694"/>
      <c r="K3" s="694"/>
      <c r="L3" s="694"/>
    </row>
    <row r="4" spans="1:12" ht="15.75">
      <c r="A4" s="694"/>
      <c r="B4" s="695"/>
      <c r="C4" s="694"/>
      <c r="D4" s="694"/>
      <c r="E4" s="694"/>
      <c r="F4" s="694"/>
      <c r="G4" s="694"/>
      <c r="H4" s="694"/>
      <c r="I4" s="694"/>
      <c r="J4" s="694"/>
      <c r="K4" s="694"/>
      <c r="L4" s="694"/>
    </row>
    <row r="5" spans="1:12">
      <c r="A5" s="694"/>
      <c r="B5" s="694"/>
      <c r="C5" s="694"/>
      <c r="D5" s="694"/>
      <c r="E5" s="694"/>
      <c r="F5" s="694"/>
      <c r="G5" s="694"/>
      <c r="H5" s="694"/>
      <c r="I5" s="694"/>
      <c r="J5" s="694"/>
      <c r="K5" s="694"/>
      <c r="L5" s="694"/>
    </row>
    <row r="6" spans="1:12">
      <c r="A6" s="696"/>
      <c r="B6" s="696" t="s">
        <v>1327</v>
      </c>
      <c r="C6" s="696"/>
      <c r="D6" s="696"/>
      <c r="E6" s="696"/>
      <c r="F6" s="696"/>
      <c r="G6" s="696"/>
      <c r="H6" s="696"/>
      <c r="I6" s="696"/>
      <c r="J6" s="696"/>
      <c r="K6" s="697"/>
      <c r="L6" s="697"/>
    </row>
    <row r="7" spans="1:12">
      <c r="A7" s="698"/>
      <c r="B7" s="697"/>
      <c r="C7" s="697"/>
      <c r="D7" s="697"/>
      <c r="E7" s="697"/>
      <c r="F7" s="697"/>
      <c r="G7" s="697"/>
      <c r="H7" s="697"/>
      <c r="I7" s="697"/>
      <c r="J7" s="697"/>
      <c r="K7" s="697"/>
      <c r="L7" s="697"/>
    </row>
    <row r="8" spans="1:12" ht="13.5" thickBot="1">
      <c r="A8" s="698"/>
      <c r="B8" s="697"/>
      <c r="C8" s="697"/>
      <c r="D8" s="697"/>
      <c r="E8" s="697"/>
      <c r="F8" s="697"/>
      <c r="G8" s="697"/>
      <c r="H8" s="697"/>
      <c r="I8" s="697"/>
      <c r="J8" s="697"/>
      <c r="K8" s="697"/>
      <c r="L8" s="697"/>
    </row>
    <row r="9" spans="1:12" ht="13.5" thickBot="1">
      <c r="A9" s="2119" t="s">
        <v>192</v>
      </c>
      <c r="B9" s="699" t="s">
        <v>915</v>
      </c>
      <c r="C9" s="2122" t="s">
        <v>916</v>
      </c>
      <c r="D9" s="2123"/>
      <c r="E9" s="2124"/>
      <c r="F9" s="700" t="s">
        <v>917</v>
      </c>
      <c r="G9" s="701"/>
      <c r="H9" s="699" t="s">
        <v>918</v>
      </c>
      <c r="I9" s="699" t="s">
        <v>919</v>
      </c>
      <c r="J9" s="699" t="s">
        <v>920</v>
      </c>
      <c r="K9" s="699" t="s">
        <v>921</v>
      </c>
      <c r="L9" s="699" t="s">
        <v>922</v>
      </c>
    </row>
    <row r="10" spans="1:12">
      <c r="A10" s="2120"/>
      <c r="B10" s="702" t="s">
        <v>923</v>
      </c>
      <c r="C10" s="699" t="s">
        <v>924</v>
      </c>
      <c r="D10" s="699"/>
      <c r="E10" s="699" t="s">
        <v>134</v>
      </c>
      <c r="F10" s="699" t="s">
        <v>925</v>
      </c>
      <c r="G10" s="699" t="s">
        <v>926</v>
      </c>
      <c r="H10" s="702" t="s">
        <v>927</v>
      </c>
      <c r="I10" s="702" t="s">
        <v>928</v>
      </c>
      <c r="J10" s="702" t="s">
        <v>929</v>
      </c>
      <c r="K10" s="702" t="s">
        <v>930</v>
      </c>
      <c r="L10" s="702" t="s">
        <v>931</v>
      </c>
    </row>
    <row r="11" spans="1:12">
      <c r="A11" s="2120"/>
      <c r="B11" s="702" t="s">
        <v>932</v>
      </c>
      <c r="C11" s="702" t="s">
        <v>1</v>
      </c>
      <c r="D11" s="702" t="s">
        <v>933</v>
      </c>
      <c r="E11" s="702" t="s">
        <v>934</v>
      </c>
      <c r="F11" s="702" t="s">
        <v>935</v>
      </c>
      <c r="G11" s="702" t="s">
        <v>936</v>
      </c>
      <c r="H11" s="702" t="s">
        <v>937</v>
      </c>
      <c r="I11" s="702" t="s">
        <v>938</v>
      </c>
      <c r="J11" s="702" t="s">
        <v>938</v>
      </c>
      <c r="K11" s="702"/>
      <c r="L11" s="702"/>
    </row>
    <row r="12" spans="1:12" ht="13.5" thickBot="1">
      <c r="A12" s="2120"/>
      <c r="B12" s="702"/>
      <c r="C12" s="702" t="s">
        <v>939</v>
      </c>
      <c r="D12" s="702"/>
      <c r="E12" s="702"/>
      <c r="F12" s="702"/>
      <c r="G12" s="702"/>
      <c r="H12" s="702"/>
      <c r="I12" s="702"/>
      <c r="J12" s="702"/>
      <c r="K12" s="702"/>
      <c r="L12" s="702"/>
    </row>
    <row r="13" spans="1:12">
      <c r="A13" s="375" t="s">
        <v>173</v>
      </c>
      <c r="B13" s="680">
        <f>+'P -Ardh Analiz '!Z14</f>
        <v>3937335</v>
      </c>
      <c r="C13" s="376"/>
      <c r="D13" s="376"/>
      <c r="E13" s="376">
        <f>+'Nenkontraktoret I'!H9</f>
        <v>824600</v>
      </c>
      <c r="F13" s="376">
        <f>+'Nenkontraktoret I'!Q7</f>
        <v>0</v>
      </c>
      <c r="G13" s="376">
        <f>F13/17.6%</f>
        <v>0</v>
      </c>
      <c r="H13" s="376">
        <f>E13+G13</f>
        <v>824600</v>
      </c>
      <c r="I13" s="376">
        <f>B13-H13</f>
        <v>3112735</v>
      </c>
      <c r="J13" s="376">
        <f>I13*4.05%</f>
        <v>126065.7675</v>
      </c>
      <c r="K13" s="680">
        <f>+T!AJ13*0.279</f>
        <v>128953.80000000002</v>
      </c>
      <c r="L13" s="678">
        <f>J13-K13</f>
        <v>-2888.0325000000157</v>
      </c>
    </row>
    <row r="14" spans="1:12">
      <c r="A14" s="102" t="s">
        <v>174</v>
      </c>
      <c r="B14" s="99">
        <f>+'P -Ardh Analiz '!Z15</f>
        <v>6541203</v>
      </c>
      <c r="C14" s="99"/>
      <c r="D14" s="99"/>
      <c r="E14" s="101">
        <f>+'Nenkontraktoret I'!H14</f>
        <v>1053192</v>
      </c>
      <c r="F14" s="99">
        <f>+'Nenkontraktoret I'!Q9</f>
        <v>0</v>
      </c>
      <c r="G14" s="99">
        <f t="shared" ref="G14:G26" si="0">F14/17.6%</f>
        <v>0</v>
      </c>
      <c r="H14" s="99">
        <f t="shared" ref="H14:H25" si="1">E14+G14</f>
        <v>1053192</v>
      </c>
      <c r="I14" s="99">
        <f t="shared" ref="I14:I24" si="2">B14-H14</f>
        <v>5488011</v>
      </c>
      <c r="J14" s="99">
        <f t="shared" ref="J14:J19" si="3">I14*4.05%</f>
        <v>222264.4455</v>
      </c>
      <c r="K14" s="99">
        <f>+T!AJ14*0.279</f>
        <v>88331.400000000009</v>
      </c>
      <c r="L14" s="683">
        <f t="shared" ref="L14:L24" si="4">J14-K14</f>
        <v>133933.04550000001</v>
      </c>
    </row>
    <row r="15" spans="1:12">
      <c r="A15" s="102" t="s">
        <v>175</v>
      </c>
      <c r="B15" s="99">
        <f>+'P -Ardh Analiz '!Z16</f>
        <v>6011916</v>
      </c>
      <c r="C15" s="99"/>
      <c r="D15" s="99"/>
      <c r="E15" s="101">
        <f>+'Nenkontraktoret I'!H22</f>
        <v>4632401.7</v>
      </c>
      <c r="F15" s="101">
        <f>+'Nenkontraktoret I'!Q11</f>
        <v>0</v>
      </c>
      <c r="G15" s="99">
        <f>F15/17.6%</f>
        <v>0</v>
      </c>
      <c r="H15" s="99">
        <f>E15+G15</f>
        <v>4632401.7</v>
      </c>
      <c r="I15" s="99">
        <f>B15-H15</f>
        <v>1379514.2999999998</v>
      </c>
      <c r="J15" s="99">
        <f t="shared" si="3"/>
        <v>55870.329149999998</v>
      </c>
      <c r="K15" s="99">
        <f>+T!AJ15*0.279</f>
        <v>88331.400000000009</v>
      </c>
      <c r="L15" s="683">
        <f t="shared" si="4"/>
        <v>-32461.070850000011</v>
      </c>
    </row>
    <row r="16" spans="1:12">
      <c r="A16" s="102" t="s">
        <v>176</v>
      </c>
      <c r="B16" s="99">
        <f>+'P -Ardh Analiz '!Z17</f>
        <v>4233773</v>
      </c>
      <c r="C16" s="99"/>
      <c r="D16" s="99"/>
      <c r="E16" s="101">
        <f>+'Nenkontraktoret I'!H34</f>
        <v>2641634</v>
      </c>
      <c r="F16" s="101">
        <f>+'Nenkontraktoret I'!Q13</f>
        <v>0</v>
      </c>
      <c r="G16" s="99">
        <f t="shared" si="0"/>
        <v>0</v>
      </c>
      <c r="H16" s="99">
        <f t="shared" si="1"/>
        <v>2641634</v>
      </c>
      <c r="I16" s="99">
        <f t="shared" si="2"/>
        <v>1592139</v>
      </c>
      <c r="J16" s="99">
        <f t="shared" si="3"/>
        <v>64481.629500000003</v>
      </c>
      <c r="K16" s="99">
        <f>+T!AJ16*0.279</f>
        <v>83002.500000000015</v>
      </c>
      <c r="L16" s="683">
        <f t="shared" si="4"/>
        <v>-18520.870500000012</v>
      </c>
    </row>
    <row r="17" spans="1:12">
      <c r="A17" s="102" t="s">
        <v>177</v>
      </c>
      <c r="B17" s="99">
        <f>+'P -Ardh Analiz '!Z18</f>
        <v>6311418</v>
      </c>
      <c r="C17" s="99"/>
      <c r="D17" s="99"/>
      <c r="E17" s="101">
        <f>+'Nenkontraktoret I'!H39</f>
        <v>722239</v>
      </c>
      <c r="F17" s="101">
        <f>+'Nenkontraktoret I'!Q15</f>
        <v>0</v>
      </c>
      <c r="G17" s="99">
        <f t="shared" si="0"/>
        <v>0</v>
      </c>
      <c r="H17" s="99">
        <f t="shared" si="1"/>
        <v>722239</v>
      </c>
      <c r="I17" s="99">
        <f t="shared" si="2"/>
        <v>5589179</v>
      </c>
      <c r="J17" s="99">
        <f t="shared" si="3"/>
        <v>226361.74950000001</v>
      </c>
      <c r="K17" s="99">
        <f>+T!AJ17*0.279</f>
        <v>83002.500000000015</v>
      </c>
      <c r="L17" s="683">
        <f t="shared" si="4"/>
        <v>143359.24949999998</v>
      </c>
    </row>
    <row r="18" spans="1:12">
      <c r="A18" s="102" t="s">
        <v>178</v>
      </c>
      <c r="B18" s="99">
        <f>+'P -Ardh Analiz '!Z19</f>
        <v>4290727</v>
      </c>
      <c r="C18" s="99"/>
      <c r="D18" s="99"/>
      <c r="E18" s="101">
        <f>+'Nenkontraktoret I'!H41</f>
        <v>424600</v>
      </c>
      <c r="F18" s="101">
        <f>+'Nenkontraktoret I'!Q17</f>
        <v>0</v>
      </c>
      <c r="G18" s="99">
        <f t="shared" si="0"/>
        <v>0</v>
      </c>
      <c r="H18" s="99">
        <f t="shared" si="1"/>
        <v>424600</v>
      </c>
      <c r="I18" s="99">
        <f t="shared" si="2"/>
        <v>3866127</v>
      </c>
      <c r="J18" s="99">
        <f t="shared" si="3"/>
        <v>156578.14350000001</v>
      </c>
      <c r="K18" s="99">
        <f>+T!AJ18*0.279</f>
        <v>83002.500000000015</v>
      </c>
      <c r="L18" s="103">
        <f t="shared" si="4"/>
        <v>73575.643499999991</v>
      </c>
    </row>
    <row r="19" spans="1:12">
      <c r="A19" s="102" t="s">
        <v>179</v>
      </c>
      <c r="B19" s="99">
        <f>+'P -Ardh Analiz '!Z20</f>
        <v>2708302</v>
      </c>
      <c r="C19" s="99"/>
      <c r="D19" s="99"/>
      <c r="E19" s="99">
        <f>+'Nenkontraktoret I'!H44</f>
        <v>740500</v>
      </c>
      <c r="F19" s="99">
        <f>+'Nenkontraktoret I'!Q19</f>
        <v>0</v>
      </c>
      <c r="G19" s="99">
        <f t="shared" si="0"/>
        <v>0</v>
      </c>
      <c r="H19" s="99">
        <f t="shared" si="1"/>
        <v>740500</v>
      </c>
      <c r="I19" s="99">
        <f t="shared" si="2"/>
        <v>1967802</v>
      </c>
      <c r="J19" s="99">
        <f t="shared" si="3"/>
        <v>79695.981</v>
      </c>
      <c r="K19" s="99">
        <f>+T!AJ19*0.279</f>
        <v>84258.000000000015</v>
      </c>
      <c r="L19" s="103">
        <f t="shared" si="4"/>
        <v>-4562.0190000000148</v>
      </c>
    </row>
    <row r="20" spans="1:12">
      <c r="A20" s="102" t="s">
        <v>180</v>
      </c>
      <c r="B20" s="99">
        <f>+'P -Ardh Analiz '!Z21</f>
        <v>6865444</v>
      </c>
      <c r="C20" s="99"/>
      <c r="D20" s="99"/>
      <c r="E20" s="99">
        <f>+'Nenkontraktoret I'!H49</f>
        <v>2752752</v>
      </c>
      <c r="F20" s="99">
        <f>+'Nenkontraktoret I'!Q21</f>
        <v>98000</v>
      </c>
      <c r="G20" s="99">
        <f t="shared" si="0"/>
        <v>556818.18181818177</v>
      </c>
      <c r="H20" s="99">
        <f t="shared" si="1"/>
        <v>3309570.1818181816</v>
      </c>
      <c r="I20" s="99">
        <f t="shared" si="2"/>
        <v>3555873.8181818184</v>
      </c>
      <c r="J20" s="99">
        <f t="shared" ref="J20:J26" si="5">I20*5.66%</f>
        <v>201262.45810909095</v>
      </c>
      <c r="K20" s="99">
        <f>+T!AJ20*0.279</f>
        <v>84397.500000000015</v>
      </c>
      <c r="L20" s="103">
        <f t="shared" si="4"/>
        <v>116864.95810909093</v>
      </c>
    </row>
    <row r="21" spans="1:12">
      <c r="A21" s="102" t="s">
        <v>181</v>
      </c>
      <c r="B21" s="99">
        <f>+'P -Ardh Analiz '!Z22</f>
        <v>2392450</v>
      </c>
      <c r="C21" s="99"/>
      <c r="D21" s="99"/>
      <c r="E21" s="99">
        <f>+'Nenkontraktoret I'!H51</f>
        <v>247000</v>
      </c>
      <c r="F21" s="99">
        <f>+'Nenkontraktoret I'!Q23</f>
        <v>0</v>
      </c>
      <c r="G21" s="99">
        <f t="shared" si="0"/>
        <v>0</v>
      </c>
      <c r="H21" s="99">
        <f t="shared" si="1"/>
        <v>247000</v>
      </c>
      <c r="I21" s="99">
        <f t="shared" si="2"/>
        <v>2145450</v>
      </c>
      <c r="J21" s="99">
        <f t="shared" si="5"/>
        <v>121432.47000000002</v>
      </c>
      <c r="K21" s="99">
        <f>+T!AJ21*0.279</f>
        <v>84397.500000000015</v>
      </c>
      <c r="L21" s="103">
        <f t="shared" si="4"/>
        <v>37034.97</v>
      </c>
    </row>
    <row r="22" spans="1:12">
      <c r="A22" s="102" t="s">
        <v>182</v>
      </c>
      <c r="B22" s="99">
        <f>+'P -Ardh Analiz '!Z23</f>
        <v>11551877</v>
      </c>
      <c r="C22" s="99"/>
      <c r="D22" s="99"/>
      <c r="E22" s="99">
        <f>+'Nenkontraktoret I'!H53</f>
        <v>0</v>
      </c>
      <c r="F22" s="99">
        <f>+'Nenkontraktoret I'!Q25</f>
        <v>0</v>
      </c>
      <c r="G22" s="99">
        <f t="shared" si="0"/>
        <v>0</v>
      </c>
      <c r="H22" s="99">
        <f t="shared" si="1"/>
        <v>0</v>
      </c>
      <c r="I22" s="99">
        <f t="shared" si="2"/>
        <v>11551877</v>
      </c>
      <c r="J22" s="99">
        <f t="shared" si="5"/>
        <v>653836.23820000002</v>
      </c>
      <c r="K22" s="99">
        <f>+T!AJ22*0.279</f>
        <v>84397.500000000015</v>
      </c>
      <c r="L22" s="103">
        <f t="shared" si="4"/>
        <v>569438.73820000002</v>
      </c>
    </row>
    <row r="23" spans="1:12">
      <c r="A23" s="102" t="s">
        <v>183</v>
      </c>
      <c r="B23" s="99">
        <f>+'P -Ardh Analiz '!Z24</f>
        <v>2142488</v>
      </c>
      <c r="C23" s="99"/>
      <c r="D23" s="99"/>
      <c r="E23" s="99">
        <f>+'Nenkontraktoret I'!H55</f>
        <v>417500</v>
      </c>
      <c r="F23" s="99">
        <f>+'Nenkontraktoret I'!Q27</f>
        <v>0</v>
      </c>
      <c r="G23" s="99">
        <f t="shared" si="0"/>
        <v>0</v>
      </c>
      <c r="H23" s="99">
        <f t="shared" si="1"/>
        <v>417500</v>
      </c>
      <c r="I23" s="99">
        <f t="shared" si="2"/>
        <v>1724988</v>
      </c>
      <c r="J23" s="99">
        <f t="shared" si="5"/>
        <v>97634.320800000001</v>
      </c>
      <c r="K23" s="99">
        <f>+T!AJ23*0.279</f>
        <v>102811.50000000001</v>
      </c>
      <c r="L23" s="103">
        <f t="shared" si="4"/>
        <v>-5177.1792000000132</v>
      </c>
    </row>
    <row r="24" spans="1:12">
      <c r="A24" s="102" t="s">
        <v>184</v>
      </c>
      <c r="B24" s="308">
        <f>+'P -Ardh Analiz '!Z25</f>
        <v>1724257</v>
      </c>
      <c r="C24" s="99"/>
      <c r="D24" s="99"/>
      <c r="E24" s="99">
        <f>+'Nenkontraktoret I'!H57</f>
        <v>416667</v>
      </c>
      <c r="F24" s="99">
        <f>+'Nenkontraktoret I'!Q29</f>
        <v>0</v>
      </c>
      <c r="G24" s="99">
        <f t="shared" si="0"/>
        <v>0</v>
      </c>
      <c r="H24" s="99">
        <f t="shared" si="1"/>
        <v>416667</v>
      </c>
      <c r="I24" s="99">
        <f t="shared" si="2"/>
        <v>1307590</v>
      </c>
      <c r="J24" s="99">
        <f t="shared" si="5"/>
        <v>74009.594000000012</v>
      </c>
      <c r="K24" s="272">
        <f>+T!AJ24*0.279</f>
        <v>114306.30000000002</v>
      </c>
      <c r="L24" s="103">
        <f t="shared" si="4"/>
        <v>-40296.706000000006</v>
      </c>
    </row>
    <row r="25" spans="1:12">
      <c r="A25" s="930" t="s">
        <v>185</v>
      </c>
      <c r="B25" s="731"/>
      <c r="C25" s="731"/>
      <c r="D25" s="731"/>
      <c r="E25" s="731">
        <v>0</v>
      </c>
      <c r="F25" s="731"/>
      <c r="G25" s="731">
        <f t="shared" si="0"/>
        <v>0</v>
      </c>
      <c r="H25" s="731">
        <f t="shared" si="1"/>
        <v>0</v>
      </c>
      <c r="I25" s="731">
        <f>B25-H25</f>
        <v>0</v>
      </c>
      <c r="J25" s="731">
        <f t="shared" si="5"/>
        <v>0</v>
      </c>
      <c r="K25" s="731"/>
      <c r="L25" s="619">
        <f>J25-K25</f>
        <v>0</v>
      </c>
    </row>
    <row r="26" spans="1:12" ht="13.5" thickBot="1">
      <c r="A26" s="759" t="s">
        <v>185</v>
      </c>
      <c r="B26" s="685"/>
      <c r="C26" s="685"/>
      <c r="D26" s="685"/>
      <c r="E26" s="685"/>
      <c r="F26" s="685"/>
      <c r="G26" s="685">
        <f t="shared" si="0"/>
        <v>0</v>
      </c>
      <c r="H26" s="685">
        <f>E26+G26</f>
        <v>0</v>
      </c>
      <c r="I26" s="685">
        <f>B26-H26</f>
        <v>0</v>
      </c>
      <c r="J26" s="685">
        <f t="shared" si="5"/>
        <v>0</v>
      </c>
      <c r="K26" s="685"/>
      <c r="L26" s="686">
        <f>J26-K26</f>
        <v>0</v>
      </c>
    </row>
    <row r="27" spans="1:12" ht="13.5" thickBot="1">
      <c r="A27" s="738" t="s">
        <v>167</v>
      </c>
      <c r="B27" s="739">
        <f>SUM(B13:B26)</f>
        <v>58711190</v>
      </c>
      <c r="C27" s="739">
        <f t="shared" ref="C27:L27" si="6">SUM(C13:C26)</f>
        <v>0</v>
      </c>
      <c r="D27" s="739">
        <f t="shared" si="6"/>
        <v>0</v>
      </c>
      <c r="E27" s="739">
        <f t="shared" si="6"/>
        <v>14873085.699999999</v>
      </c>
      <c r="F27" s="739">
        <f t="shared" si="6"/>
        <v>98000</v>
      </c>
      <c r="G27" s="739">
        <f t="shared" si="6"/>
        <v>556818.18181818177</v>
      </c>
      <c r="H27" s="739">
        <f t="shared" si="6"/>
        <v>15429903.881818181</v>
      </c>
      <c r="I27" s="739">
        <f t="shared" si="6"/>
        <v>43281286.118181817</v>
      </c>
      <c r="J27" s="739">
        <f t="shared" si="6"/>
        <v>2079493.1267590912</v>
      </c>
      <c r="K27" s="740">
        <f t="shared" si="6"/>
        <v>1109192.4000000001</v>
      </c>
      <c r="L27" s="741">
        <f t="shared" si="6"/>
        <v>970300.72675909079</v>
      </c>
    </row>
    <row r="28" spans="1:12">
      <c r="A28" s="692"/>
      <c r="B28" s="692"/>
      <c r="C28" s="692"/>
      <c r="D28" s="692"/>
      <c r="E28" s="692"/>
      <c r="F28" s="692"/>
      <c r="G28" s="692"/>
      <c r="H28" s="692"/>
      <c r="I28" s="692"/>
      <c r="J28" s="692"/>
      <c r="K28" s="692"/>
      <c r="L28" s="692"/>
    </row>
    <row r="29" spans="1:12">
      <c r="A29" s="692"/>
      <c r="B29" s="692"/>
      <c r="C29" s="692"/>
      <c r="D29" s="692"/>
      <c r="E29" s="692"/>
      <c r="F29" s="692"/>
      <c r="G29" s="692"/>
      <c r="H29" s="692"/>
      <c r="I29" s="692"/>
      <c r="J29" s="692"/>
      <c r="K29" s="692"/>
      <c r="L29" s="692"/>
    </row>
    <row r="30" spans="1:12">
      <c r="A30" s="692"/>
      <c r="B30" s="693"/>
      <c r="C30" s="693"/>
      <c r="D30" s="693"/>
      <c r="E30" s="693"/>
      <c r="F30" s="693"/>
      <c r="G30" s="693"/>
      <c r="H30" s="693"/>
      <c r="I30" s="693"/>
      <c r="J30" s="693"/>
      <c r="K30" s="693"/>
      <c r="L30" s="693"/>
    </row>
    <row r="31" spans="1:12">
      <c r="A31" s="692"/>
      <c r="B31" s="89"/>
      <c r="C31" s="89"/>
      <c r="D31" s="89"/>
      <c r="E31" s="703"/>
      <c r="F31" s="703"/>
      <c r="G31" s="703"/>
      <c r="H31" s="703"/>
      <c r="I31" s="703"/>
      <c r="J31" s="703"/>
      <c r="K31" s="90"/>
      <c r="L31" s="704"/>
    </row>
    <row r="32" spans="1:12">
      <c r="B32" s="89"/>
      <c r="C32" s="89"/>
      <c r="D32" s="89"/>
      <c r="E32" s="703"/>
      <c r="F32" s="703"/>
      <c r="G32" s="703"/>
      <c r="H32" s="703"/>
      <c r="I32" s="703"/>
      <c r="J32" s="703"/>
      <c r="K32" s="90"/>
      <c r="L32" s="704"/>
    </row>
    <row r="33" spans="2:12">
      <c r="B33" s="89"/>
      <c r="C33" s="89"/>
      <c r="D33" s="89"/>
      <c r="E33" s="703"/>
      <c r="F33" s="703"/>
      <c r="G33" s="703"/>
      <c r="H33" s="703"/>
      <c r="I33" s="703"/>
      <c r="J33" s="703"/>
      <c r="K33" s="90"/>
      <c r="L33" s="704"/>
    </row>
  </sheetData>
  <mergeCells count="3">
    <mergeCell ref="A9:A12"/>
    <mergeCell ref="A3:B3"/>
    <mergeCell ref="C9:E9"/>
  </mergeCells>
  <pageMargins left="0" right="0" top="0" bottom="0" header="0" footer="0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FF0000"/>
  </sheetPr>
  <dimension ref="A1:L69"/>
  <sheetViews>
    <sheetView workbookViewId="0">
      <selection activeCell="P52" sqref="P52"/>
    </sheetView>
  </sheetViews>
  <sheetFormatPr defaultRowHeight="12.75"/>
  <cols>
    <col min="1" max="1" width="6.140625" customWidth="1"/>
    <col min="2" max="2" width="6" customWidth="1"/>
    <col min="3" max="3" width="10.85546875" customWidth="1"/>
    <col min="4" max="4" width="10" customWidth="1"/>
    <col min="5" max="5" width="11" customWidth="1"/>
    <col min="6" max="6" width="13.7109375" customWidth="1"/>
    <col min="10" max="10" width="11.42578125" customWidth="1"/>
    <col min="12" max="12" width="11.28515625" bestFit="1" customWidth="1"/>
  </cols>
  <sheetData>
    <row r="1" spans="1:10">
      <c r="A1" s="1283" t="s">
        <v>1985</v>
      </c>
      <c r="B1" s="1283"/>
      <c r="C1" s="1283"/>
      <c r="D1" s="1283"/>
      <c r="E1" s="1283"/>
      <c r="F1" s="2128" t="s">
        <v>1986</v>
      </c>
      <c r="G1" s="2128"/>
      <c r="H1" s="2128"/>
      <c r="I1" s="2128"/>
      <c r="J1" s="1284"/>
    </row>
    <row r="2" spans="1:10">
      <c r="A2" s="1283"/>
      <c r="B2" s="1283"/>
      <c r="C2" s="1283"/>
      <c r="D2" s="1283" t="s">
        <v>1987</v>
      </c>
      <c r="E2" s="1283"/>
      <c r="F2" s="1283"/>
      <c r="G2" s="1283"/>
      <c r="H2" s="1283"/>
      <c r="I2" s="1284"/>
      <c r="J2" s="1284"/>
    </row>
    <row r="3" spans="1:10">
      <c r="A3" s="1283" t="s">
        <v>1988</v>
      </c>
      <c r="B3" s="1283"/>
      <c r="C3" s="1283"/>
      <c r="D3" s="1283"/>
      <c r="E3" s="1283"/>
      <c r="F3" s="1283"/>
      <c r="G3" s="1283"/>
      <c r="H3" s="2129" t="s">
        <v>1989</v>
      </c>
      <c r="I3" s="2129"/>
      <c r="J3" s="1284"/>
    </row>
    <row r="4" spans="1:10">
      <c r="A4" s="1283"/>
      <c r="B4" s="1283"/>
      <c r="C4" s="1283"/>
      <c r="D4" s="1283"/>
      <c r="E4" s="1283"/>
      <c r="F4" s="2130" t="s">
        <v>1990</v>
      </c>
      <c r="G4" s="2130"/>
      <c r="H4" s="2130"/>
      <c r="I4" s="2130"/>
      <c r="J4" s="1284"/>
    </row>
    <row r="5" spans="1:10">
      <c r="A5" s="1283" t="s">
        <v>1991</v>
      </c>
      <c r="B5" s="1283"/>
      <c r="C5" s="1283"/>
      <c r="D5" s="1283"/>
      <c r="E5" s="1283"/>
      <c r="F5" s="1283"/>
      <c r="G5" s="1283"/>
      <c r="H5" s="1283"/>
      <c r="I5" s="1284"/>
      <c r="J5" s="1284"/>
    </row>
    <row r="6" spans="1:10">
      <c r="A6" s="1284"/>
      <c r="B6" s="1284"/>
      <c r="C6" s="1284"/>
      <c r="D6" s="1284"/>
      <c r="E6" s="1284"/>
      <c r="F6" s="1284"/>
      <c r="G6" s="1285">
        <f>G7/E7*100</f>
        <v>55.272321888352892</v>
      </c>
      <c r="H6" s="1284"/>
      <c r="I6" s="2131"/>
      <c r="J6" s="2131"/>
    </row>
    <row r="7" spans="1:10">
      <c r="A7" s="1284"/>
      <c r="B7" s="1284" t="s">
        <v>1992</v>
      </c>
      <c r="C7" s="1284"/>
      <c r="D7" s="1284"/>
      <c r="E7" s="1284">
        <f>D14+D15+D16+D17+D18+D19</f>
        <v>7000.2800000000007</v>
      </c>
      <c r="F7" s="1284"/>
      <c r="G7" s="1284">
        <f>G27+G28</f>
        <v>3869.2172946859901</v>
      </c>
      <c r="H7" s="1284"/>
      <c r="I7" s="1284"/>
      <c r="J7" s="1284"/>
    </row>
    <row r="8" spans="1:10">
      <c r="A8" s="1284"/>
      <c r="B8" s="1284" t="s">
        <v>1993</v>
      </c>
      <c r="C8" s="1284"/>
      <c r="D8" s="1286">
        <v>0.35599999999999998</v>
      </c>
      <c r="E8" s="1284">
        <f>E7*D8+1</f>
        <v>2493.0996800000003</v>
      </c>
      <c r="F8" s="668"/>
      <c r="G8" s="668">
        <f>G7*D8</f>
        <v>1377.4413569082124</v>
      </c>
      <c r="H8" s="1284"/>
      <c r="I8" s="1284"/>
      <c r="J8" s="1284"/>
    </row>
    <row r="9" spans="1:10">
      <c r="A9" s="1284"/>
      <c r="B9" s="1284" t="s">
        <v>1994</v>
      </c>
      <c r="C9" s="1284"/>
      <c r="D9" s="1284"/>
      <c r="E9" s="1284">
        <f>E7-E8</f>
        <v>4507.1803200000004</v>
      </c>
      <c r="F9" s="1284"/>
      <c r="G9" s="1284">
        <f>G7-G8</f>
        <v>2491.7759377777775</v>
      </c>
      <c r="H9" s="1284"/>
      <c r="I9" s="1284"/>
      <c r="J9" s="1284"/>
    </row>
    <row r="10" spans="1:10">
      <c r="A10" s="1284"/>
      <c r="B10" s="1284" t="s">
        <v>1995</v>
      </c>
      <c r="C10" s="1284"/>
      <c r="D10" s="1284">
        <v>0.08</v>
      </c>
      <c r="E10" s="1284">
        <f>E9*D10</f>
        <v>360.57442560000004</v>
      </c>
      <c r="F10" s="1284"/>
      <c r="G10" s="1284">
        <f>G9*D10</f>
        <v>199.34207502222219</v>
      </c>
      <c r="H10" s="1284"/>
      <c r="I10" s="1284"/>
      <c r="J10" s="1284"/>
    </row>
    <row r="11" spans="1:10">
      <c r="A11" s="1284"/>
      <c r="B11" s="1284" t="s">
        <v>1996</v>
      </c>
      <c r="C11" s="1284"/>
      <c r="D11" s="1284"/>
      <c r="E11" s="1284">
        <f>E9-E10</f>
        <v>4146.6058944000006</v>
      </c>
      <c r="F11" s="1284"/>
      <c r="G11" s="1284">
        <f>G9-G10</f>
        <v>2292.4338627555553</v>
      </c>
      <c r="H11" s="1284"/>
      <c r="I11" s="1284"/>
      <c r="J11" s="668"/>
    </row>
    <row r="12" spans="1:10">
      <c r="A12" s="1284"/>
      <c r="B12" s="1284"/>
      <c r="C12" s="1284" t="s">
        <v>1997</v>
      </c>
      <c r="D12" s="1284"/>
      <c r="E12" s="1284"/>
      <c r="F12" s="1284"/>
      <c r="G12" s="1284"/>
      <c r="H12" s="1284"/>
      <c r="I12" s="1284"/>
      <c r="J12" s="668"/>
    </row>
    <row r="13" spans="1:10">
      <c r="A13" s="2132" t="s">
        <v>97</v>
      </c>
      <c r="B13" s="2132"/>
      <c r="C13" s="2132"/>
      <c r="D13" s="1287" t="s">
        <v>1998</v>
      </c>
      <c r="E13" s="1287" t="s">
        <v>1999</v>
      </c>
      <c r="F13" s="1287" t="s">
        <v>2000</v>
      </c>
      <c r="G13" s="1287" t="s">
        <v>2001</v>
      </c>
      <c r="H13" s="1287" t="s">
        <v>2002</v>
      </c>
      <c r="I13" s="1287" t="s">
        <v>2003</v>
      </c>
      <c r="J13" s="679" t="s">
        <v>2004</v>
      </c>
    </row>
    <row r="14" spans="1:10">
      <c r="A14" s="1287" t="s">
        <v>2005</v>
      </c>
      <c r="B14" s="1287"/>
      <c r="C14" s="1287"/>
      <c r="D14" s="1287">
        <v>4720.51</v>
      </c>
      <c r="E14" s="1287">
        <v>2240</v>
      </c>
      <c r="F14" s="1287">
        <f t="shared" ref="F14:F20" si="0">D14-E14</f>
        <v>2480.5100000000002</v>
      </c>
      <c r="G14" s="1287">
        <v>0</v>
      </c>
      <c r="H14" s="1287">
        <f t="shared" ref="H14:H20" si="1">D14-G14</f>
        <v>4720.51</v>
      </c>
      <c r="I14" s="1287">
        <f>D14*0.5526</f>
        <v>2608.5538259999998</v>
      </c>
      <c r="J14" s="679">
        <f>H14-I14</f>
        <v>2111.9561740000004</v>
      </c>
    </row>
    <row r="15" spans="1:10">
      <c r="A15" s="2125" t="s">
        <v>2006</v>
      </c>
      <c r="B15" s="2126"/>
      <c r="C15" s="2127"/>
      <c r="D15" s="1287">
        <v>494.77</v>
      </c>
      <c r="E15" s="1287">
        <v>0</v>
      </c>
      <c r="F15" s="1287">
        <f t="shared" si="0"/>
        <v>494.77</v>
      </c>
      <c r="G15" s="1287">
        <v>0</v>
      </c>
      <c r="H15" s="1287">
        <f t="shared" si="1"/>
        <v>494.77</v>
      </c>
      <c r="I15" s="1287">
        <f>H15*0.5526</f>
        <v>273.40990199999999</v>
      </c>
      <c r="J15" s="679">
        <f t="shared" ref="J15:J20" si="2">H15-I15</f>
        <v>221.36009799999999</v>
      </c>
    </row>
    <row r="16" spans="1:10">
      <c r="A16" s="1287" t="s">
        <v>2007</v>
      </c>
      <c r="B16" s="1287"/>
      <c r="C16" s="1287"/>
      <c r="D16" s="1287">
        <v>0</v>
      </c>
      <c r="E16" s="1287">
        <f>D16*25%</f>
        <v>0</v>
      </c>
      <c r="F16" s="1287">
        <f t="shared" si="0"/>
        <v>0</v>
      </c>
      <c r="G16" s="1287">
        <v>0</v>
      </c>
      <c r="H16" s="1287">
        <f t="shared" si="1"/>
        <v>0</v>
      </c>
      <c r="I16" s="1287">
        <f>H16</f>
        <v>0</v>
      </c>
      <c r="J16" s="679">
        <f t="shared" si="2"/>
        <v>0</v>
      </c>
    </row>
    <row r="17" spans="1:10">
      <c r="A17" s="2125" t="s">
        <v>2008</v>
      </c>
      <c r="B17" s="2126"/>
      <c r="C17" s="2127"/>
      <c r="D17" s="1287">
        <v>853</v>
      </c>
      <c r="E17" s="1287">
        <v>0</v>
      </c>
      <c r="F17" s="1287">
        <f t="shared" si="0"/>
        <v>853</v>
      </c>
      <c r="G17" s="1287">
        <v>0</v>
      </c>
      <c r="H17" s="1287">
        <f t="shared" si="1"/>
        <v>853</v>
      </c>
      <c r="I17" s="1287">
        <f>H17*0.5526+1</f>
        <v>472.36779999999999</v>
      </c>
      <c r="J17" s="679">
        <f t="shared" si="2"/>
        <v>380.63220000000001</v>
      </c>
    </row>
    <row r="18" spans="1:10">
      <c r="A18" s="2125" t="s">
        <v>2009</v>
      </c>
      <c r="B18" s="2126"/>
      <c r="C18" s="2127"/>
      <c r="D18" s="1287">
        <f>'[1]  HOTEL  Nr 9 ( banese)'!$D$87</f>
        <v>559.98560000000009</v>
      </c>
      <c r="E18" s="1287">
        <v>253</v>
      </c>
      <c r="F18" s="1287">
        <f t="shared" si="0"/>
        <v>306.98560000000009</v>
      </c>
      <c r="G18" s="1287">
        <v>0</v>
      </c>
      <c r="H18" s="1287">
        <f t="shared" si="1"/>
        <v>559.98560000000009</v>
      </c>
      <c r="I18" s="1287">
        <f>H18*0.5526</f>
        <v>309.44804256000003</v>
      </c>
      <c r="J18" s="679">
        <f t="shared" si="2"/>
        <v>250.53755744000006</v>
      </c>
    </row>
    <row r="19" spans="1:10">
      <c r="A19" s="2125" t="s">
        <v>2010</v>
      </c>
      <c r="B19" s="2126"/>
      <c r="C19" s="2127"/>
      <c r="D19" s="1287">
        <f>932-D18</f>
        <v>372.01439999999991</v>
      </c>
      <c r="E19" s="1287"/>
      <c r="F19" s="1287">
        <f t="shared" si="0"/>
        <v>372.01439999999991</v>
      </c>
      <c r="G19" s="1287"/>
      <c r="H19" s="1287">
        <f>D19-G19</f>
        <v>372.01439999999991</v>
      </c>
      <c r="I19" s="1287">
        <f>H19*0.5526</f>
        <v>205.57515743999994</v>
      </c>
      <c r="J19" s="679">
        <f>H19-I19</f>
        <v>166.43924255999997</v>
      </c>
    </row>
    <row r="20" spans="1:10">
      <c r="A20" s="2125" t="s">
        <v>2011</v>
      </c>
      <c r="B20" s="2126"/>
      <c r="C20" s="2127"/>
      <c r="D20" s="1287">
        <v>595.17999999999995</v>
      </c>
      <c r="E20" s="1287">
        <f>D20*25%</f>
        <v>148.79499999999999</v>
      </c>
      <c r="F20" s="1287">
        <f t="shared" si="0"/>
        <v>446.38499999999999</v>
      </c>
      <c r="G20" s="1287">
        <v>0</v>
      </c>
      <c r="H20" s="1287">
        <f t="shared" si="1"/>
        <v>595.17999999999995</v>
      </c>
      <c r="I20" s="1287">
        <f>H20*0.5526</f>
        <v>328.89646799999997</v>
      </c>
      <c r="J20" s="679">
        <f t="shared" si="2"/>
        <v>266.28353199999998</v>
      </c>
    </row>
    <row r="21" spans="1:10">
      <c r="A21" s="1284"/>
      <c r="B21" s="1284"/>
      <c r="C21" s="1284"/>
      <c r="D21" s="1284"/>
      <c r="E21" s="1284"/>
      <c r="F21" s="1284"/>
      <c r="G21" s="1284"/>
      <c r="H21" s="1284"/>
      <c r="I21" s="1284"/>
      <c r="J21" s="1284"/>
    </row>
    <row r="22" spans="1:10">
      <c r="A22" s="1284"/>
      <c r="B22" s="2130" t="s">
        <v>2012</v>
      </c>
      <c r="C22" s="2130"/>
      <c r="D22" s="2130"/>
      <c r="E22" s="2130"/>
      <c r="F22" s="2130"/>
      <c r="G22" s="2130"/>
      <c r="H22" s="1284"/>
      <c r="I22" s="1284"/>
      <c r="J22" s="1284"/>
    </row>
    <row r="23" spans="1:10">
      <c r="A23" s="1284"/>
      <c r="B23" s="1284"/>
      <c r="C23" s="1284"/>
      <c r="D23" s="1284"/>
      <c r="E23" s="1284"/>
      <c r="F23" s="1284"/>
      <c r="G23" s="1284"/>
      <c r="H23" s="1284"/>
      <c r="I23" s="1284"/>
      <c r="J23" s="1284"/>
    </row>
    <row r="24" spans="1:10">
      <c r="A24" s="2132" t="s">
        <v>2013</v>
      </c>
      <c r="B24" s="2132"/>
      <c r="C24" s="1287" t="s">
        <v>2014</v>
      </c>
      <c r="D24" s="1287" t="s">
        <v>2015</v>
      </c>
      <c r="E24" s="1287" t="s">
        <v>210</v>
      </c>
      <c r="F24" s="1287" t="s">
        <v>2016</v>
      </c>
      <c r="G24" s="1287" t="s">
        <v>2017</v>
      </c>
      <c r="H24" s="1287"/>
      <c r="I24" s="1284"/>
      <c r="J24" s="1284"/>
    </row>
    <row r="25" spans="1:10">
      <c r="A25" s="2132" t="s">
        <v>2018</v>
      </c>
      <c r="B25" s="2132"/>
      <c r="C25" s="1287">
        <f>E7*20670</f>
        <v>144695787.60000002</v>
      </c>
      <c r="D25" s="1287">
        <f>C25/1.07*0.07</f>
        <v>9466079.5626168251</v>
      </c>
      <c r="E25" s="1288">
        <f>C25-D25</f>
        <v>135229708.0373832</v>
      </c>
      <c r="F25" s="1287">
        <v>20700</v>
      </c>
      <c r="G25" s="1287">
        <f>C25/F25</f>
        <v>6990.1346666666677</v>
      </c>
      <c r="H25" s="1287">
        <v>0</v>
      </c>
      <c r="I25" s="1284"/>
      <c r="J25" s="1284"/>
    </row>
    <row r="26" spans="1:10">
      <c r="A26" s="2132"/>
      <c r="B26" s="2132"/>
      <c r="C26" s="1287">
        <v>0</v>
      </c>
      <c r="D26" s="1287">
        <f>C26/1.07*0.07</f>
        <v>0</v>
      </c>
      <c r="E26" s="1287">
        <f>C26-D26</f>
        <v>0</v>
      </c>
      <c r="F26" s="1287">
        <v>0</v>
      </c>
      <c r="G26" s="1287">
        <v>0</v>
      </c>
      <c r="H26" s="1287">
        <v>0</v>
      </c>
      <c r="I26" s="1284"/>
      <c r="J26" s="1284"/>
    </row>
    <row r="27" spans="1:10">
      <c r="A27" s="2132" t="s">
        <v>2019</v>
      </c>
      <c r="B27" s="2132"/>
      <c r="C27" s="1287">
        <v>21367449</v>
      </c>
      <c r="D27" s="1287">
        <f>C27/1.07*0.07</f>
        <v>1397870.495327103</v>
      </c>
      <c r="E27" s="1287">
        <f>C27-D27</f>
        <v>19969578.504672896</v>
      </c>
      <c r="F27" s="1287">
        <v>20700</v>
      </c>
      <c r="G27" s="1287">
        <f>C27/F27</f>
        <v>1032.2439130434782</v>
      </c>
      <c r="H27" s="1287">
        <v>0</v>
      </c>
      <c r="I27" s="1284"/>
      <c r="J27" s="1284"/>
    </row>
    <row r="28" spans="1:10">
      <c r="A28" s="2132" t="s">
        <v>2020</v>
      </c>
      <c r="B28" s="2132"/>
      <c r="C28" s="1287">
        <v>58725349</v>
      </c>
      <c r="D28" s="1287">
        <f>C28/1.07*0.07</f>
        <v>3841845.2616822431</v>
      </c>
      <c r="E28" s="1287">
        <f>C28-D28</f>
        <v>54883503.738317758</v>
      </c>
      <c r="F28" s="1287">
        <v>20700</v>
      </c>
      <c r="G28" s="1287">
        <f>C28/F28</f>
        <v>2836.9733816425119</v>
      </c>
      <c r="H28" s="1287">
        <v>0</v>
      </c>
      <c r="I28" s="1284"/>
      <c r="J28" s="1284"/>
    </row>
    <row r="29" spans="1:10">
      <c r="A29" s="2132" t="s">
        <v>134</v>
      </c>
      <c r="B29" s="2132"/>
      <c r="C29" s="1287">
        <v>0</v>
      </c>
      <c r="D29" s="1287">
        <f>C29/1.07*0.07</f>
        <v>0</v>
      </c>
      <c r="E29" s="1287">
        <f>C29-D29</f>
        <v>0</v>
      </c>
      <c r="F29" s="1287">
        <v>0</v>
      </c>
      <c r="G29" s="1287">
        <v>0</v>
      </c>
      <c r="H29" s="1287">
        <v>0</v>
      </c>
      <c r="I29" s="1284"/>
      <c r="J29" s="1284"/>
    </row>
    <row r="30" spans="1:10">
      <c r="A30" s="2132" t="s">
        <v>2021</v>
      </c>
      <c r="B30" s="2132"/>
      <c r="C30" s="1287">
        <f>C27+C28+C29</f>
        <v>80092798</v>
      </c>
      <c r="D30" s="1287">
        <f>D27+D28+D29</f>
        <v>5239715.757009346</v>
      </c>
      <c r="E30" s="1287">
        <f>E27+E28+E29</f>
        <v>74853082.242990658</v>
      </c>
      <c r="F30" s="1287">
        <f>F27+F28+F29</f>
        <v>41400</v>
      </c>
      <c r="G30" s="1287">
        <f>G27+G28+G29</f>
        <v>3869.2172946859901</v>
      </c>
      <c r="H30" s="1287">
        <f>SUM(H25:H29)</f>
        <v>0</v>
      </c>
      <c r="I30" s="1284"/>
      <c r="J30" s="1284"/>
    </row>
    <row r="31" spans="1:10">
      <c r="A31" s="1284" t="s">
        <v>2022</v>
      </c>
      <c r="B31" s="1284"/>
      <c r="C31" s="1284">
        <v>90156400</v>
      </c>
      <c r="D31" s="1284"/>
      <c r="E31" s="1284"/>
      <c r="F31" s="1284"/>
      <c r="G31" s="1284"/>
      <c r="H31" s="1284"/>
      <c r="I31" s="1284"/>
      <c r="J31" s="1284"/>
    </row>
    <row r="32" spans="1:10">
      <c r="A32" s="1284"/>
      <c r="B32" s="1289" t="s">
        <v>2023</v>
      </c>
      <c r="C32" s="1289"/>
      <c r="D32" s="1289"/>
      <c r="E32" s="1290"/>
      <c r="F32" s="1290"/>
      <c r="G32" s="2130" t="s">
        <v>2024</v>
      </c>
      <c r="H32" s="2130"/>
      <c r="I32" s="2130"/>
      <c r="J32" s="2130"/>
    </row>
    <row r="33" spans="1:12">
      <c r="A33" s="1284"/>
      <c r="B33" s="1284"/>
      <c r="C33" s="1284"/>
      <c r="D33" s="1284"/>
      <c r="E33" s="1284"/>
      <c r="F33" s="1284"/>
      <c r="G33" s="1284"/>
      <c r="H33" s="1284"/>
      <c r="I33" s="1284"/>
      <c r="J33" s="1284"/>
    </row>
    <row r="34" spans="1:12">
      <c r="A34" s="2131" t="s">
        <v>2025</v>
      </c>
      <c r="B34" s="2131"/>
      <c r="C34" s="2131"/>
      <c r="D34" s="2131"/>
      <c r="E34" s="1284">
        <v>0</v>
      </c>
      <c r="F34" s="1284" t="s">
        <v>2026</v>
      </c>
      <c r="G34" s="2132" t="s">
        <v>2027</v>
      </c>
      <c r="H34" s="2132"/>
      <c r="I34" s="2132"/>
      <c r="J34" s="1287">
        <f>E27+C28</f>
        <v>78694927.5046729</v>
      </c>
    </row>
    <row r="35" spans="1:12">
      <c r="A35" s="1290" t="s">
        <v>2028</v>
      </c>
      <c r="B35" s="1290"/>
      <c r="C35" s="1284"/>
      <c r="D35" s="1284"/>
      <c r="E35" s="1284">
        <f>G25</f>
        <v>6990.1346666666677</v>
      </c>
      <c r="F35" s="1284" t="s">
        <v>517</v>
      </c>
      <c r="G35" s="2132" t="s">
        <v>2029</v>
      </c>
      <c r="H35" s="2132"/>
      <c r="I35" s="2132"/>
      <c r="J35" s="1287">
        <f>J34*0.2</f>
        <v>15738985.50093458</v>
      </c>
    </row>
    <row r="36" spans="1:12">
      <c r="A36" s="2131" t="s">
        <v>2030</v>
      </c>
      <c r="B36" s="2131"/>
      <c r="C36" s="2131"/>
      <c r="D36" s="1284"/>
      <c r="E36" s="1284"/>
      <c r="F36" s="1284"/>
      <c r="G36" s="2132" t="s">
        <v>2031</v>
      </c>
      <c r="H36" s="2132"/>
      <c r="I36" s="2132"/>
      <c r="J36" s="1287">
        <f>J34+J35</f>
        <v>94433913.005607486</v>
      </c>
    </row>
    <row r="37" spans="1:12">
      <c r="A37" s="2131" t="s">
        <v>2005</v>
      </c>
      <c r="B37" s="2131"/>
      <c r="C37" s="2131"/>
      <c r="D37" s="1284"/>
      <c r="E37" s="1284">
        <f>G14</f>
        <v>0</v>
      </c>
      <c r="F37" s="1284" t="s">
        <v>517</v>
      </c>
      <c r="G37" s="2132" t="s">
        <v>2032</v>
      </c>
      <c r="H37" s="2132"/>
      <c r="I37" s="2132"/>
      <c r="J37" s="1287">
        <f>11680635/E7*G7</f>
        <v>6456158.1758036083</v>
      </c>
    </row>
    <row r="38" spans="1:12">
      <c r="A38" s="2131" t="s">
        <v>2033</v>
      </c>
      <c r="B38" s="2131"/>
      <c r="C38" s="2131"/>
      <c r="D38" s="1284"/>
      <c r="E38" s="1284">
        <f>G15</f>
        <v>0</v>
      </c>
      <c r="F38" s="1284" t="s">
        <v>517</v>
      </c>
      <c r="G38" s="2132" t="s">
        <v>2034</v>
      </c>
      <c r="H38" s="2132"/>
      <c r="I38" s="2132"/>
      <c r="J38" s="1287">
        <f>G8*F25*1.2</f>
        <v>34215643.305599995</v>
      </c>
    </row>
    <row r="39" spans="1:12">
      <c r="A39" s="2131" t="s">
        <v>2035</v>
      </c>
      <c r="B39" s="2131"/>
      <c r="C39" s="2131"/>
      <c r="D39" s="1284"/>
      <c r="E39" s="1284">
        <f>G16</f>
        <v>0</v>
      </c>
      <c r="F39" s="1284" t="s">
        <v>517</v>
      </c>
      <c r="G39" s="2132" t="s">
        <v>2036</v>
      </c>
      <c r="H39" s="2132"/>
      <c r="I39" s="2132"/>
      <c r="J39" s="1287"/>
    </row>
    <row r="40" spans="1:12">
      <c r="A40" s="2131" t="s">
        <v>2037</v>
      </c>
      <c r="B40" s="2131"/>
      <c r="C40" s="2131"/>
      <c r="D40" s="1284"/>
      <c r="E40" s="1284">
        <f>G17</f>
        <v>0</v>
      </c>
      <c r="F40" s="1284" t="s">
        <v>517</v>
      </c>
      <c r="G40" s="2132" t="s">
        <v>2115</v>
      </c>
      <c r="H40" s="2132"/>
      <c r="I40" s="2132"/>
      <c r="J40" s="1287">
        <f>'E2'!G45</f>
        <v>3441255.8</v>
      </c>
    </row>
    <row r="41" spans="1:12">
      <c r="A41" s="2131" t="s">
        <v>2038</v>
      </c>
      <c r="B41" s="2131"/>
      <c r="C41" s="2131"/>
      <c r="D41" s="1284"/>
      <c r="E41" s="1284">
        <f>G18</f>
        <v>0</v>
      </c>
      <c r="F41" s="1284" t="s">
        <v>517</v>
      </c>
      <c r="G41" s="2132" t="s">
        <v>2116</v>
      </c>
      <c r="H41" s="2132"/>
      <c r="I41" s="2132"/>
      <c r="J41" s="1287">
        <f>51030+72000+'E2'!G43+'E2'!G42+'E2'!G39+'E2'!G38</f>
        <v>1188439.76</v>
      </c>
      <c r="L41" s="977">
        <f>J42+J41+J40+J37</f>
        <v>11600686.735803608</v>
      </c>
    </row>
    <row r="42" spans="1:12">
      <c r="A42" s="2131" t="s">
        <v>2039</v>
      </c>
      <c r="B42" s="2131"/>
      <c r="C42" s="2131"/>
      <c r="D42" s="1284"/>
      <c r="E42" s="1284">
        <f>G20</f>
        <v>0</v>
      </c>
      <c r="F42" s="1284" t="s">
        <v>517</v>
      </c>
      <c r="G42" s="2132" t="s">
        <v>2040</v>
      </c>
      <c r="H42" s="2132"/>
      <c r="I42" s="2132"/>
      <c r="J42" s="1287">
        <v>514833</v>
      </c>
    </row>
    <row r="43" spans="1:12">
      <c r="A43" s="2131" t="s">
        <v>2041</v>
      </c>
      <c r="B43" s="2131"/>
      <c r="C43" s="2131"/>
      <c r="D43" s="1284"/>
      <c r="E43" s="1284">
        <f>G21</f>
        <v>0</v>
      </c>
      <c r="F43" s="1284" t="s">
        <v>517</v>
      </c>
      <c r="G43" s="2132" t="s">
        <v>2042</v>
      </c>
      <c r="H43" s="2132"/>
      <c r="I43" s="2132"/>
      <c r="J43" s="1287">
        <f>SUM(J36:J42)</f>
        <v>140250243.04701108</v>
      </c>
    </row>
    <row r="44" spans="1:12">
      <c r="A44" s="1284"/>
      <c r="B44" s="1284"/>
      <c r="C44" s="1284"/>
      <c r="D44" s="1284"/>
      <c r="E44" s="1284"/>
      <c r="F44" s="1284"/>
      <c r="G44" s="1284"/>
      <c r="H44" s="1284"/>
      <c r="I44" s="1284"/>
      <c r="J44" s="1284"/>
    </row>
    <row r="45" spans="1:12">
      <c r="A45" s="2131" t="s">
        <v>2043</v>
      </c>
      <c r="B45" s="2131"/>
      <c r="C45" s="2131"/>
      <c r="D45" s="2131"/>
      <c r="E45" s="2131"/>
      <c r="F45" s="2131"/>
      <c r="G45" s="2131"/>
      <c r="H45" s="2131"/>
      <c r="I45" s="2131"/>
      <c r="J45" s="1284"/>
    </row>
    <row r="46" spans="1:12">
      <c r="A46" s="1290" t="s">
        <v>2044</v>
      </c>
      <c r="B46" s="1290"/>
      <c r="C46" s="1290"/>
      <c r="D46" s="1290"/>
      <c r="E46" s="1290"/>
      <c r="F46" s="1290"/>
      <c r="G46" s="1290"/>
      <c r="H46" s="1290"/>
      <c r="I46" s="1290"/>
      <c r="J46" s="1284"/>
    </row>
    <row r="47" spans="1:12">
      <c r="A47" s="2130" t="s">
        <v>2045</v>
      </c>
      <c r="B47" s="2130"/>
      <c r="C47" s="2130"/>
      <c r="D47" s="2130"/>
      <c r="E47" s="2130"/>
      <c r="F47" s="2130"/>
      <c r="G47" s="1284"/>
      <c r="H47" s="2130" t="s">
        <v>2046</v>
      </c>
      <c r="I47" s="2130"/>
      <c r="J47" s="2130"/>
    </row>
    <row r="48" spans="1:12">
      <c r="A48" s="2132" t="s">
        <v>97</v>
      </c>
      <c r="B48" s="2132"/>
      <c r="C48" s="1287" t="s">
        <v>2047</v>
      </c>
      <c r="D48" s="1287" t="s">
        <v>2048</v>
      </c>
      <c r="E48" s="1287" t="s">
        <v>393</v>
      </c>
      <c r="F48" s="1287" t="s">
        <v>519</v>
      </c>
      <c r="G48" s="1284"/>
      <c r="H48" s="1284"/>
      <c r="I48" s="1284"/>
      <c r="J48" s="1284"/>
    </row>
    <row r="49" spans="1:10">
      <c r="A49" s="2132" t="str">
        <f>A37</f>
        <v>Apartamente banimi</v>
      </c>
      <c r="B49" s="2132"/>
      <c r="C49" s="1287">
        <f t="shared" ref="C49:C55" si="3">I14</f>
        <v>2608.5538259999998</v>
      </c>
      <c r="D49" s="1287">
        <v>400</v>
      </c>
      <c r="E49" s="1287">
        <v>139</v>
      </c>
      <c r="F49" s="1287">
        <f>C49*D49*E49</f>
        <v>145035592.7256</v>
      </c>
      <c r="G49" s="1284"/>
      <c r="H49" s="2132" t="s">
        <v>2049</v>
      </c>
      <c r="I49" s="2132"/>
      <c r="J49" s="1287">
        <f>F56</f>
        <v>210739300.44390398</v>
      </c>
    </row>
    <row r="50" spans="1:10">
      <c r="A50" s="2132" t="str">
        <f>A38</f>
        <v>Dyqane ne K  I</v>
      </c>
      <c r="B50" s="2132"/>
      <c r="C50" s="1287">
        <f t="shared" si="3"/>
        <v>273.40990199999999</v>
      </c>
      <c r="D50" s="1287">
        <f>D49*2</f>
        <v>800</v>
      </c>
      <c r="E50" s="1287">
        <v>139</v>
      </c>
      <c r="F50" s="1287">
        <f t="shared" ref="F50:F55" si="4">C50*D50*E50</f>
        <v>30403181.102400001</v>
      </c>
      <c r="G50" s="1284"/>
      <c r="H50" s="2132" t="s">
        <v>2050</v>
      </c>
      <c r="I50" s="2132"/>
      <c r="J50" s="1287">
        <f>J43</f>
        <v>140250243.04701108</v>
      </c>
    </row>
    <row r="51" spans="1:10">
      <c r="A51" s="2132" t="str">
        <f>A39</f>
        <v>Ambiente sherbimi K  II</v>
      </c>
      <c r="B51" s="2132"/>
      <c r="C51" s="1287">
        <f t="shared" si="3"/>
        <v>0</v>
      </c>
      <c r="D51" s="1287">
        <f>D49</f>
        <v>400</v>
      </c>
      <c r="E51" s="1287">
        <v>139</v>
      </c>
      <c r="F51" s="1287">
        <f t="shared" si="4"/>
        <v>0</v>
      </c>
      <c r="G51" s="1284"/>
      <c r="H51" s="2132" t="s">
        <v>2051</v>
      </c>
      <c r="I51" s="2132"/>
      <c r="J51" s="1287">
        <f>J49-J50</f>
        <v>70489057.396892905</v>
      </c>
    </row>
    <row r="52" spans="1:10">
      <c r="A52" s="2132" t="str">
        <f>A40</f>
        <v xml:space="preserve">Garazhe  </v>
      </c>
      <c r="B52" s="2132"/>
      <c r="C52" s="1287">
        <f t="shared" si="3"/>
        <v>472.36779999999999</v>
      </c>
      <c r="D52" s="1287">
        <f>D49*0.7</f>
        <v>280</v>
      </c>
      <c r="E52" s="1287">
        <v>139</v>
      </c>
      <c r="F52" s="1287">
        <f t="shared" si="4"/>
        <v>18384554.776000001</v>
      </c>
      <c r="G52" s="1284"/>
      <c r="H52" s="2132" t="s">
        <v>2052</v>
      </c>
      <c r="I52" s="2132"/>
      <c r="J52" s="1287">
        <f>J51*10%</f>
        <v>7048905.7396892905</v>
      </c>
    </row>
    <row r="53" spans="1:10">
      <c r="A53" s="2125" t="s">
        <v>2053</v>
      </c>
      <c r="B53" s="2126"/>
      <c r="C53" s="1287">
        <f t="shared" si="3"/>
        <v>309.44804256000003</v>
      </c>
      <c r="D53" s="1287">
        <v>0</v>
      </c>
      <c r="E53" s="1287">
        <v>139</v>
      </c>
      <c r="F53" s="1287">
        <f t="shared" si="4"/>
        <v>0</v>
      </c>
      <c r="G53" s="1284"/>
      <c r="H53" s="1291"/>
      <c r="I53" s="1291"/>
      <c r="J53" s="1287"/>
    </row>
    <row r="54" spans="1:10">
      <c r="A54" s="2125" t="s">
        <v>2010</v>
      </c>
      <c r="B54" s="2126"/>
      <c r="C54" s="1287">
        <f t="shared" si="3"/>
        <v>205.57515743999994</v>
      </c>
      <c r="D54" s="1287">
        <v>400</v>
      </c>
      <c r="E54" s="1287">
        <v>139</v>
      </c>
      <c r="F54" s="1287">
        <f t="shared" si="4"/>
        <v>11429978.753663996</v>
      </c>
      <c r="G54" s="1284"/>
      <c r="H54" s="2132" t="s">
        <v>2054</v>
      </c>
      <c r="I54" s="2132"/>
      <c r="J54" s="1287">
        <f>D28*0.1</f>
        <v>384184.52616822434</v>
      </c>
    </row>
    <row r="55" spans="1:10">
      <c r="A55" s="2132" t="str">
        <f>A41</f>
        <v>Ballkone</v>
      </c>
      <c r="B55" s="2132"/>
      <c r="C55" s="1287">
        <f t="shared" si="3"/>
        <v>328.89646799999997</v>
      </c>
      <c r="D55" s="1287">
        <f>D49*0.3</f>
        <v>120</v>
      </c>
      <c r="E55" s="1287">
        <v>139</v>
      </c>
      <c r="F55" s="1287">
        <f t="shared" si="4"/>
        <v>5485993.0862399992</v>
      </c>
      <c r="G55" s="1284"/>
      <c r="H55" s="2132" t="s">
        <v>2055</v>
      </c>
      <c r="I55" s="2132"/>
      <c r="J55" s="1287">
        <f>J52+J54</f>
        <v>7433090.2658575149</v>
      </c>
    </row>
    <row r="56" spans="1:10">
      <c r="A56" s="1291" t="s">
        <v>2021</v>
      </c>
      <c r="B56" s="1291"/>
      <c r="C56" s="1287">
        <f>SUM(C49:C55)</f>
        <v>4198.2511960000002</v>
      </c>
      <c r="D56" s="1287"/>
      <c r="E56" s="1287"/>
      <c r="F56" s="1287">
        <f>SUM(F49:F55)</f>
        <v>210739300.44390398</v>
      </c>
      <c r="G56" s="1284"/>
      <c r="H56" s="2132" t="s">
        <v>2056</v>
      </c>
      <c r="I56" s="2132"/>
      <c r="J56" s="1287">
        <v>0</v>
      </c>
    </row>
    <row r="57" spans="1:10">
      <c r="A57" s="1284"/>
      <c r="B57" s="2128"/>
      <c r="C57" s="2128"/>
      <c r="D57" s="2128"/>
      <c r="E57" s="2128"/>
      <c r="F57" s="1284"/>
      <c r="G57" s="1284"/>
      <c r="H57" s="2132" t="s">
        <v>2057</v>
      </c>
      <c r="I57" s="2132"/>
      <c r="J57" s="1287">
        <f>J55-J56</f>
        <v>7433090.2658575149</v>
      </c>
    </row>
    <row r="58" spans="1:10">
      <c r="A58" s="1284"/>
      <c r="B58" s="1284"/>
      <c r="C58" s="1284"/>
      <c r="D58" s="1284" t="s">
        <v>2058</v>
      </c>
      <c r="E58" s="1284"/>
      <c r="F58" s="1283">
        <f>F56-J34</f>
        <v>132044372.93923108</v>
      </c>
      <c r="G58" s="1284"/>
      <c r="H58" s="1284"/>
      <c r="I58" s="1284"/>
      <c r="J58" s="1284"/>
    </row>
    <row r="59" spans="1:10">
      <c r="A59" s="1284"/>
      <c r="B59" s="1284"/>
      <c r="C59" s="1284"/>
      <c r="D59" s="1284"/>
      <c r="E59" s="1284"/>
      <c r="F59" s="1284"/>
      <c r="G59" s="1284"/>
      <c r="H59" s="1290"/>
      <c r="I59" s="1290"/>
      <c r="J59" s="1284"/>
    </row>
    <row r="60" spans="1:10">
      <c r="A60" s="1284"/>
      <c r="B60" s="1284"/>
      <c r="C60" s="1284"/>
      <c r="D60" s="1284"/>
      <c r="E60" s="1284"/>
      <c r="F60" s="1284"/>
      <c r="G60" s="1284"/>
      <c r="H60" s="1284"/>
      <c r="I60" s="1284"/>
      <c r="J60" s="1284"/>
    </row>
    <row r="61" spans="1:10">
      <c r="A61" s="1290"/>
      <c r="B61" s="1289"/>
      <c r="C61" s="1289"/>
      <c r="D61" s="1283"/>
      <c r="E61" s="1283"/>
      <c r="F61" s="1284"/>
      <c r="G61" s="1284"/>
      <c r="H61" s="2131"/>
      <c r="I61" s="2131"/>
      <c r="J61" s="1284"/>
    </row>
    <row r="62" spans="1:10">
      <c r="A62" s="1284"/>
      <c r="B62" s="1284"/>
      <c r="C62" s="1284"/>
      <c r="D62" s="1284"/>
      <c r="E62" s="1284"/>
      <c r="F62" s="1284"/>
      <c r="G62" s="1284"/>
      <c r="H62" s="1284"/>
      <c r="I62" s="1284"/>
      <c r="J62" s="1284"/>
    </row>
    <row r="63" spans="1:10">
      <c r="A63" s="1284"/>
      <c r="B63" s="1284"/>
      <c r="C63" s="1284"/>
      <c r="D63" s="1284"/>
      <c r="E63" s="1284"/>
      <c r="F63" s="1284"/>
      <c r="G63" s="1284"/>
      <c r="H63" s="1284"/>
      <c r="I63" s="1284"/>
      <c r="J63" s="1284"/>
    </row>
    <row r="64" spans="1:10">
      <c r="A64" s="1284"/>
      <c r="B64" s="1284"/>
      <c r="C64" s="1284"/>
      <c r="D64" s="1284"/>
      <c r="E64" s="1284"/>
      <c r="F64" s="1284"/>
      <c r="G64" s="1284"/>
      <c r="H64" s="1284"/>
      <c r="I64" s="1284"/>
      <c r="J64" s="1284"/>
    </row>
    <row r="65" spans="1:10">
      <c r="A65" s="1284"/>
      <c r="B65" s="1284"/>
      <c r="C65" s="1284"/>
      <c r="D65" s="1284"/>
      <c r="E65" s="1284"/>
      <c r="F65" s="1284"/>
      <c r="G65" s="1284"/>
      <c r="H65" s="1284"/>
      <c r="I65" s="1284"/>
      <c r="J65" s="1284"/>
    </row>
    <row r="66" spans="1:10">
      <c r="A66" s="1284"/>
      <c r="B66" s="1292"/>
      <c r="C66" s="1292"/>
      <c r="D66" s="1284"/>
      <c r="E66" s="1284"/>
      <c r="F66" s="1284"/>
      <c r="G66" s="1284"/>
      <c r="H66" s="1284"/>
      <c r="I66" s="1284"/>
      <c r="J66" s="1284"/>
    </row>
    <row r="67" spans="1:10">
      <c r="A67" s="1284"/>
      <c r="B67" s="1283"/>
      <c r="C67" s="1283"/>
      <c r="D67" s="1284"/>
      <c r="E67" s="1284"/>
      <c r="F67" s="1284"/>
      <c r="G67" s="1284"/>
      <c r="H67" s="1284"/>
      <c r="I67" s="1284"/>
      <c r="J67" s="1284"/>
    </row>
    <row r="68" spans="1:10">
      <c r="A68" s="1284"/>
      <c r="B68" s="1293"/>
      <c r="C68" s="1293"/>
      <c r="D68" s="1283"/>
      <c r="E68" s="1284"/>
      <c r="F68" s="1284"/>
      <c r="G68" s="1284"/>
      <c r="H68" s="1284"/>
      <c r="I68" s="1284"/>
      <c r="J68" s="1284"/>
    </row>
    <row r="69" spans="1:10">
      <c r="A69" s="1284"/>
      <c r="B69" s="1284"/>
      <c r="C69" s="1284"/>
      <c r="D69" s="1284"/>
      <c r="E69" s="1284"/>
      <c r="F69" s="1284"/>
      <c r="G69" s="1284"/>
      <c r="H69" s="1284"/>
      <c r="I69" s="1284"/>
      <c r="J69" s="1284"/>
    </row>
  </sheetData>
  <mergeCells count="59">
    <mergeCell ref="H56:I56"/>
    <mergeCell ref="B57:E57"/>
    <mergeCell ref="H57:I57"/>
    <mergeCell ref="H61:I61"/>
    <mergeCell ref="A52:B52"/>
    <mergeCell ref="H52:I52"/>
    <mergeCell ref="A53:B53"/>
    <mergeCell ref="A54:B54"/>
    <mergeCell ref="H54:I54"/>
    <mergeCell ref="A55:B55"/>
    <mergeCell ref="H55:I55"/>
    <mergeCell ref="A49:B49"/>
    <mergeCell ref="H49:I49"/>
    <mergeCell ref="A50:B50"/>
    <mergeCell ref="H50:I50"/>
    <mergeCell ref="A51:B51"/>
    <mergeCell ref="H51:I51"/>
    <mergeCell ref="A48:B48"/>
    <mergeCell ref="A40:C40"/>
    <mergeCell ref="G40:I40"/>
    <mergeCell ref="A41:C41"/>
    <mergeCell ref="G41:I41"/>
    <mergeCell ref="A42:C42"/>
    <mergeCell ref="G42:I42"/>
    <mergeCell ref="A43:C43"/>
    <mergeCell ref="G43:I43"/>
    <mergeCell ref="A45:I45"/>
    <mergeCell ref="A47:F47"/>
    <mergeCell ref="H47:J47"/>
    <mergeCell ref="A37:C37"/>
    <mergeCell ref="G37:I37"/>
    <mergeCell ref="A38:C38"/>
    <mergeCell ref="G38:I38"/>
    <mergeCell ref="A39:C39"/>
    <mergeCell ref="G39:I39"/>
    <mergeCell ref="G32:J32"/>
    <mergeCell ref="A34:D34"/>
    <mergeCell ref="G34:I34"/>
    <mergeCell ref="G35:I35"/>
    <mergeCell ref="A36:C36"/>
    <mergeCell ref="G36:I36"/>
    <mergeCell ref="A30:B30"/>
    <mergeCell ref="A17:C17"/>
    <mergeCell ref="A18:C18"/>
    <mergeCell ref="A19:C19"/>
    <mergeCell ref="A20:C20"/>
    <mergeCell ref="B22:G22"/>
    <mergeCell ref="A24:B24"/>
    <mergeCell ref="A25:B25"/>
    <mergeCell ref="A26:B26"/>
    <mergeCell ref="A27:B27"/>
    <mergeCell ref="A28:B28"/>
    <mergeCell ref="A29:B29"/>
    <mergeCell ref="A15:C15"/>
    <mergeCell ref="F1:I1"/>
    <mergeCell ref="H3:I3"/>
    <mergeCell ref="F4:I4"/>
    <mergeCell ref="I6:J6"/>
    <mergeCell ref="A13:C13"/>
  </mergeCells>
  <pageMargins left="0" right="0" top="0" bottom="0" header="0" footer="0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FFC000"/>
  </sheetPr>
  <dimension ref="A1:G44"/>
  <sheetViews>
    <sheetView workbookViewId="0">
      <selection activeCell="G44" sqref="A1:G44"/>
    </sheetView>
  </sheetViews>
  <sheetFormatPr defaultRowHeight="12.75"/>
  <cols>
    <col min="1" max="1" width="6.42578125" customWidth="1"/>
    <col min="2" max="2" width="17" customWidth="1"/>
    <col min="3" max="3" width="9.7109375" customWidth="1"/>
    <col min="4" max="4" width="13" style="113" customWidth="1"/>
    <col min="5" max="5" width="10.140625" style="113" customWidth="1"/>
    <col min="6" max="6" width="12.85546875" style="113" customWidth="1"/>
    <col min="7" max="7" width="13.85546875" style="113" customWidth="1"/>
  </cols>
  <sheetData>
    <row r="1" spans="1:7" ht="15">
      <c r="A1" s="2133" t="s">
        <v>520</v>
      </c>
      <c r="B1" s="2133"/>
      <c r="C1" s="21" t="str">
        <f>U!D2</f>
        <v>Ameti</v>
      </c>
    </row>
    <row r="2" spans="1:7">
      <c r="A2" t="s">
        <v>394</v>
      </c>
      <c r="C2" s="21" t="str">
        <f>U!D3</f>
        <v>K36823207C</v>
      </c>
    </row>
    <row r="3" spans="1:7" ht="25.5">
      <c r="A3" s="2134" t="s">
        <v>827</v>
      </c>
      <c r="B3" s="2134"/>
      <c r="C3" s="2134"/>
      <c r="D3" s="2134"/>
      <c r="E3" s="2134"/>
      <c r="F3" s="2134"/>
      <c r="G3" s="2134"/>
    </row>
    <row r="4" spans="1:7" ht="15" thickBot="1">
      <c r="A4" s="317"/>
      <c r="B4" s="317"/>
      <c r="C4" s="317"/>
      <c r="D4" s="1606"/>
      <c r="E4" s="1606"/>
      <c r="F4" s="1606"/>
      <c r="G4" s="1606"/>
    </row>
    <row r="5" spans="1:7" ht="15" thickBot="1">
      <c r="A5" s="1601" t="s">
        <v>1</v>
      </c>
      <c r="B5" s="1602" t="s">
        <v>97</v>
      </c>
      <c r="C5" s="1602" t="s">
        <v>381</v>
      </c>
      <c r="D5" s="1607" t="s">
        <v>891</v>
      </c>
      <c r="E5" s="1607" t="s">
        <v>521</v>
      </c>
      <c r="F5" s="1607" t="s">
        <v>522</v>
      </c>
      <c r="G5" s="1608" t="s">
        <v>813</v>
      </c>
    </row>
    <row r="6" spans="1:7" ht="14.25">
      <c r="A6" s="1600">
        <v>1</v>
      </c>
      <c r="B6" s="1600" t="s">
        <v>523</v>
      </c>
      <c r="C6" s="1600"/>
      <c r="D6" s="1609">
        <f>U!E9</f>
        <v>0</v>
      </c>
      <c r="E6" s="1609">
        <f>U!F9</f>
        <v>0</v>
      </c>
      <c r="F6" s="1609">
        <f>U!G9</f>
        <v>0</v>
      </c>
      <c r="G6" s="1609">
        <f>U!H9</f>
        <v>0</v>
      </c>
    </row>
    <row r="7" spans="1:7" ht="14.25">
      <c r="A7" s="318">
        <f>A6+1</f>
        <v>2</v>
      </c>
      <c r="B7" s="318" t="s">
        <v>155</v>
      </c>
      <c r="C7" s="318"/>
      <c r="D7" s="1610">
        <f>U!E13</f>
        <v>0</v>
      </c>
      <c r="E7" s="1610">
        <f>U!F13</f>
        <v>0</v>
      </c>
      <c r="F7" s="1610">
        <f>U!G13</f>
        <v>0</v>
      </c>
      <c r="G7" s="1610">
        <f>U!H13</f>
        <v>0</v>
      </c>
    </row>
    <row r="8" spans="1:7" ht="14.25">
      <c r="A8" s="318">
        <f t="shared" ref="A8:A13" si="0">A7+1</f>
        <v>3</v>
      </c>
      <c r="B8" s="318" t="s">
        <v>524</v>
      </c>
      <c r="C8" s="318"/>
      <c r="D8" s="1610">
        <f>U!E25</f>
        <v>1237000</v>
      </c>
      <c r="E8" s="1610">
        <f>U!F25</f>
        <v>179166</v>
      </c>
      <c r="F8" s="1610">
        <f>U!G25</f>
        <v>0</v>
      </c>
      <c r="G8" s="1610">
        <f>U!H25</f>
        <v>1416166</v>
      </c>
    </row>
    <row r="9" spans="1:7" ht="14.25">
      <c r="A9" s="318">
        <f t="shared" si="0"/>
        <v>4</v>
      </c>
      <c r="B9" s="318" t="s">
        <v>453</v>
      </c>
      <c r="C9" s="318"/>
      <c r="D9" s="1610">
        <f>U!E32</f>
        <v>0</v>
      </c>
      <c r="E9" s="1610">
        <f>U!F32</f>
        <v>0</v>
      </c>
      <c r="F9" s="1610">
        <f>U!G32</f>
        <v>0</v>
      </c>
      <c r="G9" s="1610">
        <f>U!H32</f>
        <v>0</v>
      </c>
    </row>
    <row r="10" spans="1:7" ht="14.25">
      <c r="A10" s="318">
        <f t="shared" si="0"/>
        <v>5</v>
      </c>
      <c r="B10" s="318" t="s">
        <v>525</v>
      </c>
      <c r="C10" s="318"/>
      <c r="D10" s="1610"/>
      <c r="E10" s="1610"/>
      <c r="F10" s="1610"/>
      <c r="G10" s="1610"/>
    </row>
    <row r="11" spans="1:7" ht="14.25">
      <c r="A11" s="318">
        <f t="shared" si="0"/>
        <v>6</v>
      </c>
      <c r="B11" s="318" t="s">
        <v>526</v>
      </c>
      <c r="C11" s="318"/>
      <c r="D11" s="1610">
        <f>U!E38</f>
        <v>1059600</v>
      </c>
      <c r="E11" s="1610">
        <f>U!F38</f>
        <v>0</v>
      </c>
      <c r="F11" s="1610">
        <f>U!G38</f>
        <v>0</v>
      </c>
      <c r="G11" s="1610">
        <f>U!H38</f>
        <v>1059600</v>
      </c>
    </row>
    <row r="12" spans="1:7" ht="14.25">
      <c r="A12" s="318">
        <f t="shared" si="0"/>
        <v>7</v>
      </c>
      <c r="B12" s="318"/>
      <c r="C12" s="318"/>
      <c r="D12" s="1610"/>
      <c r="E12" s="1610"/>
      <c r="F12" s="1610"/>
      <c r="G12" s="1610"/>
    </row>
    <row r="13" spans="1:7" ht="15" thickBot="1">
      <c r="A13" s="1603">
        <f t="shared" si="0"/>
        <v>8</v>
      </c>
      <c r="B13" s="1603"/>
      <c r="C13" s="1603"/>
      <c r="D13" s="1611"/>
      <c r="E13" s="1611"/>
      <c r="F13" s="1611"/>
      <c r="G13" s="1611"/>
    </row>
    <row r="14" spans="1:7" ht="15" thickBot="1">
      <c r="A14" s="1604"/>
      <c r="B14" s="1605" t="s">
        <v>374</v>
      </c>
      <c r="C14" s="1605"/>
      <c r="D14" s="1612">
        <f>D6+D7+D8+D9+D10+D11+D12+D13</f>
        <v>2296600</v>
      </c>
      <c r="E14" s="1612">
        <f>E6+E7+E8+E9+E10+E11+E12+E13</f>
        <v>179166</v>
      </c>
      <c r="F14" s="1612">
        <f>F6+F7+F8+F9+F10+F11+F12+F13</f>
        <v>0</v>
      </c>
      <c r="G14" s="1613">
        <f>G6+G7+G8+G9+G10+G11+G12+G13</f>
        <v>2475766</v>
      </c>
    </row>
    <row r="17" spans="1:7" ht="25.5">
      <c r="A17" s="2134" t="s">
        <v>828</v>
      </c>
      <c r="B17" s="2134"/>
      <c r="C17" s="2134"/>
      <c r="D17" s="2134"/>
      <c r="E17" s="2134"/>
      <c r="F17" s="2134"/>
      <c r="G17" s="2134"/>
    </row>
    <row r="18" spans="1:7" ht="15" thickBot="1">
      <c r="A18" s="317"/>
      <c r="B18" s="317"/>
      <c r="C18" s="317"/>
      <c r="D18" s="1606"/>
      <c r="E18" s="1606"/>
      <c r="F18" s="1606"/>
      <c r="G18" s="1606"/>
    </row>
    <row r="19" spans="1:7" ht="15" thickBot="1">
      <c r="A19" s="1601" t="s">
        <v>1</v>
      </c>
      <c r="B19" s="1602" t="s">
        <v>97</v>
      </c>
      <c r="C19" s="1602" t="s">
        <v>381</v>
      </c>
      <c r="D19" s="1607" t="str">
        <f>D5</f>
        <v>Gjendje fillest</v>
      </c>
      <c r="E19" s="1607" t="str">
        <f>E5</f>
        <v>Shtese</v>
      </c>
      <c r="F19" s="1607" t="str">
        <f>F5</f>
        <v>Paksime</v>
      </c>
      <c r="G19" s="1608" t="str">
        <f>G5</f>
        <v>Gjendje 31/12/2011</v>
      </c>
    </row>
    <row r="20" spans="1:7" ht="14.25">
      <c r="A20" s="1600">
        <v>1</v>
      </c>
      <c r="B20" s="1600" t="s">
        <v>523</v>
      </c>
      <c r="C20" s="1600"/>
      <c r="D20" s="1609">
        <f>U!J9</f>
        <v>0</v>
      </c>
      <c r="E20" s="1609">
        <f>U!L9</f>
        <v>0</v>
      </c>
      <c r="F20" s="1609">
        <f>U!M9</f>
        <v>0</v>
      </c>
      <c r="G20" s="1609">
        <f>U!N9</f>
        <v>0</v>
      </c>
    </row>
    <row r="21" spans="1:7" ht="14.25">
      <c r="A21" s="318">
        <f>A20+1</f>
        <v>2</v>
      </c>
      <c r="B21" s="318" t="s">
        <v>155</v>
      </c>
      <c r="C21" s="318"/>
      <c r="D21" s="1610">
        <f>U!J13</f>
        <v>0</v>
      </c>
      <c r="E21" s="1610">
        <f>U!L13</f>
        <v>0</v>
      </c>
      <c r="F21" s="1610">
        <f>U!M13</f>
        <v>0</v>
      </c>
      <c r="G21" s="1610">
        <f>U!N12</f>
        <v>0</v>
      </c>
    </row>
    <row r="22" spans="1:7" ht="14.25">
      <c r="A22" s="318">
        <f t="shared" ref="A22:A27" si="1">A21+1</f>
        <v>3</v>
      </c>
      <c r="B22" s="318" t="s">
        <v>524</v>
      </c>
      <c r="C22" s="318"/>
      <c r="D22" s="1610">
        <f>U!J25</f>
        <v>247400</v>
      </c>
      <c r="E22" s="1610">
        <f>U!L25</f>
        <v>197920</v>
      </c>
      <c r="F22" s="1610">
        <f>U!M25</f>
        <v>0</v>
      </c>
      <c r="G22" s="1610">
        <f>U!N25</f>
        <v>445320</v>
      </c>
    </row>
    <row r="23" spans="1:7" ht="14.25">
      <c r="A23" s="318">
        <f t="shared" si="1"/>
        <v>4</v>
      </c>
      <c r="B23" s="318" t="s">
        <v>453</v>
      </c>
      <c r="C23" s="318"/>
      <c r="D23" s="1610">
        <f>U!J32</f>
        <v>0</v>
      </c>
      <c r="E23" s="1610">
        <f>U!L32</f>
        <v>0</v>
      </c>
      <c r="F23" s="1610">
        <f>U!M32</f>
        <v>0</v>
      </c>
      <c r="G23" s="1610">
        <f>U!N32</f>
        <v>0</v>
      </c>
    </row>
    <row r="24" spans="1:7" ht="14.25">
      <c r="A24" s="318">
        <f t="shared" si="1"/>
        <v>5</v>
      </c>
      <c r="B24" s="318" t="s">
        <v>525</v>
      </c>
      <c r="C24" s="318"/>
      <c r="D24" s="1610"/>
      <c r="E24" s="1610"/>
      <c r="F24" s="1610"/>
      <c r="G24" s="1610"/>
    </row>
    <row r="25" spans="1:7" ht="14.25">
      <c r="A25" s="318">
        <f t="shared" si="1"/>
        <v>6</v>
      </c>
      <c r="B25" s="318" t="s">
        <v>526</v>
      </c>
      <c r="C25" s="318"/>
      <c r="D25" s="1610">
        <f>U!J38</f>
        <v>556808.69999999995</v>
      </c>
      <c r="E25" s="1610">
        <f>U!L38</f>
        <v>100558.26</v>
      </c>
      <c r="F25" s="1610">
        <f>U!M38</f>
        <v>0</v>
      </c>
      <c r="G25" s="1610">
        <f>U!N38</f>
        <v>657366.96</v>
      </c>
    </row>
    <row r="26" spans="1:7" ht="14.25">
      <c r="A26" s="318">
        <f t="shared" si="1"/>
        <v>7</v>
      </c>
      <c r="B26" s="318"/>
      <c r="C26" s="318"/>
      <c r="D26" s="1610"/>
      <c r="E26" s="1610"/>
      <c r="F26" s="1610"/>
      <c r="G26" s="1610"/>
    </row>
    <row r="27" spans="1:7" ht="15" thickBot="1">
      <c r="A27" s="1603">
        <f t="shared" si="1"/>
        <v>8</v>
      </c>
      <c r="B27" s="1603"/>
      <c r="C27" s="1603"/>
      <c r="D27" s="1611"/>
      <c r="E27" s="1611"/>
      <c r="F27" s="1611"/>
      <c r="G27" s="1611"/>
    </row>
    <row r="28" spans="1:7" ht="15" thickBot="1">
      <c r="A28" s="1604"/>
      <c r="B28" s="1605" t="s">
        <v>374</v>
      </c>
      <c r="C28" s="1605"/>
      <c r="D28" s="1612">
        <f>SUM(D20:D27)</f>
        <v>804208.7</v>
      </c>
      <c r="E28" s="1612">
        <f>SUM(E20:E27)</f>
        <v>298478.26</v>
      </c>
      <c r="F28" s="1612">
        <f>SUM(F20:F27)</f>
        <v>0</v>
      </c>
      <c r="G28" s="1613">
        <f>SUM(G20:G27)</f>
        <v>1102686.96</v>
      </c>
    </row>
    <row r="30" spans="1:7" ht="25.5">
      <c r="A30" s="2134" t="s">
        <v>829</v>
      </c>
      <c r="B30" s="2134"/>
      <c r="C30" s="2134"/>
      <c r="D30" s="2134"/>
      <c r="E30" s="2134"/>
      <c r="F30" s="2134"/>
      <c r="G30" s="2134"/>
    </row>
    <row r="31" spans="1:7" ht="15" thickBot="1">
      <c r="A31" s="317"/>
      <c r="B31" s="317"/>
      <c r="C31" s="317"/>
      <c r="D31" s="1606"/>
      <c r="E31" s="1606"/>
      <c r="F31" s="1606"/>
      <c r="G31" s="1606"/>
    </row>
    <row r="32" spans="1:7" ht="15.75" thickBot="1">
      <c r="A32" s="1601" t="s">
        <v>1</v>
      </c>
      <c r="B32" s="1602" t="s">
        <v>97</v>
      </c>
      <c r="C32" s="1602" t="s">
        <v>381</v>
      </c>
      <c r="D32" s="1614" t="s">
        <v>812</v>
      </c>
      <c r="E32" s="1607" t="s">
        <v>521</v>
      </c>
      <c r="F32" s="1607" t="s">
        <v>522</v>
      </c>
      <c r="G32" s="1615" t="s">
        <v>813</v>
      </c>
    </row>
    <row r="33" spans="1:7" ht="14.25">
      <c r="A33" s="1600">
        <v>1</v>
      </c>
      <c r="B33" s="1600" t="s">
        <v>523</v>
      </c>
      <c r="C33" s="1600"/>
      <c r="D33" s="1609">
        <f>U!K9</f>
        <v>0</v>
      </c>
      <c r="E33" s="1609">
        <f>E6</f>
        <v>0</v>
      </c>
      <c r="F33" s="1609">
        <f>G33-D33+E33</f>
        <v>0</v>
      </c>
      <c r="G33" s="1609">
        <f>U!O9</f>
        <v>0</v>
      </c>
    </row>
    <row r="34" spans="1:7" ht="14.25">
      <c r="A34" s="318">
        <f>A33+1</f>
        <v>2</v>
      </c>
      <c r="B34" s="318" t="s">
        <v>155</v>
      </c>
      <c r="C34" s="318"/>
      <c r="D34" s="1610">
        <f>U!K13</f>
        <v>0</v>
      </c>
      <c r="E34" s="1610">
        <f>E7</f>
        <v>0</v>
      </c>
      <c r="F34" s="1610">
        <f>+E21</f>
        <v>0</v>
      </c>
      <c r="G34" s="1610">
        <f>U!O13</f>
        <v>0</v>
      </c>
    </row>
    <row r="35" spans="1:7" ht="14.25">
      <c r="A35" s="318">
        <f t="shared" ref="A35:A40" si="2">A34+1</f>
        <v>3</v>
      </c>
      <c r="B35" s="318" t="s">
        <v>524</v>
      </c>
      <c r="C35" s="318"/>
      <c r="D35" s="1610">
        <f>U!K25</f>
        <v>989600</v>
      </c>
      <c r="E35" s="1610">
        <f>E8</f>
        <v>179166</v>
      </c>
      <c r="F35" s="1610">
        <f t="shared" ref="F35:F39" si="3">+E22</f>
        <v>197920</v>
      </c>
      <c r="G35" s="1610">
        <f>U!O25</f>
        <v>970846</v>
      </c>
    </row>
    <row r="36" spans="1:7" ht="14.25">
      <c r="A36" s="318">
        <f t="shared" si="2"/>
        <v>4</v>
      </c>
      <c r="B36" s="318" t="s">
        <v>453</v>
      </c>
      <c r="C36" s="318"/>
      <c r="D36" s="1610">
        <f>U!K32</f>
        <v>0</v>
      </c>
      <c r="E36" s="1610">
        <f>E9</f>
        <v>0</v>
      </c>
      <c r="F36" s="1610">
        <f t="shared" si="3"/>
        <v>0</v>
      </c>
      <c r="G36" s="1610">
        <f>U!O32</f>
        <v>0</v>
      </c>
    </row>
    <row r="37" spans="1:7" ht="14.25">
      <c r="A37" s="318">
        <f t="shared" si="2"/>
        <v>5</v>
      </c>
      <c r="B37" s="318" t="s">
        <v>525</v>
      </c>
      <c r="C37" s="318"/>
      <c r="D37" s="1610"/>
      <c r="E37" s="1610"/>
      <c r="F37" s="1610">
        <f t="shared" si="3"/>
        <v>0</v>
      </c>
      <c r="G37" s="1610">
        <f>U!O13</f>
        <v>0</v>
      </c>
    </row>
    <row r="38" spans="1:7" ht="14.25">
      <c r="A38" s="318">
        <f t="shared" si="2"/>
        <v>6</v>
      </c>
      <c r="B38" s="318" t="s">
        <v>526</v>
      </c>
      <c r="C38" s="318"/>
      <c r="D38" s="1610">
        <f>U!K38</f>
        <v>502791.30000000005</v>
      </c>
      <c r="E38" s="1610">
        <f>E11</f>
        <v>0</v>
      </c>
      <c r="F38" s="1610">
        <f t="shared" si="3"/>
        <v>100558.26</v>
      </c>
      <c r="G38" s="1610">
        <f>U!O38</f>
        <v>402233.04000000004</v>
      </c>
    </row>
    <row r="39" spans="1:7" ht="14.25">
      <c r="A39" s="318">
        <f t="shared" si="2"/>
        <v>7</v>
      </c>
      <c r="B39" s="318"/>
      <c r="C39" s="318"/>
      <c r="D39" s="1610"/>
      <c r="E39" s="1610"/>
      <c r="F39" s="1610">
        <f t="shared" si="3"/>
        <v>0</v>
      </c>
      <c r="G39" s="1610">
        <f>D39+E39-F39</f>
        <v>0</v>
      </c>
    </row>
    <row r="40" spans="1:7" ht="15" thickBot="1">
      <c r="A40" s="1603">
        <f t="shared" si="2"/>
        <v>8</v>
      </c>
      <c r="B40" s="1603"/>
      <c r="C40" s="1603"/>
      <c r="D40" s="1611"/>
      <c r="E40" s="1611"/>
      <c r="F40" s="1611"/>
      <c r="G40" s="1611">
        <f>D40+E40-F40</f>
        <v>0</v>
      </c>
    </row>
    <row r="41" spans="1:7" ht="15" thickBot="1">
      <c r="A41" s="1604"/>
      <c r="B41" s="1605" t="s">
        <v>374</v>
      </c>
      <c r="C41" s="1605"/>
      <c r="D41" s="1612"/>
      <c r="E41" s="1612"/>
      <c r="F41" s="1612"/>
      <c r="G41" s="1613"/>
    </row>
    <row r="43" spans="1:7">
      <c r="F43" s="1616" t="s">
        <v>527</v>
      </c>
      <c r="G43" s="1616"/>
    </row>
    <row r="44" spans="1:7">
      <c r="F44" s="1616" t="str">
        <f>'Shenimet Shpjeg'!F315</f>
        <v>Feriat Mehilli</v>
      </c>
      <c r="G44" s="1616"/>
    </row>
  </sheetData>
  <mergeCells count="4">
    <mergeCell ref="A1:B1"/>
    <mergeCell ref="A3:G3"/>
    <mergeCell ref="A17:G17"/>
    <mergeCell ref="A30:G30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FFC000"/>
  </sheetPr>
  <dimension ref="A1:F26"/>
  <sheetViews>
    <sheetView workbookViewId="0">
      <selection activeCell="F26" sqref="A1:F26"/>
    </sheetView>
  </sheetViews>
  <sheetFormatPr defaultRowHeight="12.75"/>
  <cols>
    <col min="2" max="2" width="35.28515625" customWidth="1"/>
    <col min="3" max="3" width="15.28515625" customWidth="1"/>
    <col min="4" max="4" width="14.28515625" customWidth="1"/>
    <col min="5" max="5" width="14.5703125" style="113" customWidth="1"/>
    <col min="6" max="6" width="17.140625" style="113" customWidth="1"/>
  </cols>
  <sheetData>
    <row r="1" spans="1:6" ht="15">
      <c r="A1" s="347" t="s">
        <v>520</v>
      </c>
      <c r="B1" s="347" t="str">
        <f>'U - statist'!C1</f>
        <v>Ameti</v>
      </c>
      <c r="C1" s="319"/>
      <c r="D1" s="319"/>
      <c r="E1" s="1623"/>
      <c r="F1" s="1623"/>
    </row>
    <row r="2" spans="1:6" ht="15">
      <c r="A2" s="319" t="s">
        <v>394</v>
      </c>
      <c r="B2" s="348" t="str">
        <f>'U - statist'!C2</f>
        <v>K36823207C</v>
      </c>
      <c r="C2" s="319"/>
      <c r="D2" s="319"/>
      <c r="E2" s="1623"/>
      <c r="F2" s="1623"/>
    </row>
    <row r="3" spans="1:6" ht="15.75" thickBot="1">
      <c r="A3" s="319"/>
      <c r="B3" s="319"/>
      <c r="C3" s="319"/>
      <c r="D3" s="320" t="s">
        <v>528</v>
      </c>
      <c r="E3" s="1623"/>
      <c r="F3" s="1624" t="s">
        <v>529</v>
      </c>
    </row>
    <row r="4" spans="1:6" ht="15.75">
      <c r="A4" s="2135" t="s">
        <v>530</v>
      </c>
      <c r="B4" s="2136"/>
      <c r="C4" s="2136"/>
      <c r="D4" s="2136"/>
      <c r="E4" s="2136"/>
      <c r="F4" s="2137"/>
    </row>
    <row r="5" spans="1:6" ht="15.75">
      <c r="A5" s="2138" t="s">
        <v>1</v>
      </c>
      <c r="B5" s="2140" t="s">
        <v>531</v>
      </c>
      <c r="C5" s="2142" t="s">
        <v>532</v>
      </c>
      <c r="D5" s="2142" t="s">
        <v>533</v>
      </c>
      <c r="E5" s="2144" t="s">
        <v>534</v>
      </c>
      <c r="F5" s="2145"/>
    </row>
    <row r="6" spans="1:6" ht="16.5" thickBot="1">
      <c r="A6" s="2139"/>
      <c r="B6" s="2141"/>
      <c r="C6" s="2143"/>
      <c r="D6" s="2143"/>
      <c r="E6" s="1625">
        <v>2011</v>
      </c>
      <c r="F6" s="1626">
        <v>2010</v>
      </c>
    </row>
    <row r="7" spans="1:6" ht="15.75">
      <c r="A7" s="1617">
        <v>1</v>
      </c>
      <c r="B7" s="1617" t="s">
        <v>535</v>
      </c>
      <c r="C7" s="1617">
        <v>70</v>
      </c>
      <c r="D7" s="1617">
        <v>11100</v>
      </c>
      <c r="E7" s="1627">
        <f>E8+E9+E10</f>
        <v>210739.30044390398</v>
      </c>
      <c r="F7" s="1627">
        <f>F8+F9+F10</f>
        <v>182321.93699999998</v>
      </c>
    </row>
    <row r="8" spans="1:6" ht="15.75">
      <c r="A8" s="323" t="s">
        <v>499</v>
      </c>
      <c r="B8" s="324" t="s">
        <v>536</v>
      </c>
      <c r="C8" s="325">
        <v>701702703</v>
      </c>
      <c r="D8" s="322">
        <v>11101</v>
      </c>
      <c r="E8" s="1628">
        <f>+('Ardh e shp - natyres'!E9+'Ardh e shp - natyres'!E10)/1000</f>
        <v>210739.30044390398</v>
      </c>
      <c r="F8" s="1628">
        <f>('Ardh e shp - natyres'!F9+'Ardh e shp - natyres'!F10+'Ardh e shp - natyres'!F11)/1000</f>
        <v>181529.78899999999</v>
      </c>
    </row>
    <row r="9" spans="1:6" ht="15.75">
      <c r="A9" s="323" t="s">
        <v>500</v>
      </c>
      <c r="B9" s="324" t="s">
        <v>537</v>
      </c>
      <c r="C9" s="322">
        <v>704</v>
      </c>
      <c r="D9" s="322">
        <v>11102</v>
      </c>
      <c r="E9" s="1628">
        <f>('Ardh e shp - natyres'!E12)/1000</f>
        <v>0</v>
      </c>
      <c r="F9" s="1628">
        <f>('Ardh e shp - natyres'!F12)/1000</f>
        <v>792.14800000000002</v>
      </c>
    </row>
    <row r="10" spans="1:6" ht="15.75">
      <c r="A10" s="323" t="s">
        <v>538</v>
      </c>
      <c r="B10" s="324" t="s">
        <v>539</v>
      </c>
      <c r="C10" s="322">
        <v>705</v>
      </c>
      <c r="D10" s="322">
        <v>11103</v>
      </c>
      <c r="E10" s="1628">
        <f>('Ardh e shp - natyres'!E13)/1000</f>
        <v>0</v>
      </c>
      <c r="F10" s="1628">
        <f>('Ardh e shp - natyres'!F13)/1000</f>
        <v>0</v>
      </c>
    </row>
    <row r="11" spans="1:6" ht="15.75">
      <c r="A11" s="322">
        <v>2</v>
      </c>
      <c r="B11" s="322" t="s">
        <v>540</v>
      </c>
      <c r="C11" s="322">
        <v>708</v>
      </c>
      <c r="D11" s="322">
        <v>11104</v>
      </c>
      <c r="E11" s="1628">
        <f>E12+E13+E14</f>
        <v>0</v>
      </c>
      <c r="F11" s="1628">
        <f>F12+F13+F14</f>
        <v>0</v>
      </c>
    </row>
    <row r="12" spans="1:6" ht="15.75">
      <c r="A12" s="323" t="s">
        <v>499</v>
      </c>
      <c r="B12" s="322" t="s">
        <v>541</v>
      </c>
      <c r="C12" s="322">
        <v>7081</v>
      </c>
      <c r="D12" s="322">
        <v>111041</v>
      </c>
      <c r="E12" s="1628"/>
      <c r="F12" s="1628"/>
    </row>
    <row r="13" spans="1:6" ht="15.75">
      <c r="A13" s="323" t="s">
        <v>500</v>
      </c>
      <c r="B13" s="322" t="s">
        <v>542</v>
      </c>
      <c r="C13" s="322">
        <v>7082</v>
      </c>
      <c r="D13" s="322">
        <v>111042</v>
      </c>
      <c r="E13" s="1628">
        <f>('Ardh e shp - natyres'!E30)/1000</f>
        <v>0</v>
      </c>
      <c r="F13" s="1628">
        <f>('Ardh e shp - natyres'!F30)/1000</f>
        <v>0</v>
      </c>
    </row>
    <row r="14" spans="1:6" ht="15.75">
      <c r="A14" s="323" t="s">
        <v>538</v>
      </c>
      <c r="B14" s="322" t="s">
        <v>543</v>
      </c>
      <c r="C14" s="322">
        <v>7083</v>
      </c>
      <c r="D14" s="322">
        <v>111043</v>
      </c>
      <c r="E14" s="1628"/>
      <c r="F14" s="1628"/>
    </row>
    <row r="15" spans="1:6" ht="29.25" customHeight="1">
      <c r="A15" s="326">
        <v>3</v>
      </c>
      <c r="B15" s="327" t="s">
        <v>544</v>
      </c>
      <c r="C15" s="326">
        <v>71</v>
      </c>
      <c r="D15" s="326">
        <v>11201</v>
      </c>
      <c r="E15" s="1629">
        <f>(E16-E17)</f>
        <v>-19969.579000000002</v>
      </c>
      <c r="F15" s="1629">
        <f>F16-F17</f>
        <v>19969.579000000002</v>
      </c>
    </row>
    <row r="16" spans="1:6" ht="15.75">
      <c r="A16" s="322"/>
      <c r="B16" s="328" t="s">
        <v>545</v>
      </c>
      <c r="C16" s="322"/>
      <c r="D16" s="322">
        <v>112011</v>
      </c>
      <c r="E16" s="1628">
        <f xml:space="preserve">  ('Ardh e shp - natyres'!E15)/1000</f>
        <v>0</v>
      </c>
      <c r="F16" s="1628">
        <f xml:space="preserve">  ('Ardh e shp - natyres'!F15)/1000</f>
        <v>19969.579000000002</v>
      </c>
    </row>
    <row r="17" spans="1:6" ht="23.25" customHeight="1">
      <c r="A17" s="322"/>
      <c r="B17" s="328" t="s">
        <v>546</v>
      </c>
      <c r="C17" s="322"/>
      <c r="D17" s="322">
        <v>112012</v>
      </c>
      <c r="E17" s="1628">
        <f xml:space="preserve"> ('Ardh e shp - natyres'!E17)/1000</f>
        <v>19969.579000000002</v>
      </c>
      <c r="F17" s="1628">
        <f xml:space="preserve"> ('Ardh e shp - natyres'!F17)/1000</f>
        <v>0</v>
      </c>
    </row>
    <row r="18" spans="1:6" ht="28.5" customHeight="1">
      <c r="A18" s="326">
        <v>4</v>
      </c>
      <c r="B18" s="329" t="s">
        <v>547</v>
      </c>
      <c r="C18" s="326">
        <v>72</v>
      </c>
      <c r="D18" s="326">
        <v>11300</v>
      </c>
      <c r="E18" s="1629"/>
      <c r="F18" s="1629"/>
    </row>
    <row r="19" spans="1:6" ht="24.75" customHeight="1">
      <c r="A19" s="322"/>
      <c r="B19" s="330" t="s">
        <v>548</v>
      </c>
      <c r="C19" s="322"/>
      <c r="D19" s="322">
        <v>11301</v>
      </c>
      <c r="E19" s="1628"/>
      <c r="F19" s="1628"/>
    </row>
    <row r="20" spans="1:6" ht="18.75" customHeight="1">
      <c r="A20" s="322">
        <v>5</v>
      </c>
      <c r="B20" s="331" t="s">
        <v>549</v>
      </c>
      <c r="C20" s="322">
        <v>73</v>
      </c>
      <c r="D20" s="322">
        <v>11400</v>
      </c>
      <c r="E20" s="1628"/>
      <c r="F20" s="1628"/>
    </row>
    <row r="21" spans="1:6" ht="15.75">
      <c r="A21" s="322">
        <v>6</v>
      </c>
      <c r="B21" s="331" t="s">
        <v>550</v>
      </c>
      <c r="C21" s="322">
        <v>75</v>
      </c>
      <c r="D21" s="322">
        <v>11500</v>
      </c>
      <c r="E21" s="1628"/>
      <c r="F21" s="1628"/>
    </row>
    <row r="22" spans="1:6" ht="27.75" customHeight="1" thickBot="1">
      <c r="A22" s="1618">
        <v>7</v>
      </c>
      <c r="B22" s="1619" t="s">
        <v>551</v>
      </c>
      <c r="C22" s="1618">
        <v>77</v>
      </c>
      <c r="D22" s="1618">
        <v>11600</v>
      </c>
      <c r="E22" s="1630">
        <f>('Ardh e shp - natyres'!E14)/1000</f>
        <v>0</v>
      </c>
      <c r="F22" s="1630">
        <f>('Ardh e shp - natyres'!F14)/1000</f>
        <v>0</v>
      </c>
    </row>
    <row r="23" spans="1:6" ht="16.5" thickBot="1">
      <c r="A23" s="1620"/>
      <c r="B23" s="1621" t="s">
        <v>552</v>
      </c>
      <c r="C23" s="1621"/>
      <c r="D23" s="1622">
        <v>11800</v>
      </c>
      <c r="E23" s="1631">
        <f>E7+E11+E15+E18+E20+E21+E22</f>
        <v>190769.72144390398</v>
      </c>
      <c r="F23" s="1632">
        <f>F7+F11+F15+F18+F20+F21+F22</f>
        <v>202291.51599999997</v>
      </c>
    </row>
    <row r="24" spans="1:6" ht="15">
      <c r="A24" s="319"/>
      <c r="B24" s="319"/>
      <c r="C24" s="319"/>
      <c r="D24" s="319"/>
      <c r="E24" s="1623"/>
      <c r="F24" s="1623"/>
    </row>
    <row r="25" spans="1:6" ht="15">
      <c r="A25" s="319"/>
      <c r="B25" s="319"/>
      <c r="C25" s="319"/>
      <c r="D25" s="319"/>
      <c r="E25" s="1633" t="s">
        <v>527</v>
      </c>
      <c r="F25" s="1623"/>
    </row>
    <row r="26" spans="1:6">
      <c r="E26" s="1616" t="str">
        <f>'U - statist'!F44</f>
        <v>Feriat Mehilli</v>
      </c>
    </row>
  </sheetData>
  <mergeCells count="6">
    <mergeCell ref="A4:F4"/>
    <mergeCell ref="A5:A6"/>
    <mergeCell ref="B5:B6"/>
    <mergeCell ref="C5:C6"/>
    <mergeCell ref="D5:D6"/>
    <mergeCell ref="E5:F5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FFC000"/>
  </sheetPr>
  <dimension ref="A1:F48"/>
  <sheetViews>
    <sheetView workbookViewId="0">
      <selection activeCell="F48" sqref="A1:F48"/>
    </sheetView>
  </sheetViews>
  <sheetFormatPr defaultRowHeight="12.75"/>
  <cols>
    <col min="1" max="1" width="6.7109375" customWidth="1"/>
    <col min="2" max="2" width="17" customWidth="1"/>
    <col min="3" max="3" width="14.85546875" customWidth="1"/>
    <col min="4" max="4" width="11.5703125" customWidth="1"/>
    <col min="5" max="5" width="12" customWidth="1"/>
    <col min="6" max="6" width="11.85546875" customWidth="1"/>
  </cols>
  <sheetData>
    <row r="1" spans="1:6" ht="15">
      <c r="A1" s="347" t="s">
        <v>520</v>
      </c>
      <c r="B1" s="347" t="str">
        <f>'U - statist'!C1</f>
        <v>Ameti</v>
      </c>
    </row>
    <row r="2" spans="1:6" ht="15">
      <c r="A2" s="319" t="s">
        <v>394</v>
      </c>
      <c r="B2" s="319" t="str">
        <f>'U - statist'!C2</f>
        <v>K36823207C</v>
      </c>
    </row>
    <row r="3" spans="1:6" ht="13.5" thickBot="1">
      <c r="C3" t="s">
        <v>553</v>
      </c>
      <c r="F3" s="321" t="s">
        <v>529</v>
      </c>
    </row>
    <row r="4" spans="1:6" ht="14.25">
      <c r="A4" s="2147" t="s">
        <v>1</v>
      </c>
      <c r="B4" s="2149" t="s">
        <v>554</v>
      </c>
      <c r="C4" s="2151" t="s">
        <v>532</v>
      </c>
      <c r="D4" s="2151" t="s">
        <v>533</v>
      </c>
      <c r="E4" s="2153" t="s">
        <v>534</v>
      </c>
      <c r="F4" s="2154"/>
    </row>
    <row r="5" spans="1:6" ht="15" thickBot="1">
      <c r="A5" s="2148"/>
      <c r="B5" s="2150"/>
      <c r="C5" s="2152"/>
      <c r="D5" s="2152"/>
      <c r="E5" s="1634">
        <v>2011</v>
      </c>
      <c r="F5" s="1635">
        <v>2010</v>
      </c>
    </row>
    <row r="6" spans="1:6" ht="14.25">
      <c r="A6" s="1660">
        <v>1</v>
      </c>
      <c r="B6" s="1661" t="s">
        <v>555</v>
      </c>
      <c r="C6" s="1661">
        <v>60</v>
      </c>
      <c r="D6" s="1661">
        <v>12100</v>
      </c>
      <c r="E6" s="1667">
        <f>E7+E8</f>
        <v>49073.327589500004</v>
      </c>
      <c r="F6" s="1668">
        <f>F7+F8</f>
        <v>88512.206000000006</v>
      </c>
    </row>
    <row r="7" spans="1:6" ht="14.25">
      <c r="A7" s="1662" t="s">
        <v>499</v>
      </c>
      <c r="B7" s="332" t="s">
        <v>556</v>
      </c>
      <c r="C7" s="333">
        <v>601602</v>
      </c>
      <c r="D7" s="332">
        <f>D6+1</f>
        <v>12101</v>
      </c>
      <c r="E7" s="1669">
        <f>('Ardh e shp - natyres'!E18+'Stat - Kostot '!E8)/1000</f>
        <v>49073.327589500004</v>
      </c>
      <c r="F7" s="1670">
        <f>('Ardh e shp - natyres'!F18+'Stat - Kostot '!F8)/1000</f>
        <v>88512.206000000006</v>
      </c>
    </row>
    <row r="8" spans="1:6" ht="14.25">
      <c r="A8" s="1662" t="s">
        <v>500</v>
      </c>
      <c r="B8" s="334" t="s">
        <v>557</v>
      </c>
      <c r="C8" s="332"/>
      <c r="D8" s="332">
        <f>D7+1</f>
        <v>12102</v>
      </c>
      <c r="E8" s="1669">
        <f>('AKTIVI '!F22+'AKTIVI '!F25-'AKTIVI '!E25-'AKTIVI '!E22)/1000</f>
        <v>0</v>
      </c>
      <c r="F8" s="1670">
        <f>('AKTIVI '!G22+'AKTIVI '!G25-'AKTIVI '!F25-'AKTIVI '!F22)/1000</f>
        <v>0</v>
      </c>
    </row>
    <row r="9" spans="1:6" ht="14.25">
      <c r="A9" s="1662" t="s">
        <v>538</v>
      </c>
      <c r="B9" s="332" t="s">
        <v>558</v>
      </c>
      <c r="C9" s="335" t="s">
        <v>559</v>
      </c>
      <c r="D9" s="332">
        <f>D8+1</f>
        <v>12103</v>
      </c>
      <c r="E9" s="1669"/>
      <c r="F9" s="1670"/>
    </row>
    <row r="10" spans="1:6" ht="14.25">
      <c r="A10" s="1662" t="s">
        <v>560</v>
      </c>
      <c r="B10" s="334" t="s">
        <v>561</v>
      </c>
      <c r="C10" s="335"/>
      <c r="D10" s="332">
        <f>D9+1</f>
        <v>12104</v>
      </c>
      <c r="E10" s="1669"/>
      <c r="F10" s="1670"/>
    </row>
    <row r="11" spans="1:6" ht="14.25">
      <c r="A11" s="1662" t="s">
        <v>562</v>
      </c>
      <c r="B11" s="332" t="s">
        <v>563</v>
      </c>
      <c r="C11" s="335" t="s">
        <v>564</v>
      </c>
      <c r="D11" s="332">
        <f>D10+1</f>
        <v>12105</v>
      </c>
      <c r="E11" s="1669"/>
      <c r="F11" s="1670"/>
    </row>
    <row r="12" spans="1:6" ht="14.25">
      <c r="A12" s="1663">
        <v>2</v>
      </c>
      <c r="B12" s="334" t="s">
        <v>565</v>
      </c>
      <c r="C12" s="334">
        <v>64</v>
      </c>
      <c r="D12" s="334">
        <v>12200</v>
      </c>
      <c r="E12" s="1671">
        <f>(E13+E14)</f>
        <v>4611.2687999999998</v>
      </c>
      <c r="F12" s="1672">
        <f>(F13+F14)</f>
        <v>5738.4189999999999</v>
      </c>
    </row>
    <row r="13" spans="1:6" ht="14.25">
      <c r="A13" s="1663" t="s">
        <v>499</v>
      </c>
      <c r="B13" s="334" t="s">
        <v>566</v>
      </c>
      <c r="C13" s="334">
        <v>641</v>
      </c>
      <c r="D13" s="334">
        <v>12201</v>
      </c>
      <c r="E13" s="1673">
        <f>('Ardh e shp - natyres'!E20)/1000</f>
        <v>3975.6</v>
      </c>
      <c r="F13" s="1674">
        <f>('Ardh e shp - natyres'!F20)/1000</f>
        <v>4893.5</v>
      </c>
    </row>
    <row r="14" spans="1:6" ht="14.25">
      <c r="A14" s="1663" t="s">
        <v>500</v>
      </c>
      <c r="B14" s="334" t="s">
        <v>567</v>
      </c>
      <c r="C14" s="334">
        <v>644</v>
      </c>
      <c r="D14" s="334">
        <v>12202</v>
      </c>
      <c r="E14" s="1673">
        <f>('Ardh e shp - natyres'!E21)/1000</f>
        <v>635.66880000000003</v>
      </c>
      <c r="F14" s="1674">
        <f>('Ardh e shp - natyres'!F21)/1000</f>
        <v>844.91899999999998</v>
      </c>
    </row>
    <row r="15" spans="1:6" ht="14.25">
      <c r="A15" s="1663">
        <v>3</v>
      </c>
      <c r="B15" s="334" t="s">
        <v>568</v>
      </c>
      <c r="C15" s="334">
        <v>68</v>
      </c>
      <c r="D15" s="334">
        <v>12300</v>
      </c>
      <c r="E15" s="1673">
        <f>('Ardh e shp - natyres'!E22)/1000</f>
        <v>298.47826000000003</v>
      </c>
      <c r="F15" s="1674">
        <f>('Ardh e shp - natyres'!F22)/1000</f>
        <v>273.863</v>
      </c>
    </row>
    <row r="16" spans="1:6" ht="14.25">
      <c r="A16" s="1663">
        <v>4</v>
      </c>
      <c r="B16" s="334" t="s">
        <v>569</v>
      </c>
      <c r="C16" s="334">
        <v>61</v>
      </c>
      <c r="D16" s="334">
        <v>12400</v>
      </c>
      <c r="E16" s="1673">
        <f>E17+E18+E19+E20+E21+E22+E23+E24+E25+E26+E27+E28</f>
        <v>62882.799582338179</v>
      </c>
      <c r="F16" s="1674">
        <f>F17+F18+F19+F20+F21+F22+F23+F24+F25+F26+F27+F28</f>
        <v>28669.004000000001</v>
      </c>
    </row>
    <row r="17" spans="1:6" ht="14.25">
      <c r="A17" s="1663" t="s">
        <v>499</v>
      </c>
      <c r="B17" s="334" t="s">
        <v>570</v>
      </c>
      <c r="C17" s="334"/>
      <c r="D17" s="334">
        <f>D16+1</f>
        <v>12401</v>
      </c>
      <c r="E17" s="1673"/>
      <c r="F17" s="1672"/>
    </row>
    <row r="18" spans="1:6" ht="14.25">
      <c r="A18" s="1663" t="s">
        <v>500</v>
      </c>
      <c r="B18" s="334" t="s">
        <v>571</v>
      </c>
      <c r="C18" s="334">
        <v>611</v>
      </c>
      <c r="D18" s="334">
        <f t="shared" ref="D18:D28" si="0">D17+1</f>
        <v>12402</v>
      </c>
      <c r="E18" s="1673">
        <f>('Ardh e shp - natyres'!E24)/1000</f>
        <v>62455.744582338179</v>
      </c>
      <c r="F18" s="1674">
        <f>('Ardh e shp - natyres'!F24)/1000</f>
        <v>28669.004000000001</v>
      </c>
    </row>
    <row r="19" spans="1:6" ht="14.25">
      <c r="A19" s="1663" t="s">
        <v>538</v>
      </c>
      <c r="B19" s="334" t="s">
        <v>541</v>
      </c>
      <c r="C19" s="334">
        <v>613</v>
      </c>
      <c r="D19" s="334">
        <f t="shared" si="0"/>
        <v>12403</v>
      </c>
      <c r="E19" s="1673"/>
      <c r="F19" s="1672"/>
    </row>
    <row r="20" spans="1:6" ht="14.25">
      <c r="A20" s="1663" t="s">
        <v>560</v>
      </c>
      <c r="B20" s="334" t="s">
        <v>572</v>
      </c>
      <c r="C20" s="334">
        <v>615</v>
      </c>
      <c r="D20" s="334">
        <f t="shared" si="0"/>
        <v>12404</v>
      </c>
      <c r="E20" s="1673">
        <f>('Ardh e shp - natyres'!E25)/1000</f>
        <v>427.05500000000001</v>
      </c>
      <c r="F20" s="1674">
        <f>('Ardh e shp - natyres'!F25)/1000</f>
        <v>0</v>
      </c>
    </row>
    <row r="21" spans="1:6" ht="14.25">
      <c r="A21" s="1663" t="s">
        <v>562</v>
      </c>
      <c r="B21" s="334" t="s">
        <v>573</v>
      </c>
      <c r="C21" s="334">
        <v>616</v>
      </c>
      <c r="D21" s="334">
        <f t="shared" si="0"/>
        <v>12405</v>
      </c>
      <c r="E21" s="1673"/>
      <c r="F21" s="1672"/>
    </row>
    <row r="22" spans="1:6" ht="14.25">
      <c r="A22" s="1663" t="s">
        <v>574</v>
      </c>
      <c r="B22" s="334" t="s">
        <v>575</v>
      </c>
      <c r="C22" s="334">
        <v>617</v>
      </c>
      <c r="D22" s="334">
        <f t="shared" si="0"/>
        <v>12406</v>
      </c>
      <c r="E22" s="1673"/>
      <c r="F22" s="1672"/>
    </row>
    <row r="23" spans="1:6" ht="14.25">
      <c r="A23" s="1663" t="s">
        <v>576</v>
      </c>
      <c r="B23" s="334" t="s">
        <v>577</v>
      </c>
      <c r="C23" s="334">
        <v>618</v>
      </c>
      <c r="D23" s="334">
        <f t="shared" si="0"/>
        <v>12407</v>
      </c>
      <c r="E23" s="1673"/>
      <c r="F23" s="1672"/>
    </row>
    <row r="24" spans="1:6" ht="14.25">
      <c r="A24" s="1663" t="s">
        <v>578</v>
      </c>
      <c r="B24" s="334" t="s">
        <v>579</v>
      </c>
      <c r="C24" s="334">
        <v>623</v>
      </c>
      <c r="D24" s="334">
        <f t="shared" si="0"/>
        <v>12408</v>
      </c>
      <c r="E24" s="1673"/>
      <c r="F24" s="1675"/>
    </row>
    <row r="25" spans="1:6" ht="14.25">
      <c r="A25" s="1663" t="s">
        <v>580</v>
      </c>
      <c r="B25" s="334" t="s">
        <v>581</v>
      </c>
      <c r="C25" s="334">
        <v>624</v>
      </c>
      <c r="D25" s="334">
        <f t="shared" si="0"/>
        <v>12409</v>
      </c>
      <c r="E25" s="1671"/>
      <c r="F25" s="1672"/>
    </row>
    <row r="26" spans="1:6" ht="14.25">
      <c r="A26" s="1663" t="s">
        <v>582</v>
      </c>
      <c r="B26" s="334" t="s">
        <v>583</v>
      </c>
      <c r="C26" s="334">
        <v>625</v>
      </c>
      <c r="D26" s="334">
        <f t="shared" si="0"/>
        <v>12410</v>
      </c>
      <c r="E26" s="1671"/>
      <c r="F26" s="1672"/>
    </row>
    <row r="27" spans="1:6" ht="14.25">
      <c r="A27" s="1663" t="s">
        <v>584</v>
      </c>
      <c r="B27" s="334" t="s">
        <v>585</v>
      </c>
      <c r="C27" s="334">
        <v>626</v>
      </c>
      <c r="D27" s="334">
        <f t="shared" si="0"/>
        <v>12411</v>
      </c>
      <c r="E27" s="1671"/>
      <c r="F27" s="1672"/>
    </row>
    <row r="28" spans="1:6" ht="14.25">
      <c r="A28" s="1663" t="s">
        <v>586</v>
      </c>
      <c r="B28" s="334" t="s">
        <v>587</v>
      </c>
      <c r="C28" s="334">
        <v>627</v>
      </c>
      <c r="D28" s="334">
        <f t="shared" si="0"/>
        <v>12412</v>
      </c>
      <c r="E28" s="1671">
        <f>E29+E30</f>
        <v>0</v>
      </c>
      <c r="F28" s="1672">
        <f>F29+F30</f>
        <v>0</v>
      </c>
    </row>
    <row r="29" spans="1:6" ht="14.25">
      <c r="A29" s="1663"/>
      <c r="B29" s="336" t="s">
        <v>588</v>
      </c>
      <c r="C29" s="334">
        <v>6271</v>
      </c>
      <c r="D29" s="334">
        <v>124121</v>
      </c>
      <c r="E29" s="1671"/>
      <c r="F29" s="1672"/>
    </row>
    <row r="30" spans="1:6" ht="14.25">
      <c r="A30" s="1663"/>
      <c r="B30" s="336" t="s">
        <v>589</v>
      </c>
      <c r="C30" s="334">
        <v>6272</v>
      </c>
      <c r="D30" s="334">
        <v>124122</v>
      </c>
      <c r="E30" s="1671"/>
      <c r="F30" s="1672"/>
    </row>
    <row r="31" spans="1:6" ht="14.25">
      <c r="A31" s="1663" t="s">
        <v>590</v>
      </c>
      <c r="B31" s="334" t="s">
        <v>591</v>
      </c>
      <c r="C31" s="334">
        <v>628</v>
      </c>
      <c r="D31" s="334">
        <v>12413</v>
      </c>
      <c r="E31" s="1671"/>
      <c r="F31" s="1672"/>
    </row>
    <row r="32" spans="1:6" ht="14.25">
      <c r="A32" s="1663">
        <v>5</v>
      </c>
      <c r="B32" s="334" t="s">
        <v>592</v>
      </c>
      <c r="C32" s="334">
        <v>63</v>
      </c>
      <c r="D32" s="334">
        <v>12500</v>
      </c>
      <c r="E32" s="1673"/>
      <c r="F32" s="1672"/>
    </row>
    <row r="33" spans="1:6" ht="14.25">
      <c r="A33" s="1662" t="s">
        <v>499</v>
      </c>
      <c r="B33" s="334" t="s">
        <v>593</v>
      </c>
      <c r="C33" s="334">
        <v>632</v>
      </c>
      <c r="D33" s="334">
        <f>D32+1</f>
        <v>12501</v>
      </c>
      <c r="E33" s="1673"/>
      <c r="F33" s="1672"/>
    </row>
    <row r="34" spans="1:6" ht="14.25">
      <c r="A34" s="1662" t="s">
        <v>500</v>
      </c>
      <c r="B34" s="334" t="s">
        <v>594</v>
      </c>
      <c r="C34" s="334">
        <v>633</v>
      </c>
      <c r="D34" s="334">
        <f>D33+1</f>
        <v>12502</v>
      </c>
      <c r="E34" s="1671"/>
      <c r="F34" s="1672"/>
    </row>
    <row r="35" spans="1:6" ht="14.25">
      <c r="A35" s="1662" t="s">
        <v>538</v>
      </c>
      <c r="B35" s="334" t="s">
        <v>595</v>
      </c>
      <c r="C35" s="334">
        <v>634</v>
      </c>
      <c r="D35" s="334">
        <f>D34+1</f>
        <v>12503</v>
      </c>
      <c r="E35" s="1673"/>
      <c r="F35" s="1672"/>
    </row>
    <row r="36" spans="1:6" ht="15" thickBot="1">
      <c r="A36" s="1664" t="s">
        <v>560</v>
      </c>
      <c r="B36" s="1665" t="s">
        <v>596</v>
      </c>
      <c r="C36" s="1666">
        <v>635638</v>
      </c>
      <c r="D36" s="1665">
        <f>D35+1</f>
        <v>12504</v>
      </c>
      <c r="E36" s="1676"/>
      <c r="F36" s="1677"/>
    </row>
    <row r="37" spans="1:6" ht="15" thickBot="1">
      <c r="A37" s="1641"/>
      <c r="B37" s="1642" t="s">
        <v>597</v>
      </c>
      <c r="C37" s="1643"/>
      <c r="D37" s="1642">
        <f>D36+1</f>
        <v>12505</v>
      </c>
      <c r="E37" s="1644">
        <f>E6+E12+E15+E16+E32</f>
        <v>116865.87423183818</v>
      </c>
      <c r="F37" s="1645">
        <f>F6+F12+F15+F16+F32</f>
        <v>123193.492</v>
      </c>
    </row>
    <row r="38" spans="1:6" ht="15" thickBot="1">
      <c r="A38" s="339"/>
      <c r="B38" s="339"/>
      <c r="C38" s="339"/>
      <c r="D38" s="339"/>
      <c r="E38" s="340"/>
      <c r="F38" s="341"/>
    </row>
    <row r="39" spans="1:6" ht="15" thickBot="1">
      <c r="A39" s="1636"/>
      <c r="B39" s="1637" t="s">
        <v>598</v>
      </c>
      <c r="C39" s="1638"/>
      <c r="D39" s="1638"/>
      <c r="E39" s="1639">
        <v>2011</v>
      </c>
      <c r="F39" s="1640">
        <v>2010</v>
      </c>
    </row>
    <row r="40" spans="1:6" ht="14.25">
      <c r="A40" s="1646">
        <v>1</v>
      </c>
      <c r="B40" s="1647" t="s">
        <v>599</v>
      </c>
      <c r="C40" s="1648"/>
      <c r="D40" s="1648">
        <v>14000</v>
      </c>
      <c r="E40" s="1649">
        <f>T!AT27/12</f>
        <v>10.916666666666666</v>
      </c>
      <c r="F40" s="1650"/>
    </row>
    <row r="41" spans="1:6" ht="14.25">
      <c r="A41" s="1651">
        <v>2</v>
      </c>
      <c r="B41" s="334" t="s">
        <v>600</v>
      </c>
      <c r="C41" s="337"/>
      <c r="D41" s="337">
        <v>15000</v>
      </c>
      <c r="E41" s="338"/>
      <c r="F41" s="1652"/>
    </row>
    <row r="42" spans="1:6" ht="14.25">
      <c r="A42" s="1653" t="s">
        <v>499</v>
      </c>
      <c r="B42" s="343" t="s">
        <v>601</v>
      </c>
      <c r="C42" s="342"/>
      <c r="D42" s="337">
        <v>15001</v>
      </c>
      <c r="E42" s="342"/>
      <c r="F42" s="1654"/>
    </row>
    <row r="43" spans="1:6" ht="14.25">
      <c r="A43" s="1653"/>
      <c r="B43" s="344" t="s">
        <v>602</v>
      </c>
      <c r="C43" s="342"/>
      <c r="D43" s="337">
        <v>150011</v>
      </c>
      <c r="E43" s="342"/>
      <c r="F43" s="1654"/>
    </row>
    <row r="44" spans="1:6" ht="14.25">
      <c r="A44" s="1653" t="s">
        <v>500</v>
      </c>
      <c r="B44" s="343" t="s">
        <v>603</v>
      </c>
      <c r="C44" s="342"/>
      <c r="D44" s="337">
        <v>15002</v>
      </c>
      <c r="E44" s="342"/>
      <c r="F44" s="1654"/>
    </row>
    <row r="45" spans="1:6" ht="15" thickBot="1">
      <c r="A45" s="1655"/>
      <c r="B45" s="1656" t="s">
        <v>604</v>
      </c>
      <c r="C45" s="1657"/>
      <c r="D45" s="1658">
        <v>150021</v>
      </c>
      <c r="E45" s="1657"/>
      <c r="F45" s="1659"/>
    </row>
    <row r="47" spans="1:6" ht="15">
      <c r="C47" s="2146" t="s">
        <v>527</v>
      </c>
      <c r="D47" s="2146"/>
      <c r="E47" s="2146"/>
      <c r="F47" s="2146"/>
    </row>
    <row r="48" spans="1:6">
      <c r="C48" s="21"/>
      <c r="D48" s="21" t="str">
        <f>'Stat - te ardhur'!E26</f>
        <v>Feriat Mehilli</v>
      </c>
      <c r="E48" s="21"/>
      <c r="F48" s="21"/>
    </row>
  </sheetData>
  <mergeCells count="6">
    <mergeCell ref="C47:F47"/>
    <mergeCell ref="A4:A5"/>
    <mergeCell ref="B4:B5"/>
    <mergeCell ref="C4:C5"/>
    <mergeCell ref="D4:D5"/>
    <mergeCell ref="E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44"/>
  <sheetViews>
    <sheetView topLeftCell="A33" workbookViewId="0">
      <selection sqref="A1:F43"/>
    </sheetView>
  </sheetViews>
  <sheetFormatPr defaultRowHeight="12.75"/>
  <cols>
    <col min="1" max="1" width="3.85546875" customWidth="1"/>
    <col min="2" max="2" width="4.28515625" customWidth="1"/>
    <col min="3" max="3" width="53.5703125" customWidth="1"/>
    <col min="4" max="4" width="8" customWidth="1"/>
    <col min="5" max="5" width="13.28515625" style="74" customWidth="1"/>
    <col min="6" max="6" width="12.5703125" style="74" customWidth="1"/>
    <col min="7" max="7" width="7.140625" customWidth="1"/>
    <col min="8" max="8" width="12.7109375" customWidth="1"/>
    <col min="9" max="9" width="13" style="74" customWidth="1"/>
    <col min="10" max="10" width="11" style="74" customWidth="1"/>
  </cols>
  <sheetData>
    <row r="1" spans="2:10">
      <c r="E1" s="79" t="str">
        <f>'Kopertina '!F4</f>
        <v>Ameti</v>
      </c>
    </row>
    <row r="2" spans="2:10" ht="15.75">
      <c r="B2" s="1729" t="s">
        <v>71</v>
      </c>
      <c r="C2" s="1729"/>
      <c r="D2" s="1729"/>
      <c r="F2" s="79">
        <f>'Kopertina '!F29</f>
        <v>2011</v>
      </c>
      <c r="I2"/>
      <c r="J2"/>
    </row>
    <row r="3" spans="2:10" ht="15.75">
      <c r="B3" s="22"/>
      <c r="C3" s="22"/>
      <c r="D3" s="22"/>
      <c r="I3"/>
      <c r="J3"/>
    </row>
    <row r="4" spans="2:10" ht="15.75">
      <c r="B4" s="1729" t="s">
        <v>55</v>
      </c>
      <c r="C4" s="1729"/>
      <c r="D4" s="1729"/>
      <c r="I4"/>
      <c r="J4"/>
    </row>
    <row r="5" spans="2:10" ht="13.5" thickBot="1">
      <c r="I5"/>
      <c r="J5"/>
    </row>
    <row r="6" spans="2:10" ht="18.75" customHeight="1">
      <c r="B6" s="1733" t="s">
        <v>1</v>
      </c>
      <c r="C6" s="1733" t="s">
        <v>56</v>
      </c>
      <c r="D6" s="1731" t="s">
        <v>831</v>
      </c>
      <c r="E6" s="1723" t="s">
        <v>832</v>
      </c>
      <c r="F6" s="1723" t="s">
        <v>833</v>
      </c>
      <c r="I6"/>
      <c r="J6"/>
    </row>
    <row r="7" spans="2:10" ht="18.75" customHeight="1" thickBot="1">
      <c r="B7" s="1734"/>
      <c r="C7" s="1734"/>
      <c r="D7" s="1732"/>
      <c r="E7" s="1730"/>
      <c r="F7" s="1730"/>
      <c r="I7"/>
      <c r="J7"/>
    </row>
    <row r="8" spans="2:10" ht="27" customHeight="1">
      <c r="B8" s="504" t="s">
        <v>73</v>
      </c>
      <c r="C8" s="505" t="s">
        <v>281</v>
      </c>
      <c r="D8" s="505"/>
      <c r="E8" s="506">
        <f>E9+E10+E11+E12+E15+E13+E14</f>
        <v>210739300.44390398</v>
      </c>
      <c r="F8" s="507">
        <f>F9+F10+F11+F12+F15</f>
        <v>202291516</v>
      </c>
      <c r="I8"/>
      <c r="J8"/>
    </row>
    <row r="9" spans="2:10" ht="25.5" customHeight="1">
      <c r="B9" s="26">
        <v>1</v>
      </c>
      <c r="C9" s="29" t="s">
        <v>468</v>
      </c>
      <c r="D9" s="53" t="s">
        <v>130</v>
      </c>
      <c r="E9" s="502">
        <f>'Pas E Shitjes Ndertiimi I'!J34</f>
        <v>78694927.5046729</v>
      </c>
      <c r="F9" s="508">
        <v>73982706</v>
      </c>
      <c r="I9" s="400">
        <f>E9/1.07*0.07</f>
        <v>5148266.2853524331</v>
      </c>
      <c r="J9"/>
    </row>
    <row r="10" spans="2:10" ht="23.25" customHeight="1">
      <c r="B10" s="26">
        <v>2</v>
      </c>
      <c r="C10" s="71" t="s">
        <v>469</v>
      </c>
      <c r="D10" s="53" t="s">
        <v>130</v>
      </c>
      <c r="E10" s="225">
        <f>'Pas E Shitjes Ndertiimi I'!F58</f>
        <v>132044372.93923108</v>
      </c>
      <c r="F10" s="226">
        <v>100970423</v>
      </c>
      <c r="I10"/>
      <c r="J10"/>
    </row>
    <row r="11" spans="2:10" ht="23.25" customHeight="1">
      <c r="B11" s="26">
        <v>3</v>
      </c>
      <c r="C11" s="24" t="s">
        <v>385</v>
      </c>
      <c r="D11" s="53"/>
      <c r="E11" s="225"/>
      <c r="F11" s="226">
        <v>6576660</v>
      </c>
      <c r="I11"/>
      <c r="J11"/>
    </row>
    <row r="12" spans="2:10" ht="22.5" customHeight="1">
      <c r="B12" s="26">
        <v>4</v>
      </c>
      <c r="C12" s="24" t="s">
        <v>384</v>
      </c>
      <c r="D12" s="53"/>
      <c r="E12" s="225"/>
      <c r="F12" s="226">
        <v>792148</v>
      </c>
      <c r="I12"/>
      <c r="J12"/>
    </row>
    <row r="13" spans="2:10" ht="22.5" customHeight="1">
      <c r="B13" s="26">
        <v>5</v>
      </c>
      <c r="C13" s="71" t="s">
        <v>660</v>
      </c>
      <c r="D13" s="53"/>
      <c r="E13" s="225"/>
      <c r="F13" s="226"/>
      <c r="I13"/>
      <c r="J13"/>
    </row>
    <row r="14" spans="2:10" ht="22.5" customHeight="1">
      <c r="B14" s="26">
        <v>6</v>
      </c>
      <c r="C14" s="71" t="s">
        <v>661</v>
      </c>
      <c r="D14" s="53"/>
      <c r="E14" s="225"/>
      <c r="F14" s="226"/>
      <c r="I14"/>
      <c r="J14"/>
    </row>
    <row r="15" spans="2:10" ht="22.5" customHeight="1">
      <c r="B15" s="26">
        <v>7</v>
      </c>
      <c r="C15" s="71" t="s">
        <v>470</v>
      </c>
      <c r="D15" s="53"/>
      <c r="E15" s="225"/>
      <c r="F15" s="226">
        <v>19969579</v>
      </c>
      <c r="I15"/>
      <c r="J15"/>
    </row>
    <row r="16" spans="2:10" ht="22.5" customHeight="1">
      <c r="B16" s="220" t="s">
        <v>79</v>
      </c>
      <c r="C16" s="221" t="s">
        <v>228</v>
      </c>
      <c r="D16" s="222"/>
      <c r="E16" s="227">
        <f>E18+E19+E22+E24+E17+E25+E23</f>
        <v>136835453.23183817</v>
      </c>
      <c r="F16" s="230">
        <f>F18+F19+F22+F24+F17+F25+F23</f>
        <v>123193492</v>
      </c>
      <c r="I16"/>
      <c r="J16"/>
    </row>
    <row r="17" spans="2:10" ht="22.5" customHeight="1">
      <c r="B17" s="186">
        <v>8</v>
      </c>
      <c r="C17" s="73" t="s">
        <v>471</v>
      </c>
      <c r="D17" s="166"/>
      <c r="E17" s="1533">
        <f>'AKTIVI '!F23</f>
        <v>19969579</v>
      </c>
      <c r="F17" s="229"/>
      <c r="I17"/>
      <c r="J17"/>
    </row>
    <row r="18" spans="2:10" ht="22.5" customHeight="1">
      <c r="B18" s="26">
        <v>9</v>
      </c>
      <c r="C18" s="24" t="s">
        <v>57</v>
      </c>
      <c r="D18" s="53" t="s">
        <v>159</v>
      </c>
      <c r="E18" s="225">
        <f>+S!P30+'AKTIVI '!F22-'AKTIVI '!E22</f>
        <v>49073327.589500003</v>
      </c>
      <c r="F18" s="226">
        <v>88512206</v>
      </c>
      <c r="I18"/>
      <c r="J18"/>
    </row>
    <row r="19" spans="2:10" ht="24.75" customHeight="1">
      <c r="B19" s="26">
        <v>10</v>
      </c>
      <c r="C19" s="24" t="s">
        <v>58</v>
      </c>
      <c r="D19" s="53" t="s">
        <v>160</v>
      </c>
      <c r="E19" s="225">
        <f>E20+E21</f>
        <v>4611268.8</v>
      </c>
      <c r="F19" s="225">
        <f>F20+F21</f>
        <v>5738419</v>
      </c>
      <c r="I19"/>
      <c r="J19"/>
    </row>
    <row r="20" spans="2:10" ht="21.75" customHeight="1">
      <c r="B20" s="26"/>
      <c r="C20" s="24" t="s">
        <v>59</v>
      </c>
      <c r="D20" s="53"/>
      <c r="E20" s="225">
        <f>+T!AJ27</f>
        <v>3975600</v>
      </c>
      <c r="F20" s="226">
        <v>4893500</v>
      </c>
      <c r="I20"/>
      <c r="J20"/>
    </row>
    <row r="21" spans="2:10" ht="22.5" customHeight="1">
      <c r="B21" s="26"/>
      <c r="C21" s="24" t="s">
        <v>60</v>
      </c>
      <c r="D21" s="53"/>
      <c r="E21" s="225">
        <f>+T!AM27+T!AP27/2</f>
        <v>635668.80000000005</v>
      </c>
      <c r="F21" s="226">
        <v>844919</v>
      </c>
      <c r="H21" s="689"/>
      <c r="I21"/>
      <c r="J21"/>
    </row>
    <row r="22" spans="2:10" ht="24" customHeight="1">
      <c r="B22" s="26">
        <v>11</v>
      </c>
      <c r="C22" s="24" t="s">
        <v>61</v>
      </c>
      <c r="D22" s="53" t="s">
        <v>161</v>
      </c>
      <c r="E22" s="225">
        <f>+U!L40</f>
        <v>298478.26</v>
      </c>
      <c r="F22" s="226">
        <v>273863</v>
      </c>
      <c r="I22"/>
      <c r="J22"/>
    </row>
    <row r="23" spans="2:10" ht="24" customHeight="1">
      <c r="B23" s="26">
        <v>12</v>
      </c>
      <c r="C23" s="71" t="s">
        <v>869</v>
      </c>
      <c r="D23" s="53"/>
      <c r="E23" s="225"/>
      <c r="F23" s="226"/>
      <c r="I23"/>
      <c r="J23"/>
    </row>
    <row r="24" spans="2:10" ht="26.25" customHeight="1">
      <c r="B24" s="26">
        <v>13</v>
      </c>
      <c r="C24" s="24" t="s">
        <v>249</v>
      </c>
      <c r="D24" s="53" t="s">
        <v>162</v>
      </c>
      <c r="E24" s="225">
        <f>+V!H34</f>
        <v>62455744.582338177</v>
      </c>
      <c r="F24" s="226">
        <v>28669004</v>
      </c>
      <c r="I24"/>
      <c r="J24"/>
    </row>
    <row r="25" spans="2:10" ht="26.25" customHeight="1">
      <c r="B25" s="26">
        <v>14</v>
      </c>
      <c r="C25" s="71" t="s">
        <v>876</v>
      </c>
      <c r="D25" s="53" t="s">
        <v>162</v>
      </c>
      <c r="E25" s="225">
        <f>+V!G41</f>
        <v>427055</v>
      </c>
      <c r="F25" s="226"/>
      <c r="I25"/>
      <c r="J25"/>
    </row>
    <row r="26" spans="2:10" ht="22.5" customHeight="1">
      <c r="B26" s="220" t="s">
        <v>84</v>
      </c>
      <c r="C26" s="221" t="s">
        <v>62</v>
      </c>
      <c r="D26" s="222"/>
      <c r="E26" s="227">
        <f>E8-E16</f>
        <v>73903847.212065816</v>
      </c>
      <c r="F26" s="230">
        <f>F8-F16</f>
        <v>79098024</v>
      </c>
      <c r="I26"/>
      <c r="J26"/>
    </row>
    <row r="27" spans="2:10" ht="18.75" customHeight="1">
      <c r="B27" s="26">
        <v>15</v>
      </c>
      <c r="C27" s="24" t="s">
        <v>64</v>
      </c>
      <c r="D27" s="53"/>
      <c r="E27" s="225"/>
      <c r="F27" s="226"/>
      <c r="I27" s="23" t="s">
        <v>134</v>
      </c>
      <c r="J27"/>
    </row>
    <row r="28" spans="2:10" ht="20.25" customHeight="1">
      <c r="B28" s="26">
        <v>16</v>
      </c>
      <c r="C28" s="24" t="s">
        <v>63</v>
      </c>
      <c r="D28" s="53"/>
      <c r="E28" s="225"/>
      <c r="F28" s="226"/>
      <c r="I28"/>
      <c r="J28"/>
    </row>
    <row r="29" spans="2:10" ht="19.5" customHeight="1">
      <c r="B29" s="26">
        <v>17</v>
      </c>
      <c r="C29" s="24" t="s">
        <v>65</v>
      </c>
      <c r="D29" s="53"/>
      <c r="E29" s="225">
        <f>E30-E31-E32-E33</f>
        <v>0</v>
      </c>
      <c r="F29" s="226">
        <f>F30+F31+F32+F33</f>
        <v>0</v>
      </c>
      <c r="I29" s="689">
        <f>E10-E24</f>
        <v>69588628.356892914</v>
      </c>
      <c r="J29"/>
    </row>
    <row r="30" spans="2:10" ht="18.75" customHeight="1">
      <c r="B30" s="26"/>
      <c r="C30" s="71" t="s">
        <v>870</v>
      </c>
      <c r="D30" s="53"/>
      <c r="E30" s="225"/>
      <c r="F30" s="226"/>
      <c r="I30" s="689">
        <f>I35-I29</f>
        <v>900429.03999999166</v>
      </c>
      <c r="J30"/>
    </row>
    <row r="31" spans="2:10" ht="19.5" customHeight="1">
      <c r="B31" s="26"/>
      <c r="C31" s="71" t="s">
        <v>871</v>
      </c>
      <c r="D31" s="53"/>
      <c r="E31" s="225"/>
      <c r="F31" s="226"/>
      <c r="I31"/>
      <c r="J31"/>
    </row>
    <row r="32" spans="2:10" ht="18" customHeight="1">
      <c r="B32" s="26"/>
      <c r="C32" s="71" t="s">
        <v>872</v>
      </c>
      <c r="D32" s="53"/>
      <c r="E32" s="225"/>
      <c r="F32" s="226"/>
      <c r="I32"/>
      <c r="J32"/>
    </row>
    <row r="33" spans="2:10" ht="19.5" customHeight="1">
      <c r="B33" s="26"/>
      <c r="C33" s="71" t="s">
        <v>873</v>
      </c>
      <c r="D33" s="53"/>
      <c r="E33" s="225">
        <v>0</v>
      </c>
      <c r="F33" s="226">
        <v>0</v>
      </c>
      <c r="J33"/>
    </row>
    <row r="34" spans="2:10" ht="22.5" customHeight="1">
      <c r="B34" s="220" t="s">
        <v>115</v>
      </c>
      <c r="C34" s="221" t="s">
        <v>66</v>
      </c>
      <c r="D34" s="222"/>
      <c r="E34" s="231">
        <f>E27+E28+E29</f>
        <v>0</v>
      </c>
      <c r="F34" s="232">
        <f>F29</f>
        <v>0</v>
      </c>
      <c r="I34"/>
      <c r="J34"/>
    </row>
    <row r="35" spans="2:10" ht="22.5" customHeight="1">
      <c r="B35" s="26">
        <v>18</v>
      </c>
      <c r="C35" s="29" t="s">
        <v>472</v>
      </c>
      <c r="D35" s="166"/>
      <c r="E35" s="228">
        <f>E26+E34-E34</f>
        <v>73903847.212065816</v>
      </c>
      <c r="F35" s="229">
        <f>F26+F34</f>
        <v>79098024</v>
      </c>
      <c r="H35" s="692" t="s">
        <v>2059</v>
      </c>
      <c r="I35" s="113">
        <f>'Pas E Shitjes Ndertiimi I'!J51</f>
        <v>70489057.396892905</v>
      </c>
      <c r="J35"/>
    </row>
    <row r="36" spans="2:10" ht="20.25" customHeight="1">
      <c r="B36" s="26">
        <v>19</v>
      </c>
      <c r="C36" s="29" t="s">
        <v>877</v>
      </c>
      <c r="D36" s="166" t="s">
        <v>162</v>
      </c>
      <c r="E36" s="228">
        <f>V!G41</f>
        <v>427055</v>
      </c>
      <c r="F36" s="229"/>
      <c r="H36" s="23" t="s">
        <v>2060</v>
      </c>
      <c r="I36" s="113">
        <f>'Pas E Shitjes Ndertiimi I'!D28</f>
        <v>3841845.2616822431</v>
      </c>
      <c r="J36"/>
    </row>
    <row r="37" spans="2:10" ht="21" customHeight="1">
      <c r="B37" s="26">
        <v>20</v>
      </c>
      <c r="C37" s="24" t="s">
        <v>68</v>
      </c>
      <c r="D37" s="53"/>
      <c r="E37" s="225">
        <f xml:space="preserve"> (E35+E36)*0.1</f>
        <v>7433090.2212065822</v>
      </c>
      <c r="F37" s="226">
        <f>F35*0.1</f>
        <v>7909802.4000000004</v>
      </c>
      <c r="H37" s="400">
        <f>+E35/E8*100</f>
        <v>35.068849073900218</v>
      </c>
      <c r="I37" s="689">
        <f>SUM(I35:I36)</f>
        <v>74330902.658575147</v>
      </c>
      <c r="J37"/>
    </row>
    <row r="38" spans="2:10" ht="24" customHeight="1">
      <c r="B38" s="527">
        <v>21</v>
      </c>
      <c r="C38" s="528" t="s">
        <v>69</v>
      </c>
      <c r="D38" s="529"/>
      <c r="E38" s="530">
        <f xml:space="preserve"> E35-E37</f>
        <v>66470756.990859233</v>
      </c>
      <c r="F38" s="531">
        <f>F35-F37</f>
        <v>71188221.599999994</v>
      </c>
      <c r="I38" s="689">
        <f>E35-I37</f>
        <v>-427055.44650933146</v>
      </c>
      <c r="J38"/>
    </row>
    <row r="39" spans="2:10" ht="16.5" customHeight="1">
      <c r="B39" s="26">
        <v>22</v>
      </c>
      <c r="C39" s="24" t="s">
        <v>70</v>
      </c>
      <c r="D39" s="53"/>
      <c r="E39" s="225"/>
      <c r="F39" s="226"/>
      <c r="I39"/>
      <c r="J39"/>
    </row>
    <row r="40" spans="2:10" ht="13.5" thickBot="1">
      <c r="B40" s="27"/>
      <c r="C40" s="28"/>
      <c r="D40" s="28"/>
      <c r="E40" s="509"/>
      <c r="F40" s="510"/>
      <c r="I40"/>
      <c r="J40"/>
    </row>
    <row r="41" spans="2:10">
      <c r="I41"/>
      <c r="J41"/>
    </row>
    <row r="42" spans="2:10">
      <c r="I42"/>
      <c r="J42"/>
    </row>
    <row r="43" spans="2:10">
      <c r="I43"/>
      <c r="J43"/>
    </row>
    <row r="44" spans="2:10">
      <c r="I44"/>
      <c r="J44"/>
    </row>
  </sheetData>
  <mergeCells count="7">
    <mergeCell ref="B2:D2"/>
    <mergeCell ref="B4:D4"/>
    <mergeCell ref="F6:F7"/>
    <mergeCell ref="E6:E7"/>
    <mergeCell ref="D6:D7"/>
    <mergeCell ref="B6:B7"/>
    <mergeCell ref="C6:C7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FFC000"/>
  </sheetPr>
  <dimension ref="A1:D53"/>
  <sheetViews>
    <sheetView topLeftCell="A33" workbookViewId="0">
      <selection activeCell="D53" sqref="A1:D53"/>
    </sheetView>
  </sheetViews>
  <sheetFormatPr defaultRowHeight="12.75"/>
  <cols>
    <col min="1" max="1" width="6.85546875" customWidth="1"/>
    <col min="2" max="2" width="7.140625" customWidth="1"/>
    <col min="3" max="3" width="33.5703125" customWidth="1"/>
    <col min="4" max="4" width="16.140625" style="74" customWidth="1"/>
  </cols>
  <sheetData>
    <row r="1" spans="1:4" ht="15">
      <c r="A1" s="2156" t="s">
        <v>520</v>
      </c>
      <c r="B1" s="2156"/>
      <c r="C1" s="21" t="s">
        <v>1224</v>
      </c>
    </row>
    <row r="2" spans="1:4" ht="15">
      <c r="A2" s="319" t="s">
        <v>394</v>
      </c>
      <c r="B2" s="319"/>
      <c r="C2" s="21" t="s">
        <v>974</v>
      </c>
    </row>
    <row r="3" spans="1:4" ht="11.25" customHeight="1">
      <c r="A3" s="319"/>
      <c r="B3" s="319"/>
      <c r="D3" s="74" t="s">
        <v>605</v>
      </c>
    </row>
    <row r="4" spans="1:4" ht="15.75" customHeight="1">
      <c r="A4" s="334" t="s">
        <v>1</v>
      </c>
      <c r="B4" s="334"/>
      <c r="C4" s="334" t="s">
        <v>606</v>
      </c>
      <c r="D4" s="412" t="s">
        <v>607</v>
      </c>
    </row>
    <row r="5" spans="1:4" ht="14.25">
      <c r="A5" s="334">
        <v>1</v>
      </c>
      <c r="B5" s="337" t="s">
        <v>608</v>
      </c>
      <c r="C5" s="337" t="s">
        <v>609</v>
      </c>
      <c r="D5" s="316"/>
    </row>
    <row r="6" spans="1:4" ht="14.25" customHeight="1">
      <c r="A6" s="334">
        <v>2</v>
      </c>
      <c r="B6" s="337" t="s">
        <v>608</v>
      </c>
      <c r="C6" s="345" t="s">
        <v>610</v>
      </c>
      <c r="D6" s="316"/>
    </row>
    <row r="7" spans="1:4" ht="15" customHeight="1">
      <c r="A7" s="334">
        <v>3</v>
      </c>
      <c r="B7" s="337" t="s">
        <v>608</v>
      </c>
      <c r="C7" s="345" t="s">
        <v>611</v>
      </c>
      <c r="D7" s="316"/>
    </row>
    <row r="8" spans="1:4" ht="14.25">
      <c r="A8" s="334">
        <v>4</v>
      </c>
      <c r="B8" s="337" t="s">
        <v>608</v>
      </c>
      <c r="C8" s="345" t="s">
        <v>612</v>
      </c>
      <c r="D8" s="316"/>
    </row>
    <row r="9" spans="1:4" ht="11.25" customHeight="1">
      <c r="A9" s="334">
        <v>5</v>
      </c>
      <c r="B9" s="337" t="s">
        <v>608</v>
      </c>
      <c r="C9" s="345" t="s">
        <v>613</v>
      </c>
      <c r="D9" s="316"/>
    </row>
    <row r="10" spans="1:4" ht="11.25" customHeight="1">
      <c r="A10" s="334">
        <v>6</v>
      </c>
      <c r="B10" s="337" t="s">
        <v>608</v>
      </c>
      <c r="C10" s="345" t="s">
        <v>614</v>
      </c>
      <c r="D10" s="316"/>
    </row>
    <row r="11" spans="1:4" ht="13.5" customHeight="1">
      <c r="A11" s="334">
        <v>7</v>
      </c>
      <c r="B11" s="337" t="s">
        <v>608</v>
      </c>
      <c r="C11" s="345" t="s">
        <v>615</v>
      </c>
      <c r="D11" s="316"/>
    </row>
    <row r="12" spans="1:4" ht="14.25">
      <c r="A12" s="334">
        <v>8</v>
      </c>
      <c r="B12" s="337" t="s">
        <v>608</v>
      </c>
      <c r="C12" s="345" t="s">
        <v>616</v>
      </c>
      <c r="D12" s="316">
        <v>0</v>
      </c>
    </row>
    <row r="13" spans="1:4" ht="11.25" customHeight="1">
      <c r="A13" s="334" t="s">
        <v>4</v>
      </c>
      <c r="B13" s="334"/>
      <c r="C13" s="346" t="s">
        <v>617</v>
      </c>
      <c r="D13" s="316">
        <v>0</v>
      </c>
    </row>
    <row r="14" spans="1:4" ht="14.25">
      <c r="A14" s="334">
        <v>9</v>
      </c>
      <c r="B14" s="337" t="s">
        <v>618</v>
      </c>
      <c r="C14" s="345" t="s">
        <v>619</v>
      </c>
      <c r="D14" s="316">
        <v>210739300.44390398</v>
      </c>
    </row>
    <row r="15" spans="1:4" ht="13.5" customHeight="1">
      <c r="A15" s="334">
        <v>10</v>
      </c>
      <c r="B15" s="337" t="s">
        <v>618</v>
      </c>
      <c r="C15" s="345" t="s">
        <v>620</v>
      </c>
      <c r="D15" s="316">
        <v>0</v>
      </c>
    </row>
    <row r="16" spans="1:4" ht="12.75" customHeight="1">
      <c r="A16" s="334">
        <v>11</v>
      </c>
      <c r="B16" s="337" t="s">
        <v>618</v>
      </c>
      <c r="C16" s="345" t="s">
        <v>621</v>
      </c>
      <c r="D16" s="410" t="s">
        <v>134</v>
      </c>
    </row>
    <row r="17" spans="1:4" ht="14.25" customHeight="1">
      <c r="A17" s="334" t="s">
        <v>19</v>
      </c>
      <c r="B17" s="334"/>
      <c r="C17" s="346" t="s">
        <v>622</v>
      </c>
      <c r="D17" s="316">
        <v>0</v>
      </c>
    </row>
    <row r="18" spans="1:4" ht="15.75" customHeight="1">
      <c r="A18" s="337">
        <v>12</v>
      </c>
      <c r="B18" s="337" t="s">
        <v>623</v>
      </c>
      <c r="C18" s="345" t="s">
        <v>624</v>
      </c>
      <c r="D18" s="316">
        <v>0</v>
      </c>
    </row>
    <row r="19" spans="1:4" ht="14.25" customHeight="1">
      <c r="A19" s="337">
        <v>13</v>
      </c>
      <c r="B19" s="337" t="s">
        <v>623</v>
      </c>
      <c r="C19" s="345" t="s">
        <v>625</v>
      </c>
      <c r="D19" s="316">
        <v>0</v>
      </c>
    </row>
    <row r="20" spans="1:4" ht="13.5" customHeight="1">
      <c r="A20" s="337">
        <v>14</v>
      </c>
      <c r="B20" s="337" t="s">
        <v>623</v>
      </c>
      <c r="C20" s="345" t="s">
        <v>626</v>
      </c>
      <c r="D20" s="316">
        <v>0</v>
      </c>
    </row>
    <row r="21" spans="1:4" ht="12" customHeight="1">
      <c r="A21" s="337">
        <v>15</v>
      </c>
      <c r="B21" s="337" t="s">
        <v>623</v>
      </c>
      <c r="C21" s="345" t="s">
        <v>627</v>
      </c>
      <c r="D21" s="316">
        <v>0</v>
      </c>
    </row>
    <row r="22" spans="1:4" ht="12.75" customHeight="1">
      <c r="A22" s="337">
        <v>16</v>
      </c>
      <c r="B22" s="337" t="s">
        <v>623</v>
      </c>
      <c r="C22" s="345" t="s">
        <v>628</v>
      </c>
      <c r="D22" s="316">
        <v>0</v>
      </c>
    </row>
    <row r="23" spans="1:4" ht="14.25" customHeight="1">
      <c r="A23" s="337">
        <v>17</v>
      </c>
      <c r="B23" s="337" t="s">
        <v>623</v>
      </c>
      <c r="C23" s="345" t="s">
        <v>629</v>
      </c>
      <c r="D23" s="316">
        <v>0</v>
      </c>
    </row>
    <row r="24" spans="1:4" ht="14.25" customHeight="1">
      <c r="A24" s="337">
        <v>18</v>
      </c>
      <c r="B24" s="337" t="s">
        <v>623</v>
      </c>
      <c r="C24" s="345" t="s">
        <v>630</v>
      </c>
      <c r="D24" s="316">
        <v>0</v>
      </c>
    </row>
    <row r="25" spans="1:4" ht="15.75" customHeight="1">
      <c r="A25" s="337">
        <v>19</v>
      </c>
      <c r="B25" s="337" t="s">
        <v>623</v>
      </c>
      <c r="C25" s="345" t="s">
        <v>631</v>
      </c>
      <c r="D25" s="316">
        <v>0</v>
      </c>
    </row>
    <row r="26" spans="1:4" ht="12.75" customHeight="1">
      <c r="A26" s="334" t="s">
        <v>45</v>
      </c>
      <c r="B26" s="334"/>
      <c r="C26" s="346" t="s">
        <v>632</v>
      </c>
      <c r="D26" s="316">
        <v>0</v>
      </c>
    </row>
    <row r="27" spans="1:4" ht="15" customHeight="1">
      <c r="A27" s="337">
        <v>20</v>
      </c>
      <c r="B27" s="337" t="s">
        <v>633</v>
      </c>
      <c r="C27" s="345" t="s">
        <v>634</v>
      </c>
      <c r="D27" s="316"/>
    </row>
    <row r="28" spans="1:4" ht="13.5" customHeight="1">
      <c r="A28" s="337">
        <v>21</v>
      </c>
      <c r="B28" s="337" t="s">
        <v>633</v>
      </c>
      <c r="C28" s="345" t="s">
        <v>635</v>
      </c>
      <c r="D28" s="316"/>
    </row>
    <row r="29" spans="1:4" ht="14.25" customHeight="1">
      <c r="A29" s="337">
        <v>22</v>
      </c>
      <c r="B29" s="337" t="s">
        <v>633</v>
      </c>
      <c r="C29" s="345" t="s">
        <v>636</v>
      </c>
      <c r="D29" s="316"/>
    </row>
    <row r="30" spans="1:4" ht="15" customHeight="1">
      <c r="A30" s="337">
        <v>23</v>
      </c>
      <c r="B30" s="337" t="s">
        <v>633</v>
      </c>
      <c r="C30" s="345" t="s">
        <v>637</v>
      </c>
      <c r="D30" s="316">
        <v>0</v>
      </c>
    </row>
    <row r="31" spans="1:4" ht="12" customHeight="1">
      <c r="A31" s="334" t="s">
        <v>638</v>
      </c>
      <c r="B31" s="334"/>
      <c r="C31" s="346" t="s">
        <v>639</v>
      </c>
      <c r="D31" s="316">
        <v>0</v>
      </c>
    </row>
    <row r="32" spans="1:4" ht="14.25" customHeight="1">
      <c r="A32" s="337">
        <v>24</v>
      </c>
      <c r="B32" s="337" t="s">
        <v>640</v>
      </c>
      <c r="C32" s="345" t="s">
        <v>641</v>
      </c>
      <c r="D32" s="413"/>
    </row>
    <row r="33" spans="1:4" ht="14.25">
      <c r="A33" s="337">
        <v>25</v>
      </c>
      <c r="B33" s="337" t="s">
        <v>640</v>
      </c>
      <c r="C33" s="345" t="s">
        <v>642</v>
      </c>
      <c r="D33" s="413"/>
    </row>
    <row r="34" spans="1:4" ht="13.5" customHeight="1">
      <c r="A34" s="337">
        <v>26</v>
      </c>
      <c r="B34" s="337" t="s">
        <v>640</v>
      </c>
      <c r="C34" s="345" t="s">
        <v>643</v>
      </c>
      <c r="D34" s="413"/>
    </row>
    <row r="35" spans="1:4" ht="14.25">
      <c r="A35" s="337">
        <v>27</v>
      </c>
      <c r="B35" s="337" t="s">
        <v>640</v>
      </c>
      <c r="C35" s="345" t="s">
        <v>644</v>
      </c>
      <c r="D35" s="413"/>
    </row>
    <row r="36" spans="1:4" ht="9.75" customHeight="1">
      <c r="A36" s="337">
        <v>28</v>
      </c>
      <c r="B36" s="337" t="s">
        <v>640</v>
      </c>
      <c r="C36" s="345" t="s">
        <v>645</v>
      </c>
      <c r="D36" s="413"/>
    </row>
    <row r="37" spans="1:4" ht="11.25" customHeight="1">
      <c r="A37" s="337">
        <v>29</v>
      </c>
      <c r="B37" s="337" t="s">
        <v>640</v>
      </c>
      <c r="C37" s="345" t="s">
        <v>646</v>
      </c>
      <c r="D37" s="413"/>
    </row>
    <row r="38" spans="1:4" ht="12" customHeight="1">
      <c r="A38" s="337">
        <v>30</v>
      </c>
      <c r="B38" s="337" t="s">
        <v>640</v>
      </c>
      <c r="C38" s="345" t="s">
        <v>647</v>
      </c>
      <c r="D38" s="413"/>
    </row>
    <row r="39" spans="1:4" ht="12" customHeight="1">
      <c r="A39" s="337">
        <v>31</v>
      </c>
      <c r="B39" s="337" t="s">
        <v>640</v>
      </c>
      <c r="C39" s="345" t="s">
        <v>648</v>
      </c>
      <c r="D39" s="413"/>
    </row>
    <row r="40" spans="1:4" ht="11.25" customHeight="1">
      <c r="A40" s="337">
        <v>32</v>
      </c>
      <c r="B40" s="337" t="s">
        <v>640</v>
      </c>
      <c r="C40" s="345" t="s">
        <v>649</v>
      </c>
      <c r="D40" s="413"/>
    </row>
    <row r="41" spans="1:4" ht="13.5" customHeight="1">
      <c r="A41" s="337">
        <v>33</v>
      </c>
      <c r="B41" s="337" t="s">
        <v>640</v>
      </c>
      <c r="C41" s="345" t="s">
        <v>650</v>
      </c>
      <c r="D41" s="413"/>
    </row>
    <row r="42" spans="1:4" ht="12" customHeight="1">
      <c r="A42" s="337">
        <v>34</v>
      </c>
      <c r="B42" s="337" t="s">
        <v>640</v>
      </c>
      <c r="C42" s="345" t="s">
        <v>577</v>
      </c>
      <c r="D42" s="413">
        <v>0</v>
      </c>
    </row>
    <row r="43" spans="1:4" ht="16.5" customHeight="1">
      <c r="A43" s="334" t="s">
        <v>162</v>
      </c>
      <c r="B43" s="334"/>
      <c r="C43" s="346" t="s">
        <v>651</v>
      </c>
      <c r="D43" s="316">
        <v>0</v>
      </c>
    </row>
    <row r="44" spans="1:4" ht="7.5" customHeight="1">
      <c r="A44" s="1"/>
      <c r="B44" s="1"/>
      <c r="C44" s="1"/>
      <c r="D44" s="80"/>
    </row>
    <row r="45" spans="1:4" ht="14.25">
      <c r="A45" s="1"/>
      <c r="B45" s="332" t="s">
        <v>652</v>
      </c>
      <c r="C45" s="24"/>
      <c r="D45" s="414" t="s">
        <v>653</v>
      </c>
    </row>
    <row r="46" spans="1:4" ht="14.25">
      <c r="B46" s="2155" t="s">
        <v>654</v>
      </c>
      <c r="C46" s="2155"/>
      <c r="D46" s="338"/>
    </row>
    <row r="47" spans="1:4" ht="14.25">
      <c r="B47" s="2155" t="s">
        <v>655</v>
      </c>
      <c r="C47" s="2155"/>
      <c r="D47" s="338"/>
    </row>
    <row r="48" spans="1:4" ht="14.25">
      <c r="B48" s="2155" t="s">
        <v>656</v>
      </c>
      <c r="C48" s="2155"/>
      <c r="D48" s="415"/>
    </row>
    <row r="49" spans="2:4" ht="14.25">
      <c r="B49" s="2155" t="s">
        <v>657</v>
      </c>
      <c r="C49" s="2155"/>
      <c r="D49" s="415"/>
    </row>
    <row r="50" spans="2:4" ht="14.25">
      <c r="B50" s="2155" t="s">
        <v>658</v>
      </c>
      <c r="C50" s="2155"/>
      <c r="D50" s="415"/>
    </row>
    <row r="51" spans="2:4">
      <c r="B51" s="2155" t="s">
        <v>659</v>
      </c>
      <c r="C51" s="2155"/>
      <c r="D51" s="316"/>
    </row>
    <row r="52" spans="2:4" ht="15">
      <c r="D52" s="416" t="s">
        <v>527</v>
      </c>
    </row>
    <row r="53" spans="2:4">
      <c r="D53" s="79" t="s">
        <v>1227</v>
      </c>
    </row>
  </sheetData>
  <mergeCells count="7">
    <mergeCell ref="B51:C51"/>
    <mergeCell ref="A1:B1"/>
    <mergeCell ref="B46:C46"/>
    <mergeCell ref="B47:C47"/>
    <mergeCell ref="B48:C48"/>
    <mergeCell ref="B49:C49"/>
    <mergeCell ref="B50:C50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R367"/>
  <sheetViews>
    <sheetView topLeftCell="D1" workbookViewId="0">
      <selection activeCell="Q24" activeCellId="1" sqref="Q5:R6 Q24:R24"/>
    </sheetView>
  </sheetViews>
  <sheetFormatPr defaultRowHeight="12.75"/>
  <sheetData>
    <row r="1" spans="10:18">
      <c r="N1" s="1276"/>
      <c r="O1" s="1276"/>
    </row>
    <row r="2" spans="10:18">
      <c r="J2" t="s">
        <v>1893</v>
      </c>
      <c r="K2">
        <v>60000</v>
      </c>
      <c r="N2" s="1276"/>
      <c r="O2" s="1276"/>
    </row>
    <row r="3" spans="10:18">
      <c r="J3" t="s">
        <v>1893</v>
      </c>
      <c r="K3">
        <v>45000</v>
      </c>
      <c r="N3" s="1276"/>
      <c r="O3" s="1276"/>
    </row>
    <row r="4" spans="10:18">
      <c r="J4" t="s">
        <v>1893</v>
      </c>
      <c r="K4">
        <v>69999.600000000006</v>
      </c>
      <c r="N4" s="1276"/>
      <c r="O4" s="1276"/>
    </row>
    <row r="5" spans="10:18">
      <c r="J5" t="s">
        <v>1893</v>
      </c>
      <c r="K5">
        <v>75000</v>
      </c>
      <c r="N5" s="1276"/>
      <c r="O5" s="1276"/>
      <c r="Q5" s="1279">
        <v>72000</v>
      </c>
      <c r="R5" s="1277" t="s">
        <v>1924</v>
      </c>
    </row>
    <row r="6" spans="10:18">
      <c r="J6" s="1230" t="s">
        <v>1893</v>
      </c>
      <c r="K6" s="1230">
        <f>SUM(K2:K5)</f>
        <v>249999.6</v>
      </c>
      <c r="N6" s="1276"/>
      <c r="O6" s="1276"/>
      <c r="Q6" s="1279">
        <v>51030</v>
      </c>
      <c r="R6" s="1277" t="s">
        <v>1905</v>
      </c>
    </row>
    <row r="7" spans="10:18">
      <c r="N7" s="1276"/>
      <c r="O7" s="1276"/>
    </row>
    <row r="8" spans="10:18">
      <c r="N8" s="1276"/>
      <c r="O8" s="1276"/>
    </row>
    <row r="9" spans="10:18">
      <c r="N9" s="1276"/>
      <c r="O9" s="1276"/>
    </row>
    <row r="10" spans="10:18">
      <c r="N10" s="1276"/>
      <c r="O10" s="1276"/>
    </row>
    <row r="11" spans="10:18">
      <c r="J11" t="s">
        <v>1647</v>
      </c>
      <c r="K11">
        <v>296400</v>
      </c>
      <c r="Q11" s="307">
        <v>18000</v>
      </c>
      <c r="R11" s="307" t="s">
        <v>1236</v>
      </c>
    </row>
    <row r="12" spans="10:18">
      <c r="J12" t="s">
        <v>1647</v>
      </c>
      <c r="K12">
        <v>500000.4</v>
      </c>
      <c r="Q12" s="305">
        <v>78750</v>
      </c>
      <c r="R12" s="305" t="s">
        <v>1236</v>
      </c>
    </row>
    <row r="13" spans="10:18">
      <c r="J13" t="s">
        <v>1647</v>
      </c>
      <c r="K13">
        <v>295800</v>
      </c>
      <c r="Q13" s="305">
        <v>20416.669999999998</v>
      </c>
      <c r="R13" s="305" t="s">
        <v>1236</v>
      </c>
    </row>
    <row r="14" spans="10:18">
      <c r="J14" s="1230" t="s">
        <v>1647</v>
      </c>
      <c r="K14" s="1230">
        <f>SUM(K11:K13)</f>
        <v>1092200.3999999999</v>
      </c>
      <c r="Q14" s="305">
        <v>114583.33</v>
      </c>
      <c r="R14" s="305" t="s">
        <v>1236</v>
      </c>
    </row>
    <row r="15" spans="10:18">
      <c r="Q15" s="305">
        <v>25000</v>
      </c>
      <c r="R15" s="305" t="s">
        <v>1236</v>
      </c>
    </row>
    <row r="16" spans="10:18">
      <c r="Q16" s="305">
        <v>26250</v>
      </c>
      <c r="R16" s="305" t="s">
        <v>1236</v>
      </c>
    </row>
    <row r="17" spans="10:18">
      <c r="Q17" s="305">
        <v>31250</v>
      </c>
      <c r="R17" s="305" t="s">
        <v>1236</v>
      </c>
    </row>
    <row r="18" spans="10:18">
      <c r="J18" t="s">
        <v>1823</v>
      </c>
      <c r="K18">
        <v>114264</v>
      </c>
      <c r="Q18" s="305">
        <v>15000</v>
      </c>
      <c r="R18" s="305" t="s">
        <v>1236</v>
      </c>
    </row>
    <row r="19" spans="10:18">
      <c r="J19" t="s">
        <v>1823</v>
      </c>
      <c r="K19">
        <v>126360</v>
      </c>
      <c r="Q19" s="305">
        <v>23333.34</v>
      </c>
      <c r="R19" s="305" t="s">
        <v>1310</v>
      </c>
    </row>
    <row r="20" spans="10:18">
      <c r="J20" s="1230" t="s">
        <v>1823</v>
      </c>
      <c r="K20" s="1230">
        <f>SUM(K18:K19)</f>
        <v>240624</v>
      </c>
      <c r="Q20" s="305">
        <v>42500</v>
      </c>
      <c r="R20" s="305" t="s">
        <v>1265</v>
      </c>
    </row>
    <row r="21" spans="10:18">
      <c r="Q21" s="305">
        <v>46416.66</v>
      </c>
      <c r="R21" s="305" t="s">
        <v>1265</v>
      </c>
    </row>
    <row r="22" spans="10:18">
      <c r="Q22" s="305">
        <v>73333.34</v>
      </c>
      <c r="R22" s="305" t="s">
        <v>1265</v>
      </c>
    </row>
    <row r="23" spans="10:18">
      <c r="Q23" s="305"/>
      <c r="R23" s="305" t="s">
        <v>1265</v>
      </c>
    </row>
    <row r="24" spans="10:18">
      <c r="J24" t="s">
        <v>1354</v>
      </c>
      <c r="K24">
        <v>52440</v>
      </c>
      <c r="Q24" s="1278">
        <f>SUM(Q11:Q23)</f>
        <v>514833.33999999997</v>
      </c>
      <c r="R24" s="305" t="s">
        <v>1265</v>
      </c>
    </row>
    <row r="25" spans="10:18">
      <c r="J25" t="s">
        <v>1354</v>
      </c>
      <c r="K25">
        <v>52800</v>
      </c>
    </row>
    <row r="26" spans="10:18">
      <c r="J26" t="s">
        <v>1354</v>
      </c>
      <c r="K26">
        <v>100800</v>
      </c>
      <c r="N26" s="727"/>
      <c r="O26" s="727"/>
    </row>
    <row r="27" spans="10:18">
      <c r="J27" t="s">
        <v>1354</v>
      </c>
      <c r="K27">
        <v>112800</v>
      </c>
      <c r="N27" s="727"/>
      <c r="O27" s="727"/>
    </row>
    <row r="28" spans="10:18">
      <c r="J28" t="s">
        <v>1354</v>
      </c>
      <c r="K28">
        <v>127200</v>
      </c>
      <c r="N28" s="305">
        <v>1070446</v>
      </c>
      <c r="O28" s="305"/>
    </row>
    <row r="29" spans="10:18">
      <c r="J29" t="s">
        <v>1354</v>
      </c>
      <c r="K29">
        <v>198000</v>
      </c>
      <c r="N29" s="305">
        <v>833333</v>
      </c>
      <c r="O29" s="305"/>
    </row>
    <row r="30" spans="10:18">
      <c r="J30" t="s">
        <v>1354</v>
      </c>
      <c r="K30">
        <v>109200</v>
      </c>
      <c r="N30" s="305">
        <v>249600</v>
      </c>
      <c r="O30" s="305"/>
    </row>
    <row r="31" spans="10:18">
      <c r="J31" t="s">
        <v>1354</v>
      </c>
      <c r="K31">
        <v>122400</v>
      </c>
      <c r="N31" s="305">
        <v>500000</v>
      </c>
      <c r="O31" s="305"/>
    </row>
    <row r="32" spans="10:18">
      <c r="J32" t="s">
        <v>1354</v>
      </c>
      <c r="K32">
        <v>64800</v>
      </c>
      <c r="N32" s="305">
        <v>106000</v>
      </c>
      <c r="O32" s="305"/>
    </row>
    <row r="33" spans="10:15">
      <c r="J33" t="s">
        <v>1354</v>
      </c>
      <c r="K33">
        <v>100800</v>
      </c>
      <c r="N33" s="305">
        <v>58333</v>
      </c>
      <c r="O33" s="305"/>
    </row>
    <row r="34" spans="10:15">
      <c r="J34" s="1230" t="s">
        <v>1354</v>
      </c>
      <c r="K34" s="1230">
        <f>SUM(K24:K33)</f>
        <v>1041240</v>
      </c>
      <c r="N34" s="305">
        <v>1302252</v>
      </c>
      <c r="O34" s="305"/>
    </row>
    <row r="35" spans="10:15">
      <c r="N35" s="305">
        <v>1004000</v>
      </c>
      <c r="O35" s="305"/>
    </row>
    <row r="36" spans="10:15">
      <c r="N36" s="305">
        <v>329960</v>
      </c>
      <c r="O36" s="305"/>
    </row>
    <row r="37" spans="10:15">
      <c r="N37" s="305">
        <v>91000</v>
      </c>
      <c r="O37" s="305"/>
    </row>
    <row r="38" spans="10:15">
      <c r="N38" s="305">
        <v>246935</v>
      </c>
      <c r="O38" s="305"/>
    </row>
    <row r="39" spans="10:15">
      <c r="N39" s="305">
        <v>102000</v>
      </c>
      <c r="O39" s="305"/>
    </row>
    <row r="40" spans="10:15">
      <c r="J40" t="s">
        <v>1075</v>
      </c>
      <c r="K40">
        <v>252364.79999999999</v>
      </c>
      <c r="N40" s="305">
        <v>165000</v>
      </c>
      <c r="O40" s="305"/>
    </row>
    <row r="41" spans="10:15">
      <c r="J41" t="s">
        <v>1075</v>
      </c>
      <c r="K41">
        <v>299389.2</v>
      </c>
      <c r="N41" s="305">
        <v>94000</v>
      </c>
      <c r="O41" s="305"/>
    </row>
    <row r="42" spans="10:15">
      <c r="J42" t="s">
        <v>1075</v>
      </c>
      <c r="K42">
        <v>299996.40000000002</v>
      </c>
      <c r="N42" s="305">
        <v>84000</v>
      </c>
      <c r="O42" s="305"/>
    </row>
    <row r="43" spans="10:15">
      <c r="J43" s="1230" t="s">
        <v>1075</v>
      </c>
      <c r="K43" s="1230">
        <f>SUM(K40:K42)</f>
        <v>851750.40000000002</v>
      </c>
      <c r="N43" s="305">
        <v>43700</v>
      </c>
      <c r="O43" s="305"/>
    </row>
    <row r="44" spans="10:15">
      <c r="N44" s="305">
        <v>125400</v>
      </c>
      <c r="O44" s="305"/>
    </row>
    <row r="45" spans="10:15">
      <c r="N45" s="305">
        <v>256000</v>
      </c>
      <c r="O45" s="305"/>
    </row>
    <row r="46" spans="10:15">
      <c r="N46" s="305">
        <v>253008.76</v>
      </c>
      <c r="O46" s="305"/>
    </row>
    <row r="47" spans="10:15">
      <c r="N47" s="305">
        <v>258000</v>
      </c>
      <c r="O47" s="305"/>
    </row>
    <row r="48" spans="10:15">
      <c r="N48" s="305">
        <v>264000</v>
      </c>
      <c r="O48" s="305"/>
    </row>
    <row r="49" spans="10:15">
      <c r="J49" s="1230" t="s">
        <v>1622</v>
      </c>
      <c r="K49" s="1230">
        <v>154800</v>
      </c>
      <c r="N49" s="305">
        <v>264000</v>
      </c>
      <c r="O49" s="305"/>
    </row>
    <row r="50" spans="10:15">
      <c r="N50" s="305">
        <v>233814.55</v>
      </c>
      <c r="O50" s="305"/>
    </row>
    <row r="51" spans="10:15">
      <c r="N51" s="305">
        <v>264000</v>
      </c>
      <c r="O51" s="305"/>
    </row>
    <row r="52" spans="10:15">
      <c r="N52" s="305">
        <v>264024</v>
      </c>
      <c r="O52" s="305"/>
    </row>
    <row r="53" spans="10:15">
      <c r="N53" s="305">
        <v>1668280</v>
      </c>
      <c r="O53" s="305"/>
    </row>
    <row r="54" spans="10:15">
      <c r="N54" s="305">
        <v>15210</v>
      </c>
      <c r="O54" s="305"/>
    </row>
    <row r="55" spans="10:15">
      <c r="J55" t="s">
        <v>1370</v>
      </c>
      <c r="K55">
        <v>138297.60000000001</v>
      </c>
      <c r="N55" s="305">
        <v>173422</v>
      </c>
      <c r="O55" s="305"/>
    </row>
    <row r="56" spans="10:15">
      <c r="J56" t="s">
        <v>1370</v>
      </c>
      <c r="K56">
        <v>199987.20000000001</v>
      </c>
      <c r="N56" s="305">
        <v>201638</v>
      </c>
      <c r="O56" s="305"/>
    </row>
    <row r="57" spans="10:15">
      <c r="J57" t="s">
        <v>1370</v>
      </c>
      <c r="K57">
        <v>199989.6</v>
      </c>
      <c r="N57" s="305">
        <v>377730</v>
      </c>
      <c r="O57" s="305"/>
    </row>
    <row r="58" spans="10:15">
      <c r="J58" t="s">
        <v>1370</v>
      </c>
      <c r="K58">
        <v>151233.60000000001</v>
      </c>
      <c r="N58" s="305">
        <v>225000</v>
      </c>
      <c r="O58" s="305"/>
    </row>
    <row r="59" spans="10:15">
      <c r="J59" t="s">
        <v>1370</v>
      </c>
      <c r="K59">
        <v>152880</v>
      </c>
      <c r="N59" s="305">
        <v>226415</v>
      </c>
      <c r="O59" s="305"/>
    </row>
    <row r="60" spans="10:15">
      <c r="J60" s="1230" t="s">
        <v>1370</v>
      </c>
      <c r="K60" s="1230">
        <f>SUM(K55:K59)</f>
        <v>842388</v>
      </c>
      <c r="N60" s="305">
        <v>327730</v>
      </c>
      <c r="O60" s="305"/>
    </row>
    <row r="61" spans="10:15">
      <c r="N61" s="305">
        <v>232541</v>
      </c>
      <c r="O61" s="305"/>
    </row>
    <row r="62" spans="10:15">
      <c r="J62" s="1230" t="s">
        <v>1900</v>
      </c>
      <c r="K62" s="1230">
        <v>16786.916400000002</v>
      </c>
      <c r="N62" s="305">
        <v>246247.5</v>
      </c>
      <c r="O62" s="305"/>
    </row>
    <row r="63" spans="10:15">
      <c r="N63" s="305">
        <v>242422</v>
      </c>
      <c r="O63" s="305"/>
    </row>
    <row r="64" spans="10:15">
      <c r="N64" s="305">
        <v>186557</v>
      </c>
      <c r="O64" s="305"/>
    </row>
    <row r="65" spans="10:15">
      <c r="N65" s="305">
        <v>362524</v>
      </c>
      <c r="O65" s="305"/>
    </row>
    <row r="66" spans="10:15">
      <c r="J66" s="1230" t="s">
        <v>1635</v>
      </c>
      <c r="K66" s="1230">
        <v>600000</v>
      </c>
      <c r="N66" s="305">
        <v>208333</v>
      </c>
      <c r="O66" s="305"/>
    </row>
    <row r="67" spans="10:15">
      <c r="N67" s="305">
        <v>256035</v>
      </c>
      <c r="O67" s="305"/>
    </row>
    <row r="68" spans="10:15">
      <c r="N68" s="305">
        <v>291712</v>
      </c>
      <c r="O68" s="305"/>
    </row>
    <row r="69" spans="10:15">
      <c r="J69" t="s">
        <v>987</v>
      </c>
      <c r="K69">
        <v>307200</v>
      </c>
      <c r="N69" s="305">
        <v>247000</v>
      </c>
      <c r="O69" s="305"/>
    </row>
    <row r="70" spans="10:15">
      <c r="J70" t="s">
        <v>987</v>
      </c>
      <c r="K70">
        <v>309600</v>
      </c>
      <c r="N70" s="305">
        <v>424600</v>
      </c>
      <c r="O70" s="305"/>
    </row>
    <row r="71" spans="10:15">
      <c r="J71" s="1230" t="s">
        <v>987</v>
      </c>
      <c r="K71" s="1230">
        <f>SUM(K69:K70)</f>
        <v>616800</v>
      </c>
      <c r="N71" s="305">
        <v>236500</v>
      </c>
      <c r="O71" s="305"/>
    </row>
    <row r="72" spans="10:15">
      <c r="N72" s="305">
        <f>381263+187472+1035050</f>
        <v>1603785</v>
      </c>
      <c r="O72" s="305"/>
    </row>
    <row r="73" spans="10:15">
      <c r="N73" s="305">
        <v>99200</v>
      </c>
      <c r="O73" s="305"/>
    </row>
    <row r="74" spans="10:15">
      <c r="N74" s="305">
        <v>93450</v>
      </c>
      <c r="O74" s="305"/>
    </row>
    <row r="75" spans="10:15">
      <c r="N75" s="305">
        <v>591250</v>
      </c>
      <c r="O75" s="305"/>
    </row>
    <row r="76" spans="10:15">
      <c r="N76" s="305">
        <v>212850</v>
      </c>
      <c r="O76" s="305"/>
    </row>
    <row r="77" spans="10:15">
      <c r="N77" s="305">
        <v>321200</v>
      </c>
      <c r="O77" s="305"/>
    </row>
    <row r="78" spans="10:15">
      <c r="J78" t="s">
        <v>1388</v>
      </c>
      <c r="K78">
        <v>166287.6</v>
      </c>
      <c r="N78" s="305">
        <v>270050</v>
      </c>
      <c r="O78" s="305"/>
    </row>
    <row r="79" spans="10:15">
      <c r="J79" t="s">
        <v>1388</v>
      </c>
      <c r="K79">
        <v>166308</v>
      </c>
      <c r="N79" s="305">
        <v>47600</v>
      </c>
      <c r="O79" s="305"/>
    </row>
    <row r="80" spans="10:15">
      <c r="J80" t="s">
        <v>1388</v>
      </c>
      <c r="K80">
        <v>206530.8</v>
      </c>
      <c r="N80" s="305">
        <v>44100</v>
      </c>
      <c r="O80" s="305"/>
    </row>
    <row r="81" spans="10:15">
      <c r="J81" t="s">
        <v>1388</v>
      </c>
      <c r="K81">
        <v>248022</v>
      </c>
      <c r="N81" s="305">
        <v>44100</v>
      </c>
      <c r="O81" s="305"/>
    </row>
    <row r="82" spans="10:15">
      <c r="J82" t="s">
        <v>1388</v>
      </c>
      <c r="K82">
        <v>269466</v>
      </c>
      <c r="N82" s="305">
        <v>54600</v>
      </c>
      <c r="O82" s="305"/>
    </row>
    <row r="83" spans="10:15">
      <c r="J83" t="s">
        <v>1388</v>
      </c>
      <c r="K83">
        <v>290578.8</v>
      </c>
      <c r="N83" s="305">
        <v>833364</v>
      </c>
      <c r="O83" s="305"/>
    </row>
    <row r="84" spans="10:15">
      <c r="J84" t="s">
        <v>1388</v>
      </c>
      <c r="K84">
        <v>293622</v>
      </c>
      <c r="N84" s="305">
        <v>209343</v>
      </c>
      <c r="O84" s="305"/>
    </row>
    <row r="85" spans="10:15">
      <c r="J85" t="s">
        <v>1388</v>
      </c>
      <c r="K85">
        <v>296520</v>
      </c>
      <c r="N85" s="305">
        <v>44000</v>
      </c>
      <c r="O85" s="305"/>
    </row>
    <row r="86" spans="10:15">
      <c r="J86" t="s">
        <v>1388</v>
      </c>
      <c r="K86">
        <v>297630</v>
      </c>
      <c r="N86" s="305">
        <v>1422452</v>
      </c>
      <c r="O86" s="305"/>
    </row>
    <row r="87" spans="10:15">
      <c r="J87" t="s">
        <v>1388</v>
      </c>
      <c r="K87">
        <v>299007.59999999998</v>
      </c>
      <c r="N87" s="305">
        <v>121688</v>
      </c>
      <c r="O87" s="305"/>
    </row>
    <row r="88" spans="10:15">
      <c r="J88" t="s">
        <v>1388</v>
      </c>
      <c r="K88">
        <v>299520</v>
      </c>
      <c r="N88" s="305">
        <v>97100</v>
      </c>
      <c r="O88" s="305"/>
    </row>
    <row r="89" spans="10:15">
      <c r="J89" t="s">
        <v>1388</v>
      </c>
      <c r="K89">
        <v>299784</v>
      </c>
      <c r="N89" s="305">
        <v>236300</v>
      </c>
      <c r="O89" s="305"/>
    </row>
    <row r="90" spans="10:15">
      <c r="J90" t="s">
        <v>1388</v>
      </c>
      <c r="K90">
        <v>299950.8</v>
      </c>
      <c r="N90" s="305">
        <v>240000</v>
      </c>
      <c r="O90" s="305"/>
    </row>
    <row r="91" spans="10:15">
      <c r="J91" t="s">
        <v>1388</v>
      </c>
      <c r="K91">
        <v>297186</v>
      </c>
      <c r="N91" s="305">
        <v>232500</v>
      </c>
      <c r="O91" s="305"/>
    </row>
    <row r="92" spans="10:15">
      <c r="J92" s="1230" t="s">
        <v>1388</v>
      </c>
      <c r="K92" s="1230">
        <f>SUM(K78:K91)</f>
        <v>3730413.6</v>
      </c>
      <c r="N92" s="305">
        <v>179166</v>
      </c>
      <c r="O92" s="305"/>
    </row>
    <row r="93" spans="10:15">
      <c r="N93" s="305">
        <v>802000</v>
      </c>
      <c r="O93" s="305"/>
    </row>
    <row r="94" spans="10:15">
      <c r="N94" s="305">
        <v>240535</v>
      </c>
      <c r="O94" s="305"/>
    </row>
    <row r="95" spans="10:15">
      <c r="N95" s="305">
        <v>192000</v>
      </c>
      <c r="O95" s="305"/>
    </row>
    <row r="96" spans="10:15">
      <c r="J96" t="s">
        <v>1833</v>
      </c>
      <c r="K96">
        <v>279000</v>
      </c>
      <c r="N96" s="305">
        <v>208000</v>
      </c>
      <c r="O96" s="305"/>
    </row>
    <row r="97" spans="10:15">
      <c r="J97" t="s">
        <v>1833</v>
      </c>
      <c r="K97">
        <v>288000</v>
      </c>
      <c r="N97" s="305">
        <v>160000</v>
      </c>
      <c r="O97" s="305"/>
    </row>
    <row r="98" spans="10:15">
      <c r="J98" s="1230" t="s">
        <v>1833</v>
      </c>
      <c r="K98" s="1230">
        <f>SUM(K96:K97)</f>
        <v>567000</v>
      </c>
      <c r="N98" s="305">
        <v>80000</v>
      </c>
      <c r="O98" s="305"/>
    </row>
    <row r="99" spans="10:15">
      <c r="N99" s="305">
        <v>417500</v>
      </c>
      <c r="O99" s="305"/>
    </row>
    <row r="100" spans="10:15">
      <c r="N100" s="305">
        <v>249959</v>
      </c>
      <c r="O100" s="305"/>
    </row>
    <row r="101" spans="10:15">
      <c r="N101" s="305">
        <v>138573</v>
      </c>
      <c r="O101" s="305"/>
    </row>
    <row r="102" spans="10:15">
      <c r="J102" t="s">
        <v>1034</v>
      </c>
      <c r="K102">
        <v>57120</v>
      </c>
      <c r="N102" s="305">
        <v>170223</v>
      </c>
      <c r="O102" s="305"/>
    </row>
    <row r="103" spans="10:15">
      <c r="J103" t="s">
        <v>1034</v>
      </c>
      <c r="K103">
        <v>65520</v>
      </c>
      <c r="N103" s="305">
        <v>949133.83299999998</v>
      </c>
      <c r="O103" s="305"/>
    </row>
    <row r="104" spans="10:15">
      <c r="J104" t="s">
        <v>1034</v>
      </c>
      <c r="K104">
        <v>52920</v>
      </c>
      <c r="N104" s="305">
        <v>1138960.6000000001</v>
      </c>
      <c r="O104" s="305"/>
    </row>
    <row r="105" spans="10:15">
      <c r="J105" t="s">
        <v>1034</v>
      </c>
      <c r="K105">
        <v>52920</v>
      </c>
      <c r="N105" s="305">
        <v>949133.83</v>
      </c>
      <c r="O105" s="305"/>
    </row>
    <row r="106" spans="10:15">
      <c r="J106" t="s">
        <v>1034</v>
      </c>
      <c r="K106">
        <v>501000</v>
      </c>
      <c r="N106" s="305">
        <v>759307</v>
      </c>
      <c r="O106" s="305"/>
    </row>
    <row r="107" spans="10:15">
      <c r="J107" s="1230" t="s">
        <v>1034</v>
      </c>
      <c r="K107" s="1230">
        <f>SUM(K102:K106)</f>
        <v>729480</v>
      </c>
      <c r="N107" s="305">
        <v>105300</v>
      </c>
      <c r="O107" s="305"/>
    </row>
    <row r="108" spans="10:15">
      <c r="N108" s="305">
        <v>57851</v>
      </c>
      <c r="O108" s="305"/>
    </row>
    <row r="109" spans="10:15">
      <c r="N109" s="305">
        <v>248192</v>
      </c>
      <c r="O109" s="305"/>
    </row>
    <row r="110" spans="10:15">
      <c r="N110" s="305">
        <v>79355</v>
      </c>
      <c r="O110" s="305"/>
    </row>
    <row r="111" spans="10:15">
      <c r="J111" t="s">
        <v>1629</v>
      </c>
      <c r="K111">
        <v>146502</v>
      </c>
      <c r="N111" s="305">
        <v>218644</v>
      </c>
      <c r="O111" s="305"/>
    </row>
    <row r="112" spans="10:15">
      <c r="J112" t="s">
        <v>1629</v>
      </c>
      <c r="K112">
        <v>1706942.4</v>
      </c>
      <c r="N112" s="305">
        <v>51414</v>
      </c>
      <c r="O112" s="305"/>
    </row>
    <row r="113" spans="10:15">
      <c r="J113" t="s">
        <v>1629</v>
      </c>
      <c r="K113">
        <v>2001936</v>
      </c>
      <c r="N113" s="305">
        <v>38332</v>
      </c>
      <c r="O113" s="305"/>
    </row>
    <row r="114" spans="10:15">
      <c r="J114" s="1230" t="s">
        <v>1629</v>
      </c>
      <c r="K114" s="1230">
        <f>SUM(K111:K113)</f>
        <v>3855380.4</v>
      </c>
      <c r="N114" s="305">
        <v>67088</v>
      </c>
      <c r="O114" s="305"/>
    </row>
    <row r="115" spans="10:15">
      <c r="N115" s="305">
        <v>95220</v>
      </c>
      <c r="O115" s="305"/>
    </row>
    <row r="116" spans="10:15">
      <c r="N116" s="305">
        <v>193343</v>
      </c>
      <c r="O116" s="305"/>
    </row>
    <row r="117" spans="10:15">
      <c r="J117" s="1230" t="s">
        <v>1427</v>
      </c>
      <c r="K117" s="1230">
        <v>263596.79999999999</v>
      </c>
      <c r="N117" s="305">
        <v>165341</v>
      </c>
      <c r="O117" s="305"/>
    </row>
    <row r="118" spans="10:15">
      <c r="N118" s="305">
        <v>210304</v>
      </c>
      <c r="O118" s="305"/>
    </row>
    <row r="119" spans="10:15">
      <c r="N119" s="305">
        <v>249820</v>
      </c>
      <c r="O119" s="305"/>
    </row>
    <row r="120" spans="10:15">
      <c r="N120" s="305">
        <v>219664</v>
      </c>
      <c r="O120" s="305"/>
    </row>
    <row r="121" spans="10:15">
      <c r="N121" s="305">
        <v>249173</v>
      </c>
      <c r="O121" s="305"/>
    </row>
    <row r="122" spans="10:15">
      <c r="N122" s="305">
        <v>242149</v>
      </c>
      <c r="O122" s="305"/>
    </row>
    <row r="123" spans="10:15">
      <c r="N123" s="305">
        <v>249997</v>
      </c>
      <c r="O123" s="305"/>
    </row>
    <row r="124" spans="10:15">
      <c r="N124" s="305">
        <v>172109</v>
      </c>
      <c r="O124" s="305"/>
    </row>
    <row r="125" spans="10:15">
      <c r="J125" t="s">
        <v>1363</v>
      </c>
      <c r="K125">
        <v>18252</v>
      </c>
      <c r="N125" s="305">
        <v>138590</v>
      </c>
      <c r="O125" s="305"/>
    </row>
    <row r="126" spans="10:15">
      <c r="J126" t="s">
        <v>1363</v>
      </c>
      <c r="K126">
        <v>45998.400000000001</v>
      </c>
      <c r="N126" s="305">
        <v>224555</v>
      </c>
      <c r="O126" s="305"/>
    </row>
    <row r="127" spans="10:15">
      <c r="J127" t="s">
        <v>1363</v>
      </c>
      <c r="K127">
        <v>69421.2</v>
      </c>
      <c r="N127" s="305">
        <v>248025</v>
      </c>
      <c r="O127" s="305"/>
    </row>
    <row r="128" spans="10:15">
      <c r="J128" t="s">
        <v>1363</v>
      </c>
      <c r="K128">
        <v>80505.600000000006</v>
      </c>
      <c r="N128" s="305">
        <v>206685</v>
      </c>
      <c r="O128" s="305"/>
    </row>
    <row r="129" spans="10:15">
      <c r="J129" t="s">
        <v>1363</v>
      </c>
      <c r="K129">
        <v>204267.6</v>
      </c>
      <c r="N129" s="305">
        <v>244685</v>
      </c>
      <c r="O129" s="305"/>
    </row>
    <row r="130" spans="10:15">
      <c r="J130" t="s">
        <v>1363</v>
      </c>
      <c r="K130">
        <v>208106.4</v>
      </c>
      <c r="N130" s="305">
        <v>247100</v>
      </c>
      <c r="O130" s="305"/>
    </row>
    <row r="131" spans="10:15">
      <c r="J131" t="s">
        <v>1363</v>
      </c>
      <c r="K131">
        <v>297830.40000000002</v>
      </c>
      <c r="N131" s="305">
        <v>247655</v>
      </c>
      <c r="O131" s="305"/>
    </row>
    <row r="132" spans="10:15">
      <c r="J132" t="s">
        <v>1363</v>
      </c>
      <c r="K132">
        <v>61696.800000000003</v>
      </c>
      <c r="N132" s="305">
        <v>249491</v>
      </c>
      <c r="O132" s="305"/>
    </row>
    <row r="133" spans="10:15">
      <c r="J133" t="s">
        <v>1363</v>
      </c>
      <c r="K133">
        <v>95226</v>
      </c>
      <c r="N133" s="305">
        <v>246500</v>
      </c>
      <c r="O133" s="305"/>
    </row>
    <row r="134" spans="10:15">
      <c r="J134" s="1230" t="s">
        <v>1363</v>
      </c>
      <c r="K134" s="1230">
        <v>262372.8</v>
      </c>
      <c r="N134" s="305">
        <v>416667</v>
      </c>
      <c r="O134" s="305"/>
    </row>
    <row r="135" spans="10:15">
      <c r="J135" s="1230" t="s">
        <v>1363</v>
      </c>
      <c r="K135" s="1230">
        <f>SUM(K125:K134)</f>
        <v>1343677.2000000002</v>
      </c>
      <c r="N135" s="305">
        <v>504000</v>
      </c>
      <c r="O135" s="305"/>
    </row>
    <row r="136" spans="10:15">
      <c r="N136" s="305">
        <v>375082</v>
      </c>
      <c r="O136" s="305"/>
    </row>
    <row r="137" spans="10:15">
      <c r="N137" s="305">
        <f>1312126+145356+271407</f>
        <v>1728889</v>
      </c>
      <c r="O137" s="305"/>
    </row>
    <row r="138" spans="10:15">
      <c r="N138" s="305">
        <f>349447+410700</f>
        <v>760147</v>
      </c>
      <c r="O138" s="305"/>
    </row>
    <row r="139" spans="10:15">
      <c r="J139" s="1230" t="s">
        <v>1348</v>
      </c>
      <c r="K139" s="1230">
        <v>1000036.8</v>
      </c>
      <c r="N139" s="305">
        <v>300000</v>
      </c>
      <c r="O139" s="305"/>
    </row>
    <row r="140" spans="10:15">
      <c r="N140" s="305">
        <v>62500</v>
      </c>
      <c r="O140" s="305"/>
    </row>
    <row r="141" spans="10:15">
      <c r="N141" s="305">
        <v>37500</v>
      </c>
      <c r="O141" s="305"/>
    </row>
    <row r="142" spans="10:15">
      <c r="N142" s="305">
        <v>50000</v>
      </c>
      <c r="O142" s="305"/>
    </row>
    <row r="143" spans="10:15">
      <c r="N143" s="305">
        <v>129000</v>
      </c>
      <c r="O143" s="305"/>
    </row>
    <row r="144" spans="10:15">
      <c r="N144" s="305">
        <v>84000</v>
      </c>
      <c r="O144" s="305"/>
    </row>
    <row r="145" spans="10:15">
      <c r="J145" t="s">
        <v>1432</v>
      </c>
      <c r="K145">
        <v>509520</v>
      </c>
      <c r="N145" s="305">
        <v>54000</v>
      </c>
      <c r="O145" s="305"/>
    </row>
    <row r="146" spans="10:15">
      <c r="J146" t="s">
        <v>1432</v>
      </c>
      <c r="K146">
        <v>283800</v>
      </c>
      <c r="N146" s="305">
        <v>13989.097</v>
      </c>
      <c r="O146" s="305"/>
    </row>
    <row r="147" spans="10:15">
      <c r="J147" t="s">
        <v>1432</v>
      </c>
      <c r="K147">
        <v>255420</v>
      </c>
      <c r="N147" s="305">
        <v>234998</v>
      </c>
      <c r="O147" s="305"/>
    </row>
    <row r="148" spans="10:15">
      <c r="J148" t="s">
        <v>1432</v>
      </c>
      <c r="K148">
        <v>709500</v>
      </c>
      <c r="N148" s="305">
        <v>245692</v>
      </c>
      <c r="O148" s="305"/>
    </row>
    <row r="149" spans="10:15">
      <c r="J149" t="s">
        <v>1432</v>
      </c>
      <c r="K149">
        <v>324060</v>
      </c>
      <c r="N149" s="305">
        <v>122085</v>
      </c>
      <c r="O149" s="305"/>
    </row>
    <row r="150" spans="10:15">
      <c r="J150" t="s">
        <v>1432</v>
      </c>
      <c r="K150">
        <v>385440</v>
      </c>
      <c r="N150" s="305">
        <f>1697555+136917+760550</f>
        <v>2595022</v>
      </c>
      <c r="O150" s="305"/>
    </row>
    <row r="151" spans="10:15">
      <c r="J151" s="1230" t="s">
        <v>1432</v>
      </c>
      <c r="K151" s="1230">
        <f>SUM(K145:K150)</f>
        <v>2467740</v>
      </c>
      <c r="N151" s="305">
        <v>291305</v>
      </c>
      <c r="O151" s="305"/>
    </row>
    <row r="152" spans="10:15">
      <c r="N152" s="305">
        <v>249405</v>
      </c>
      <c r="O152" s="305"/>
    </row>
    <row r="153" spans="10:15">
      <c r="N153" s="305">
        <v>247205</v>
      </c>
      <c r="O153" s="305"/>
    </row>
    <row r="154" spans="10:15">
      <c r="N154" s="305">
        <v>133533</v>
      </c>
      <c r="O154" s="305"/>
    </row>
    <row r="155" spans="10:15">
      <c r="N155" s="305">
        <v>167133</v>
      </c>
      <c r="O155" s="305"/>
    </row>
    <row r="156" spans="10:15">
      <c r="N156" s="305">
        <v>132350</v>
      </c>
      <c r="O156" s="305"/>
    </row>
    <row r="157" spans="10:15">
      <c r="J157" s="1230" t="s">
        <v>1090</v>
      </c>
      <c r="K157" s="1230">
        <v>150480</v>
      </c>
      <c r="N157" s="305">
        <v>131213</v>
      </c>
      <c r="O157" s="305"/>
    </row>
    <row r="158" spans="10:15">
      <c r="N158" s="305">
        <v>166656</v>
      </c>
      <c r="O158" s="305"/>
    </row>
    <row r="159" spans="10:15">
      <c r="N159" s="305">
        <v>166658</v>
      </c>
      <c r="O159" s="305"/>
    </row>
    <row r="160" spans="10:15">
      <c r="N160" s="305">
        <v>115248</v>
      </c>
      <c r="O160" s="305"/>
    </row>
    <row r="161" spans="1:15">
      <c r="J161" s="1230" t="s">
        <v>1722</v>
      </c>
      <c r="K161" s="1230">
        <v>86400</v>
      </c>
      <c r="N161" s="305">
        <v>138694</v>
      </c>
      <c r="O161" s="305"/>
    </row>
    <row r="162" spans="1:15">
      <c r="N162" s="305">
        <v>149363</v>
      </c>
      <c r="O162" s="305"/>
    </row>
    <row r="163" spans="1:15">
      <c r="N163" s="305">
        <v>133360</v>
      </c>
      <c r="O163" s="305"/>
    </row>
    <row r="164" spans="1:15">
      <c r="N164" s="305">
        <v>128026</v>
      </c>
      <c r="O164" s="305"/>
    </row>
    <row r="165" spans="1:15">
      <c r="J165" s="1230" t="s">
        <v>1642</v>
      </c>
      <c r="K165" s="1230">
        <v>1284535.2</v>
      </c>
      <c r="N165" s="305">
        <v>128026</v>
      </c>
      <c r="O165" s="305"/>
    </row>
    <row r="166" spans="1:15">
      <c r="N166" s="305">
        <v>138694</v>
      </c>
      <c r="O166" s="305"/>
    </row>
    <row r="167" spans="1:15">
      <c r="N167" s="305">
        <v>138694</v>
      </c>
      <c r="O167" s="305"/>
    </row>
    <row r="168" spans="1:15">
      <c r="N168" s="305">
        <v>138694</v>
      </c>
      <c r="O168" s="305"/>
    </row>
    <row r="169" spans="1:15">
      <c r="J169" t="s">
        <v>1674</v>
      </c>
      <c r="K169">
        <v>280577.45999999996</v>
      </c>
      <c r="N169" s="305">
        <v>138694</v>
      </c>
      <c r="O169" s="305"/>
    </row>
    <row r="170" spans="1:15">
      <c r="J170" t="s">
        <v>1674</v>
      </c>
      <c r="K170">
        <v>303610.51199999999</v>
      </c>
      <c r="N170" s="305">
        <v>128026</v>
      </c>
      <c r="O170" s="305"/>
    </row>
    <row r="171" spans="1:15">
      <c r="J171" s="1230" t="s">
        <v>1674</v>
      </c>
      <c r="K171" s="1230">
        <f>SUM(K169:K170)</f>
        <v>584187.97199999995</v>
      </c>
      <c r="N171" s="305">
        <v>138694</v>
      </c>
      <c r="O171" s="305"/>
    </row>
    <row r="172" spans="1:15">
      <c r="N172" s="305">
        <v>138694</v>
      </c>
      <c r="O172" s="305"/>
    </row>
    <row r="173" spans="1:15">
      <c r="N173" s="305">
        <v>138694</v>
      </c>
      <c r="O173" s="305"/>
    </row>
    <row r="174" spans="1:15">
      <c r="N174" s="305">
        <v>138694</v>
      </c>
      <c r="O174" s="305"/>
    </row>
    <row r="175" spans="1:15">
      <c r="A175" t="s">
        <v>1810</v>
      </c>
      <c r="B175" t="s">
        <v>1803</v>
      </c>
      <c r="C175" t="s">
        <v>1804</v>
      </c>
      <c r="D175">
        <v>457515.6</v>
      </c>
      <c r="J175" t="s">
        <v>1727</v>
      </c>
      <c r="K175">
        <v>119040</v>
      </c>
      <c r="N175" s="305">
        <v>133360</v>
      </c>
      <c r="O175" s="305"/>
    </row>
    <row r="176" spans="1:15">
      <c r="A176" t="s">
        <v>1810</v>
      </c>
      <c r="B176" t="s">
        <v>1803</v>
      </c>
      <c r="C176" t="s">
        <v>1804</v>
      </c>
      <c r="D176">
        <v>1467026.4</v>
      </c>
      <c r="J176" t="s">
        <v>1727</v>
      </c>
      <c r="K176">
        <v>192000</v>
      </c>
      <c r="N176" s="305">
        <v>138694</v>
      </c>
      <c r="O176" s="305"/>
    </row>
    <row r="177" spans="1:15">
      <c r="A177" t="s">
        <v>1806</v>
      </c>
      <c r="B177" t="s">
        <v>1803</v>
      </c>
      <c r="C177" t="s">
        <v>1804</v>
      </c>
      <c r="D177">
        <v>419336.4</v>
      </c>
      <c r="J177" t="s">
        <v>1727</v>
      </c>
      <c r="K177">
        <v>230400</v>
      </c>
      <c r="N177" s="305">
        <v>128026</v>
      </c>
      <c r="O177" s="305"/>
    </row>
    <row r="178" spans="1:15">
      <c r="A178" t="s">
        <v>1806</v>
      </c>
      <c r="B178" t="s">
        <v>1803</v>
      </c>
      <c r="C178" t="s">
        <v>1804</v>
      </c>
      <c r="D178">
        <v>492840</v>
      </c>
      <c r="J178" t="s">
        <v>1727</v>
      </c>
      <c r="K178">
        <v>249600</v>
      </c>
      <c r="N178" s="305">
        <v>138694</v>
      </c>
      <c r="O178" s="305"/>
    </row>
    <row r="179" spans="1:15">
      <c r="J179" t="s">
        <v>1727</v>
      </c>
      <c r="K179">
        <v>288642</v>
      </c>
      <c r="N179" s="305">
        <v>138694</v>
      </c>
      <c r="O179" s="305"/>
    </row>
    <row r="180" spans="1:15">
      <c r="A180" t="s">
        <v>1808</v>
      </c>
      <c r="B180" t="s">
        <v>1803</v>
      </c>
      <c r="C180" t="s">
        <v>1804</v>
      </c>
      <c r="D180">
        <v>358214.40000000002</v>
      </c>
      <c r="J180" t="s">
        <v>1727</v>
      </c>
      <c r="K180">
        <v>96000</v>
      </c>
      <c r="N180" s="305">
        <v>138694</v>
      </c>
      <c r="O180" s="305"/>
    </row>
    <row r="181" spans="1:15">
      <c r="A181" t="s">
        <v>1808</v>
      </c>
      <c r="B181" t="s">
        <v>1803</v>
      </c>
      <c r="C181" t="s">
        <v>1804</v>
      </c>
      <c r="D181">
        <v>1001565.6</v>
      </c>
      <c r="J181" s="1230" t="s">
        <v>1727</v>
      </c>
      <c r="K181" s="1230">
        <f>SUM(K175:K180)</f>
        <v>1175682</v>
      </c>
      <c r="N181" s="305">
        <v>138694</v>
      </c>
      <c r="O181" s="305"/>
    </row>
    <row r="182" spans="1:15">
      <c r="A182" t="s">
        <v>1812</v>
      </c>
      <c r="B182" t="s">
        <v>1803</v>
      </c>
      <c r="C182" t="s">
        <v>1804</v>
      </c>
      <c r="D182">
        <v>1076960.3999999999</v>
      </c>
      <c r="N182" s="305">
        <v>138694</v>
      </c>
      <c r="O182" s="305"/>
    </row>
    <row r="183" spans="1:15">
      <c r="A183" t="s">
        <v>1812</v>
      </c>
      <c r="B183" t="s">
        <v>1803</v>
      </c>
      <c r="C183" t="s">
        <v>1804</v>
      </c>
      <c r="D183">
        <v>2037066</v>
      </c>
      <c r="N183" s="305">
        <v>138694</v>
      </c>
      <c r="O183" s="305"/>
    </row>
    <row r="184" spans="1:15">
      <c r="A184" t="s">
        <v>1802</v>
      </c>
      <c r="B184" t="s">
        <v>1803</v>
      </c>
      <c r="C184" t="s">
        <v>1804</v>
      </c>
      <c r="D184">
        <v>500115.6</v>
      </c>
      <c r="N184" s="305">
        <v>127400</v>
      </c>
      <c r="O184" s="305"/>
    </row>
    <row r="185" spans="1:15">
      <c r="A185" t="s">
        <v>1802</v>
      </c>
      <c r="B185" t="s">
        <v>1803</v>
      </c>
      <c r="C185" t="s">
        <v>1804</v>
      </c>
      <c r="D185">
        <v>1574551.2</v>
      </c>
      <c r="N185" s="305">
        <v>126028</v>
      </c>
      <c r="O185" s="305"/>
    </row>
    <row r="186" spans="1:15">
      <c r="J186" t="s">
        <v>1663</v>
      </c>
      <c r="K186">
        <v>316800</v>
      </c>
      <c r="N186" s="305">
        <v>166720</v>
      </c>
      <c r="O186" s="305"/>
    </row>
    <row r="187" spans="1:15">
      <c r="J187" t="s">
        <v>1951</v>
      </c>
      <c r="K187">
        <v>316800</v>
      </c>
      <c r="N187" s="305">
        <v>74682</v>
      </c>
      <c r="O187" s="305"/>
    </row>
    <row r="188" spans="1:15">
      <c r="J188" t="s">
        <v>1952</v>
      </c>
      <c r="K188">
        <v>316800</v>
      </c>
      <c r="N188" s="305">
        <v>138694</v>
      </c>
      <c r="O188" s="305"/>
    </row>
    <row r="189" spans="1:15">
      <c r="J189" t="s">
        <v>1953</v>
      </c>
      <c r="K189">
        <v>316828.79999999999</v>
      </c>
      <c r="N189" s="305">
        <v>74682</v>
      </c>
      <c r="O189" s="305"/>
    </row>
    <row r="190" spans="1:15">
      <c r="J190" s="1230" t="s">
        <v>1954</v>
      </c>
      <c r="K190" s="1230">
        <f>SUM(K186:K189)</f>
        <v>1267228.8</v>
      </c>
      <c r="N190" s="305">
        <v>74682</v>
      </c>
      <c r="O190" s="305"/>
    </row>
    <row r="191" spans="1:15">
      <c r="N191" s="305">
        <v>138694</v>
      </c>
      <c r="O191" s="305"/>
    </row>
    <row r="192" spans="1:15">
      <c r="N192" s="305">
        <v>154144</v>
      </c>
      <c r="O192" s="305"/>
    </row>
    <row r="193" spans="10:15">
      <c r="N193" s="305">
        <v>166245</v>
      </c>
      <c r="O193" s="305"/>
    </row>
    <row r="194" spans="10:15">
      <c r="N194" s="305">
        <v>138694</v>
      </c>
      <c r="O194" s="305"/>
    </row>
    <row r="195" spans="10:15">
      <c r="J195" t="s">
        <v>1000</v>
      </c>
      <c r="K195">
        <v>160239.6</v>
      </c>
      <c r="N195" s="305">
        <v>128026</v>
      </c>
      <c r="O195" s="305"/>
    </row>
    <row r="196" spans="10:15">
      <c r="J196" t="s">
        <v>1000</v>
      </c>
      <c r="K196">
        <v>200559.6</v>
      </c>
      <c r="N196" s="305">
        <v>187200</v>
      </c>
      <c r="O196" s="305"/>
    </row>
    <row r="197" spans="10:15">
      <c r="J197" s="1230" t="s">
        <v>1000</v>
      </c>
      <c r="K197" s="1230">
        <f>SUM(K195:K196)</f>
        <v>360799.2</v>
      </c>
      <c r="N197" s="305">
        <v>128026</v>
      </c>
      <c r="O197" s="305"/>
    </row>
    <row r="198" spans="10:15">
      <c r="N198" s="305">
        <v>138694</v>
      </c>
      <c r="O198" s="305"/>
    </row>
    <row r="199" spans="10:15">
      <c r="N199" s="305">
        <v>187200</v>
      </c>
      <c r="O199" s="305"/>
    </row>
    <row r="200" spans="10:15">
      <c r="N200" s="305">
        <v>138694</v>
      </c>
      <c r="O200" s="305"/>
    </row>
    <row r="201" spans="10:15">
      <c r="N201" s="305">
        <f>834638+148106+150406</f>
        <v>1133150</v>
      </c>
      <c r="O201" s="305"/>
    </row>
    <row r="202" spans="10:15">
      <c r="J202" s="1230" t="s">
        <v>1828</v>
      </c>
      <c r="K202" s="1230">
        <v>349566</v>
      </c>
      <c r="N202" s="24"/>
      <c r="O202" s="24"/>
    </row>
    <row r="207" spans="10:15">
      <c r="J207" t="s">
        <v>1010</v>
      </c>
      <c r="K207">
        <v>911168.4</v>
      </c>
    </row>
    <row r="208" spans="10:15">
      <c r="J208" t="s">
        <v>1010</v>
      </c>
      <c r="K208">
        <v>1138960.5959999999</v>
      </c>
    </row>
    <row r="209" spans="10:11">
      <c r="J209" t="s">
        <v>1010</v>
      </c>
      <c r="K209">
        <v>1138960.5959999999</v>
      </c>
    </row>
    <row r="210" spans="10:11">
      <c r="J210" t="s">
        <v>1010</v>
      </c>
      <c r="K210">
        <v>1204800</v>
      </c>
    </row>
    <row r="211" spans="10:11">
      <c r="J211" t="s">
        <v>1010</v>
      </c>
      <c r="K211">
        <v>1366752.7200000002</v>
      </c>
    </row>
    <row r="212" spans="10:11">
      <c r="J212" s="1230" t="s">
        <v>1010</v>
      </c>
      <c r="K212" s="1230">
        <f>SUM(K207:K211)</f>
        <v>5760642.3120000008</v>
      </c>
    </row>
    <row r="217" spans="10:11">
      <c r="J217" t="s">
        <v>998</v>
      </c>
      <c r="K217">
        <v>270000</v>
      </c>
    </row>
    <row r="218" spans="10:11">
      <c r="J218" t="s">
        <v>998</v>
      </c>
      <c r="K218">
        <v>271698</v>
      </c>
    </row>
    <row r="219" spans="10:11">
      <c r="J219" t="s">
        <v>998</v>
      </c>
      <c r="K219">
        <v>241965.6</v>
      </c>
    </row>
    <row r="220" spans="10:11">
      <c r="J220" t="s">
        <v>998</v>
      </c>
      <c r="K220">
        <v>393276</v>
      </c>
    </row>
    <row r="221" spans="10:11">
      <c r="J221" t="s">
        <v>998</v>
      </c>
      <c r="K221">
        <v>453276</v>
      </c>
    </row>
    <row r="222" spans="10:11">
      <c r="J222" s="1230" t="s">
        <v>998</v>
      </c>
      <c r="K222" s="1230">
        <f>SUM(K217:K221)</f>
        <v>1630215.6</v>
      </c>
    </row>
    <row r="226" spans="10:11">
      <c r="J226" t="s">
        <v>1656</v>
      </c>
      <c r="K226">
        <v>962400</v>
      </c>
    </row>
    <row r="227" spans="10:11">
      <c r="J227" t="s">
        <v>1656</v>
      </c>
      <c r="K227">
        <v>1562702.4</v>
      </c>
    </row>
    <row r="228" spans="10:11">
      <c r="J228" s="1230" t="s">
        <v>1656</v>
      </c>
      <c r="K228" s="1230">
        <f>SUM(K226:K227)</f>
        <v>2525102.4</v>
      </c>
    </row>
    <row r="232" spans="10:11">
      <c r="J232" s="1230" t="s">
        <v>1076</v>
      </c>
      <c r="K232" s="1230">
        <v>450098.4</v>
      </c>
    </row>
    <row r="235" spans="10:11">
      <c r="J235" t="s">
        <v>1343</v>
      </c>
      <c r="K235">
        <v>116520</v>
      </c>
    </row>
    <row r="236" spans="10:11">
      <c r="J236" t="s">
        <v>1343</v>
      </c>
      <c r="K236">
        <v>395952</v>
      </c>
    </row>
    <row r="237" spans="10:11">
      <c r="J237" t="s">
        <v>1343</v>
      </c>
      <c r="K237">
        <v>112140</v>
      </c>
    </row>
    <row r="238" spans="10:11">
      <c r="J238" s="1230" t="s">
        <v>1343</v>
      </c>
      <c r="K238" s="1230">
        <f>SUM(K235:K237)</f>
        <v>624612</v>
      </c>
    </row>
    <row r="242" spans="10:11">
      <c r="J242" t="s">
        <v>1652</v>
      </c>
      <c r="K242">
        <v>158820</v>
      </c>
    </row>
    <row r="243" spans="10:11">
      <c r="J243" t="s">
        <v>1652</v>
      </c>
      <c r="K243">
        <v>199494</v>
      </c>
    </row>
    <row r="244" spans="10:11">
      <c r="J244" s="1230" t="s">
        <v>1652</v>
      </c>
      <c r="K244" s="1230">
        <f>SUM(K242:K243)</f>
        <v>358314</v>
      </c>
    </row>
    <row r="248" spans="10:11">
      <c r="J248" t="s">
        <v>1870</v>
      </c>
      <c r="K248">
        <v>296646</v>
      </c>
    </row>
    <row r="249" spans="10:11">
      <c r="J249" t="s">
        <v>1870</v>
      </c>
      <c r="K249">
        <v>299286</v>
      </c>
    </row>
    <row r="250" spans="10:11">
      <c r="J250" s="1230" t="s">
        <v>1870</v>
      </c>
      <c r="K250" s="1230">
        <f>SUM(K248:K249)</f>
        <v>595932</v>
      </c>
    </row>
    <row r="254" spans="10:11">
      <c r="J254" t="s">
        <v>981</v>
      </c>
      <c r="K254">
        <v>198409.2</v>
      </c>
    </row>
    <row r="255" spans="10:11">
      <c r="J255" s="23" t="s">
        <v>981</v>
      </c>
      <c r="K255">
        <v>232011.6</v>
      </c>
    </row>
    <row r="256" spans="10:11">
      <c r="J256" t="s">
        <v>981</v>
      </c>
      <c r="K256">
        <v>360000</v>
      </c>
    </row>
    <row r="257" spans="6:11">
      <c r="J257" s="1231" t="s">
        <v>981</v>
      </c>
      <c r="K257" s="1230">
        <f>SUM(K254:K256)</f>
        <v>790420.8</v>
      </c>
    </row>
    <row r="259" spans="6:11">
      <c r="F259">
        <v>1243670.5164000001</v>
      </c>
    </row>
    <row r="260" spans="6:11">
      <c r="F260">
        <v>1828915.2</v>
      </c>
    </row>
    <row r="261" spans="6:11">
      <c r="J261" s="1230" t="s">
        <v>1819</v>
      </c>
      <c r="K261" s="1230">
        <v>283560</v>
      </c>
    </row>
    <row r="265" spans="6:11">
      <c r="J265" t="s">
        <v>1381</v>
      </c>
      <c r="K265">
        <v>18000</v>
      </c>
    </row>
    <row r="266" spans="6:11">
      <c r="J266" t="s">
        <v>1381</v>
      </c>
      <c r="K266">
        <v>21600</v>
      </c>
    </row>
    <row r="267" spans="6:11">
      <c r="J267" t="s">
        <v>1381</v>
      </c>
      <c r="K267">
        <v>24500.003999999997</v>
      </c>
    </row>
    <row r="268" spans="6:11">
      <c r="J268" t="s">
        <v>1381</v>
      </c>
      <c r="K268">
        <v>28000.008000000002</v>
      </c>
    </row>
    <row r="269" spans="6:11">
      <c r="J269" t="s">
        <v>1381</v>
      </c>
      <c r="K269">
        <v>30000</v>
      </c>
    </row>
    <row r="270" spans="6:11">
      <c r="J270" t="s">
        <v>1381</v>
      </c>
      <c r="K270">
        <v>31500</v>
      </c>
    </row>
    <row r="271" spans="6:11">
      <c r="J271" t="s">
        <v>1381</v>
      </c>
      <c r="K271">
        <v>37500</v>
      </c>
    </row>
    <row r="272" spans="6:11">
      <c r="J272" t="s">
        <v>1381</v>
      </c>
      <c r="K272">
        <v>51000</v>
      </c>
    </row>
    <row r="273" spans="10:11">
      <c r="J273" t="s">
        <v>1381</v>
      </c>
      <c r="K273">
        <v>55700.4</v>
      </c>
    </row>
    <row r="274" spans="10:11">
      <c r="J274" t="s">
        <v>1381</v>
      </c>
      <c r="K274">
        <v>87999.6</v>
      </c>
    </row>
    <row r="275" spans="10:11">
      <c r="J275" t="s">
        <v>1381</v>
      </c>
      <c r="K275">
        <v>94500</v>
      </c>
    </row>
    <row r="276" spans="10:11">
      <c r="J276" t="s">
        <v>1381</v>
      </c>
      <c r="K276">
        <v>137499.99600000001</v>
      </c>
    </row>
    <row r="277" spans="10:11">
      <c r="J277" s="1230" t="s">
        <v>1381</v>
      </c>
      <c r="K277" s="1230">
        <f>SUM(K265:K276)</f>
        <v>617800.00800000003</v>
      </c>
    </row>
    <row r="280" spans="10:11">
      <c r="J280" s="1230" t="s">
        <v>1079</v>
      </c>
      <c r="K280" s="1230">
        <v>301200</v>
      </c>
    </row>
    <row r="286" spans="10:11">
      <c r="J286" s="1230" t="s">
        <v>1849</v>
      </c>
      <c r="K286" s="1230">
        <v>999999.6</v>
      </c>
    </row>
    <row r="293" spans="10:11">
      <c r="J293" s="1230" t="s">
        <v>1632</v>
      </c>
      <c r="K293" s="1230">
        <v>61236</v>
      </c>
    </row>
    <row r="298" spans="10:11">
      <c r="J298" s="1230" t="s">
        <v>1420</v>
      </c>
      <c r="K298" s="1230">
        <v>604800</v>
      </c>
    </row>
    <row r="303" spans="10:11">
      <c r="J303" s="1230" t="s">
        <v>1088</v>
      </c>
      <c r="K303" s="1230">
        <v>296322</v>
      </c>
    </row>
    <row r="307" spans="10:11">
      <c r="J307" t="s">
        <v>1640</v>
      </c>
      <c r="K307">
        <v>146025.60000000001</v>
      </c>
    </row>
    <row r="308" spans="10:11">
      <c r="J308" t="s">
        <v>1640</v>
      </c>
      <c r="K308">
        <v>223868.4</v>
      </c>
    </row>
    <row r="309" spans="10:11">
      <c r="J309" t="s">
        <v>1640</v>
      </c>
      <c r="K309">
        <v>279049.2</v>
      </c>
    </row>
    <row r="310" spans="10:11">
      <c r="J310" t="s">
        <v>1640</v>
      </c>
      <c r="K310">
        <v>281997.59999999998</v>
      </c>
    </row>
    <row r="311" spans="10:11">
      <c r="J311" t="s">
        <v>1640</v>
      </c>
      <c r="K311">
        <v>290906.40000000002</v>
      </c>
    </row>
    <row r="312" spans="10:11">
      <c r="J312" t="s">
        <v>1640</v>
      </c>
      <c r="K312">
        <v>294830.40000000002</v>
      </c>
    </row>
    <row r="313" spans="10:11">
      <c r="J313" t="s">
        <v>1640</v>
      </c>
      <c r="K313">
        <v>295497.24</v>
      </c>
    </row>
    <row r="314" spans="10:11">
      <c r="J314" t="s">
        <v>1640</v>
      </c>
      <c r="K314">
        <v>307243.2</v>
      </c>
    </row>
    <row r="315" spans="10:11">
      <c r="J315" t="s">
        <v>1640</v>
      </c>
      <c r="K315">
        <v>350054.40000000002</v>
      </c>
    </row>
    <row r="316" spans="10:11">
      <c r="J316" t="s">
        <v>1640</v>
      </c>
      <c r="K316">
        <v>435028.8</v>
      </c>
    </row>
    <row r="317" spans="10:11">
      <c r="J317" t="s">
        <v>1640</v>
      </c>
      <c r="K317">
        <v>251211.6</v>
      </c>
    </row>
    <row r="318" spans="10:11">
      <c r="J318" t="s">
        <v>1640</v>
      </c>
      <c r="K318">
        <v>249999.6</v>
      </c>
    </row>
    <row r="319" spans="10:11">
      <c r="J319" s="1230" t="s">
        <v>1640</v>
      </c>
      <c r="K319" s="1230">
        <f>SUM(K307:K318)</f>
        <v>3405712.44</v>
      </c>
    </row>
    <row r="324" spans="10:11">
      <c r="J324" s="1230" t="s">
        <v>1731</v>
      </c>
      <c r="K324" s="1230">
        <v>214999.2</v>
      </c>
    </row>
    <row r="329" spans="10:11">
      <c r="J329" t="s">
        <v>1406</v>
      </c>
      <c r="K329">
        <v>153631.20000000001</v>
      </c>
    </row>
    <row r="330" spans="10:11">
      <c r="J330" t="s">
        <v>1406</v>
      </c>
      <c r="K330">
        <v>153631.20000000001</v>
      </c>
    </row>
    <row r="331" spans="10:11">
      <c r="J331" t="s">
        <v>1406</v>
      </c>
      <c r="K331">
        <v>166432.79999999999</v>
      </c>
    </row>
    <row r="332" spans="10:11">
      <c r="J332" t="s">
        <v>1406</v>
      </c>
      <c r="K332">
        <v>166432.79999999999</v>
      </c>
    </row>
    <row r="333" spans="10:11">
      <c r="J333" t="s">
        <v>1406</v>
      </c>
      <c r="K333">
        <v>224640</v>
      </c>
    </row>
    <row r="334" spans="10:11">
      <c r="J334" t="s">
        <v>1406</v>
      </c>
      <c r="K334">
        <v>224640</v>
      </c>
    </row>
    <row r="335" spans="10:11">
      <c r="J335" t="s">
        <v>1406</v>
      </c>
      <c r="K335">
        <v>89618.4</v>
      </c>
    </row>
    <row r="336" spans="10:11">
      <c r="J336" t="s">
        <v>1406</v>
      </c>
      <c r="K336">
        <v>89618.4</v>
      </c>
    </row>
    <row r="337" spans="10:11">
      <c r="J337" t="s">
        <v>1406</v>
      </c>
      <c r="K337">
        <v>89618.4</v>
      </c>
    </row>
    <row r="338" spans="10:11">
      <c r="J338" t="s">
        <v>1406</v>
      </c>
      <c r="K338">
        <v>153631.20000000001</v>
      </c>
    </row>
    <row r="339" spans="10:11">
      <c r="J339" t="s">
        <v>1406</v>
      </c>
      <c r="K339">
        <v>153631.20000000001</v>
      </c>
    </row>
    <row r="340" spans="10:11">
      <c r="J340" t="s">
        <v>1406</v>
      </c>
      <c r="K340">
        <v>153631.20000000001</v>
      </c>
    </row>
    <row r="341" spans="10:11">
      <c r="J341" t="s">
        <v>1406</v>
      </c>
      <c r="K341">
        <v>153631.20000000001</v>
      </c>
    </row>
    <row r="342" spans="10:11">
      <c r="J342" t="s">
        <v>1406</v>
      </c>
      <c r="K342">
        <v>157455.6</v>
      </c>
    </row>
    <row r="343" spans="10:11">
      <c r="J343" t="s">
        <v>1406</v>
      </c>
      <c r="K343">
        <v>160032</v>
      </c>
    </row>
    <row r="344" spans="10:11">
      <c r="J344" t="s">
        <v>1406</v>
      </c>
      <c r="K344">
        <v>160032</v>
      </c>
    </row>
    <row r="345" spans="10:11">
      <c r="J345" t="s">
        <v>1406</v>
      </c>
      <c r="K345">
        <v>166432.79999999999</v>
      </c>
    </row>
    <row r="346" spans="10:11">
      <c r="J346" t="s">
        <v>1406</v>
      </c>
      <c r="K346">
        <v>166432.79999999999</v>
      </c>
    </row>
    <row r="347" spans="10:11">
      <c r="J347" t="s">
        <v>1406</v>
      </c>
      <c r="K347">
        <v>166432.79999999999</v>
      </c>
    </row>
    <row r="348" spans="10:11">
      <c r="J348" t="s">
        <v>1406</v>
      </c>
      <c r="K348">
        <v>166432.79999999999</v>
      </c>
    </row>
    <row r="349" spans="10:11">
      <c r="J349" t="s">
        <v>1406</v>
      </c>
      <c r="K349">
        <v>166432.79999999999</v>
      </c>
    </row>
    <row r="350" spans="10:11">
      <c r="J350" t="s">
        <v>1406</v>
      </c>
      <c r="K350">
        <v>166432.79999999999</v>
      </c>
    </row>
    <row r="351" spans="10:11">
      <c r="J351" t="s">
        <v>1406</v>
      </c>
      <c r="K351">
        <v>166432.79999999999</v>
      </c>
    </row>
    <row r="352" spans="10:11">
      <c r="J352" t="s">
        <v>1406</v>
      </c>
      <c r="K352">
        <v>166432.79999999999</v>
      </c>
    </row>
    <row r="353" spans="10:11">
      <c r="J353" t="s">
        <v>1406</v>
      </c>
      <c r="K353">
        <v>166432.79999999999</v>
      </c>
    </row>
    <row r="354" spans="10:11">
      <c r="J354" t="s">
        <v>1406</v>
      </c>
      <c r="K354">
        <v>166432.79999999999</v>
      </c>
    </row>
    <row r="355" spans="10:11">
      <c r="J355" t="s">
        <v>1406</v>
      </c>
      <c r="K355">
        <v>166432.79999999999</v>
      </c>
    </row>
    <row r="356" spans="10:11">
      <c r="J356" t="s">
        <v>1406</v>
      </c>
      <c r="K356">
        <v>166432.79999999999</v>
      </c>
    </row>
    <row r="357" spans="10:11">
      <c r="J357" t="s">
        <v>1406</v>
      </c>
      <c r="K357">
        <v>166432.79999999999</v>
      </c>
    </row>
    <row r="358" spans="10:11">
      <c r="J358" t="s">
        <v>1406</v>
      </c>
      <c r="K358">
        <v>166432.79999999999</v>
      </c>
    </row>
    <row r="359" spans="10:11">
      <c r="J359" t="s">
        <v>1406</v>
      </c>
      <c r="K359">
        <v>166432.79999999999</v>
      </c>
    </row>
    <row r="360" spans="10:11">
      <c r="J360" t="s">
        <v>1406</v>
      </c>
      <c r="K360">
        <v>166432.79999999999</v>
      </c>
    </row>
    <row r="361" spans="10:11">
      <c r="J361" t="s">
        <v>1406</v>
      </c>
      <c r="K361">
        <v>166432.79999999999</v>
      </c>
    </row>
    <row r="362" spans="10:11">
      <c r="J362" t="s">
        <v>1406</v>
      </c>
      <c r="K362">
        <v>166432.79999999999</v>
      </c>
    </row>
    <row r="363" spans="10:11">
      <c r="J363" t="s">
        <v>1406</v>
      </c>
      <c r="K363">
        <v>166432.79999999999</v>
      </c>
    </row>
    <row r="364" spans="10:11">
      <c r="J364" t="s">
        <v>1406</v>
      </c>
      <c r="K364">
        <v>179235.6</v>
      </c>
    </row>
    <row r="365" spans="10:11">
      <c r="J365" t="s">
        <v>1406</v>
      </c>
      <c r="K365">
        <v>184972.79999999999</v>
      </c>
    </row>
    <row r="366" spans="10:11">
      <c r="J366" t="s">
        <v>1406</v>
      </c>
      <c r="K366">
        <v>200064</v>
      </c>
    </row>
    <row r="367" spans="10:11">
      <c r="J367" s="1230" t="s">
        <v>1406</v>
      </c>
      <c r="K367" s="1230">
        <f>SUM(K329:K366)</f>
        <v>6176803.1999999955</v>
      </c>
    </row>
  </sheetData>
  <sortState ref="M11:O340">
    <sortCondition descending="1" ref="O11"/>
  </sortState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E34"/>
  <sheetViews>
    <sheetView tabSelected="1" topLeftCell="A20" workbookViewId="0">
      <selection sqref="A1:E34"/>
    </sheetView>
  </sheetViews>
  <sheetFormatPr defaultRowHeight="12.75"/>
  <cols>
    <col min="1" max="1" width="3.85546875" customWidth="1"/>
    <col min="2" max="2" width="6.5703125" customWidth="1"/>
    <col min="3" max="3" width="52.28515625" customWidth="1"/>
    <col min="4" max="4" width="12.7109375" style="74" customWidth="1"/>
    <col min="5" max="5" width="14" style="74" customWidth="1"/>
  </cols>
  <sheetData>
    <row r="1" spans="2:5">
      <c r="D1" s="74" t="str">
        <f>'Kopertina '!F4</f>
        <v>Ameti</v>
      </c>
    </row>
    <row r="3" spans="2:5" ht="15.75">
      <c r="B3" s="1729" t="s">
        <v>72</v>
      </c>
      <c r="C3" s="1729"/>
      <c r="D3" s="1729"/>
      <c r="E3" s="75">
        <f>'Kopertina '!F29</f>
        <v>2011</v>
      </c>
    </row>
    <row r="4" spans="2:5" ht="15.75">
      <c r="B4" s="51"/>
      <c r="C4" s="51"/>
      <c r="D4" s="76"/>
      <c r="E4" s="75"/>
    </row>
    <row r="5" spans="2:5" ht="13.5" thickBot="1"/>
    <row r="6" spans="2:5" ht="20.25" customHeight="1">
      <c r="B6" s="1735" t="s">
        <v>1</v>
      </c>
      <c r="C6" s="1733" t="s">
        <v>72</v>
      </c>
      <c r="D6" s="1738" t="s">
        <v>832</v>
      </c>
      <c r="E6" s="1738" t="s">
        <v>880</v>
      </c>
    </row>
    <row r="7" spans="2:5" ht="19.5" customHeight="1" thickBot="1">
      <c r="B7" s="1736"/>
      <c r="C7" s="1737"/>
      <c r="D7" s="1739"/>
      <c r="E7" s="1739"/>
    </row>
    <row r="8" spans="2:5" ht="31.5" customHeight="1">
      <c r="B8" s="511" t="s">
        <v>73</v>
      </c>
      <c r="C8" s="512" t="s">
        <v>74</v>
      </c>
      <c r="D8" s="513">
        <f>D9-D10-D11-D12-D13</f>
        <v>23663475.842879571</v>
      </c>
      <c r="E8" s="514">
        <f>E9-E10+E11-E12-E13</f>
        <v>-43216339</v>
      </c>
    </row>
    <row r="9" spans="2:5" ht="21" customHeight="1">
      <c r="B9" s="234"/>
      <c r="C9" s="119" t="s">
        <v>75</v>
      </c>
      <c r="D9" s="411">
        <f>'Ardh e shp - natyres'!E8+'AKTIVI '!F12+'AKTIVI '!F13-'AKTIVI '!E13-'AKTIVI '!E12-'Ardh e shp - natyres'!I36</f>
        <v>146493787.07631776</v>
      </c>
      <c r="E9" s="235">
        <v>77896868</v>
      </c>
    </row>
    <row r="10" spans="2:5" ht="24.75" customHeight="1">
      <c r="B10" s="234"/>
      <c r="C10" s="119" t="s">
        <v>76</v>
      </c>
      <c r="D10" s="119">
        <f>+T!AJ27+T!AM27+T!AP27/2+S!P30+S!T22-S!T53+'PASIVI '!F13+'PASIVI '!F14+'PASIVI '!F15+'PASIVI '!F16-'PASIVI '!E16-'PASIVI '!E15-'PASIVI '!E14-'PASIVI '!E13</f>
        <v>75326250.17310001</v>
      </c>
      <c r="E10" s="235">
        <v>103295780</v>
      </c>
    </row>
    <row r="11" spans="2:5" ht="24" customHeight="1">
      <c r="B11" s="234"/>
      <c r="C11" s="119" t="s">
        <v>77</v>
      </c>
      <c r="D11" s="119">
        <v>0</v>
      </c>
      <c r="E11" s="235"/>
    </row>
    <row r="12" spans="2:5" ht="23.25" customHeight="1">
      <c r="B12" s="234"/>
      <c r="C12" s="119" t="s">
        <v>284</v>
      </c>
      <c r="D12" s="119">
        <f>'C3'!F26+'P -Ardh Analiz '!V29+'PASIVI '!F18-'PASIVI '!E18+6533</f>
        <v>8584756.2780000009</v>
      </c>
      <c r="E12" s="235">
        <v>13412141</v>
      </c>
    </row>
    <row r="13" spans="2:5" ht="26.25" customHeight="1">
      <c r="B13" s="234"/>
      <c r="C13" s="119" t="s">
        <v>335</v>
      </c>
      <c r="D13" s="120">
        <f>+'Ardh e shp - natyres'!E24+'Ardh e shp - natyres'!E25-'AKTIVI '!F23-'AKTIVI '!F28</f>
        <v>38919304.78233818</v>
      </c>
      <c r="E13" s="235">
        <v>4405286</v>
      </c>
    </row>
    <row r="14" spans="2:5" ht="25.5" customHeight="1">
      <c r="B14" s="234"/>
      <c r="C14" s="236" t="s">
        <v>78</v>
      </c>
      <c r="D14" s="236" t="s">
        <v>134</v>
      </c>
      <c r="E14" s="237"/>
    </row>
    <row r="15" spans="2:5" ht="33" customHeight="1">
      <c r="B15" s="515" t="s">
        <v>79</v>
      </c>
      <c r="C15" s="214" t="s">
        <v>141</v>
      </c>
      <c r="D15" s="516">
        <f>D16-D17+D18-D19-D20</f>
        <v>6241158.7818840565</v>
      </c>
      <c r="E15" s="517">
        <f>E16-E17+E18-E19-E20</f>
        <v>391781</v>
      </c>
    </row>
    <row r="16" spans="2:5" ht="26.25" customHeight="1">
      <c r="B16" s="234"/>
      <c r="C16" s="119" t="s">
        <v>80</v>
      </c>
      <c r="D16" s="119"/>
      <c r="E16" s="235"/>
    </row>
    <row r="17" spans="2:5" ht="22.5" customHeight="1">
      <c r="B17" s="234"/>
      <c r="C17" s="119" t="s">
        <v>81</v>
      </c>
      <c r="D17" s="120">
        <f>+S!P53+S!T53</f>
        <v>214999.2</v>
      </c>
      <c r="E17" s="235">
        <v>1484400</v>
      </c>
    </row>
    <row r="18" spans="2:5" ht="25.5" customHeight="1">
      <c r="B18" s="234"/>
      <c r="C18" s="119" t="s">
        <v>372</v>
      </c>
      <c r="D18" s="120">
        <f>'AKTIVI '!F32-'AKTIVI '!E32</f>
        <v>6456157.9818840567</v>
      </c>
      <c r="E18" s="235">
        <v>1876181</v>
      </c>
    </row>
    <row r="19" spans="2:5" ht="22.5" customHeight="1">
      <c r="B19" s="234"/>
      <c r="C19" s="119" t="s">
        <v>82</v>
      </c>
      <c r="D19" s="119"/>
      <c r="E19" s="235"/>
    </row>
    <row r="20" spans="2:5" ht="22.5" customHeight="1">
      <c r="B20" s="234"/>
      <c r="C20" s="119" t="s">
        <v>83</v>
      </c>
      <c r="D20" s="119"/>
      <c r="E20" s="235"/>
    </row>
    <row r="21" spans="2:5" ht="20.25" customHeight="1">
      <c r="B21" s="234"/>
      <c r="C21" s="236" t="s">
        <v>140</v>
      </c>
      <c r="D21" s="238"/>
      <c r="E21" s="239"/>
    </row>
    <row r="22" spans="2:5" ht="30.75" customHeight="1">
      <c r="B22" s="515" t="s">
        <v>84</v>
      </c>
      <c r="C22" s="214" t="s">
        <v>85</v>
      </c>
      <c r="D22" s="516">
        <f>D23+D24-D25-D26-D27</f>
        <v>-28612248.25</v>
      </c>
      <c r="E22" s="517">
        <f>E23+E24-E25-E26-E27</f>
        <v>39186630</v>
      </c>
    </row>
    <row r="23" spans="2:5" ht="22.5" customHeight="1">
      <c r="B23" s="240"/>
      <c r="C23" s="119" t="s">
        <v>86</v>
      </c>
      <c r="D23" s="119"/>
      <c r="E23" s="235"/>
    </row>
    <row r="24" spans="2:5" ht="22.5" customHeight="1">
      <c r="B24" s="240"/>
      <c r="C24" s="119" t="s">
        <v>87</v>
      </c>
      <c r="D24" s="119">
        <f>'PASIVI '!E9-'PASIVI '!F9+'PASIVI '!E20-'PASIVI '!F20+'PASIVI '!E29-'PASIVI '!F29</f>
        <v>-28612248.25</v>
      </c>
      <c r="E24" s="235">
        <v>39186630</v>
      </c>
    </row>
    <row r="25" spans="2:5" ht="23.25" customHeight="1">
      <c r="B25" s="240"/>
      <c r="C25" s="119" t="s">
        <v>878</v>
      </c>
      <c r="D25" s="119">
        <f>'Ardh e shp - natyres'!E31</f>
        <v>0</v>
      </c>
      <c r="E25" s="235"/>
    </row>
    <row r="26" spans="2:5" ht="22.5" customHeight="1">
      <c r="B26" s="241"/>
      <c r="C26" s="119" t="s">
        <v>89</v>
      </c>
      <c r="D26" s="119">
        <f>'Pasq e ndrysh te kap 2'!D10</f>
        <v>0</v>
      </c>
      <c r="E26" s="235"/>
    </row>
    <row r="27" spans="2:5" ht="21.75" customHeight="1">
      <c r="B27" s="241"/>
      <c r="C27" s="119" t="s">
        <v>90</v>
      </c>
      <c r="D27" s="119"/>
      <c r="E27" s="235"/>
    </row>
    <row r="28" spans="2:5" ht="25.5" customHeight="1">
      <c r="B28" s="518"/>
      <c r="C28" s="519" t="s">
        <v>142</v>
      </c>
      <c r="D28" s="520">
        <f>D8+D15+D22</f>
        <v>1292386.3747636266</v>
      </c>
      <c r="E28" s="521">
        <f>E8+E15+E22</f>
        <v>-3637928</v>
      </c>
    </row>
    <row r="29" spans="2:5" ht="29.25" customHeight="1">
      <c r="B29" s="241"/>
      <c r="C29" s="238" t="s">
        <v>92</v>
      </c>
      <c r="D29" s="120">
        <f>'AKTIVI '!F7</f>
        <v>1188175</v>
      </c>
      <c r="E29" s="315">
        <v>4826104</v>
      </c>
    </row>
    <row r="30" spans="2:5" ht="30" customHeight="1" thickBot="1">
      <c r="B30" s="522"/>
      <c r="C30" s="523" t="s">
        <v>91</v>
      </c>
      <c r="D30" s="524">
        <f>D28+D29</f>
        <v>2480561.3747636266</v>
      </c>
      <c r="E30" s="525">
        <f>E28+E29</f>
        <v>1188176</v>
      </c>
    </row>
    <row r="32" spans="2:5">
      <c r="D32" s="74">
        <f>'AKTIVI '!E7</f>
        <v>2480561.8326999997</v>
      </c>
      <c r="E32" s="74">
        <f>'AKTIVI '!F7</f>
        <v>1188175</v>
      </c>
    </row>
    <row r="34" spans="4:5">
      <c r="D34" s="74">
        <f>D30-D32</f>
        <v>-0.45793637307360768</v>
      </c>
      <c r="E34" s="74">
        <f>E30-E32</f>
        <v>1</v>
      </c>
    </row>
  </sheetData>
  <mergeCells count="5">
    <mergeCell ref="B3:D3"/>
    <mergeCell ref="B6:B7"/>
    <mergeCell ref="C6:C7"/>
    <mergeCell ref="D6:D7"/>
    <mergeCell ref="E6:E7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J18" sqref="A1:J18"/>
    </sheetView>
  </sheetViews>
  <sheetFormatPr defaultRowHeight="12.75"/>
  <cols>
    <col min="1" max="1" width="3.7109375" customWidth="1"/>
    <col min="2" max="2" width="5.42578125" customWidth="1"/>
    <col min="3" max="3" width="28.85546875" customWidth="1"/>
    <col min="4" max="4" width="15.5703125" style="74" hidden="1" customWidth="1"/>
    <col min="5" max="5" width="15.5703125" style="74" customWidth="1"/>
    <col min="6" max="6" width="15.140625" style="74" customWidth="1"/>
    <col min="7" max="7" width="17.140625" style="74" customWidth="1"/>
    <col min="8" max="8" width="19.42578125" style="74" customWidth="1"/>
    <col min="9" max="9" width="17.85546875" style="74" customWidth="1"/>
    <col min="10" max="10" width="16" style="74" customWidth="1"/>
    <col min="11" max="11" width="6" customWidth="1"/>
  </cols>
  <sheetData>
    <row r="1" spans="1:10">
      <c r="H1" s="74" t="str">
        <f>'Kopertina '!F4</f>
        <v>Ameti</v>
      </c>
    </row>
    <row r="2" spans="1:10" ht="27" customHeight="1">
      <c r="A2" s="1740" t="s">
        <v>93</v>
      </c>
      <c r="B2" s="1740"/>
      <c r="C2" s="1740"/>
      <c r="D2" s="1740"/>
      <c r="E2" s="1740"/>
      <c r="F2" s="1740"/>
      <c r="G2" s="1740"/>
      <c r="H2" s="1740"/>
      <c r="I2" s="82">
        <f>'Kopertina '!F29</f>
        <v>2011</v>
      </c>
      <c r="J2" s="83" t="s">
        <v>285</v>
      </c>
    </row>
    <row r="4" spans="1:10" ht="13.5" thickBot="1">
      <c r="C4" s="21" t="s">
        <v>114</v>
      </c>
    </row>
    <row r="5" spans="1:10" ht="42" customHeight="1" thickBot="1">
      <c r="B5" s="243" t="s">
        <v>1</v>
      </c>
      <c r="C5" s="244" t="s">
        <v>97</v>
      </c>
      <c r="D5" s="244" t="s">
        <v>98</v>
      </c>
      <c r="E5" s="409" t="s">
        <v>809</v>
      </c>
      <c r="F5" s="244" t="s">
        <v>99</v>
      </c>
      <c r="G5" s="244" t="s">
        <v>336</v>
      </c>
      <c r="H5" s="244" t="s">
        <v>106</v>
      </c>
      <c r="I5" s="244" t="s">
        <v>100</v>
      </c>
      <c r="J5" s="245" t="s">
        <v>95</v>
      </c>
    </row>
    <row r="6" spans="1:10" ht="33.75" customHeight="1" thickBot="1">
      <c r="B6" s="534" t="s">
        <v>4</v>
      </c>
      <c r="C6" s="535" t="s">
        <v>378</v>
      </c>
      <c r="D6" s="536"/>
      <c r="E6" s="536">
        <f>'PASIVI '!F39</f>
        <v>206926731</v>
      </c>
      <c r="F6" s="536">
        <v>0</v>
      </c>
      <c r="G6" s="536">
        <v>0</v>
      </c>
      <c r="H6" s="536">
        <f>'PASIVI '!F45</f>
        <v>10890881</v>
      </c>
      <c r="I6" s="536">
        <f>'PASIVI '!F47</f>
        <v>91667373</v>
      </c>
      <c r="J6" s="537">
        <f>E6+F6+G6+H6+I6</f>
        <v>309484985</v>
      </c>
    </row>
    <row r="7" spans="1:10" ht="31.5" customHeight="1">
      <c r="B7" s="246" t="s">
        <v>73</v>
      </c>
      <c r="C7" s="247" t="s">
        <v>101</v>
      </c>
      <c r="D7" s="248">
        <v>0</v>
      </c>
      <c r="E7" s="248"/>
      <c r="F7" s="248"/>
      <c r="G7" s="248"/>
      <c r="H7" s="248"/>
      <c r="I7" s="248"/>
      <c r="J7" s="532">
        <f t="shared" ref="J7:J12" si="0">D7+F7+G7+H7+I7</f>
        <v>0</v>
      </c>
    </row>
    <row r="8" spans="1:10" ht="30.75" customHeight="1">
      <c r="B8" s="241" t="s">
        <v>79</v>
      </c>
      <c r="C8" s="236" t="s">
        <v>96</v>
      </c>
      <c r="D8" s="119">
        <f>D9-D10+D11+D12</f>
        <v>0</v>
      </c>
      <c r="E8" s="119">
        <f>E9-E10</f>
        <v>71188222</v>
      </c>
      <c r="F8" s="119"/>
      <c r="G8" s="119"/>
      <c r="H8" s="119"/>
      <c r="I8" s="119"/>
      <c r="J8" s="533">
        <f t="shared" si="0"/>
        <v>0</v>
      </c>
    </row>
    <row r="9" spans="1:10" ht="29.25" customHeight="1">
      <c r="B9" s="241">
        <v>1</v>
      </c>
      <c r="C9" s="119" t="s">
        <v>102</v>
      </c>
      <c r="D9" s="119"/>
      <c r="E9" s="119">
        <f>'PASIVI '!F48</f>
        <v>71188222</v>
      </c>
      <c r="F9" s="119"/>
      <c r="G9" s="119"/>
      <c r="H9" s="119"/>
      <c r="I9" s="119"/>
      <c r="J9" s="533">
        <f t="shared" si="0"/>
        <v>0</v>
      </c>
    </row>
    <row r="10" spans="1:10" ht="29.25" customHeight="1">
      <c r="B10" s="241">
        <v>2</v>
      </c>
      <c r="C10" s="119" t="s">
        <v>103</v>
      </c>
      <c r="D10" s="119">
        <v>0</v>
      </c>
      <c r="E10" s="119">
        <v>0</v>
      </c>
      <c r="F10" s="119"/>
      <c r="G10" s="119"/>
      <c r="H10" s="119"/>
      <c r="I10" s="119"/>
      <c r="J10" s="533">
        <f t="shared" si="0"/>
        <v>0</v>
      </c>
    </row>
    <row r="11" spans="1:10" ht="28.5" customHeight="1">
      <c r="B11" s="241">
        <v>3</v>
      </c>
      <c r="C11" s="119" t="s">
        <v>143</v>
      </c>
      <c r="D11" s="119">
        <v>0</v>
      </c>
      <c r="E11" s="119"/>
      <c r="F11" s="119"/>
      <c r="G11" s="119"/>
      <c r="H11" s="119"/>
      <c r="I11" s="119"/>
      <c r="J11" s="533">
        <f t="shared" si="0"/>
        <v>0</v>
      </c>
    </row>
    <row r="12" spans="1:10" ht="30.75" customHeight="1" thickBot="1">
      <c r="B12" s="242">
        <v>4</v>
      </c>
      <c r="C12" s="250" t="s">
        <v>250</v>
      </c>
      <c r="D12" s="250"/>
      <c r="E12" s="250"/>
      <c r="F12" s="250"/>
      <c r="G12" s="250"/>
      <c r="H12" s="250"/>
      <c r="I12" s="250"/>
      <c r="J12" s="526">
        <f t="shared" si="0"/>
        <v>0</v>
      </c>
    </row>
    <row r="13" spans="1:10" ht="37.5" customHeight="1" thickBot="1">
      <c r="B13" s="538" t="s">
        <v>19</v>
      </c>
      <c r="C13" s="539" t="s">
        <v>473</v>
      </c>
      <c r="D13" s="540">
        <f>D6</f>
        <v>0</v>
      </c>
      <c r="E13" s="540">
        <f>E6</f>
        <v>206926731</v>
      </c>
      <c r="F13" s="540">
        <f>F6</f>
        <v>0</v>
      </c>
      <c r="G13" s="540">
        <f>G6</f>
        <v>0</v>
      </c>
      <c r="H13" s="540">
        <f>H6</f>
        <v>10890881</v>
      </c>
      <c r="I13" s="540">
        <f>I6+E8</f>
        <v>162855595</v>
      </c>
      <c r="J13" s="541">
        <f>D13+F13+G13+H13+I13+E13</f>
        <v>380673207</v>
      </c>
    </row>
    <row r="14" spans="1:10" ht="33" customHeight="1">
      <c r="B14" s="246">
        <v>1</v>
      </c>
      <c r="C14" s="248" t="s">
        <v>102</v>
      </c>
      <c r="D14" s="248">
        <f>'Ardh e shp - natyres'!E38</f>
        <v>66470756.990859233</v>
      </c>
      <c r="E14" s="248">
        <f>'Ardh e shp - natyres'!E38</f>
        <v>66470756.990859233</v>
      </c>
      <c r="F14" s="248"/>
      <c r="G14" s="248"/>
      <c r="H14" s="248"/>
      <c r="I14" s="248">
        <v>0</v>
      </c>
      <c r="J14" s="532">
        <f>D14+F14+G14+H14+I14</f>
        <v>66470756.990859233</v>
      </c>
    </row>
    <row r="15" spans="1:10" ht="28.5" customHeight="1">
      <c r="B15" s="241">
        <v>2</v>
      </c>
      <c r="C15" s="119" t="s">
        <v>103</v>
      </c>
      <c r="D15" s="119"/>
      <c r="E15" s="119"/>
      <c r="F15" s="119"/>
      <c r="G15" s="119"/>
      <c r="H15" s="119"/>
      <c r="I15" s="119"/>
      <c r="J15" s="533">
        <f>D15+F15+G15+H15+I15</f>
        <v>0</v>
      </c>
    </row>
    <row r="16" spans="1:10" ht="31.5" customHeight="1">
      <c r="B16" s="241">
        <v>3</v>
      </c>
      <c r="C16" s="119" t="s">
        <v>104</v>
      </c>
      <c r="D16" s="119">
        <v>0</v>
      </c>
      <c r="E16" s="119"/>
      <c r="F16" s="119"/>
      <c r="G16" s="119"/>
      <c r="H16" s="119"/>
      <c r="I16" s="119"/>
      <c r="J16" s="533">
        <f>D16+F16+G16+H16+I16</f>
        <v>0</v>
      </c>
    </row>
    <row r="17" spans="2:10" ht="24.75" customHeight="1" thickBot="1">
      <c r="B17" s="242">
        <v>4</v>
      </c>
      <c r="C17" s="250" t="s">
        <v>105</v>
      </c>
      <c r="D17" s="250">
        <v>0</v>
      </c>
      <c r="E17" s="250"/>
      <c r="F17" s="250"/>
      <c r="G17" s="250"/>
      <c r="H17" s="250"/>
      <c r="I17" s="250"/>
      <c r="J17" s="526">
        <f>D17+F17+G17+H17+I17</f>
        <v>0</v>
      </c>
    </row>
    <row r="18" spans="2:10" ht="36.75" customHeight="1" thickBot="1">
      <c r="B18" s="542" t="s">
        <v>45</v>
      </c>
      <c r="C18" s="543" t="s">
        <v>810</v>
      </c>
      <c r="D18" s="544">
        <f>D13</f>
        <v>0</v>
      </c>
      <c r="E18" s="544">
        <f>E13</f>
        <v>206926731</v>
      </c>
      <c r="F18" s="544">
        <f>F13</f>
        <v>0</v>
      </c>
      <c r="G18" s="544">
        <f>G13</f>
        <v>0</v>
      </c>
      <c r="H18" s="544">
        <f>H13</f>
        <v>10890881</v>
      </c>
      <c r="I18" s="544">
        <f>+I13+E14</f>
        <v>229326351.99085924</v>
      </c>
      <c r="J18" s="545">
        <f>D18+F18+G18+H18+I18+E18</f>
        <v>447143963.99085927</v>
      </c>
    </row>
  </sheetData>
  <mergeCells count="1">
    <mergeCell ref="A2:H2"/>
  </mergeCells>
  <phoneticPr fontId="7" type="noConversion"/>
  <pageMargins left="0.25" right="0.25" top="0.25" bottom="0.25" header="0.25" footer="0.2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J64"/>
  <sheetViews>
    <sheetView workbookViewId="0">
      <selection activeCell="J64" sqref="A1:J64"/>
    </sheetView>
  </sheetViews>
  <sheetFormatPr defaultRowHeight="12.75"/>
  <cols>
    <col min="1" max="1" width="5.140625" customWidth="1"/>
    <col min="8" max="8" width="12.85546875" customWidth="1"/>
    <col min="9" max="9" width="16.42578125" customWidth="1"/>
    <col min="10" max="10" width="6.85546875" customWidth="1"/>
    <col min="11" max="11" width="5.140625" customWidth="1"/>
  </cols>
  <sheetData>
    <row r="1" spans="2:10" ht="13.5" thickBot="1"/>
    <row r="2" spans="2:10">
      <c r="B2" s="18"/>
      <c r="C2" s="19"/>
      <c r="D2" s="19"/>
      <c r="E2" s="19"/>
      <c r="F2" s="19"/>
      <c r="G2" s="19"/>
      <c r="H2" s="19"/>
      <c r="I2" s="19"/>
      <c r="J2" s="20"/>
    </row>
    <row r="3" spans="2:10">
      <c r="B3" s="5"/>
      <c r="C3" s="1"/>
      <c r="D3" s="1741" t="s">
        <v>144</v>
      </c>
      <c r="E3" s="1741"/>
      <c r="F3" s="1741"/>
      <c r="G3" s="1741"/>
      <c r="H3" s="1741"/>
      <c r="I3" s="1"/>
      <c r="J3" s="6"/>
    </row>
    <row r="4" spans="2:10">
      <c r="B4" s="5"/>
      <c r="C4" s="1"/>
      <c r="D4" s="1"/>
      <c r="E4" s="1"/>
      <c r="F4" s="1"/>
      <c r="G4" s="1"/>
      <c r="H4" s="1"/>
      <c r="I4" s="1"/>
      <c r="J4" s="6"/>
    </row>
    <row r="5" spans="2:10">
      <c r="B5" s="5"/>
      <c r="C5" s="35" t="s">
        <v>107</v>
      </c>
      <c r="D5" s="36"/>
      <c r="E5" s="36"/>
      <c r="F5" s="36"/>
      <c r="G5" s="36"/>
      <c r="H5" s="36"/>
      <c r="I5" s="37"/>
      <c r="J5" s="6"/>
    </row>
    <row r="6" spans="2:10">
      <c r="B6" s="5"/>
      <c r="C6" s="45" t="s">
        <v>146</v>
      </c>
      <c r="D6" s="43"/>
      <c r="E6" s="43"/>
      <c r="F6" s="43"/>
      <c r="G6" s="43"/>
      <c r="H6" s="43"/>
      <c r="I6" s="46"/>
      <c r="J6" s="6"/>
    </row>
    <row r="7" spans="2:10">
      <c r="B7" s="5"/>
      <c r="C7" s="45" t="s">
        <v>108</v>
      </c>
      <c r="D7" s="43"/>
      <c r="E7" s="43"/>
      <c r="F7" s="43"/>
      <c r="G7" s="43"/>
      <c r="H7" s="43"/>
      <c r="I7" s="46"/>
      <c r="J7" s="6"/>
    </row>
    <row r="8" spans="2:10">
      <c r="B8" s="5"/>
      <c r="C8" s="45" t="s">
        <v>147</v>
      </c>
      <c r="D8" s="43"/>
      <c r="E8" s="43"/>
      <c r="F8" s="43"/>
      <c r="G8" s="43"/>
      <c r="H8" s="43"/>
      <c r="I8" s="46"/>
      <c r="J8" s="6"/>
    </row>
    <row r="9" spans="2:10">
      <c r="B9" s="5"/>
      <c r="C9" s="47" t="s">
        <v>110</v>
      </c>
      <c r="D9" s="1" t="s">
        <v>109</v>
      </c>
      <c r="E9" s="43"/>
      <c r="F9" s="43"/>
      <c r="G9" s="43"/>
      <c r="H9" s="43"/>
      <c r="I9" s="46"/>
      <c r="J9" s="44"/>
    </row>
    <row r="10" spans="2:10">
      <c r="B10" s="5"/>
      <c r="C10" s="47" t="s">
        <v>111</v>
      </c>
      <c r="D10" s="1" t="s">
        <v>113</v>
      </c>
      <c r="E10" s="1"/>
      <c r="F10" s="1"/>
      <c r="G10" s="1"/>
      <c r="H10" s="1"/>
      <c r="I10" s="41"/>
      <c r="J10" s="6"/>
    </row>
    <row r="11" spans="2:10">
      <c r="B11" s="5"/>
      <c r="C11" s="48" t="s">
        <v>112</v>
      </c>
      <c r="D11" s="38" t="s">
        <v>145</v>
      </c>
      <c r="E11" s="38"/>
      <c r="F11" s="38"/>
      <c r="G11" s="38"/>
      <c r="H11" s="38"/>
      <c r="I11" s="39"/>
      <c r="J11" s="6"/>
    </row>
    <row r="12" spans="2:10">
      <c r="B12" s="5"/>
      <c r="C12" s="1"/>
      <c r="D12" s="1"/>
      <c r="E12" s="1"/>
      <c r="F12" s="1"/>
      <c r="G12" s="1"/>
      <c r="H12" s="1"/>
      <c r="I12" s="1"/>
      <c r="J12" s="6"/>
    </row>
    <row r="13" spans="2:10" ht="15.75">
      <c r="B13" s="60" t="s">
        <v>287</v>
      </c>
      <c r="C13" s="57" t="s">
        <v>288</v>
      </c>
      <c r="D13" s="1"/>
      <c r="E13" s="1"/>
      <c r="F13" s="1"/>
      <c r="G13" s="1"/>
      <c r="H13" s="1"/>
      <c r="I13" s="1"/>
      <c r="J13" s="6"/>
    </row>
    <row r="14" spans="2:10">
      <c r="B14" s="61"/>
      <c r="C14" s="1"/>
      <c r="D14" s="1"/>
      <c r="E14" s="1"/>
      <c r="F14" s="1"/>
      <c r="G14" s="1"/>
      <c r="H14" s="1"/>
      <c r="I14" s="1"/>
      <c r="J14" s="6"/>
    </row>
    <row r="15" spans="2:10">
      <c r="B15" s="62">
        <v>1</v>
      </c>
      <c r="C15" s="58" t="s">
        <v>289</v>
      </c>
      <c r="D15" s="1"/>
      <c r="E15" s="1"/>
      <c r="F15" s="1"/>
      <c r="G15" s="1"/>
      <c r="H15" s="1"/>
      <c r="I15" s="1"/>
      <c r="J15" s="6"/>
    </row>
    <row r="16" spans="2:10">
      <c r="B16" s="62">
        <v>2</v>
      </c>
      <c r="C16" s="30" t="s">
        <v>290</v>
      </c>
      <c r="D16" s="1"/>
      <c r="E16" s="1"/>
      <c r="F16" s="1"/>
      <c r="G16" s="1"/>
      <c r="H16" s="1"/>
      <c r="I16" s="1"/>
      <c r="J16" s="6"/>
    </row>
    <row r="17" spans="2:10">
      <c r="B17" s="63">
        <v>3</v>
      </c>
      <c r="C17" s="30" t="s">
        <v>291</v>
      </c>
      <c r="D17" s="1"/>
      <c r="E17" s="1"/>
      <c r="F17" s="1"/>
      <c r="G17" s="1"/>
      <c r="H17" s="1"/>
      <c r="I17" s="1"/>
      <c r="J17" s="6"/>
    </row>
    <row r="18" spans="2:10">
      <c r="B18" s="63">
        <v>4</v>
      </c>
      <c r="C18" s="30" t="s">
        <v>292</v>
      </c>
      <c r="D18" s="1"/>
      <c r="E18" s="1"/>
      <c r="F18" s="1"/>
      <c r="G18" s="1"/>
      <c r="H18" s="1"/>
      <c r="I18" s="1"/>
      <c r="J18" s="6"/>
    </row>
    <row r="19" spans="2:10">
      <c r="B19" s="63"/>
      <c r="C19" s="58" t="s">
        <v>293</v>
      </c>
      <c r="D19" s="1"/>
      <c r="E19" s="1"/>
      <c r="F19" s="1"/>
      <c r="G19" s="1"/>
      <c r="H19" s="1"/>
      <c r="I19" s="1"/>
      <c r="J19" s="6"/>
    </row>
    <row r="20" spans="2:10">
      <c r="B20" s="63" t="s">
        <v>294</v>
      </c>
      <c r="C20" s="30"/>
      <c r="D20" s="1"/>
      <c r="E20" s="1"/>
      <c r="F20" s="1"/>
      <c r="G20" s="1"/>
      <c r="H20" s="1"/>
      <c r="I20" s="1"/>
      <c r="J20" s="6"/>
    </row>
    <row r="21" spans="2:10">
      <c r="B21" s="63"/>
      <c r="C21" s="58" t="s">
        <v>295</v>
      </c>
      <c r="D21" s="1"/>
      <c r="E21" s="1"/>
      <c r="F21" s="1"/>
      <c r="G21" s="1"/>
      <c r="H21" s="1"/>
      <c r="I21" s="1"/>
      <c r="J21" s="6"/>
    </row>
    <row r="22" spans="2:10">
      <c r="B22" s="63" t="s">
        <v>296</v>
      </c>
      <c r="C22" s="30"/>
      <c r="D22" s="1"/>
      <c r="E22" s="1"/>
      <c r="F22" s="1"/>
      <c r="G22" s="1"/>
      <c r="H22" s="1"/>
      <c r="I22" s="1"/>
      <c r="J22" s="6"/>
    </row>
    <row r="23" spans="2:10">
      <c r="B23" s="63"/>
      <c r="C23" s="58" t="s">
        <v>297</v>
      </c>
      <c r="D23" s="1"/>
      <c r="E23" s="1"/>
      <c r="F23" s="1"/>
      <c r="G23" s="1"/>
      <c r="H23" s="1"/>
      <c r="I23" s="1"/>
      <c r="J23" s="6"/>
    </row>
    <row r="24" spans="2:10">
      <c r="B24" s="63" t="s">
        <v>298</v>
      </c>
      <c r="C24" s="30"/>
      <c r="D24" s="1"/>
      <c r="E24" s="1"/>
      <c r="F24" s="1"/>
      <c r="G24" s="1"/>
      <c r="H24" s="1"/>
      <c r="I24" s="1"/>
      <c r="J24" s="6"/>
    </row>
    <row r="25" spans="2:10">
      <c r="B25" s="63"/>
      <c r="C25" s="30" t="s">
        <v>299</v>
      </c>
      <c r="D25" s="1"/>
      <c r="E25" s="1"/>
      <c r="F25" s="1"/>
      <c r="G25" s="1"/>
      <c r="H25" s="1"/>
      <c r="I25" s="1"/>
      <c r="J25" s="6"/>
    </row>
    <row r="26" spans="2:10">
      <c r="B26" s="63" t="s">
        <v>300</v>
      </c>
      <c r="C26" s="30"/>
      <c r="D26" s="1"/>
      <c r="E26" s="1"/>
      <c r="F26" s="1"/>
      <c r="G26" s="1"/>
      <c r="H26" s="1"/>
      <c r="I26" s="1"/>
      <c r="J26" s="6"/>
    </row>
    <row r="27" spans="2:10">
      <c r="B27" s="64" t="s">
        <v>301</v>
      </c>
      <c r="C27" s="30"/>
      <c r="D27" s="1"/>
      <c r="E27" s="1"/>
      <c r="F27" s="1"/>
      <c r="G27" s="1"/>
      <c r="H27" s="1"/>
      <c r="I27" s="1"/>
      <c r="J27" s="6"/>
    </row>
    <row r="28" spans="2:10">
      <c r="B28" s="63"/>
      <c r="C28" s="30" t="s">
        <v>302</v>
      </c>
      <c r="D28" s="1"/>
      <c r="E28" s="1"/>
      <c r="F28" s="1"/>
      <c r="G28" s="1"/>
      <c r="H28" s="1"/>
      <c r="I28" s="1"/>
      <c r="J28" s="6"/>
    </row>
    <row r="29" spans="2:10">
      <c r="B29" s="64" t="s">
        <v>303</v>
      </c>
      <c r="C29" s="30"/>
      <c r="D29" s="1"/>
      <c r="E29" s="1"/>
      <c r="F29" s="1"/>
      <c r="G29" s="1"/>
      <c r="H29" s="1"/>
      <c r="I29" s="1"/>
      <c r="J29" s="6"/>
    </row>
    <row r="30" spans="2:10">
      <c r="B30" s="63"/>
      <c r="C30" s="30" t="s">
        <v>304</v>
      </c>
      <c r="D30" s="1"/>
      <c r="E30" s="1"/>
      <c r="F30" s="1"/>
      <c r="G30" s="1"/>
      <c r="H30" s="1"/>
      <c r="I30" s="1"/>
      <c r="J30" s="6"/>
    </row>
    <row r="31" spans="2:10">
      <c r="B31" s="64" t="s">
        <v>305</v>
      </c>
      <c r="C31" s="30"/>
      <c r="D31" s="1"/>
      <c r="E31" s="1"/>
      <c r="F31" s="1"/>
      <c r="G31" s="1"/>
      <c r="H31" s="1"/>
      <c r="I31" s="1"/>
      <c r="J31" s="6"/>
    </row>
    <row r="32" spans="2:10">
      <c r="B32" s="63" t="s">
        <v>306</v>
      </c>
      <c r="C32" s="30" t="s">
        <v>307</v>
      </c>
      <c r="D32" s="1"/>
      <c r="E32" s="1"/>
      <c r="F32" s="1"/>
      <c r="G32" s="1"/>
      <c r="H32" s="1"/>
      <c r="I32" s="1"/>
      <c r="J32" s="6"/>
    </row>
    <row r="33" spans="2:10">
      <c r="B33" s="63"/>
      <c r="C33" s="58" t="s">
        <v>308</v>
      </c>
      <c r="D33" s="1"/>
      <c r="E33" s="1"/>
      <c r="F33" s="1"/>
      <c r="G33" s="1"/>
      <c r="H33" s="1"/>
      <c r="I33" s="1"/>
      <c r="J33" s="6"/>
    </row>
    <row r="34" spans="2:10">
      <c r="B34" s="63"/>
      <c r="C34" s="58" t="s">
        <v>309</v>
      </c>
      <c r="D34" s="1"/>
      <c r="E34" s="1"/>
      <c r="F34" s="1"/>
      <c r="G34" s="1"/>
      <c r="H34" s="1"/>
      <c r="I34" s="1"/>
      <c r="J34" s="6"/>
    </row>
    <row r="35" spans="2:10">
      <c r="B35" s="63"/>
      <c r="C35" s="58" t="s">
        <v>310</v>
      </c>
      <c r="D35" s="1"/>
      <c r="E35" s="1"/>
      <c r="F35" s="1"/>
      <c r="G35" s="1"/>
      <c r="H35" s="1"/>
      <c r="I35" s="1"/>
      <c r="J35" s="6"/>
    </row>
    <row r="36" spans="2:10">
      <c r="B36" s="63"/>
      <c r="C36" s="58" t="s">
        <v>311</v>
      </c>
      <c r="D36" s="1"/>
      <c r="E36" s="1"/>
      <c r="F36" s="1"/>
      <c r="G36" s="1"/>
      <c r="H36" s="1"/>
      <c r="I36" s="1"/>
      <c r="J36" s="6"/>
    </row>
    <row r="37" spans="2:10">
      <c r="B37" s="63"/>
      <c r="C37" s="58" t="s">
        <v>312</v>
      </c>
      <c r="D37" s="1"/>
      <c r="E37" s="1"/>
      <c r="F37" s="1"/>
      <c r="G37" s="1"/>
      <c r="H37" s="1"/>
      <c r="I37" s="1"/>
      <c r="J37" s="6"/>
    </row>
    <row r="38" spans="2:10">
      <c r="B38" s="63"/>
      <c r="C38" s="58" t="s">
        <v>313</v>
      </c>
      <c r="D38" s="1"/>
      <c r="E38" s="1"/>
      <c r="F38" s="1"/>
      <c r="G38" s="1"/>
      <c r="H38" s="1"/>
      <c r="I38" s="1"/>
      <c r="J38" s="6"/>
    </row>
    <row r="39" spans="2:10">
      <c r="B39" s="63"/>
      <c r="C39" s="30"/>
      <c r="D39" s="1"/>
      <c r="E39" s="1"/>
      <c r="F39" s="1"/>
      <c r="G39" s="1"/>
      <c r="H39" s="1"/>
      <c r="I39" s="1"/>
      <c r="J39" s="6"/>
    </row>
    <row r="40" spans="2:10" ht="15.75">
      <c r="B40" s="60" t="s">
        <v>314</v>
      </c>
      <c r="C40" s="57" t="s">
        <v>315</v>
      </c>
      <c r="D40" s="1"/>
      <c r="E40" s="1"/>
      <c r="F40" s="1"/>
      <c r="G40" s="1"/>
      <c r="H40" s="1"/>
      <c r="I40" s="1"/>
      <c r="J40" s="6"/>
    </row>
    <row r="41" spans="2:10">
      <c r="B41" s="63"/>
      <c r="C41" s="30"/>
      <c r="D41" s="1"/>
      <c r="E41" s="1"/>
      <c r="F41" s="1"/>
      <c r="G41" s="1"/>
      <c r="H41" s="1"/>
      <c r="I41" s="1"/>
      <c r="J41" s="6"/>
    </row>
    <row r="42" spans="2:10">
      <c r="B42" s="63"/>
      <c r="C42" s="58" t="s">
        <v>316</v>
      </c>
      <c r="D42" s="1"/>
      <c r="E42" s="1"/>
      <c r="F42" s="1"/>
      <c r="G42" s="1"/>
      <c r="H42" s="1"/>
      <c r="I42" s="1"/>
      <c r="J42" s="6"/>
    </row>
    <row r="43" spans="2:10">
      <c r="B43" s="63" t="s">
        <v>317</v>
      </c>
      <c r="C43" s="30"/>
      <c r="D43" s="1"/>
      <c r="E43" s="1"/>
      <c r="F43" s="1"/>
      <c r="G43" s="1"/>
      <c r="H43" s="1"/>
      <c r="I43" s="1"/>
      <c r="J43" s="6"/>
    </row>
    <row r="44" spans="2:10">
      <c r="B44" s="63"/>
      <c r="C44" s="30" t="s">
        <v>318</v>
      </c>
      <c r="D44" s="1"/>
      <c r="E44" s="1"/>
      <c r="F44" s="1"/>
      <c r="G44" s="1"/>
      <c r="H44" s="1"/>
      <c r="I44" s="1"/>
      <c r="J44" s="6"/>
    </row>
    <row r="45" spans="2:10">
      <c r="B45" s="63" t="s">
        <v>319</v>
      </c>
      <c r="C45" s="30"/>
      <c r="D45" s="1"/>
      <c r="E45" s="1"/>
      <c r="F45" s="1"/>
      <c r="G45" s="1"/>
      <c r="H45" s="1"/>
      <c r="I45" s="1"/>
      <c r="J45" s="6"/>
    </row>
    <row r="46" spans="2:10">
      <c r="B46" s="63"/>
      <c r="C46" s="30" t="s">
        <v>320</v>
      </c>
      <c r="D46" s="1"/>
      <c r="E46" s="1"/>
      <c r="F46" s="1"/>
      <c r="G46" s="1"/>
      <c r="H46" s="1"/>
      <c r="I46" s="1"/>
      <c r="J46" s="6"/>
    </row>
    <row r="47" spans="2:10">
      <c r="B47" s="63" t="s">
        <v>321</v>
      </c>
      <c r="C47" s="30"/>
      <c r="D47" s="1"/>
      <c r="E47" s="1"/>
      <c r="F47" s="1"/>
      <c r="G47" s="1"/>
      <c r="H47" s="1"/>
      <c r="I47" s="1"/>
      <c r="J47" s="6"/>
    </row>
    <row r="48" spans="2:10">
      <c r="B48" s="63"/>
      <c r="C48" s="30" t="s">
        <v>322</v>
      </c>
      <c r="D48" s="1"/>
      <c r="E48" s="1"/>
      <c r="F48" s="1"/>
      <c r="G48" s="1"/>
      <c r="H48" s="1"/>
      <c r="I48" s="1"/>
      <c r="J48" s="6"/>
    </row>
    <row r="49" spans="2:10">
      <c r="B49" s="63" t="s">
        <v>323</v>
      </c>
      <c r="C49" s="30"/>
      <c r="D49" s="1"/>
      <c r="E49" s="1"/>
      <c r="F49" s="1"/>
      <c r="G49" s="1"/>
      <c r="H49" s="1"/>
      <c r="I49" s="1"/>
      <c r="J49" s="6"/>
    </row>
    <row r="50" spans="2:10">
      <c r="B50" s="63"/>
      <c r="C50" s="30" t="s">
        <v>324</v>
      </c>
      <c r="D50" s="1"/>
      <c r="E50" s="1"/>
      <c r="F50" s="1"/>
      <c r="G50" s="1"/>
      <c r="H50" s="1"/>
      <c r="I50" s="1"/>
      <c r="J50" s="6"/>
    </row>
    <row r="51" spans="2:10">
      <c r="B51" s="63" t="s">
        <v>325</v>
      </c>
      <c r="C51" s="30"/>
      <c r="D51" s="1"/>
      <c r="E51" s="1"/>
      <c r="F51" s="1"/>
      <c r="G51" s="1"/>
      <c r="H51" s="1"/>
      <c r="I51" s="1"/>
      <c r="J51" s="6"/>
    </row>
    <row r="52" spans="2:10">
      <c r="B52" s="63" t="s">
        <v>326</v>
      </c>
      <c r="C52" s="30"/>
      <c r="D52" s="1"/>
      <c r="E52" s="1"/>
      <c r="F52" s="1"/>
      <c r="G52" s="1"/>
      <c r="H52" s="1"/>
      <c r="I52" s="1"/>
      <c r="J52" s="6"/>
    </row>
    <row r="53" spans="2:10">
      <c r="B53" s="63" t="s">
        <v>327</v>
      </c>
      <c r="C53" s="30"/>
      <c r="D53" s="1"/>
      <c r="E53" s="1"/>
      <c r="F53" s="1"/>
      <c r="G53" s="1"/>
      <c r="H53" s="1"/>
      <c r="I53" s="1"/>
      <c r="J53" s="6"/>
    </row>
    <row r="54" spans="2:10">
      <c r="B54" s="63"/>
      <c r="C54" s="30" t="s">
        <v>328</v>
      </c>
      <c r="D54" s="1"/>
      <c r="E54" s="1"/>
      <c r="F54" s="1"/>
      <c r="G54" s="1"/>
      <c r="H54" s="1"/>
      <c r="I54" s="1"/>
      <c r="J54" s="6"/>
    </row>
    <row r="55" spans="2:10">
      <c r="B55" s="63"/>
      <c r="C55" s="30" t="s">
        <v>329</v>
      </c>
      <c r="D55" s="1"/>
      <c r="E55" s="1"/>
      <c r="F55" s="1"/>
      <c r="G55" s="1"/>
      <c r="H55" s="1"/>
      <c r="I55" s="1"/>
      <c r="J55" s="6"/>
    </row>
    <row r="56" spans="2:10">
      <c r="B56" s="65"/>
      <c r="C56" s="59" t="s">
        <v>330</v>
      </c>
      <c r="D56" s="1"/>
      <c r="E56" s="1"/>
      <c r="F56" s="1"/>
      <c r="G56" s="1"/>
      <c r="H56" s="1"/>
      <c r="I56" s="1"/>
      <c r="J56" s="6"/>
    </row>
    <row r="57" spans="2:10">
      <c r="B57" s="63"/>
      <c r="C57" s="30" t="s">
        <v>331</v>
      </c>
      <c r="D57" s="1"/>
      <c r="E57" s="1"/>
      <c r="F57" s="1"/>
      <c r="G57" s="1"/>
      <c r="H57" s="1"/>
      <c r="I57" s="1"/>
      <c r="J57" s="6"/>
    </row>
    <row r="58" spans="2:10">
      <c r="B58" s="63" t="s">
        <v>332</v>
      </c>
      <c r="C58" s="30"/>
      <c r="D58" s="1"/>
      <c r="E58" s="1"/>
      <c r="F58" s="1"/>
      <c r="G58" s="1"/>
      <c r="H58" s="1"/>
      <c r="I58" s="1"/>
      <c r="J58" s="6"/>
    </row>
    <row r="59" spans="2:10">
      <c r="B59" s="63"/>
      <c r="C59" s="30"/>
      <c r="D59" s="1"/>
      <c r="E59" s="1"/>
      <c r="F59" s="1"/>
      <c r="G59" s="1"/>
      <c r="H59" s="1"/>
      <c r="I59" s="1"/>
      <c r="J59" s="6"/>
    </row>
    <row r="60" spans="2:10">
      <c r="B60" s="5"/>
      <c r="C60" s="56" t="s">
        <v>333</v>
      </c>
      <c r="D60" s="1"/>
      <c r="E60" s="1"/>
      <c r="F60" s="1"/>
      <c r="G60" s="1"/>
      <c r="H60" s="1"/>
      <c r="I60" s="1"/>
      <c r="J60" s="6"/>
    </row>
    <row r="61" spans="2:10">
      <c r="B61" s="4" t="s">
        <v>334</v>
      </c>
      <c r="C61" s="1"/>
      <c r="D61" s="1"/>
      <c r="E61" s="1"/>
      <c r="F61" s="1"/>
      <c r="G61" s="1"/>
      <c r="H61" s="1"/>
      <c r="I61" s="1"/>
      <c r="J61" s="6"/>
    </row>
    <row r="62" spans="2:10">
      <c r="B62" s="5"/>
      <c r="C62" s="1"/>
      <c r="D62" s="1"/>
      <c r="E62" s="1"/>
      <c r="F62" s="1"/>
      <c r="G62" s="1"/>
      <c r="H62" s="1"/>
      <c r="I62" s="1"/>
      <c r="J62" s="6"/>
    </row>
    <row r="63" spans="2:10">
      <c r="B63" s="5"/>
      <c r="C63" s="1"/>
      <c r="D63" s="1"/>
      <c r="E63" s="1"/>
      <c r="F63" s="1"/>
      <c r="G63" s="1"/>
      <c r="H63" s="1"/>
      <c r="I63" s="1"/>
      <c r="J63" s="6"/>
    </row>
    <row r="64" spans="2:10" ht="13.5" thickBot="1">
      <c r="B64" s="7"/>
      <c r="C64" s="8"/>
      <c r="D64" s="8"/>
      <c r="E64" s="8"/>
      <c r="F64" s="8"/>
      <c r="G64" s="8"/>
      <c r="H64" s="8"/>
      <c r="I64" s="8"/>
      <c r="J64" s="9"/>
    </row>
  </sheetData>
  <mergeCells count="1">
    <mergeCell ref="D3:H3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15"/>
  <sheetViews>
    <sheetView workbookViewId="0">
      <selection activeCell="I323" sqref="A1:I323"/>
    </sheetView>
  </sheetViews>
  <sheetFormatPr defaultRowHeight="12.75"/>
  <cols>
    <col min="1" max="1" width="3.7109375" customWidth="1"/>
    <col min="2" max="2" width="11.28515625" customWidth="1"/>
    <col min="3" max="3" width="14.5703125" customWidth="1"/>
    <col min="4" max="4" width="10.85546875" customWidth="1"/>
    <col min="5" max="5" width="11.28515625" customWidth="1"/>
    <col min="6" max="6" width="10.85546875" customWidth="1"/>
    <col min="7" max="7" width="12.42578125" customWidth="1"/>
    <col min="8" max="8" width="10.5703125" customWidth="1"/>
    <col min="9" max="9" width="12.85546875" bestFit="1" customWidth="1"/>
    <col min="10" max="10" width="7.42578125" customWidth="1"/>
    <col min="11" max="11" width="6.140625" customWidth="1"/>
  </cols>
  <sheetData>
    <row r="1" spans="1:6" ht="18">
      <c r="B1" s="145"/>
      <c r="D1" s="146" t="s">
        <v>395</v>
      </c>
    </row>
    <row r="2" spans="1:6" ht="15.75">
      <c r="B2" s="147" t="s">
        <v>396</v>
      </c>
      <c r="C2" s="21"/>
      <c r="D2" s="21"/>
    </row>
    <row r="3" spans="1:6" ht="15.75">
      <c r="B3" s="147" t="s">
        <v>879</v>
      </c>
      <c r="C3" s="21"/>
      <c r="D3" s="21"/>
    </row>
    <row r="4" spans="1:6">
      <c r="B4" s="85"/>
      <c r="C4" s="85"/>
    </row>
    <row r="5" spans="1:6">
      <c r="B5" s="148" t="s">
        <v>131</v>
      </c>
      <c r="C5" s="85"/>
      <c r="E5" s="143" t="str">
        <f>'Kopertina '!F4</f>
        <v>Ameti</v>
      </c>
      <c r="F5" s="143"/>
    </row>
    <row r="6" spans="1:6" ht="13.5">
      <c r="B6" s="148" t="s">
        <v>366</v>
      </c>
      <c r="C6" s="85"/>
      <c r="D6" s="149"/>
      <c r="E6" s="640" t="str">
        <f>'Kopertina '!E49</f>
        <v>25.02.2003</v>
      </c>
      <c r="F6" s="143"/>
    </row>
    <row r="7" spans="1:6" ht="13.5">
      <c r="B7" s="148" t="s">
        <v>397</v>
      </c>
      <c r="C7" s="85"/>
      <c r="D7" s="149"/>
      <c r="E7" s="143" t="s">
        <v>463</v>
      </c>
      <c r="F7" s="143"/>
    </row>
    <row r="8" spans="1:6">
      <c r="B8" s="148" t="s">
        <v>398</v>
      </c>
      <c r="C8" s="85"/>
      <c r="E8" s="143" t="s">
        <v>464</v>
      </c>
      <c r="F8" s="143"/>
    </row>
    <row r="9" spans="1:6">
      <c r="B9" s="148" t="s">
        <v>399</v>
      </c>
      <c r="C9" s="85"/>
      <c r="E9" s="143" t="str">
        <f>'Kopertina '!E56</f>
        <v>Feriat Mehilli</v>
      </c>
      <c r="F9" s="143"/>
    </row>
    <row r="10" spans="1:6">
      <c r="B10" s="148" t="s">
        <v>400</v>
      </c>
      <c r="C10" s="85"/>
      <c r="E10" s="143" t="str">
        <f>+'Kopertina '!E54:G54</f>
        <v>Ndertim</v>
      </c>
      <c r="F10" s="143"/>
    </row>
    <row r="11" spans="1:6">
      <c r="B11" s="148" t="s">
        <v>401</v>
      </c>
      <c r="C11" s="85"/>
      <c r="E11" s="143" t="str">
        <f>+'Kopertina '!D44</f>
        <v>K36823207C</v>
      </c>
      <c r="F11" s="143"/>
    </row>
    <row r="12" spans="1:6">
      <c r="B12" s="148" t="s">
        <v>402</v>
      </c>
      <c r="C12" s="85"/>
      <c r="E12" s="364">
        <f>T!AT27/12</f>
        <v>10.916666666666666</v>
      </c>
      <c r="F12" s="143"/>
    </row>
    <row r="14" spans="1:6" ht="21">
      <c r="A14" s="85"/>
      <c r="B14" s="150" t="s">
        <v>403</v>
      </c>
      <c r="C14" s="85"/>
    </row>
    <row r="15" spans="1:6" ht="15.75">
      <c r="A15" s="151" t="s">
        <v>404</v>
      </c>
      <c r="B15" s="152"/>
      <c r="C15" s="85"/>
    </row>
    <row r="16" spans="1:6">
      <c r="A16" s="148" t="s">
        <v>843</v>
      </c>
      <c r="B16" s="148"/>
      <c r="C16" s="85"/>
    </row>
    <row r="17" spans="1:3">
      <c r="A17" s="148" t="s">
        <v>405</v>
      </c>
      <c r="B17" s="148"/>
      <c r="C17" s="85"/>
    </row>
    <row r="18" spans="1:3">
      <c r="A18" s="148" t="s">
        <v>406</v>
      </c>
      <c r="B18" s="148"/>
      <c r="C18" s="85"/>
    </row>
    <row r="19" spans="1:3">
      <c r="A19" s="148"/>
      <c r="B19" s="148"/>
      <c r="C19" s="85"/>
    </row>
    <row r="20" spans="1:3">
      <c r="A20" s="148" t="s">
        <v>844</v>
      </c>
      <c r="B20" s="148"/>
      <c r="C20" s="85"/>
    </row>
    <row r="21" spans="1:3">
      <c r="A21" s="148"/>
      <c r="B21" s="148"/>
      <c r="C21" s="85"/>
    </row>
    <row r="22" spans="1:3">
      <c r="A22" s="148" t="s">
        <v>467</v>
      </c>
      <c r="B22" s="148"/>
      <c r="C22" s="85"/>
    </row>
    <row r="23" spans="1:3">
      <c r="A23" s="148" t="s">
        <v>851</v>
      </c>
      <c r="B23" s="148"/>
      <c r="C23" s="85"/>
    </row>
    <row r="24" spans="1:3">
      <c r="A24" s="85"/>
      <c r="B24" s="85"/>
      <c r="C24" s="85"/>
    </row>
    <row r="25" spans="1:3" ht="15.75">
      <c r="A25" s="151" t="s">
        <v>407</v>
      </c>
      <c r="B25" s="85"/>
      <c r="C25" s="85"/>
    </row>
    <row r="26" spans="1:3">
      <c r="A26" s="85"/>
      <c r="B26" s="85"/>
      <c r="C26" s="85"/>
    </row>
    <row r="27" spans="1:3">
      <c r="A27" s="148" t="s">
        <v>845</v>
      </c>
      <c r="B27" s="148"/>
      <c r="C27" s="85"/>
    </row>
    <row r="28" spans="1:3">
      <c r="A28" s="148" t="s">
        <v>408</v>
      </c>
      <c r="B28" s="148"/>
      <c r="C28" s="85"/>
    </row>
    <row r="29" spans="1:3">
      <c r="A29" s="148" t="s">
        <v>409</v>
      </c>
      <c r="B29" s="148"/>
      <c r="C29" s="85"/>
    </row>
    <row r="30" spans="1:3">
      <c r="A30" s="148"/>
      <c r="B30" s="148"/>
      <c r="C30" s="85"/>
    </row>
    <row r="31" spans="1:3">
      <c r="A31" s="148" t="s">
        <v>410</v>
      </c>
      <c r="B31" s="148"/>
      <c r="C31" s="85"/>
    </row>
    <row r="32" spans="1:3">
      <c r="A32" s="148" t="s">
        <v>411</v>
      </c>
      <c r="B32" s="148"/>
      <c r="C32" s="85"/>
    </row>
    <row r="33" spans="1:7">
      <c r="A33" s="148" t="s">
        <v>412</v>
      </c>
      <c r="B33" s="148"/>
      <c r="C33" s="85"/>
    </row>
    <row r="34" spans="1:7">
      <c r="A34" s="148" t="s">
        <v>413</v>
      </c>
      <c r="B34" s="148"/>
      <c r="C34" s="85"/>
    </row>
    <row r="35" spans="1:7">
      <c r="A35" s="85"/>
      <c r="B35" s="85"/>
      <c r="C35" s="85"/>
    </row>
    <row r="36" spans="1:7" ht="15">
      <c r="A36" s="153" t="s">
        <v>414</v>
      </c>
      <c r="B36" s="85"/>
      <c r="C36" s="85"/>
    </row>
    <row r="37" spans="1:7">
      <c r="A37" s="154" t="s">
        <v>846</v>
      </c>
      <c r="B37" s="85"/>
      <c r="C37" s="85"/>
    </row>
    <row r="38" spans="1:7" ht="13.5" thickBot="1">
      <c r="B38" s="1"/>
      <c r="C38" s="1"/>
      <c r="D38" s="1751" t="s">
        <v>248</v>
      </c>
      <c r="E38" s="1751"/>
      <c r="F38" s="1751"/>
      <c r="G38" s="1"/>
    </row>
    <row r="39" spans="1:7">
      <c r="B39" s="548" t="s">
        <v>1</v>
      </c>
      <c r="C39" s="548" t="s">
        <v>246</v>
      </c>
      <c r="D39" s="549" t="s">
        <v>247</v>
      </c>
      <c r="E39" s="550" t="s">
        <v>247</v>
      </c>
    </row>
    <row r="40" spans="1:7" ht="13.5" thickBot="1">
      <c r="B40" s="552"/>
      <c r="C40" s="552"/>
      <c r="D40" s="553" t="s">
        <v>847</v>
      </c>
      <c r="E40" s="554" t="s">
        <v>848</v>
      </c>
    </row>
    <row r="41" spans="1:7">
      <c r="B41" s="557">
        <v>1</v>
      </c>
      <c r="C41" s="546" t="str">
        <f>'A2'!D11</f>
        <v xml:space="preserve">EURO </v>
      </c>
      <c r="D41" s="546"/>
      <c r="E41" s="558">
        <f>'A2'!I11</f>
        <v>2422854.4526999998</v>
      </c>
    </row>
    <row r="42" spans="1:7">
      <c r="B42" s="547">
        <v>2</v>
      </c>
      <c r="C42" s="189" t="str">
        <f>'A2'!D16</f>
        <v xml:space="preserve">LEKE </v>
      </c>
      <c r="D42" s="189"/>
      <c r="E42" s="559">
        <f>'A2'!I16</f>
        <v>57707.38</v>
      </c>
    </row>
    <row r="43" spans="1:7">
      <c r="B43" s="547">
        <v>3</v>
      </c>
      <c r="C43" s="189" t="str">
        <f>'A2'!D21</f>
        <v xml:space="preserve">U S D </v>
      </c>
      <c r="D43" s="189"/>
      <c r="E43" s="559">
        <f>'A2'!I21</f>
        <v>0</v>
      </c>
    </row>
    <row r="44" spans="1:7" ht="13.5" thickBot="1">
      <c r="B44" s="560">
        <v>4</v>
      </c>
      <c r="C44" s="561" t="s">
        <v>852</v>
      </c>
      <c r="D44" s="562"/>
      <c r="E44" s="563">
        <f>'A2'!I26</f>
        <v>0</v>
      </c>
    </row>
    <row r="45" spans="1:7" ht="13.5" thickBot="1">
      <c r="B45" s="551"/>
      <c r="C45" s="555" t="s">
        <v>167</v>
      </c>
      <c r="D45" s="555">
        <f>SUM(D41:D44)</f>
        <v>0</v>
      </c>
      <c r="E45" s="556">
        <f>SUM(E41:E44)</f>
        <v>2480561.8326999997</v>
      </c>
    </row>
    <row r="46" spans="1:7" ht="13.5" thickBot="1">
      <c r="B46" s="96"/>
      <c r="C46" s="96"/>
      <c r="D46" s="96"/>
      <c r="E46" s="96"/>
      <c r="F46" s="96"/>
      <c r="G46" s="96"/>
    </row>
    <row r="47" spans="1:7" ht="13.5" thickBot="1">
      <c r="B47" s="96"/>
      <c r="C47" s="1754" t="s">
        <v>892</v>
      </c>
      <c r="D47" s="1755"/>
      <c r="E47" s="564">
        <f>'A1'!F12</f>
        <v>0</v>
      </c>
    </row>
    <row r="48" spans="1:7" ht="13.5" thickBot="1">
      <c r="B48" s="96"/>
      <c r="C48" s="96"/>
      <c r="D48" s="96"/>
      <c r="E48" s="96"/>
    </row>
    <row r="49" spans="1:7" ht="13.5" thickBot="1">
      <c r="B49" s="96"/>
      <c r="C49" s="100" t="s">
        <v>849</v>
      </c>
      <c r="D49" s="96"/>
      <c r="E49" s="565">
        <f>E45+E47</f>
        <v>2480561.8326999997</v>
      </c>
    </row>
    <row r="50" spans="1:7">
      <c r="A50" s="154" t="s">
        <v>415</v>
      </c>
      <c r="B50" s="85"/>
      <c r="C50" s="85"/>
      <c r="D50" s="85"/>
    </row>
    <row r="51" spans="1:7">
      <c r="A51" s="148" t="s">
        <v>416</v>
      </c>
      <c r="B51" s="148"/>
      <c r="C51" s="85"/>
      <c r="D51" s="85"/>
    </row>
    <row r="52" spans="1:7" ht="13.5" thickBot="1">
      <c r="A52" s="148" t="s">
        <v>417</v>
      </c>
      <c r="B52" s="148"/>
      <c r="C52" s="85"/>
      <c r="D52" s="85"/>
    </row>
    <row r="53" spans="1:7" ht="12.75" customHeight="1">
      <c r="B53" s="1752" t="s">
        <v>187</v>
      </c>
      <c r="C53" s="1742" t="s">
        <v>375</v>
      </c>
      <c r="D53" s="1742">
        <v>2010</v>
      </c>
      <c r="E53" s="1742" t="s">
        <v>390</v>
      </c>
      <c r="F53" s="1742" t="s">
        <v>388</v>
      </c>
      <c r="G53" s="1742" t="s">
        <v>391</v>
      </c>
    </row>
    <row r="54" spans="1:7" ht="12.75" customHeight="1" thickBot="1">
      <c r="B54" s="1753"/>
      <c r="C54" s="1743"/>
      <c r="D54" s="1743"/>
      <c r="E54" s="1743"/>
      <c r="F54" s="1743"/>
      <c r="G54" s="1743"/>
    </row>
    <row r="55" spans="1:7" ht="15" customHeight="1">
      <c r="B55" s="183">
        <v>1</v>
      </c>
      <c r="C55" s="184" t="str">
        <f>+'C1'!C10</f>
        <v>AMETI</v>
      </c>
      <c r="D55" s="184">
        <f>+'C1'!D10</f>
        <v>0</v>
      </c>
      <c r="E55" s="184">
        <f>+'C1'!E10</f>
        <v>0</v>
      </c>
      <c r="F55" s="184">
        <f>+'C1'!F10</f>
        <v>0</v>
      </c>
      <c r="G55" s="567">
        <f>+'C1'!G10</f>
        <v>0</v>
      </c>
    </row>
    <row r="56" spans="1:7" ht="15" customHeight="1">
      <c r="B56" s="185">
        <v>2</v>
      </c>
      <c r="C56" s="566" t="str">
        <f>+'C1'!C11</f>
        <v>RAMAZAN RATA</v>
      </c>
      <c r="D56" s="566">
        <f>+'C1'!D11</f>
        <v>-1377930</v>
      </c>
      <c r="E56" s="566">
        <f>+'C1'!E11</f>
        <v>0</v>
      </c>
      <c r="F56" s="566">
        <f>+'C1'!F11</f>
        <v>0</v>
      </c>
      <c r="G56" s="568">
        <f>+'C1'!G11</f>
        <v>-1377930</v>
      </c>
    </row>
    <row r="57" spans="1:7" ht="15" customHeight="1">
      <c r="B57" s="185">
        <v>3</v>
      </c>
      <c r="C57" s="566" t="str">
        <f>+'C1'!C12</f>
        <v>RAMAZAN JASHANICA</v>
      </c>
      <c r="D57" s="566">
        <f>+'C1'!D12</f>
        <v>-1103680</v>
      </c>
      <c r="E57" s="566">
        <f>+'C1'!E12</f>
        <v>0</v>
      </c>
      <c r="F57" s="566">
        <f>+'C1'!F12</f>
        <v>0</v>
      </c>
      <c r="G57" s="568">
        <f>+'C1'!G12</f>
        <v>-1103680</v>
      </c>
    </row>
    <row r="58" spans="1:7" ht="15" customHeight="1">
      <c r="B58" s="185">
        <v>4</v>
      </c>
      <c r="C58" s="566" t="str">
        <f>+'C1'!C13</f>
        <v>vero beshaj</v>
      </c>
      <c r="D58" s="566">
        <f>+'C1'!D13</f>
        <v>-1918000</v>
      </c>
      <c r="E58" s="566">
        <f>+'C1'!E13</f>
        <v>0</v>
      </c>
      <c r="F58" s="566">
        <f>+'C1'!F13</f>
        <v>0</v>
      </c>
      <c r="G58" s="568">
        <f>+'C1'!G13</f>
        <v>-1918000</v>
      </c>
    </row>
    <row r="59" spans="1:7" ht="15" customHeight="1">
      <c r="B59" s="185">
        <v>5</v>
      </c>
      <c r="C59" s="566" t="str">
        <f>+'C1'!C14</f>
        <v>arian belaj</v>
      </c>
      <c r="D59" s="566">
        <f>+'C1'!D14</f>
        <v>-2468049</v>
      </c>
      <c r="E59" s="566">
        <f>+'C1'!E14</f>
        <v>0</v>
      </c>
      <c r="F59" s="566">
        <f>+'C1'!F14</f>
        <v>503309</v>
      </c>
      <c r="G59" s="568">
        <f>+'C1'!G14</f>
        <v>-2971358</v>
      </c>
    </row>
    <row r="60" spans="1:7" ht="15" customHeight="1">
      <c r="B60" s="185">
        <v>6</v>
      </c>
      <c r="C60" s="566" t="str">
        <f>+'C1'!C15</f>
        <v>lavdosh merkohitaj</v>
      </c>
      <c r="D60" s="566">
        <f>+'C1'!D15</f>
        <v>-5762855</v>
      </c>
      <c r="E60" s="566">
        <f>+'C1'!E15</f>
        <v>0</v>
      </c>
      <c r="F60" s="566">
        <f>+'C1'!F15</f>
        <v>0</v>
      </c>
      <c r="G60" s="568">
        <f>+'C1'!G15</f>
        <v>-5762855</v>
      </c>
    </row>
    <row r="61" spans="1:7" ht="15" customHeight="1">
      <c r="B61" s="185">
        <v>7</v>
      </c>
      <c r="C61" s="566" t="str">
        <f>+'C1'!C16</f>
        <v>kristo mehilli</v>
      </c>
      <c r="D61" s="566">
        <f>+'C1'!D16</f>
        <v>-1089680</v>
      </c>
      <c r="E61" s="566">
        <f>+'C1'!E16</f>
        <v>0</v>
      </c>
      <c r="F61" s="566">
        <f>+'C1'!F16</f>
        <v>0</v>
      </c>
      <c r="G61" s="568">
        <f>+'C1'!G16</f>
        <v>-1089680</v>
      </c>
    </row>
    <row r="62" spans="1:7" ht="15" customHeight="1">
      <c r="B62" s="185">
        <v>8</v>
      </c>
      <c r="C62" s="566" t="str">
        <f>+'C1'!C17</f>
        <v>viron breshani</v>
      </c>
      <c r="D62" s="566">
        <f>+'C1'!D17</f>
        <v>-3035120</v>
      </c>
      <c r="E62" s="566">
        <f>+'C1'!E17</f>
        <v>0</v>
      </c>
      <c r="F62" s="566">
        <f>+'C1'!F17</f>
        <v>0</v>
      </c>
      <c r="G62" s="568">
        <f>+'C1'!G17</f>
        <v>-3035120</v>
      </c>
    </row>
    <row r="63" spans="1:7" ht="15" customHeight="1">
      <c r="B63" s="185">
        <v>9</v>
      </c>
      <c r="C63" s="566" t="str">
        <f>+'C1'!C18</f>
        <v>luljeta hoxhaj</v>
      </c>
      <c r="D63" s="566">
        <f>+'C1'!D18</f>
        <v>-2897160</v>
      </c>
      <c r="E63" s="566">
        <f>+'C1'!E18</f>
        <v>0</v>
      </c>
      <c r="F63" s="566">
        <f>+'C1'!F18</f>
        <v>0</v>
      </c>
      <c r="G63" s="568">
        <f>+'C1'!G18</f>
        <v>-2897160</v>
      </c>
    </row>
    <row r="64" spans="1:7" ht="15" customHeight="1">
      <c r="B64" s="185">
        <v>10</v>
      </c>
      <c r="C64" s="566" t="str">
        <f>+'C1'!C19</f>
        <v>BASHKIA  ORIKUM</v>
      </c>
      <c r="D64" s="566">
        <f>+'C1'!D19</f>
        <v>0</v>
      </c>
      <c r="E64" s="566">
        <f>+'C1'!E19</f>
        <v>0</v>
      </c>
      <c r="F64" s="566">
        <f>+'C1'!F19</f>
        <v>0</v>
      </c>
      <c r="G64" s="568">
        <f>+'C1'!G19</f>
        <v>0</v>
      </c>
    </row>
    <row r="65" spans="1:7" ht="15" customHeight="1">
      <c r="A65" s="85"/>
      <c r="B65" s="185">
        <v>11</v>
      </c>
      <c r="C65" s="566" t="str">
        <f>+'C1'!C20</f>
        <v>Engjell  Osmenaj</v>
      </c>
      <c r="D65" s="566">
        <f>+'C1'!D20</f>
        <v>-4000000</v>
      </c>
      <c r="E65" s="566">
        <f>+'C1'!E20</f>
        <v>0</v>
      </c>
      <c r="F65" s="566">
        <f>+'C1'!F20</f>
        <v>0</v>
      </c>
      <c r="G65" s="568">
        <f>+'C1'!G20</f>
        <v>-4000000</v>
      </c>
    </row>
    <row r="66" spans="1:7" ht="15" customHeight="1">
      <c r="B66" s="185">
        <v>12</v>
      </c>
      <c r="C66" s="566" t="str">
        <f>+'C1'!C21</f>
        <v>Rovena Sela</v>
      </c>
      <c r="D66" s="566">
        <f>+'C1'!D21</f>
        <v>-1102024</v>
      </c>
      <c r="E66" s="566">
        <f>+'C1'!E21</f>
        <v>0</v>
      </c>
      <c r="F66" s="566">
        <f>+'C1'!F21</f>
        <v>0</v>
      </c>
      <c r="G66" s="568">
        <f>+'C1'!G21</f>
        <v>-1102024</v>
      </c>
    </row>
    <row r="67" spans="1:7" ht="15" customHeight="1">
      <c r="B67" s="185">
        <v>13</v>
      </c>
      <c r="C67" s="566" t="str">
        <f>+'C1'!C22</f>
        <v>LILJANA NAKO</v>
      </c>
      <c r="D67" s="566">
        <f>+'C1'!D22</f>
        <v>-4132592</v>
      </c>
      <c r="E67" s="566">
        <f>+'C1'!E22</f>
        <v>0</v>
      </c>
      <c r="F67" s="566">
        <f>+'C1'!F22</f>
        <v>0</v>
      </c>
      <c r="G67" s="568">
        <f>+'C1'!G22</f>
        <v>-4132592</v>
      </c>
    </row>
    <row r="68" spans="1:7" ht="15" customHeight="1">
      <c r="B68" s="185">
        <v>14</v>
      </c>
      <c r="C68" s="566" t="str">
        <f>+'C1'!C23</f>
        <v>TOMAZO MAZZOCA</v>
      </c>
      <c r="D68" s="566">
        <f>+'C1'!D23</f>
        <v>-1376152</v>
      </c>
      <c r="E68" s="566">
        <f>+'C1'!E23</f>
        <v>0</v>
      </c>
      <c r="F68" s="566">
        <f>+'C1'!F23</f>
        <v>0</v>
      </c>
      <c r="G68" s="568">
        <f>+'C1'!G23</f>
        <v>-1376152</v>
      </c>
    </row>
    <row r="69" spans="1:7" ht="15" customHeight="1">
      <c r="B69" s="185">
        <v>15</v>
      </c>
      <c r="C69" s="566" t="str">
        <f>+'C1'!C24</f>
        <v>Besnik Xhindi</v>
      </c>
      <c r="D69" s="566">
        <f>+'C1'!D24</f>
        <v>0</v>
      </c>
      <c r="E69" s="566">
        <f>+'C1'!E24</f>
        <v>0</v>
      </c>
      <c r="F69" s="566">
        <f>+'C1'!F24</f>
        <v>524500</v>
      </c>
      <c r="G69" s="568">
        <f>+'C1'!G24</f>
        <v>-524500</v>
      </c>
    </row>
    <row r="70" spans="1:7" ht="15" customHeight="1">
      <c r="B70" s="185">
        <v>16</v>
      </c>
      <c r="C70" s="566" t="str">
        <f>+'C1'!C25</f>
        <v>Neritan Hamitaj</v>
      </c>
      <c r="D70" s="566">
        <f>+'C1'!D25</f>
        <v>0</v>
      </c>
      <c r="E70" s="566">
        <f>+'C1'!E25</f>
        <v>0</v>
      </c>
      <c r="F70" s="566">
        <f>+'C1'!F25</f>
        <v>2400000</v>
      </c>
      <c r="G70" s="568">
        <f>+'C1'!G25</f>
        <v>-2400000</v>
      </c>
    </row>
    <row r="71" spans="1:7" ht="15" customHeight="1">
      <c r="B71" s="185">
        <v>17</v>
      </c>
      <c r="C71" s="566" t="str">
        <f>+'C1'!C26</f>
        <v>Saimira Hoxha</v>
      </c>
      <c r="D71" s="566">
        <f>+'C1'!D26</f>
        <v>0</v>
      </c>
      <c r="E71" s="566">
        <f>+'C1'!E26</f>
        <v>0</v>
      </c>
      <c r="F71" s="566">
        <f>+'C1'!F26</f>
        <v>180000</v>
      </c>
      <c r="G71" s="568">
        <f>+'C1'!G26</f>
        <v>-180000</v>
      </c>
    </row>
    <row r="72" spans="1:7" ht="15" customHeight="1">
      <c r="B72" s="185">
        <v>18</v>
      </c>
      <c r="C72" s="566" t="str">
        <f>+'C1'!C27</f>
        <v>Zyke Jaupi</v>
      </c>
      <c r="D72" s="566">
        <f>+'C1'!D27</f>
        <v>0</v>
      </c>
      <c r="E72" s="566">
        <f>+'C1'!E27</f>
        <v>0</v>
      </c>
      <c r="F72" s="566">
        <f>+'C1'!F27</f>
        <v>1567000</v>
      </c>
      <c r="G72" s="568">
        <f>+'C1'!G27</f>
        <v>-1567000</v>
      </c>
    </row>
    <row r="73" spans="1:7" ht="15" customHeight="1">
      <c r="B73" s="185">
        <v>19</v>
      </c>
      <c r="C73" s="566">
        <f>+'C1'!C28</f>
        <v>0</v>
      </c>
      <c r="D73" s="566">
        <f>+'C1'!D28</f>
        <v>350297823</v>
      </c>
      <c r="E73" s="566">
        <f>+'C1'!E28</f>
        <v>0</v>
      </c>
      <c r="F73" s="566">
        <f>+'C1'!F28</f>
        <v>0</v>
      </c>
      <c r="G73" s="568">
        <f>+'C1'!G28</f>
        <v>350297823</v>
      </c>
    </row>
    <row r="74" spans="1:7" ht="15" customHeight="1">
      <c r="B74" s="185">
        <v>20</v>
      </c>
      <c r="C74" s="566" t="str">
        <f>+'C1'!C29</f>
        <v>KLIENTE  TE  V 2010</v>
      </c>
      <c r="D74" s="566">
        <f>+'C1'!D29</f>
        <v>130549323</v>
      </c>
      <c r="E74" s="566">
        <f>+'C1'!E29</f>
        <v>0</v>
      </c>
      <c r="F74" s="566">
        <f>+'C1'!F29</f>
        <v>31258969.987999998</v>
      </c>
      <c r="G74" s="568">
        <f>+'C1'!G29</f>
        <v>99290353.011999995</v>
      </c>
    </row>
    <row r="75" spans="1:7" ht="15" customHeight="1">
      <c r="B75" s="185">
        <v>21</v>
      </c>
      <c r="C75" s="1682">
        <f>+'C1'!C30</f>
        <v>0</v>
      </c>
      <c r="D75" s="1682">
        <f>+'C1'!D30</f>
        <v>450583904</v>
      </c>
      <c r="E75" s="1682">
        <f>+'C1'!E30</f>
        <v>0</v>
      </c>
      <c r="F75" s="1682">
        <f>+'C1'!F30</f>
        <v>36433778.987999998</v>
      </c>
      <c r="G75" s="1683">
        <f>+'C1'!G30</f>
        <v>414150125.01199996</v>
      </c>
    </row>
    <row r="76" spans="1:7" ht="15" customHeight="1">
      <c r="B76" s="185">
        <v>22</v>
      </c>
      <c r="C76" s="566" t="str">
        <f>+'C1'!C31</f>
        <v>Adem Kabashi</v>
      </c>
      <c r="D76" s="566">
        <f>+'C1'!D31</f>
        <v>0</v>
      </c>
      <c r="E76" s="566">
        <f>+'C1'!E31</f>
        <v>0</v>
      </c>
      <c r="F76" s="566">
        <f>+'C1'!F31</f>
        <v>55000</v>
      </c>
      <c r="G76" s="568">
        <f>+'C1'!G31</f>
        <v>-55000</v>
      </c>
    </row>
    <row r="77" spans="1:7" ht="15" customHeight="1">
      <c r="B77" s="185">
        <v>23</v>
      </c>
      <c r="C77" s="566" t="str">
        <f>+'C1'!C32</f>
        <v>Hanko Hysolakoj</v>
      </c>
      <c r="D77" s="566">
        <f>+'C1'!D32</f>
        <v>-19970</v>
      </c>
      <c r="E77" s="566">
        <f>+'C1'!E32</f>
        <v>0</v>
      </c>
      <c r="F77" s="566">
        <f>+'C1'!F32</f>
        <v>0</v>
      </c>
      <c r="G77" s="568">
        <f>+'C1'!G32</f>
        <v>-19970</v>
      </c>
    </row>
    <row r="78" spans="1:7" ht="15" customHeight="1">
      <c r="B78" s="185">
        <v>24</v>
      </c>
      <c r="C78" s="566" t="str">
        <f>+'C1'!C33</f>
        <v>Anton Gjoni</v>
      </c>
      <c r="D78" s="566">
        <f>+'C1'!D33</f>
        <v>0</v>
      </c>
      <c r="E78" s="566">
        <f>+'C1'!E33</f>
        <v>0</v>
      </c>
      <c r="F78" s="566">
        <f>+'C1'!F33</f>
        <v>27500</v>
      </c>
      <c r="G78" s="568">
        <f>+'C1'!G33</f>
        <v>-27500</v>
      </c>
    </row>
    <row r="79" spans="1:7" ht="15" customHeight="1">
      <c r="B79" s="185">
        <v>25</v>
      </c>
      <c r="C79" s="566" t="str">
        <f>+'C1'!C34</f>
        <v>Artan Ferati</v>
      </c>
      <c r="D79" s="566">
        <f>+'C1'!D34</f>
        <v>0</v>
      </c>
      <c r="E79" s="566">
        <f>+'C1'!E34</f>
        <v>0</v>
      </c>
      <c r="F79" s="566">
        <f>+'C1'!F34</f>
        <v>20000</v>
      </c>
      <c r="G79" s="568">
        <f>+'C1'!G34</f>
        <v>-20000</v>
      </c>
    </row>
    <row r="80" spans="1:7" ht="15" customHeight="1">
      <c r="B80" s="185">
        <v>26</v>
      </c>
      <c r="C80" s="566" t="str">
        <f>+'C1'!C35</f>
        <v>Cane Likoj</v>
      </c>
      <c r="D80" s="566">
        <f>+'C1'!D35</f>
        <v>0</v>
      </c>
      <c r="E80" s="566">
        <f>+'C1'!E35</f>
        <v>0</v>
      </c>
      <c r="F80" s="566">
        <f>+'C1'!F35</f>
        <v>8000</v>
      </c>
      <c r="G80" s="568">
        <f>+'C1'!G35</f>
        <v>-8000</v>
      </c>
    </row>
    <row r="81" spans="2:7" ht="15" customHeight="1">
      <c r="B81" s="185">
        <v>27</v>
      </c>
      <c r="C81" s="566" t="str">
        <f>+'C1'!C36</f>
        <v xml:space="preserve">Engjell Allushaj </v>
      </c>
      <c r="D81" s="566">
        <f>+'C1'!D36</f>
        <v>0</v>
      </c>
      <c r="E81" s="566">
        <f>+'C1'!E36</f>
        <v>0</v>
      </c>
      <c r="F81" s="566">
        <f>+'C1'!F36</f>
        <v>4995</v>
      </c>
      <c r="G81" s="568">
        <f>+'C1'!G36</f>
        <v>-4995</v>
      </c>
    </row>
    <row r="82" spans="2:7" ht="15" customHeight="1">
      <c r="B82" s="185">
        <v>28</v>
      </c>
      <c r="C82" s="566" t="str">
        <f>+'C1'!C37</f>
        <v xml:space="preserve">Fatbardha </v>
      </c>
      <c r="D82" s="566">
        <f>+'C1'!D37</f>
        <v>0</v>
      </c>
      <c r="E82" s="566">
        <f>+'C1'!E37</f>
        <v>0</v>
      </c>
      <c r="F82" s="566">
        <f>+'C1'!F37</f>
        <v>10000</v>
      </c>
      <c r="G82" s="568">
        <f>+'C1'!G37</f>
        <v>-10000</v>
      </c>
    </row>
    <row r="83" spans="2:7" ht="15" customHeight="1">
      <c r="B83" s="185">
        <v>29</v>
      </c>
      <c r="C83" s="566" t="str">
        <f>+'C1'!C38</f>
        <v>Klient 2010</v>
      </c>
      <c r="D83" s="566">
        <f>+'C1'!D38</f>
        <v>0</v>
      </c>
      <c r="E83" s="566">
        <f>+'C1'!E38</f>
        <v>0</v>
      </c>
      <c r="F83" s="566">
        <f>+'C1'!F38</f>
        <v>5000</v>
      </c>
      <c r="G83" s="568">
        <f>+'C1'!G38</f>
        <v>-5000</v>
      </c>
    </row>
    <row r="84" spans="2:7" ht="15" customHeight="1">
      <c r="B84" s="185">
        <v>30</v>
      </c>
      <c r="C84" s="566" t="str">
        <f>+'C1'!C39</f>
        <v>luljeta hoxhaj</v>
      </c>
      <c r="D84" s="566">
        <f>+'C1'!D39</f>
        <v>0</v>
      </c>
      <c r="E84" s="566">
        <f>+'C1'!E39</f>
        <v>0</v>
      </c>
      <c r="F84" s="566">
        <f>+'C1'!F39</f>
        <v>14000</v>
      </c>
      <c r="G84" s="568">
        <f>+'C1'!G39</f>
        <v>-14000</v>
      </c>
    </row>
    <row r="85" spans="2:7" ht="15" customHeight="1">
      <c r="B85" s="185">
        <v>31</v>
      </c>
      <c r="C85" s="566" t="str">
        <f>+'C1'!C40</f>
        <v>Saimir Pashaj</v>
      </c>
      <c r="D85" s="566">
        <f>+'C1'!D40</f>
        <v>-20000</v>
      </c>
      <c r="E85" s="566">
        <f>+'C1'!E40</f>
        <v>0</v>
      </c>
      <c r="F85" s="566">
        <f>+'C1'!F40</f>
        <v>17100</v>
      </c>
      <c r="G85" s="568">
        <f>+'C1'!G40</f>
        <v>-37100</v>
      </c>
    </row>
    <row r="86" spans="2:7" ht="15" customHeight="1">
      <c r="B86" s="185">
        <v>32</v>
      </c>
      <c r="C86" s="566" t="str">
        <f>+'C1'!C41</f>
        <v>Vladimir Zoto</v>
      </c>
      <c r="D86" s="566">
        <f>+'C1'!D41</f>
        <v>0</v>
      </c>
      <c r="E86" s="566">
        <f>+'C1'!E41</f>
        <v>0</v>
      </c>
      <c r="F86" s="566">
        <f>+'C1'!F41</f>
        <v>10000</v>
      </c>
      <c r="G86" s="568">
        <f>+'C1'!G41</f>
        <v>-10000</v>
      </c>
    </row>
    <row r="87" spans="2:7" ht="15" customHeight="1">
      <c r="B87" s="185">
        <v>33</v>
      </c>
      <c r="C87" s="566" t="str">
        <f>+'C1'!C42</f>
        <v>Vladimir Dardha</v>
      </c>
      <c r="D87" s="566">
        <f>+'C1'!D42</f>
        <v>0</v>
      </c>
      <c r="E87" s="566">
        <f>+'C1'!E42</f>
        <v>0</v>
      </c>
      <c r="F87" s="566">
        <f>+'C1'!F42</f>
        <v>2000</v>
      </c>
      <c r="G87" s="568">
        <f>+'C1'!G42</f>
        <v>-2000</v>
      </c>
    </row>
    <row r="88" spans="2:7" ht="15" customHeight="1">
      <c r="B88" s="185">
        <v>34</v>
      </c>
      <c r="C88" s="566" t="str">
        <f>+'C1'!C43</f>
        <v>Viktor Zaka</v>
      </c>
      <c r="D88" s="566">
        <f>+'C1'!D43</f>
        <v>0</v>
      </c>
      <c r="E88" s="566">
        <f>+'C1'!E43</f>
        <v>0</v>
      </c>
      <c r="F88" s="566">
        <f>+'C1'!F43</f>
        <v>20000</v>
      </c>
      <c r="G88" s="568">
        <f>+'C1'!G43</f>
        <v>-20000</v>
      </c>
    </row>
    <row r="89" spans="2:7" ht="15" customHeight="1">
      <c r="B89" s="185">
        <v>35</v>
      </c>
      <c r="C89" s="566" t="str">
        <f>+'C1'!C44</f>
        <v>Zyke Jaupi</v>
      </c>
      <c r="D89" s="566">
        <f>+'C1'!D44</f>
        <v>0</v>
      </c>
      <c r="E89" s="566">
        <f>+'C1'!E44</f>
        <v>0</v>
      </c>
      <c r="F89" s="566">
        <f>+'C1'!F44</f>
        <v>29230</v>
      </c>
      <c r="G89" s="568">
        <f>+'C1'!G44</f>
        <v>-29230</v>
      </c>
    </row>
    <row r="90" spans="2:7" ht="15" customHeight="1">
      <c r="B90" s="185">
        <v>36</v>
      </c>
      <c r="C90" s="1682">
        <f>+'C1'!C45</f>
        <v>0</v>
      </c>
      <c r="D90" s="1682">
        <f>+'C1'!D45</f>
        <v>-39970</v>
      </c>
      <c r="E90" s="1682">
        <f>+'C1'!E45</f>
        <v>0</v>
      </c>
      <c r="F90" s="1682">
        <f>+'C1'!F45</f>
        <v>222825</v>
      </c>
      <c r="G90" s="1683">
        <f>+'C1'!G45</f>
        <v>-262795</v>
      </c>
    </row>
    <row r="91" spans="2:7" ht="15" customHeight="1">
      <c r="B91" s="185">
        <v>37</v>
      </c>
      <c r="C91" s="566">
        <f>+'C1'!C46</f>
        <v>0</v>
      </c>
      <c r="D91" s="566">
        <f>+'C1'!D46</f>
        <v>0</v>
      </c>
      <c r="E91" s="566">
        <f>+'C1'!E46</f>
        <v>0</v>
      </c>
      <c r="F91" s="566">
        <f>+'C1'!F46</f>
        <v>0</v>
      </c>
      <c r="G91" s="568">
        <f>+'C1'!G46</f>
        <v>0</v>
      </c>
    </row>
    <row r="92" spans="2:7" ht="15" customHeight="1">
      <c r="B92" s="185">
        <v>38</v>
      </c>
      <c r="C92" s="566" t="str">
        <f>+'C1'!C47</f>
        <v xml:space="preserve">PRONARET  E TOKES </v>
      </c>
      <c r="D92" s="566">
        <f>+'C1'!D47</f>
        <v>0</v>
      </c>
      <c r="E92" s="566">
        <f>+'C1'!E47</f>
        <v>75023190.799999997</v>
      </c>
      <c r="F92" s="566">
        <f>+'C1'!F47</f>
        <v>75023191</v>
      </c>
      <c r="G92" s="568">
        <f>+'C1'!G47</f>
        <v>-0.20000000298023224</v>
      </c>
    </row>
    <row r="93" spans="2:7" ht="15" customHeight="1">
      <c r="B93" s="185">
        <v>39</v>
      </c>
      <c r="C93" s="566" t="str">
        <f>+'C1'!C48</f>
        <v>KLIENTE  TE  VITIT 2011</v>
      </c>
      <c r="D93" s="566">
        <f>+'C1'!D48</f>
        <v>0</v>
      </c>
      <c r="E93" s="566">
        <f>+'C1'!E48</f>
        <v>135716109.64390397</v>
      </c>
      <c r="F93" s="566">
        <f>+'C1'!F48</f>
        <v>0</v>
      </c>
      <c r="G93" s="568">
        <f>+'C1'!G48</f>
        <v>135716109.64390397</v>
      </c>
    </row>
    <row r="94" spans="2:7" ht="15" customHeight="1" thickBot="1">
      <c r="B94" s="1678">
        <v>40</v>
      </c>
      <c r="C94" s="1684">
        <f>+'C1'!C49</f>
        <v>0</v>
      </c>
      <c r="D94" s="1684">
        <f>+'C1'!D49</f>
        <v>0</v>
      </c>
      <c r="E94" s="1684">
        <f>+'C1'!E49</f>
        <v>0</v>
      </c>
      <c r="F94" s="1684">
        <f>+'C1'!F49</f>
        <v>0</v>
      </c>
      <c r="G94" s="1685">
        <f>+'C1'!G49</f>
        <v>0</v>
      </c>
    </row>
    <row r="95" spans="2:7" ht="15" customHeight="1" thickBot="1">
      <c r="B95" s="1679">
        <v>41</v>
      </c>
      <c r="C95" s="1680">
        <f>+'C1'!C50</f>
        <v>0</v>
      </c>
      <c r="D95" s="1680">
        <v>445069643</v>
      </c>
      <c r="E95" s="1680">
        <f>+'C1'!E50</f>
        <v>0</v>
      </c>
      <c r="F95" s="1680">
        <f>+'C1'!F50</f>
        <v>67174715.988000005</v>
      </c>
      <c r="G95" s="1681">
        <f>+'C1'!G50</f>
        <v>513356125.10590392</v>
      </c>
    </row>
    <row r="96" spans="2:7">
      <c r="B96" s="156"/>
      <c r="C96" s="156"/>
    </row>
    <row r="97" spans="1:7">
      <c r="A97" s="148" t="s">
        <v>418</v>
      </c>
      <c r="B97" s="156"/>
      <c r="C97" s="156"/>
    </row>
    <row r="98" spans="1:7">
      <c r="A98" s="156" t="s">
        <v>419</v>
      </c>
      <c r="B98" s="85" t="s">
        <v>465</v>
      </c>
      <c r="C98" s="85"/>
      <c r="D98" s="74">
        <f>'AKTIVI '!E13</f>
        <v>0</v>
      </c>
    </row>
    <row r="99" spans="1:7">
      <c r="A99" s="156" t="s">
        <v>420</v>
      </c>
      <c r="B99" s="85"/>
      <c r="C99" s="85"/>
    </row>
    <row r="100" spans="1:7">
      <c r="A100" s="154" t="s">
        <v>421</v>
      </c>
      <c r="B100" s="85"/>
      <c r="C100" s="85"/>
      <c r="D100" s="23" t="s">
        <v>884</v>
      </c>
    </row>
    <row r="101" spans="1:7" ht="13.5" thickBot="1">
      <c r="A101" s="85"/>
      <c r="B101" s="85"/>
      <c r="C101" s="85"/>
    </row>
    <row r="102" spans="1:7" ht="13.5" thickBot="1">
      <c r="B102" s="157" t="s">
        <v>1</v>
      </c>
      <c r="C102" s="158" t="s">
        <v>252</v>
      </c>
      <c r="D102" s="158" t="s">
        <v>253</v>
      </c>
      <c r="E102" s="158" t="s">
        <v>254</v>
      </c>
      <c r="F102" s="158" t="s">
        <v>255</v>
      </c>
      <c r="G102" s="159" t="s">
        <v>256</v>
      </c>
    </row>
    <row r="103" spans="1:7" ht="13.5" thickBot="1">
      <c r="B103" s="569" t="s">
        <v>121</v>
      </c>
      <c r="C103" s="570">
        <v>0</v>
      </c>
      <c r="D103" s="570">
        <v>0</v>
      </c>
      <c r="E103" s="570">
        <v>0</v>
      </c>
      <c r="F103" s="570">
        <v>0</v>
      </c>
      <c r="G103" s="570">
        <f>+'AKTIVI '!E22</f>
        <v>0</v>
      </c>
    </row>
    <row r="104" spans="1:7">
      <c r="B104" s="31"/>
      <c r="C104" s="155"/>
      <c r="D104" s="155"/>
      <c r="E104" s="155"/>
      <c r="F104" s="155"/>
      <c r="G104" s="155"/>
    </row>
    <row r="105" spans="1:7">
      <c r="B105" s="31"/>
      <c r="C105" s="24"/>
      <c r="D105" s="24"/>
      <c r="E105" s="24"/>
      <c r="F105" s="24"/>
      <c r="G105" s="160">
        <f>E105*F105</f>
        <v>0</v>
      </c>
    </row>
    <row r="106" spans="1:7">
      <c r="B106" s="220" t="s">
        <v>122</v>
      </c>
      <c r="C106" s="571"/>
      <c r="D106" s="571"/>
      <c r="E106" s="571"/>
      <c r="F106" s="571"/>
      <c r="G106" s="571">
        <f>'D2'!H44</f>
        <v>0</v>
      </c>
    </row>
    <row r="107" spans="1:7">
      <c r="B107" s="31"/>
      <c r="C107" s="24"/>
      <c r="D107" s="24"/>
      <c r="E107" s="24"/>
      <c r="F107" s="24"/>
      <c r="G107" s="24"/>
    </row>
    <row r="108" spans="1:7">
      <c r="B108" s="31"/>
      <c r="C108" s="24"/>
      <c r="D108" s="24"/>
      <c r="E108" s="24"/>
      <c r="F108" s="24"/>
      <c r="G108" s="160">
        <f>E108*F108</f>
        <v>0</v>
      </c>
    </row>
    <row r="109" spans="1:7">
      <c r="B109" s="220" t="s">
        <v>123</v>
      </c>
      <c r="C109" s="571"/>
      <c r="D109" s="571"/>
      <c r="E109" s="571"/>
      <c r="F109" s="571"/>
      <c r="G109" s="571">
        <f>'D3'!H43</f>
        <v>0</v>
      </c>
    </row>
    <row r="110" spans="1:7">
      <c r="B110" s="31"/>
      <c r="C110" s="24"/>
      <c r="D110" s="24"/>
      <c r="E110" s="24"/>
      <c r="F110" s="24"/>
      <c r="G110" s="160">
        <f>E110*F110</f>
        <v>0</v>
      </c>
    </row>
    <row r="111" spans="1:7">
      <c r="B111" s="220" t="s">
        <v>127</v>
      </c>
      <c r="C111" s="571"/>
      <c r="D111" s="571"/>
      <c r="E111" s="571"/>
      <c r="F111" s="571"/>
      <c r="G111" s="572">
        <f>'D4'!H52</f>
        <v>0</v>
      </c>
    </row>
    <row r="112" spans="1:7" ht="13.5" thickBot="1">
      <c r="B112" s="31"/>
      <c r="C112" s="24"/>
      <c r="D112" s="24"/>
      <c r="E112" s="24"/>
      <c r="F112" s="24"/>
      <c r="G112" s="160"/>
    </row>
    <row r="113" spans="1:8" ht="13.5" thickBot="1">
      <c r="B113" s="1744" t="s">
        <v>251</v>
      </c>
      <c r="C113" s="1745"/>
      <c r="D113" s="1745"/>
      <c r="E113" s="1745"/>
      <c r="F113" s="1746"/>
      <c r="G113" s="573">
        <f>G103+G106+G109+G111</f>
        <v>0</v>
      </c>
    </row>
    <row r="115" spans="1:8">
      <c r="A115" s="85"/>
      <c r="B115" s="85"/>
      <c r="C115" s="85"/>
      <c r="D115" s="85"/>
    </row>
    <row r="116" spans="1:8">
      <c r="A116" s="148" t="s">
        <v>422</v>
      </c>
      <c r="B116" s="85"/>
      <c r="C116" s="85"/>
      <c r="D116" s="85"/>
    </row>
    <row r="117" spans="1:8">
      <c r="A117" s="148" t="s">
        <v>423</v>
      </c>
      <c r="B117" s="85"/>
      <c r="C117" s="85"/>
      <c r="D117" s="85"/>
    </row>
    <row r="118" spans="1:8">
      <c r="A118" s="85"/>
      <c r="B118" s="85"/>
      <c r="C118" s="85"/>
      <c r="D118" s="85"/>
    </row>
    <row r="119" spans="1:8">
      <c r="A119" s="85"/>
      <c r="B119" s="85"/>
      <c r="C119" s="85"/>
      <c r="D119" s="85"/>
    </row>
    <row r="120" spans="1:8" ht="15">
      <c r="A120" s="153" t="s">
        <v>424</v>
      </c>
    </row>
    <row r="121" spans="1:8" ht="13.5" thickBot="1">
      <c r="A121" s="154" t="s">
        <v>854</v>
      </c>
    </row>
    <row r="122" spans="1:8" ht="12.75" customHeight="1">
      <c r="A122" s="85"/>
      <c r="B122" s="1747" t="s">
        <v>187</v>
      </c>
      <c r="C122" s="1747" t="s">
        <v>373</v>
      </c>
      <c r="D122" s="1747" t="s">
        <v>823</v>
      </c>
      <c r="E122" s="1747" t="s">
        <v>387</v>
      </c>
      <c r="F122" s="1749" t="s">
        <v>388</v>
      </c>
      <c r="G122" s="1749" t="s">
        <v>388</v>
      </c>
      <c r="H122" s="1747" t="s">
        <v>389</v>
      </c>
    </row>
    <row r="123" spans="1:8" ht="12.75" customHeight="1" thickBot="1">
      <c r="A123" s="85"/>
      <c r="B123" s="1748"/>
      <c r="C123" s="1748"/>
      <c r="D123" s="1748"/>
      <c r="E123" s="1748"/>
      <c r="F123" s="1750"/>
      <c r="G123" s="1750"/>
      <c r="H123" s="1748"/>
    </row>
    <row r="124" spans="1:8" ht="12.75" customHeight="1">
      <c r="B124" s="557">
        <f>'M1'!C7</f>
        <v>1</v>
      </c>
      <c r="C124" s="546" t="str">
        <f>+'M1'!D7</f>
        <v>A &amp; E Auditing</v>
      </c>
      <c r="D124" s="546">
        <f>+'M1'!E7</f>
        <v>0</v>
      </c>
      <c r="E124" s="546">
        <f>+'M1'!F7</f>
        <v>249999.6</v>
      </c>
      <c r="F124" s="546">
        <f>+'M1'!G7</f>
        <v>250000</v>
      </c>
      <c r="G124" s="546">
        <f>+'M1'!H7</f>
        <v>0</v>
      </c>
      <c r="H124" s="558">
        <f>+'M1'!I7</f>
        <v>-0.39999999999417923</v>
      </c>
    </row>
    <row r="125" spans="1:8" ht="12.75" customHeight="1">
      <c r="B125" s="547">
        <f>'M1'!C8</f>
        <v>2</v>
      </c>
      <c r="C125" s="189" t="str">
        <f>+'M1'!D8</f>
        <v>AAR  Alumin</v>
      </c>
      <c r="D125" s="189">
        <f>+'M1'!E8</f>
        <v>0</v>
      </c>
      <c r="E125" s="189">
        <f>+'M1'!F8</f>
        <v>1092200.3999999999</v>
      </c>
      <c r="F125" s="189">
        <f>+'M1'!G8</f>
        <v>1092200</v>
      </c>
      <c r="G125" s="189">
        <f>+'M1'!H8</f>
        <v>0</v>
      </c>
      <c r="H125" s="559">
        <f>+'M1'!I8</f>
        <v>0.39999999990686774</v>
      </c>
    </row>
    <row r="126" spans="1:8" ht="12.75" customHeight="1">
      <c r="B126" s="547">
        <f>'M1'!C9</f>
        <v>3</v>
      </c>
      <c r="C126" s="189" t="str">
        <f>+'M1'!D9</f>
        <v>Adhjari</v>
      </c>
      <c r="D126" s="189">
        <f>+'M1'!E9</f>
        <v>196800</v>
      </c>
      <c r="E126" s="189">
        <f>+'M1'!F9</f>
        <v>240624</v>
      </c>
      <c r="F126" s="189">
        <f>+'M1'!G9</f>
        <v>240624</v>
      </c>
      <c r="G126" s="189">
        <f>+'M1'!H9</f>
        <v>0</v>
      </c>
      <c r="H126" s="559">
        <f>+'M1'!I9</f>
        <v>196800</v>
      </c>
    </row>
    <row r="127" spans="1:8" ht="12.75" customHeight="1">
      <c r="B127" s="547">
        <f>'M1'!C10</f>
        <v>4</v>
      </c>
      <c r="C127" s="189" t="str">
        <f>+'M1'!D10</f>
        <v>AL ROSI 2008</v>
      </c>
      <c r="D127" s="189">
        <f>+'M1'!E10</f>
        <v>192002.40000000002</v>
      </c>
      <c r="E127" s="189">
        <f>+'M1'!F10</f>
        <v>0</v>
      </c>
      <c r="F127" s="189">
        <f>+'M1'!G10</f>
        <v>0</v>
      </c>
      <c r="G127" s="189">
        <f>+'M1'!H10</f>
        <v>0</v>
      </c>
      <c r="H127" s="559">
        <f>+'M1'!I10</f>
        <v>192002.40000000002</v>
      </c>
    </row>
    <row r="128" spans="1:8" ht="12.75" customHeight="1">
      <c r="B128" s="547">
        <f>'M1'!C11</f>
        <v>5</v>
      </c>
      <c r="C128" s="189" t="str">
        <f>+'M1'!D11</f>
        <v>Alba Color</v>
      </c>
      <c r="D128" s="189">
        <f>+'M1'!E11</f>
        <v>0</v>
      </c>
      <c r="E128" s="189">
        <f>+'M1'!F11</f>
        <v>1041240</v>
      </c>
      <c r="F128" s="189">
        <f>+'M1'!G11</f>
        <v>1041240</v>
      </c>
      <c r="G128" s="189">
        <f>+'M1'!H11</f>
        <v>0</v>
      </c>
      <c r="H128" s="559">
        <f>+'M1'!I11</f>
        <v>0</v>
      </c>
    </row>
    <row r="129" spans="1:8" ht="12.75" customHeight="1">
      <c r="B129" s="547">
        <f>'M1'!C12</f>
        <v>6</v>
      </c>
      <c r="C129" s="189" t="str">
        <f>+'M1'!D12</f>
        <v>ALBSIG</v>
      </c>
      <c r="D129" s="189">
        <f>+'M1'!E12</f>
        <v>73813</v>
      </c>
      <c r="E129" s="189">
        <f>+'M1'!F12</f>
        <v>0</v>
      </c>
      <c r="F129" s="189">
        <f>+'M1'!G12</f>
        <v>73813</v>
      </c>
      <c r="G129" s="189">
        <f>+'M1'!H12</f>
        <v>0</v>
      </c>
      <c r="H129" s="559">
        <f>+'M1'!I12</f>
        <v>0</v>
      </c>
    </row>
    <row r="130" spans="1:8" ht="12.75" customHeight="1">
      <c r="B130" s="547">
        <f>'M1'!C13</f>
        <v>7</v>
      </c>
      <c r="C130" s="189" t="str">
        <f>+'M1'!D13</f>
        <v>ALBTELEKOM</v>
      </c>
      <c r="D130" s="189">
        <f>+'M1'!E13</f>
        <v>-7724.09</v>
      </c>
      <c r="E130" s="189">
        <f>+'M1'!F13</f>
        <v>0</v>
      </c>
      <c r="F130" s="189">
        <f>+'M1'!G13</f>
        <v>-7724</v>
      </c>
      <c r="G130" s="189">
        <f>+'M1'!H13</f>
        <v>0</v>
      </c>
      <c r="H130" s="559">
        <f>+'M1'!I13</f>
        <v>-9.0000000000145519E-2</v>
      </c>
    </row>
    <row r="131" spans="1:8" ht="12.75" customHeight="1">
      <c r="B131" s="547">
        <f>'M1'!C14</f>
        <v>8</v>
      </c>
      <c r="C131" s="189" t="str">
        <f>+'M1'!D14</f>
        <v>ALUMIL SKY</v>
      </c>
      <c r="D131" s="189">
        <f>+'M1'!E14</f>
        <v>0</v>
      </c>
      <c r="E131" s="189">
        <f>+'M1'!F14</f>
        <v>851750.40000000002</v>
      </c>
      <c r="F131" s="189">
        <f>+'M1'!G14</f>
        <v>0</v>
      </c>
      <c r="G131" s="189">
        <f>+'M1'!H14</f>
        <v>32761.56</v>
      </c>
      <c r="H131" s="559">
        <f>+'M1'!I14</f>
        <v>0</v>
      </c>
    </row>
    <row r="132" spans="1:8" ht="12.75" customHeight="1">
      <c r="A132" s="85"/>
      <c r="B132" s="547">
        <f>'M1'!C15</f>
        <v>9</v>
      </c>
      <c r="C132" s="189" t="str">
        <f>+'M1'!D15</f>
        <v>AL-Vahrom</v>
      </c>
      <c r="D132" s="189">
        <f>+'M1'!E15</f>
        <v>0</v>
      </c>
      <c r="E132" s="189">
        <f>+'M1'!F15</f>
        <v>154800</v>
      </c>
      <c r="F132" s="189">
        <f>+'M1'!G15</f>
        <v>0</v>
      </c>
      <c r="G132" s="189">
        <f>+'M1'!H15</f>
        <v>0</v>
      </c>
      <c r="H132" s="559">
        <f>+'M1'!I15</f>
        <v>154800</v>
      </c>
    </row>
    <row r="133" spans="1:8" ht="12.75" customHeight="1">
      <c r="A133" s="85"/>
      <c r="B133" s="547">
        <f>'M1'!C16</f>
        <v>10</v>
      </c>
      <c r="C133" s="189" t="str">
        <f>+'M1'!D16</f>
        <v>Amantia Antika</v>
      </c>
      <c r="D133" s="189">
        <f>+'M1'!E16</f>
        <v>234547.79999999981</v>
      </c>
      <c r="E133" s="189">
        <f>+'M1'!F16</f>
        <v>842388</v>
      </c>
      <c r="F133" s="189">
        <f>+'M1'!G16</f>
        <v>1013278.6</v>
      </c>
      <c r="G133" s="189">
        <f>+'M1'!H16</f>
        <v>0</v>
      </c>
      <c r="H133" s="559">
        <f>+'M1'!I16</f>
        <v>63657.199999999837</v>
      </c>
    </row>
    <row r="134" spans="1:8" ht="12.75" customHeight="1">
      <c r="A134" s="85"/>
      <c r="B134" s="547">
        <f>'M1'!C17</f>
        <v>11</v>
      </c>
      <c r="C134" s="189" t="str">
        <f>+'M1'!D17</f>
        <v>AMC</v>
      </c>
      <c r="D134" s="189">
        <f>+'M1'!E17</f>
        <v>0</v>
      </c>
      <c r="E134" s="189">
        <f>+'M1'!F17</f>
        <v>16786.916400000002</v>
      </c>
      <c r="F134" s="189">
        <f>+'M1'!G17</f>
        <v>16787</v>
      </c>
      <c r="G134" s="189">
        <f>+'M1'!H17</f>
        <v>0</v>
      </c>
      <c r="H134" s="559">
        <f>+'M1'!I17</f>
        <v>-8.3599999998114072E-2</v>
      </c>
    </row>
    <row r="135" spans="1:8" ht="12.75" customHeight="1">
      <c r="A135" s="85"/>
      <c r="B135" s="547">
        <f>'M1'!C18</f>
        <v>12</v>
      </c>
      <c r="C135" s="189" t="str">
        <f>+'M1'!D18</f>
        <v>Amus Or</v>
      </c>
      <c r="D135" s="189">
        <f>+'M1'!E18</f>
        <v>0</v>
      </c>
      <c r="E135" s="189">
        <f>+'M1'!F18</f>
        <v>600000</v>
      </c>
      <c r="F135" s="189">
        <f>+'M1'!G18</f>
        <v>600000</v>
      </c>
      <c r="G135" s="189">
        <f>+'M1'!H18</f>
        <v>0</v>
      </c>
      <c r="H135" s="559">
        <f>+'M1'!I18</f>
        <v>0</v>
      </c>
    </row>
    <row r="136" spans="1:8" ht="12.75" customHeight="1">
      <c r="A136" s="85"/>
      <c r="B136" s="547">
        <f>'M1'!C19</f>
        <v>13</v>
      </c>
      <c r="C136" s="189" t="str">
        <f>+'M1'!D19</f>
        <v>ANTEA CEMENT</v>
      </c>
      <c r="D136" s="189">
        <f>+'M1'!E19</f>
        <v>293697.59999999998</v>
      </c>
      <c r="E136" s="189">
        <f>+'M1'!F19</f>
        <v>616800</v>
      </c>
      <c r="F136" s="189">
        <f>+'M1'!G19</f>
        <v>616800</v>
      </c>
      <c r="G136" s="189">
        <f>+'M1'!H19</f>
        <v>0</v>
      </c>
      <c r="H136" s="559">
        <f>+'M1'!I19</f>
        <v>293697.59999999998</v>
      </c>
    </row>
    <row r="137" spans="1:8" ht="12.75" customHeight="1">
      <c r="A137" s="85"/>
      <c r="B137" s="547">
        <f>'M1'!C20</f>
        <v>14</v>
      </c>
      <c r="C137" s="189" t="str">
        <f>+'M1'!D20</f>
        <v>Apolumil SKY</v>
      </c>
      <c r="D137" s="189">
        <f>+'M1'!E20</f>
        <v>0</v>
      </c>
      <c r="E137" s="189">
        <f>+'M1'!F20</f>
        <v>3730413.6</v>
      </c>
      <c r="F137" s="189">
        <f>+'M1'!G20</f>
        <v>3060000</v>
      </c>
      <c r="G137" s="189">
        <f>+'M1'!H20</f>
        <v>0</v>
      </c>
      <c r="H137" s="559">
        <f>+'M1'!I20</f>
        <v>670413.60000000009</v>
      </c>
    </row>
    <row r="138" spans="1:8" ht="12.75" customHeight="1">
      <c r="A138" s="85"/>
      <c r="B138" s="547">
        <f>'M1'!C21</f>
        <v>15</v>
      </c>
      <c r="C138" s="189" t="str">
        <f>+'M1'!D21</f>
        <v>ATZ</v>
      </c>
      <c r="D138" s="189">
        <f>+'M1'!E21</f>
        <v>0</v>
      </c>
      <c r="E138" s="189">
        <f>+'M1'!F21</f>
        <v>567000</v>
      </c>
      <c r="F138" s="189">
        <f>+'M1'!G21</f>
        <v>567000</v>
      </c>
      <c r="G138" s="189">
        <f>+'M1'!H21</f>
        <v>0</v>
      </c>
      <c r="H138" s="559">
        <f>+'M1'!I21</f>
        <v>0</v>
      </c>
    </row>
    <row r="139" spans="1:8" ht="12.75" customHeight="1">
      <c r="A139" s="85"/>
      <c r="B139" s="547">
        <f>'M1'!C22</f>
        <v>16</v>
      </c>
      <c r="C139" s="189" t="str">
        <f>+'M1'!D22</f>
        <v>B-D.K.S GRUP</v>
      </c>
      <c r="D139" s="189">
        <f>+'M1'!E22</f>
        <v>0</v>
      </c>
      <c r="E139" s="189">
        <f>+'M1'!F22</f>
        <v>729480</v>
      </c>
      <c r="F139" s="189">
        <f>+'M1'!G22</f>
        <v>729480</v>
      </c>
      <c r="G139" s="189">
        <f>+'M1'!H22</f>
        <v>0</v>
      </c>
      <c r="H139" s="559">
        <f>+'M1'!I22</f>
        <v>0</v>
      </c>
    </row>
    <row r="140" spans="1:8" ht="12.75" customHeight="1">
      <c r="A140" s="85"/>
      <c r="B140" s="547">
        <f>'M1'!C23</f>
        <v>17</v>
      </c>
      <c r="C140" s="189" t="str">
        <f>+'M1'!D23</f>
        <v>Blu Star</v>
      </c>
      <c r="D140" s="189">
        <f>+'M1'!E23</f>
        <v>-421196</v>
      </c>
      <c r="E140" s="189">
        <f>+'M1'!F23</f>
        <v>3855380.4</v>
      </c>
      <c r="F140" s="189">
        <f>+'M1'!G23</f>
        <v>3434184</v>
      </c>
      <c r="G140" s="189">
        <f>+'M1'!H23</f>
        <v>0</v>
      </c>
      <c r="H140" s="559">
        <f>+'M1'!I23</f>
        <v>0.39999999990686774</v>
      </c>
    </row>
    <row r="141" spans="1:8" ht="12.75" customHeight="1">
      <c r="A141" s="85"/>
      <c r="B141" s="547">
        <f>'M1'!C24</f>
        <v>18</v>
      </c>
      <c r="C141" s="189" t="str">
        <f>+'M1'!D24</f>
        <v>Breshani</v>
      </c>
      <c r="D141" s="189">
        <f>+'M1'!E24</f>
        <v>0</v>
      </c>
      <c r="E141" s="189">
        <f>+'M1'!F24</f>
        <v>263596.79999999999</v>
      </c>
      <c r="F141" s="189">
        <f>+'M1'!G24</f>
        <v>263596.79999999999</v>
      </c>
      <c r="G141" s="189">
        <f>+'M1'!H24</f>
        <v>0</v>
      </c>
      <c r="H141" s="559">
        <f>+'M1'!I24</f>
        <v>0</v>
      </c>
    </row>
    <row r="142" spans="1:8" ht="12.75" customHeight="1">
      <c r="A142" s="85"/>
      <c r="B142" s="547">
        <f>'M1'!C25</f>
        <v>19</v>
      </c>
      <c r="C142" s="189" t="str">
        <f>+'M1'!D25</f>
        <v>Brunes</v>
      </c>
      <c r="D142" s="189">
        <f>+'M1'!E25</f>
        <v>844674.60000000009</v>
      </c>
      <c r="E142" s="189">
        <f>+'M1'!F25</f>
        <v>1343677.2000000002</v>
      </c>
      <c r="F142" s="189">
        <f>+'M1'!G25</f>
        <v>1701958</v>
      </c>
      <c r="G142" s="189">
        <f>+'M1'!H25</f>
        <v>330.9</v>
      </c>
      <c r="H142" s="559">
        <f>+'M1'!I25</f>
        <v>439902.35000000027</v>
      </c>
    </row>
    <row r="143" spans="1:8" ht="12.75" customHeight="1">
      <c r="A143" s="85"/>
      <c r="B143" s="547">
        <f>'M1'!C26</f>
        <v>20</v>
      </c>
      <c r="C143" s="189" t="str">
        <f>+'M1'!D26</f>
        <v>Cilataj</v>
      </c>
      <c r="D143" s="189">
        <f>+'M1'!E26</f>
        <v>-2259284</v>
      </c>
      <c r="E143" s="189">
        <f>+'M1'!F26</f>
        <v>1000036.8</v>
      </c>
      <c r="F143" s="189">
        <f>+'M1'!G26</f>
        <v>-1259247</v>
      </c>
      <c r="G143" s="189">
        <f>+'M1'!H26</f>
        <v>0</v>
      </c>
      <c r="H143" s="559">
        <f>+'M1'!I26</f>
        <v>-0.19999999995343387</v>
      </c>
    </row>
    <row r="144" spans="1:8" ht="12.75" customHeight="1">
      <c r="A144" s="85"/>
      <c r="B144" s="547">
        <f>'M1'!C27</f>
        <v>21</v>
      </c>
      <c r="C144" s="189" t="str">
        <f>+'M1'!D27</f>
        <v>COOP . AL. SRL.</v>
      </c>
      <c r="D144" s="189">
        <f>+'M1'!E27</f>
        <v>3019609</v>
      </c>
      <c r="E144" s="189">
        <f>+'M1'!F27</f>
        <v>0</v>
      </c>
      <c r="F144" s="189">
        <f>+'M1'!G27</f>
        <v>3019609</v>
      </c>
      <c r="G144" s="189">
        <f>+'M1'!H27</f>
        <v>0</v>
      </c>
      <c r="H144" s="559">
        <f>+'M1'!I27</f>
        <v>0</v>
      </c>
    </row>
    <row r="145" spans="1:8" ht="12.75" customHeight="1">
      <c r="A145" s="85"/>
      <c r="B145" s="547">
        <f>'M1'!C28</f>
        <v>22</v>
      </c>
      <c r="C145" s="189" t="str">
        <f>+'M1'!D28</f>
        <v>COOP LE COMETE</v>
      </c>
      <c r="D145" s="189">
        <f>+'M1'!E28</f>
        <v>33110</v>
      </c>
      <c r="E145" s="189">
        <f>+'M1'!F28</f>
        <v>0</v>
      </c>
      <c r="F145" s="189">
        <f>+'M1'!G28</f>
        <v>0</v>
      </c>
      <c r="G145" s="189">
        <f>+'M1'!H28</f>
        <v>0</v>
      </c>
      <c r="H145" s="559">
        <f>+'M1'!I28</f>
        <v>33110</v>
      </c>
    </row>
    <row r="146" spans="1:8" ht="12.75" customHeight="1">
      <c r="A146" s="85"/>
      <c r="B146" s="547">
        <f>'M1'!C29</f>
        <v>23</v>
      </c>
      <c r="C146" s="189" t="str">
        <f>+'M1'!D29</f>
        <v>COVRE PIAZZA SRL</v>
      </c>
      <c r="D146" s="189">
        <f>+'M1'!E29</f>
        <v>40108</v>
      </c>
      <c r="E146" s="189">
        <f>+'M1'!F29</f>
        <v>0</v>
      </c>
      <c r="F146" s="189">
        <f>+'M1'!G29</f>
        <v>0</v>
      </c>
      <c r="G146" s="189">
        <f>+'M1'!H29</f>
        <v>0</v>
      </c>
      <c r="H146" s="559">
        <f>+'M1'!I29</f>
        <v>40108</v>
      </c>
    </row>
    <row r="147" spans="1:8" ht="12.75" customHeight="1">
      <c r="A147" s="85"/>
      <c r="B147" s="547">
        <f>'M1'!C30</f>
        <v>24</v>
      </c>
      <c r="C147" s="189" t="str">
        <f>+'M1'!D30</f>
        <v>DAPAJ</v>
      </c>
      <c r="D147" s="189">
        <f>+'M1'!E30</f>
        <v>825140</v>
      </c>
      <c r="E147" s="189">
        <f>+'M1'!F30</f>
        <v>0</v>
      </c>
      <c r="F147" s="189">
        <f>+'M1'!G30</f>
        <v>825140</v>
      </c>
      <c r="G147" s="189">
        <f>+'M1'!H30</f>
        <v>0</v>
      </c>
      <c r="H147" s="559">
        <f>+'M1'!I30</f>
        <v>0</v>
      </c>
    </row>
    <row r="148" spans="1:8" ht="12.75" customHeight="1">
      <c r="A148" s="85"/>
      <c r="B148" s="547">
        <f>'M1'!C31</f>
        <v>25</v>
      </c>
      <c r="C148" s="189" t="str">
        <f>+'M1'!D31</f>
        <v>DULE</v>
      </c>
      <c r="D148" s="189">
        <f>+'M1'!E31</f>
        <v>558120</v>
      </c>
      <c r="E148" s="189">
        <f>+'M1'!F31</f>
        <v>0</v>
      </c>
      <c r="F148" s="189">
        <f>+'M1'!G31</f>
        <v>558120</v>
      </c>
      <c r="G148" s="189">
        <f>+'M1'!H31</f>
        <v>0</v>
      </c>
      <c r="H148" s="559">
        <f>+'M1'!I31</f>
        <v>0</v>
      </c>
    </row>
    <row r="149" spans="1:8" ht="12.75" customHeight="1">
      <c r="A149" s="85"/>
      <c r="B149" s="547">
        <f>'M1'!C32</f>
        <v>26</v>
      </c>
      <c r="C149" s="189" t="str">
        <f>+'M1'!D32</f>
        <v>EDIL CENTRO</v>
      </c>
      <c r="D149" s="189">
        <f>+'M1'!E32</f>
        <v>-3702.7999999999884</v>
      </c>
      <c r="E149" s="189">
        <f>+'M1'!F32</f>
        <v>0</v>
      </c>
      <c r="F149" s="189">
        <f>+'M1'!G32</f>
        <v>-3703</v>
      </c>
      <c r="G149" s="189">
        <f>+'M1'!H32</f>
        <v>0</v>
      </c>
      <c r="H149" s="559">
        <f>+'M1'!I32</f>
        <v>0.20000000001164153</v>
      </c>
    </row>
    <row r="150" spans="1:8" ht="12.75" customHeight="1">
      <c r="A150" s="85"/>
      <c r="B150" s="547">
        <f>'M1'!C33</f>
        <v>27</v>
      </c>
      <c r="C150" s="189" t="str">
        <f>+'M1'!D33</f>
        <v>Edil Class</v>
      </c>
      <c r="D150" s="189">
        <f>+'M1'!E33</f>
        <v>90553</v>
      </c>
      <c r="E150" s="189">
        <f>+'M1'!F33</f>
        <v>2467740</v>
      </c>
      <c r="F150" s="189">
        <f>+'M1'!G33</f>
        <v>2467740</v>
      </c>
      <c r="G150" s="189">
        <f>+'M1'!H33</f>
        <v>0</v>
      </c>
      <c r="H150" s="559">
        <f>+'M1'!I33</f>
        <v>90553</v>
      </c>
    </row>
    <row r="151" spans="1:8" ht="12.75" customHeight="1">
      <c r="A151" s="85"/>
      <c r="B151" s="547">
        <f>'M1'!C34</f>
        <v>28</v>
      </c>
      <c r="C151" s="189" t="str">
        <f>+'M1'!D34</f>
        <v>EDISON SRL</v>
      </c>
      <c r="D151" s="189">
        <f>+'M1'!E34</f>
        <v>381321</v>
      </c>
      <c r="E151" s="189">
        <f>+'M1'!F34</f>
        <v>0</v>
      </c>
      <c r="F151" s="189">
        <f>+'M1'!G34</f>
        <v>381321</v>
      </c>
      <c r="G151" s="189">
        <f>+'M1'!H34</f>
        <v>0</v>
      </c>
      <c r="H151" s="559">
        <f>+'M1'!I34</f>
        <v>0</v>
      </c>
    </row>
    <row r="152" spans="1:8" ht="12.75" customHeight="1">
      <c r="A152" s="85"/>
      <c r="B152" s="547">
        <f>'M1'!C35</f>
        <v>29</v>
      </c>
      <c r="C152" s="189" t="str">
        <f>+'M1'!D35</f>
        <v>EDRO</v>
      </c>
      <c r="D152" s="189">
        <f>+'M1'!E35</f>
        <v>739887.4</v>
      </c>
      <c r="E152" s="189">
        <f>+'M1'!F35</f>
        <v>0</v>
      </c>
      <c r="F152" s="189">
        <f>+'M1'!G35</f>
        <v>739887</v>
      </c>
      <c r="G152" s="189">
        <f>+'M1'!H35</f>
        <v>0</v>
      </c>
      <c r="H152" s="559">
        <f>+'M1'!I35</f>
        <v>0.40000000002328306</v>
      </c>
    </row>
    <row r="153" spans="1:8" ht="12.75" customHeight="1">
      <c r="A153" s="85"/>
      <c r="B153" s="547">
        <f>'M1'!C36</f>
        <v>30</v>
      </c>
      <c r="C153" s="189" t="str">
        <f>+'M1'!D36</f>
        <v>ELDON 2006</v>
      </c>
      <c r="D153" s="189">
        <f>+'M1'!E36</f>
        <v>2910</v>
      </c>
      <c r="E153" s="189">
        <f>+'M1'!F36</f>
        <v>0</v>
      </c>
      <c r="F153" s="189">
        <f>+'M1'!G36</f>
        <v>2910</v>
      </c>
      <c r="G153" s="189">
        <f>+'M1'!H36</f>
        <v>0</v>
      </c>
      <c r="H153" s="559">
        <f>+'M1'!I36</f>
        <v>0</v>
      </c>
    </row>
    <row r="154" spans="1:8" ht="12.75" customHeight="1">
      <c r="A154" s="85"/>
      <c r="B154" s="547">
        <f>'M1'!C37</f>
        <v>31</v>
      </c>
      <c r="C154" s="189" t="str">
        <f>+'M1'!D37</f>
        <v>ELEKTROMETAL</v>
      </c>
      <c r="D154" s="189">
        <f>+'M1'!E37</f>
        <v>0</v>
      </c>
      <c r="E154" s="189">
        <f>+'M1'!F37</f>
        <v>150480</v>
      </c>
      <c r="F154" s="189">
        <f>+'M1'!G37</f>
        <v>155000</v>
      </c>
      <c r="G154" s="189">
        <f>+'M1'!H37</f>
        <v>0</v>
      </c>
      <c r="H154" s="559">
        <f>+'M1'!I37</f>
        <v>-4520</v>
      </c>
    </row>
    <row r="155" spans="1:8" ht="12.75" customHeight="1">
      <c r="A155" s="85"/>
      <c r="B155" s="547">
        <f>'M1'!C38</f>
        <v>32</v>
      </c>
      <c r="C155" s="189" t="str">
        <f>+'M1'!D38</f>
        <v>ERLAN</v>
      </c>
      <c r="D155" s="189">
        <f>+'M1'!E38</f>
        <v>94416</v>
      </c>
      <c r="E155" s="189">
        <f>+'M1'!F38</f>
        <v>0</v>
      </c>
      <c r="F155" s="189">
        <f>+'M1'!G38</f>
        <v>94416</v>
      </c>
      <c r="G155" s="189">
        <f>+'M1'!H38</f>
        <v>0</v>
      </c>
      <c r="H155" s="559">
        <f>+'M1'!I38</f>
        <v>0</v>
      </c>
    </row>
    <row r="156" spans="1:8" ht="12.75" customHeight="1">
      <c r="A156" s="85"/>
      <c r="B156" s="547">
        <f>'M1'!C39</f>
        <v>33</v>
      </c>
      <c r="C156" s="189" t="str">
        <f>+'M1'!D39</f>
        <v>Ermioni Vongh</v>
      </c>
      <c r="D156" s="189">
        <f>+'M1'!E39</f>
        <v>0</v>
      </c>
      <c r="E156" s="189">
        <f>+'M1'!F39</f>
        <v>86400</v>
      </c>
      <c r="F156" s="189">
        <f>+'M1'!G39</f>
        <v>86400</v>
      </c>
      <c r="G156" s="189">
        <f>+'M1'!H39</f>
        <v>0</v>
      </c>
      <c r="H156" s="559">
        <f>+'M1'!I39</f>
        <v>0</v>
      </c>
    </row>
    <row r="157" spans="1:8" ht="12.75" customHeight="1">
      <c r="A157" s="85"/>
      <c r="B157" s="547">
        <f>'M1'!C40</f>
        <v>34</v>
      </c>
      <c r="C157" s="189" t="str">
        <f>+'M1'!D40</f>
        <v>Esbjerg</v>
      </c>
      <c r="D157" s="189">
        <f>+'M1'!E40</f>
        <v>0</v>
      </c>
      <c r="E157" s="189">
        <f>+'M1'!F40</f>
        <v>1284535.2</v>
      </c>
      <c r="F157" s="189">
        <f>+'M1'!G40</f>
        <v>0</v>
      </c>
      <c r="G157" s="189">
        <f>+'M1'!H40</f>
        <v>9196</v>
      </c>
      <c r="H157" s="559">
        <f>+'M1'!I40</f>
        <v>-7502.8000000000466</v>
      </c>
    </row>
    <row r="158" spans="1:8" ht="12.75" customHeight="1">
      <c r="A158" s="85"/>
      <c r="B158" s="547">
        <f>'M1'!C41</f>
        <v>35</v>
      </c>
      <c r="C158" s="189" t="str">
        <f>+'M1'!D41</f>
        <v>EuroTech Cement</v>
      </c>
      <c r="D158" s="189">
        <f>+'M1'!E41</f>
        <v>-683016.58999999985</v>
      </c>
      <c r="E158" s="189">
        <f>+'M1'!F41</f>
        <v>584187.97199999995</v>
      </c>
      <c r="F158" s="189">
        <f>+'M1'!G41</f>
        <v>-98829</v>
      </c>
      <c r="G158" s="189">
        <f>+'M1'!H41</f>
        <v>0</v>
      </c>
      <c r="H158" s="559">
        <f>+'M1'!I41</f>
        <v>0.38200000009965152</v>
      </c>
    </row>
    <row r="159" spans="1:8" ht="12.75" customHeight="1">
      <c r="A159" s="85"/>
      <c r="B159" s="547">
        <f>'M1'!C42</f>
        <v>36</v>
      </c>
      <c r="C159" s="189" t="str">
        <f>+'M1'!D42</f>
        <v>Fasa-Grup</v>
      </c>
      <c r="D159" s="189">
        <f>+'M1'!E42</f>
        <v>0</v>
      </c>
      <c r="E159" s="189">
        <f>+'M1'!F42</f>
        <v>1175682</v>
      </c>
      <c r="F159" s="189">
        <f>+'M1'!G42</f>
        <v>1175680</v>
      </c>
      <c r="G159" s="189">
        <f>+'M1'!H42</f>
        <v>0</v>
      </c>
      <c r="H159" s="559">
        <f>+'M1'!I42</f>
        <v>2</v>
      </c>
    </row>
    <row r="160" spans="1:8" ht="12.75" customHeight="1">
      <c r="A160" s="85"/>
      <c r="B160" s="547">
        <f>'M1'!C43</f>
        <v>37</v>
      </c>
      <c r="C160" s="189" t="str">
        <f>+'M1'!D43</f>
        <v>GRANITO FORTE SPA</v>
      </c>
      <c r="D160" s="189">
        <f>+'M1'!E43</f>
        <v>858634</v>
      </c>
      <c r="E160" s="189">
        <f>+'M1'!F43</f>
        <v>0</v>
      </c>
      <c r="F160" s="189">
        <f>+'M1'!G43</f>
        <v>858634</v>
      </c>
      <c r="G160" s="189">
        <f>+'M1'!H43</f>
        <v>0</v>
      </c>
      <c r="H160" s="559">
        <f>+'M1'!I43</f>
        <v>0</v>
      </c>
    </row>
    <row r="161" spans="1:8" ht="12.75" customHeight="1">
      <c r="A161" s="85"/>
      <c r="B161" s="547">
        <f>'M1'!C44</f>
        <v>38</v>
      </c>
      <c r="C161" s="189" t="str">
        <f>+'M1'!D44</f>
        <v>Hamzaj &amp;15</v>
      </c>
      <c r="D161" s="189">
        <f>+'M1'!E44</f>
        <v>446494</v>
      </c>
      <c r="E161" s="189">
        <f>+'M1'!F44</f>
        <v>1267228.8</v>
      </c>
      <c r="F161" s="189">
        <f>+'M1'!G44</f>
        <v>950400</v>
      </c>
      <c r="G161" s="189">
        <f>+'M1'!H44</f>
        <v>0</v>
      </c>
      <c r="H161" s="559">
        <f>+'M1'!I44</f>
        <v>763322.8</v>
      </c>
    </row>
    <row r="162" spans="1:8" ht="12.75" customHeight="1">
      <c r="A162" s="85"/>
      <c r="B162" s="547">
        <f>'M1'!C45</f>
        <v>39</v>
      </c>
      <c r="C162" s="189" t="str">
        <f>+'M1'!D45</f>
        <v>IKONA</v>
      </c>
      <c r="D162" s="189">
        <f>+'M1'!E45</f>
        <v>1360510</v>
      </c>
      <c r="E162" s="189">
        <f>+'M1'!F45</f>
        <v>0</v>
      </c>
      <c r="F162" s="189">
        <f>+'M1'!G45</f>
        <v>1360510</v>
      </c>
      <c r="G162" s="189">
        <f>+'M1'!H45</f>
        <v>0</v>
      </c>
      <c r="H162" s="559">
        <f>+'M1'!I45</f>
        <v>0</v>
      </c>
    </row>
    <row r="163" spans="1:8" ht="12.75" customHeight="1">
      <c r="A163" s="85"/>
      <c r="B163" s="547">
        <f>'M1'!C46</f>
        <v>40</v>
      </c>
      <c r="C163" s="189" t="str">
        <f>+'M1'!D46</f>
        <v>Kanina 2000</v>
      </c>
      <c r="D163" s="189">
        <f>+'M1'!E46</f>
        <v>0</v>
      </c>
      <c r="E163" s="189">
        <f>+'M1'!F46</f>
        <v>349566</v>
      </c>
      <c r="F163" s="189">
        <f>+'M1'!G46</f>
        <v>349566</v>
      </c>
      <c r="G163" s="189">
        <f>+'M1'!H46</f>
        <v>0</v>
      </c>
      <c r="H163" s="559">
        <f>+'M1'!I46</f>
        <v>0</v>
      </c>
    </row>
    <row r="164" spans="1:8" ht="12.75" customHeight="1">
      <c r="A164" s="85"/>
      <c r="B164" s="547">
        <f>'M1'!C47</f>
        <v>41</v>
      </c>
      <c r="C164" s="189" t="str">
        <f>+'M1'!D47</f>
        <v>KID ALB</v>
      </c>
      <c r="D164" s="189">
        <f>+'M1'!E47</f>
        <v>160237.80000000005</v>
      </c>
      <c r="E164" s="189">
        <f>+'M1'!F47</f>
        <v>360799.2</v>
      </c>
      <c r="F164" s="189">
        <f>+'M1'!G47</f>
        <v>200659.6</v>
      </c>
      <c r="G164" s="189">
        <f>+'M1'!H47</f>
        <v>0</v>
      </c>
      <c r="H164" s="559">
        <f>+'M1'!I47</f>
        <v>320377.40000000002</v>
      </c>
    </row>
    <row r="165" spans="1:8" ht="12.75" customHeight="1">
      <c r="A165" s="85"/>
      <c r="B165" s="547">
        <f>'M1'!C48</f>
        <v>43</v>
      </c>
      <c r="C165" s="189" t="str">
        <f>+'M1'!D48</f>
        <v>MARAZZI GROUP SPA</v>
      </c>
      <c r="D165" s="189">
        <f>+'M1'!E48</f>
        <v>6760</v>
      </c>
      <c r="E165" s="189">
        <f>+'M1'!F48</f>
        <v>0</v>
      </c>
      <c r="F165" s="189">
        <f>+'M1'!G48</f>
        <v>0</v>
      </c>
      <c r="G165" s="189">
        <f>+'M1'!H48</f>
        <v>0</v>
      </c>
      <c r="H165" s="559">
        <f>+'M1'!I48</f>
        <v>6760</v>
      </c>
    </row>
    <row r="166" spans="1:8" ht="12.75" customHeight="1">
      <c r="A166" s="85"/>
      <c r="B166" s="547">
        <f>'M1'!C49</f>
        <v>44</v>
      </c>
      <c r="C166" s="189" t="str">
        <f>+'M1'!D49</f>
        <v>MAT EDIE</v>
      </c>
      <c r="D166" s="189">
        <f>+'M1'!E49</f>
        <v>161280</v>
      </c>
      <c r="E166" s="189">
        <f>+'M1'!F49</f>
        <v>0</v>
      </c>
      <c r="F166" s="189">
        <f>+'M1'!G49</f>
        <v>0</v>
      </c>
      <c r="G166" s="189">
        <f>+'M1'!H49</f>
        <v>0</v>
      </c>
      <c r="H166" s="559">
        <f>+'M1'!I49</f>
        <v>161280</v>
      </c>
    </row>
    <row r="167" spans="1:8" ht="12.75" customHeight="1">
      <c r="A167" s="85"/>
      <c r="B167" s="547">
        <f>'M1'!C50</f>
        <v>45</v>
      </c>
      <c r="C167" s="189" t="str">
        <f>+'M1'!D50</f>
        <v>Mehillaj</v>
      </c>
      <c r="D167" s="189">
        <f>+'M1'!E50</f>
        <v>568435.39999999851</v>
      </c>
      <c r="E167" s="189">
        <f>+'M1'!F50</f>
        <v>2525102.4</v>
      </c>
      <c r="F167" s="189">
        <f>+'M1'!G50</f>
        <v>3093537.7999999984</v>
      </c>
      <c r="G167" s="189">
        <f>+'M1'!H50</f>
        <v>0</v>
      </c>
      <c r="H167" s="559">
        <f>+'M1'!I50</f>
        <v>0</v>
      </c>
    </row>
    <row r="168" spans="1:8" ht="12.75" customHeight="1">
      <c r="A168" s="85"/>
      <c r="B168" s="547">
        <f>'M1'!C51</f>
        <v>46</v>
      </c>
      <c r="C168" s="189" t="str">
        <f>+'M1'!D51</f>
        <v>MERKAJ 2007</v>
      </c>
      <c r="D168" s="189">
        <f>+'M1'!E51</f>
        <v>77528</v>
      </c>
      <c r="E168" s="189">
        <f>+'M1'!F51</f>
        <v>1630215.6</v>
      </c>
      <c r="F168" s="189">
        <f>+'M1'!G51</f>
        <v>1637006.6</v>
      </c>
      <c r="G168" s="189">
        <f>+'M1'!H51</f>
        <v>0</v>
      </c>
      <c r="H168" s="559">
        <f>+'M1'!I51</f>
        <v>70737</v>
      </c>
    </row>
    <row r="169" spans="1:8" ht="12.75" customHeight="1">
      <c r="A169" s="85"/>
      <c r="B169" s="547">
        <f>'M1'!C52</f>
        <v>47</v>
      </c>
      <c r="C169" s="189" t="str">
        <f>+'M1'!D52</f>
        <v>MILIS GRICK</v>
      </c>
      <c r="D169" s="189">
        <f>+'M1'!E52</f>
        <v>72000</v>
      </c>
      <c r="E169" s="189">
        <f>+'M1'!F52</f>
        <v>0</v>
      </c>
      <c r="F169" s="189">
        <f>+'M1'!G52</f>
        <v>72000</v>
      </c>
      <c r="G169" s="189">
        <f>+'M1'!H52</f>
        <v>0</v>
      </c>
      <c r="H169" s="559">
        <f>+'M1'!I52</f>
        <v>0</v>
      </c>
    </row>
    <row r="170" spans="1:8" ht="12.75" customHeight="1">
      <c r="A170" s="85"/>
      <c r="B170" s="547">
        <f>'M1'!C53</f>
        <v>48</v>
      </c>
      <c r="C170" s="189" t="str">
        <f>+'M1'!D53</f>
        <v>MT ARREDO SRL</v>
      </c>
      <c r="D170" s="189">
        <f>+'M1'!E53</f>
        <v>156309</v>
      </c>
      <c r="E170" s="189">
        <f>+'M1'!F53</f>
        <v>0</v>
      </c>
      <c r="F170" s="189">
        <f>+'M1'!G53</f>
        <v>156309</v>
      </c>
      <c r="G170" s="189">
        <f>+'M1'!H53</f>
        <v>0</v>
      </c>
      <c r="H170" s="559">
        <f>+'M1'!I53</f>
        <v>0</v>
      </c>
    </row>
    <row r="171" spans="1:8" ht="12.75" customHeight="1">
      <c r="A171" s="85"/>
      <c r="B171" s="547">
        <f>'M1'!C54</f>
        <v>49</v>
      </c>
      <c r="C171" s="189" t="str">
        <f>+'M1'!D54</f>
        <v>MUKAJ 09</v>
      </c>
      <c r="D171" s="189">
        <f>+'M1'!E54</f>
        <v>312404.40000000002</v>
      </c>
      <c r="E171" s="189">
        <f>+'M1'!F54</f>
        <v>0</v>
      </c>
      <c r="F171" s="189">
        <f>+'M1'!G54</f>
        <v>312404</v>
      </c>
      <c r="G171" s="189">
        <f>+'M1'!H54</f>
        <v>0</v>
      </c>
      <c r="H171" s="559">
        <f>+'M1'!I54</f>
        <v>0.40000000002328306</v>
      </c>
    </row>
    <row r="172" spans="1:8" ht="12.75" customHeight="1">
      <c r="A172" s="85"/>
      <c r="B172" s="547">
        <f>'M1'!C55</f>
        <v>50</v>
      </c>
      <c r="C172" s="189" t="str">
        <f>+'M1'!D55</f>
        <v>MYFTARI</v>
      </c>
      <c r="D172" s="189">
        <f>+'M1'!E55</f>
        <v>0</v>
      </c>
      <c r="E172" s="189">
        <f>+'M1'!F55</f>
        <v>5760642.3119999999</v>
      </c>
      <c r="F172" s="189">
        <f>+'M1'!G55</f>
        <v>4555842.32</v>
      </c>
      <c r="G172" s="189">
        <f>+'M1'!H55</f>
        <v>0</v>
      </c>
      <c r="H172" s="559">
        <f>+'M1'!I55</f>
        <v>1204799.9919999996</v>
      </c>
    </row>
    <row r="173" spans="1:8" ht="12.75" customHeight="1">
      <c r="A173" s="85"/>
      <c r="B173" s="547">
        <f>'M1'!C56</f>
        <v>51</v>
      </c>
      <c r="C173" s="189" t="str">
        <f>+'M1'!D56</f>
        <v>NDERTIMI AJ</v>
      </c>
      <c r="D173" s="189">
        <f>+'M1'!E56</f>
        <v>-4542032.5999999996</v>
      </c>
      <c r="E173" s="189">
        <f>+'M1'!F56</f>
        <v>0</v>
      </c>
      <c r="F173" s="189">
        <f>+'M1'!G56</f>
        <v>-4542033</v>
      </c>
      <c r="G173" s="189">
        <f>+'M1'!H56</f>
        <v>0</v>
      </c>
      <c r="H173" s="559">
        <f>+'M1'!I56</f>
        <v>0.40000000037252903</v>
      </c>
    </row>
    <row r="174" spans="1:8" ht="12.75" customHeight="1">
      <c r="A174" s="85"/>
      <c r="B174" s="547">
        <f>'M1'!C57</f>
        <v>52</v>
      </c>
      <c r="C174" s="189" t="str">
        <f>+'M1'!D57</f>
        <v>Ol- Vahrom</v>
      </c>
      <c r="D174" s="189">
        <f>+'M1'!E57</f>
        <v>11760</v>
      </c>
      <c r="E174" s="189">
        <f>+'M1'!F57</f>
        <v>624612</v>
      </c>
      <c r="F174" s="189">
        <f>+'M1'!G57</f>
        <v>879972</v>
      </c>
      <c r="G174" s="189">
        <f>+'M1'!H57</f>
        <v>0</v>
      </c>
      <c r="H174" s="559">
        <f>+'M1'!I57</f>
        <v>-243600</v>
      </c>
    </row>
    <row r="175" spans="1:8" ht="12.75" customHeight="1">
      <c r="A175" s="85"/>
      <c r="B175" s="547">
        <f>'M1'!C58</f>
        <v>53</v>
      </c>
      <c r="C175" s="189" t="str">
        <f>+'M1'!D58</f>
        <v>P Plasa</v>
      </c>
      <c r="D175" s="189">
        <f>+'M1'!E58</f>
        <v>-660302.80000000005</v>
      </c>
      <c r="E175" s="189">
        <f>+'M1'!F58</f>
        <v>358314</v>
      </c>
      <c r="F175" s="189">
        <f>+'M1'!G58</f>
        <v>-660303</v>
      </c>
      <c r="G175" s="189">
        <f>+'M1'!H58</f>
        <v>0</v>
      </c>
      <c r="H175" s="559">
        <f>+'M1'!I58</f>
        <v>358314.19999999995</v>
      </c>
    </row>
    <row r="176" spans="1:8" ht="12.75" customHeight="1">
      <c r="A176" s="85"/>
      <c r="B176" s="547">
        <f>'M1'!C59</f>
        <v>54</v>
      </c>
      <c r="C176" s="189" t="str">
        <f>+'M1'!D59</f>
        <v>QATO</v>
      </c>
      <c r="D176" s="189">
        <f>+'M1'!E59</f>
        <v>55200</v>
      </c>
      <c r="E176" s="189">
        <f>+'M1'!F59</f>
        <v>0</v>
      </c>
      <c r="F176" s="189">
        <f>+'M1'!G59</f>
        <v>0</v>
      </c>
      <c r="G176" s="189">
        <f>+'M1'!H59</f>
        <v>0</v>
      </c>
      <c r="H176" s="559">
        <f>+'M1'!I59</f>
        <v>55200</v>
      </c>
    </row>
    <row r="177" spans="1:8" ht="12.75" customHeight="1">
      <c r="A177" s="85"/>
      <c r="B177" s="547">
        <f>'M1'!C60</f>
        <v>55</v>
      </c>
      <c r="C177" s="189" t="str">
        <f>+'M1'!D60</f>
        <v>REFRAKTARE</v>
      </c>
      <c r="D177" s="189">
        <f>+'M1'!E60</f>
        <v>953640.79999999981</v>
      </c>
      <c r="E177" s="189">
        <f>+'M1'!F60</f>
        <v>0</v>
      </c>
      <c r="F177" s="189">
        <f>+'M1'!G60</f>
        <v>953641</v>
      </c>
      <c r="G177" s="189">
        <f>+'M1'!H60</f>
        <v>0</v>
      </c>
      <c r="H177" s="559">
        <f>+'M1'!I60</f>
        <v>-0.20000000018626451</v>
      </c>
    </row>
    <row r="178" spans="1:8" ht="12.75" customHeight="1">
      <c r="A178" s="85"/>
      <c r="B178" s="547">
        <f>'M1'!C61</f>
        <v>56</v>
      </c>
      <c r="C178" s="189" t="str">
        <f>+'M1'!D61</f>
        <v>Ria Plastik</v>
      </c>
      <c r="D178" s="189">
        <f>+'M1'!E61</f>
        <v>0</v>
      </c>
      <c r="E178" s="189">
        <f>+'M1'!F61</f>
        <v>595932</v>
      </c>
      <c r="F178" s="189">
        <f>+'M1'!G61</f>
        <v>595932</v>
      </c>
      <c r="G178" s="189">
        <f>+'M1'!H61</f>
        <v>0</v>
      </c>
      <c r="H178" s="559">
        <f>+'M1'!I61</f>
        <v>0</v>
      </c>
    </row>
    <row r="179" spans="1:8" ht="12.75" customHeight="1">
      <c r="A179" s="85"/>
      <c r="B179" s="547">
        <f>'M1'!C62</f>
        <v>57</v>
      </c>
      <c r="C179" s="189" t="str">
        <f>+'M1'!D62</f>
        <v>ROVER 08</v>
      </c>
      <c r="D179" s="189">
        <f>+'M1'!E62</f>
        <v>266071.39999999991</v>
      </c>
      <c r="E179" s="189">
        <f>+'M1'!F62</f>
        <v>790420.8</v>
      </c>
      <c r="F179" s="189">
        <f>+'M1'!G62</f>
        <v>866113.4</v>
      </c>
      <c r="G179" s="189">
        <f>+'M1'!H62</f>
        <v>0</v>
      </c>
      <c r="H179" s="559">
        <f>+'M1'!I62</f>
        <v>190378.79999999993</v>
      </c>
    </row>
    <row r="180" spans="1:8" ht="12.75" customHeight="1">
      <c r="A180" s="85"/>
      <c r="B180" s="547">
        <f>'M1'!C63</f>
        <v>58</v>
      </c>
      <c r="C180" s="189" t="str">
        <f>+'M1'!D63</f>
        <v>RP SERRAMENTA SRL</v>
      </c>
      <c r="D180" s="189">
        <f>+'M1'!E63</f>
        <v>37602</v>
      </c>
      <c r="E180" s="189">
        <f>+'M1'!F63</f>
        <v>0</v>
      </c>
      <c r="F180" s="189">
        <f>+'M1'!G63</f>
        <v>0</v>
      </c>
      <c r="G180" s="189">
        <f>+'M1'!H63</f>
        <v>0</v>
      </c>
      <c r="H180" s="559">
        <f>+'M1'!I63</f>
        <v>37602</v>
      </c>
    </row>
    <row r="181" spans="1:8" ht="12.75" customHeight="1">
      <c r="A181" s="85"/>
      <c r="B181" s="547">
        <f>'M1'!C64</f>
        <v>59</v>
      </c>
      <c r="C181" s="189" t="str">
        <f>+'M1'!D64</f>
        <v>Rubineteria</v>
      </c>
      <c r="D181" s="189">
        <f>+'M1'!E64</f>
        <v>297600</v>
      </c>
      <c r="E181" s="189">
        <f>+'M1'!F64</f>
        <v>283560</v>
      </c>
      <c r="F181" s="189">
        <f>+'M1'!G64</f>
        <v>283560</v>
      </c>
      <c r="G181" s="189">
        <f>+'M1'!H64</f>
        <v>0</v>
      </c>
      <c r="H181" s="559">
        <f>+'M1'!I64</f>
        <v>297600</v>
      </c>
    </row>
    <row r="182" spans="1:8" ht="12.75" customHeight="1">
      <c r="A182" s="85"/>
      <c r="B182" s="547">
        <f>'M1'!C65</f>
        <v>60</v>
      </c>
      <c r="C182" s="189" t="str">
        <f>+'M1'!D65</f>
        <v>Saimira Hoxha</v>
      </c>
      <c r="D182" s="189">
        <f>+'M1'!E65</f>
        <v>388240</v>
      </c>
      <c r="E182" s="189">
        <f>+'M1'!F65</f>
        <v>617800.00800000003</v>
      </c>
      <c r="F182" s="189">
        <f>+'M1'!G65</f>
        <v>370500</v>
      </c>
      <c r="G182" s="189">
        <f>+'M1'!H65</f>
        <v>0</v>
      </c>
      <c r="H182" s="559">
        <f>+'M1'!I65</f>
        <v>635540.00800000003</v>
      </c>
    </row>
    <row r="183" spans="1:8" ht="12.75" customHeight="1">
      <c r="A183" s="85"/>
      <c r="B183" s="547">
        <f>'M1'!C66</f>
        <v>61</v>
      </c>
      <c r="C183" s="189" t="str">
        <f>+'M1'!D66</f>
        <v>SEJKO MOBILERI</v>
      </c>
      <c r="D183" s="189">
        <f>+'M1'!E66</f>
        <v>304800</v>
      </c>
      <c r="E183" s="189">
        <f>+'M1'!F66</f>
        <v>301200</v>
      </c>
      <c r="F183" s="189">
        <f>+'M1'!G66</f>
        <v>304800</v>
      </c>
      <c r="G183" s="189">
        <f>+'M1'!H66</f>
        <v>0</v>
      </c>
      <c r="H183" s="559">
        <f>+'M1'!I66</f>
        <v>301200</v>
      </c>
    </row>
    <row r="184" spans="1:8" ht="12.75" customHeight="1">
      <c r="A184" s="85"/>
      <c r="B184" s="547">
        <f>'M1'!C67</f>
        <v>62</v>
      </c>
      <c r="C184" s="189" t="str">
        <f>+'M1'!D67</f>
        <v>SELIMI</v>
      </c>
      <c r="D184" s="189">
        <f>+'M1'!E67</f>
        <v>699960</v>
      </c>
      <c r="E184" s="189">
        <f>+'M1'!F67</f>
        <v>0</v>
      </c>
      <c r="F184" s="189">
        <f>+'M1'!G67</f>
        <v>699960</v>
      </c>
      <c r="G184" s="189">
        <f>+'M1'!H67</f>
        <v>0</v>
      </c>
      <c r="H184" s="559">
        <f>+'M1'!I67</f>
        <v>0</v>
      </c>
    </row>
    <row r="185" spans="1:8" ht="12.75" customHeight="1">
      <c r="A185" s="85"/>
      <c r="B185" s="547">
        <f>'M1'!C68</f>
        <v>63</v>
      </c>
      <c r="C185" s="189" t="str">
        <f>+'M1'!D68</f>
        <v>Shijaku</v>
      </c>
      <c r="D185" s="189">
        <f>+'M1'!E68</f>
        <v>2885550</v>
      </c>
      <c r="E185" s="189">
        <f>+'M1'!F68</f>
        <v>999999.6</v>
      </c>
      <c r="F185" s="189">
        <f>+'M1'!G68</f>
        <v>1000000</v>
      </c>
      <c r="G185" s="189">
        <f>+'M1'!H68</f>
        <v>20940</v>
      </c>
      <c r="H185" s="559">
        <f>+'M1'!I68</f>
        <v>-56520.399999999907</v>
      </c>
    </row>
    <row r="186" spans="1:8" ht="12.75" customHeight="1">
      <c r="A186" s="85"/>
      <c r="B186" s="547">
        <f>'M1'!C69</f>
        <v>64</v>
      </c>
      <c r="C186" s="189" t="str">
        <f>+'M1'!D69</f>
        <v>Sigal Uniqa Group Austria</v>
      </c>
      <c r="D186" s="189">
        <f>+'M1'!E69</f>
        <v>0</v>
      </c>
      <c r="E186" s="189">
        <f>+'M1'!F69</f>
        <v>61236</v>
      </c>
      <c r="F186" s="189">
        <f>+'M1'!G69</f>
        <v>61236</v>
      </c>
      <c r="G186" s="189">
        <f>+'M1'!H69</f>
        <v>0</v>
      </c>
      <c r="H186" s="559">
        <f>+'M1'!I69</f>
        <v>0</v>
      </c>
    </row>
    <row r="187" spans="1:8" ht="12.75" customHeight="1">
      <c r="A187" s="85"/>
      <c r="B187" s="547">
        <f>'M1'!C70</f>
        <v>65</v>
      </c>
      <c r="C187" s="189" t="str">
        <f>+'M1'!D70</f>
        <v>Sinani</v>
      </c>
      <c r="D187" s="189">
        <f>+'M1'!E70</f>
        <v>0</v>
      </c>
      <c r="E187" s="189">
        <f>+'M1'!F70</f>
        <v>1054898</v>
      </c>
      <c r="F187" s="189">
        <f>+'M1'!G70</f>
        <v>1054898</v>
      </c>
      <c r="G187" s="189">
        <f>+'M1'!H70</f>
        <v>0</v>
      </c>
      <c r="H187" s="559">
        <f>+'M1'!I70</f>
        <v>0</v>
      </c>
    </row>
    <row r="188" spans="1:8" ht="12.75" customHeight="1">
      <c r="A188" s="85"/>
      <c r="B188" s="547">
        <f>'M1'!C71</f>
        <v>66</v>
      </c>
      <c r="C188" s="189" t="str">
        <f>+'M1'!D71</f>
        <v>SMALKIT</v>
      </c>
      <c r="D188" s="189">
        <f>+'M1'!E71</f>
        <v>0</v>
      </c>
      <c r="E188" s="189">
        <f>+'M1'!F71</f>
        <v>296322</v>
      </c>
      <c r="F188" s="189">
        <f>+'M1'!G71</f>
        <v>296332</v>
      </c>
      <c r="G188" s="189">
        <f>+'M1'!H71</f>
        <v>0</v>
      </c>
      <c r="H188" s="559">
        <f>+'M1'!I71</f>
        <v>-10</v>
      </c>
    </row>
    <row r="189" spans="1:8" ht="12.75" customHeight="1">
      <c r="A189" s="85"/>
      <c r="B189" s="547">
        <f>'M1'!C72</f>
        <v>67</v>
      </c>
      <c r="C189" s="189" t="str">
        <f>+'M1'!D72</f>
        <v>Teoren</v>
      </c>
      <c r="D189" s="189">
        <f>+'M1'!E72</f>
        <v>302820.31999999983</v>
      </c>
      <c r="E189" s="189">
        <f>+'M1'!F72</f>
        <v>3405712.44</v>
      </c>
      <c r="F189" s="189">
        <f>+'M1'!G72</f>
        <v>3658477.4</v>
      </c>
      <c r="G189" s="189">
        <f>+'M1'!H72</f>
        <v>0</v>
      </c>
      <c r="H189" s="559">
        <f>+'M1'!I72</f>
        <v>50055.35999999987</v>
      </c>
    </row>
    <row r="190" spans="1:8" ht="12.75" customHeight="1">
      <c r="A190" s="85"/>
      <c r="B190" s="547">
        <f>'M1'!C73</f>
        <v>68</v>
      </c>
      <c r="C190" s="189" t="str">
        <f>+'M1'!D73</f>
        <v>UNITED COLORS</v>
      </c>
      <c r="D190" s="189">
        <f>+'M1'!E73</f>
        <v>899760</v>
      </c>
      <c r="E190" s="189">
        <f>+'M1'!F73</f>
        <v>0</v>
      </c>
      <c r="F190" s="189">
        <f>+'M1'!G73</f>
        <v>899760</v>
      </c>
      <c r="G190" s="189">
        <f>+'M1'!H73</f>
        <v>0</v>
      </c>
      <c r="H190" s="559">
        <f>+'M1'!I73</f>
        <v>0</v>
      </c>
    </row>
    <row r="191" spans="1:8" ht="12.75" customHeight="1">
      <c r="A191" s="85"/>
      <c r="B191" s="547">
        <f>'M1'!C74</f>
        <v>69</v>
      </c>
      <c r="C191" s="189" t="str">
        <f>+'M1'!D74</f>
        <v xml:space="preserve">Vellezrit Agalliu </v>
      </c>
      <c r="D191" s="189">
        <f>+'M1'!E74</f>
        <v>0</v>
      </c>
      <c r="E191" s="189">
        <f>+'M1'!F74</f>
        <v>214999.2</v>
      </c>
      <c r="F191" s="189">
        <f>+'M1'!G74</f>
        <v>214999.2</v>
      </c>
      <c r="G191" s="189">
        <f>+'M1'!H74</f>
        <v>0</v>
      </c>
      <c r="H191" s="559">
        <f>+'M1'!I74</f>
        <v>0</v>
      </c>
    </row>
    <row r="192" spans="1:8" ht="12.75" customHeight="1">
      <c r="A192" s="85"/>
      <c r="B192" s="547">
        <f>'M1'!C75</f>
        <v>70</v>
      </c>
      <c r="C192" s="189" t="str">
        <f>+'M1'!D75</f>
        <v>Volalba</v>
      </c>
      <c r="D192" s="189">
        <f>+'M1'!E75</f>
        <v>0</v>
      </c>
      <c r="E192" s="189">
        <f>+'M1'!F75</f>
        <v>6176803.1999999955</v>
      </c>
      <c r="F192" s="189">
        <f>+'M1'!G75</f>
        <v>5597719.3300000001</v>
      </c>
      <c r="G192" s="189">
        <f>+'M1'!H75</f>
        <v>0</v>
      </c>
      <c r="H192" s="559">
        <f>+'M1'!I75</f>
        <v>579083.86999999546</v>
      </c>
    </row>
    <row r="193" spans="1:8" ht="12.75" customHeight="1">
      <c r="A193" s="85"/>
      <c r="B193" s="547">
        <f>'M1'!C76</f>
        <v>71</v>
      </c>
      <c r="C193" s="189" t="str">
        <f>+'M1'!D76</f>
        <v>X.B.P</v>
      </c>
      <c r="D193" s="189">
        <f>+'M1'!E76</f>
        <v>660289</v>
      </c>
      <c r="E193" s="189">
        <f>+'M1'!F76</f>
        <v>0</v>
      </c>
      <c r="F193" s="189">
        <f>+'M1'!G76</f>
        <v>660289</v>
      </c>
      <c r="G193" s="189">
        <f>+'M1'!H76</f>
        <v>0</v>
      </c>
      <c r="H193" s="559">
        <f>+'M1'!I76</f>
        <v>0</v>
      </c>
    </row>
    <row r="194" spans="1:8" ht="12.75" customHeight="1">
      <c r="A194" s="85"/>
      <c r="B194" s="547">
        <f>'M1'!C77</f>
        <v>72</v>
      </c>
      <c r="C194" s="189" t="str">
        <f>+'M1'!D77</f>
        <v>Luan Nelaj Punime Marangozi</v>
      </c>
      <c r="D194" s="189">
        <f>+'M1'!E77</f>
        <v>0</v>
      </c>
      <c r="E194" s="189">
        <f>+'M1'!F77</f>
        <v>200000</v>
      </c>
      <c r="F194" s="189">
        <f>+'M1'!G77</f>
        <v>200000</v>
      </c>
      <c r="G194" s="189">
        <f>+'M1'!H77</f>
        <v>0</v>
      </c>
      <c r="H194" s="559">
        <f>+'M1'!I77</f>
        <v>0</v>
      </c>
    </row>
    <row r="195" spans="1:8" ht="12.75" customHeight="1">
      <c r="A195" s="85"/>
      <c r="B195" s="547">
        <f>'M1'!C78</f>
        <v>73</v>
      </c>
      <c r="C195" s="189" t="str">
        <f>+'M1'!D78</f>
        <v>Eqerem Nexha Riparime Hidrosanitare</v>
      </c>
      <c r="D195" s="189">
        <f>+'M1'!E78</f>
        <v>0</v>
      </c>
      <c r="E195" s="189">
        <f>+'M1'!F78</f>
        <v>162000</v>
      </c>
      <c r="F195" s="189">
        <f>+'M1'!G78</f>
        <v>162000</v>
      </c>
      <c r="G195" s="189">
        <f>+'M1'!H78</f>
        <v>0</v>
      </c>
      <c r="H195" s="559">
        <f>+'M1'!I78</f>
        <v>0</v>
      </c>
    </row>
    <row r="196" spans="1:8" ht="12.75" customHeight="1">
      <c r="A196" s="85"/>
      <c r="B196" s="547">
        <f>'M1'!C79</f>
        <v>74</v>
      </c>
      <c r="C196" s="189" t="str">
        <f>+'M1'!D79</f>
        <v>Mikel Gjini</v>
      </c>
      <c r="D196" s="189">
        <f>+'M1'!E79</f>
        <v>0</v>
      </c>
      <c r="E196" s="189">
        <f>+'M1'!F79</f>
        <v>1000000</v>
      </c>
      <c r="F196" s="189">
        <f>+'M1'!G79</f>
        <v>1000000</v>
      </c>
      <c r="G196" s="189">
        <f>+'M1'!H79</f>
        <v>0</v>
      </c>
      <c r="H196" s="559">
        <f>+'M1'!I79</f>
        <v>0</v>
      </c>
    </row>
    <row r="197" spans="1:8" ht="12.75" customHeight="1">
      <c r="A197" s="85"/>
      <c r="B197" s="547">
        <f>'M1'!C80</f>
        <v>75</v>
      </c>
      <c r="C197" s="189" t="str">
        <f>+'M1'!D80</f>
        <v>Sadik Osmeni</v>
      </c>
      <c r="D197" s="189">
        <f>+'M1'!E80</f>
        <v>0</v>
      </c>
      <c r="E197" s="189">
        <f>+'M1'!F80</f>
        <v>175000</v>
      </c>
      <c r="F197" s="189">
        <f>+'M1'!G80</f>
        <v>175000</v>
      </c>
      <c r="G197" s="189">
        <f>+'M1'!H80</f>
        <v>0</v>
      </c>
      <c r="H197" s="559">
        <f>+'M1'!I80</f>
        <v>0</v>
      </c>
    </row>
    <row r="198" spans="1:8" ht="12.75" customHeight="1">
      <c r="A198" s="85"/>
      <c r="B198" s="547">
        <f>'M1'!C81</f>
        <v>76</v>
      </c>
      <c r="C198" s="189" t="str">
        <f>+'M1'!D81</f>
        <v>Samo Kazheli</v>
      </c>
      <c r="D198" s="189">
        <f>+'M1'!E81</f>
        <v>0</v>
      </c>
      <c r="E198" s="189">
        <f>+'M1'!F81</f>
        <v>15756</v>
      </c>
      <c r="F198" s="189">
        <f>+'M1'!G81</f>
        <v>15756</v>
      </c>
      <c r="G198" s="189">
        <f>+'M1'!H81</f>
        <v>0</v>
      </c>
      <c r="H198" s="559">
        <f>+'M1'!I81</f>
        <v>0</v>
      </c>
    </row>
    <row r="199" spans="1:8" ht="12.75" customHeight="1" thickBot="1">
      <c r="A199" s="85"/>
      <c r="B199" s="560">
        <f>'M1'!C82</f>
        <v>77</v>
      </c>
      <c r="C199" s="562" t="str">
        <f>+'M1'!D82</f>
        <v>NTM</v>
      </c>
      <c r="D199" s="562">
        <f>+'M1'!E82</f>
        <v>0</v>
      </c>
      <c r="E199" s="562">
        <f>+'M1'!F82</f>
        <v>1721998.83</v>
      </c>
      <c r="F199" s="562">
        <f>+'M1'!G82</f>
        <v>0</v>
      </c>
      <c r="G199" s="562">
        <f>+'M1'!H82</f>
        <v>12288</v>
      </c>
      <c r="H199" s="563">
        <f>+'M1'!I82</f>
        <v>-4465.1699999999255</v>
      </c>
    </row>
    <row r="200" spans="1:8" ht="12.75" customHeight="1" thickBot="1">
      <c r="A200" s="85"/>
      <c r="B200" s="1686">
        <v>43</v>
      </c>
      <c r="C200" s="1687" t="s">
        <v>167</v>
      </c>
      <c r="D200" s="1688">
        <f>SUM(D124:D199)</f>
        <v>10987337.039999999</v>
      </c>
      <c r="E200" s="1688">
        <f t="shared" ref="E200:G200" si="0">SUM(E124:E199)</f>
        <v>53895317.678399995</v>
      </c>
      <c r="F200" s="1688">
        <f t="shared" si="0"/>
        <v>51133160.049999997</v>
      </c>
      <c r="G200" s="1688">
        <f t="shared" si="0"/>
        <v>75516.459999999992</v>
      </c>
      <c r="H200" s="1689">
        <f>SUM(H124:H199)</f>
        <v>6890680.8183999956</v>
      </c>
    </row>
    <row r="201" spans="1:8">
      <c r="A201" s="161" t="s">
        <v>425</v>
      </c>
      <c r="B201" s="56"/>
      <c r="C201" s="85"/>
      <c r="E201" s="95">
        <f>'PASIVI '!E14</f>
        <v>1238462.5</v>
      </c>
    </row>
    <row r="202" spans="1:8">
      <c r="A202" s="161" t="s">
        <v>426</v>
      </c>
      <c r="B202" s="56"/>
      <c r="C202" s="85"/>
      <c r="E202" s="95">
        <f>'PASIVI '!E15</f>
        <v>110874.6</v>
      </c>
    </row>
    <row r="203" spans="1:8">
      <c r="A203" s="161" t="s">
        <v>427</v>
      </c>
      <c r="B203" s="56"/>
      <c r="C203" s="85"/>
      <c r="E203" s="95">
        <f>'PASIVI '!E16</f>
        <v>30970</v>
      </c>
    </row>
    <row r="204" spans="1:8">
      <c r="A204" s="161" t="s">
        <v>428</v>
      </c>
      <c r="B204" s="56"/>
      <c r="C204" s="85"/>
      <c r="E204" s="95">
        <f>'PASIVI '!E17</f>
        <v>0</v>
      </c>
    </row>
    <row r="205" spans="1:8">
      <c r="A205" s="161" t="s">
        <v>429</v>
      </c>
      <c r="B205" s="56"/>
      <c r="C205" s="85"/>
      <c r="E205" s="95">
        <f>'PASIVI '!E18</f>
        <v>137572.98059999998</v>
      </c>
    </row>
    <row r="206" spans="1:8">
      <c r="A206" s="161" t="s">
        <v>430</v>
      </c>
      <c r="B206" s="56"/>
      <c r="C206" s="85"/>
      <c r="E206" s="95">
        <f>'PASIVI '!E19</f>
        <v>0</v>
      </c>
    </row>
    <row r="207" spans="1:8">
      <c r="A207" s="161" t="s">
        <v>431</v>
      </c>
      <c r="B207" s="56"/>
      <c r="C207" s="85"/>
      <c r="E207" s="95">
        <f>E208+E209</f>
        <v>64693764.75</v>
      </c>
    </row>
    <row r="208" spans="1:8">
      <c r="A208" s="161" t="s">
        <v>432</v>
      </c>
      <c r="B208" s="56"/>
      <c r="C208" s="85"/>
      <c r="E208" s="95">
        <f>'PASIVI '!E8</f>
        <v>28249342.75</v>
      </c>
    </row>
    <row r="209" spans="1:9">
      <c r="A209" s="161" t="s">
        <v>433</v>
      </c>
      <c r="B209" s="56"/>
      <c r="C209" s="85"/>
      <c r="E209" s="95">
        <f>'PASIVI '!E27</f>
        <v>36444422</v>
      </c>
    </row>
    <row r="210" spans="1:9">
      <c r="A210" s="161" t="s">
        <v>434</v>
      </c>
      <c r="B210" s="56"/>
      <c r="C210" s="85"/>
      <c r="E210">
        <f>'PASIVI '!E22</f>
        <v>0</v>
      </c>
    </row>
    <row r="211" spans="1:9">
      <c r="A211" s="56"/>
      <c r="B211" s="56"/>
      <c r="C211" s="85"/>
    </row>
    <row r="212" spans="1:9" ht="15">
      <c r="A212" s="153" t="s">
        <v>435</v>
      </c>
    </row>
    <row r="213" spans="1:9">
      <c r="A213" s="85"/>
    </row>
    <row r="214" spans="1:9">
      <c r="A214" s="148" t="s">
        <v>436</v>
      </c>
    </row>
    <row r="215" spans="1:9">
      <c r="A215" s="148" t="s">
        <v>437</v>
      </c>
    </row>
    <row r="216" spans="1:9" ht="13.5" thickBot="1">
      <c r="A216" s="148" t="s">
        <v>438</v>
      </c>
      <c r="B216" s="1"/>
      <c r="C216" s="1"/>
      <c r="D216" s="1"/>
      <c r="E216" s="1"/>
      <c r="F216" s="1"/>
    </row>
    <row r="217" spans="1:9" ht="13.5" thickBot="1">
      <c r="A217" s="162"/>
      <c r="B217" s="501" t="s">
        <v>73</v>
      </c>
      <c r="C217" s="574" t="s">
        <v>281</v>
      </c>
      <c r="D217" s="575"/>
      <c r="E217" s="575"/>
      <c r="F217" s="575"/>
      <c r="G217" s="585"/>
      <c r="H217" s="256"/>
      <c r="I217" s="589">
        <f>'Ardh e shp - natyres'!E8</f>
        <v>210739300.44390398</v>
      </c>
    </row>
    <row r="218" spans="1:9">
      <c r="A218" s="162"/>
      <c r="B218" s="25">
        <v>1</v>
      </c>
      <c r="C218" s="586" t="s">
        <v>439</v>
      </c>
      <c r="D218" s="587"/>
      <c r="E218" s="19"/>
      <c r="F218" s="122"/>
      <c r="G218" s="122"/>
      <c r="H218" s="588" t="s">
        <v>157</v>
      </c>
      <c r="I218" s="590">
        <f>'Ardh e shp - natyres'!E9</f>
        <v>78694927.5046729</v>
      </c>
    </row>
    <row r="219" spans="1:9">
      <c r="A219" s="162"/>
      <c r="B219" s="26">
        <v>2</v>
      </c>
      <c r="C219" s="578" t="s">
        <v>440</v>
      </c>
      <c r="D219" s="38"/>
      <c r="E219" s="163"/>
      <c r="F219" s="164"/>
      <c r="G219" s="165"/>
      <c r="H219" s="428" t="s">
        <v>158</v>
      </c>
      <c r="I219" s="591">
        <f>'Ardh e shp - natyres'!E10+'Ardh e shp - natyres'!E11+'Ardh e shp - natyres'!E12</f>
        <v>132044372.93923108</v>
      </c>
    </row>
    <row r="220" spans="1:9">
      <c r="A220" s="162"/>
      <c r="B220" s="26">
        <v>3</v>
      </c>
      <c r="C220" s="578" t="s">
        <v>441</v>
      </c>
      <c r="D220" s="1"/>
      <c r="E220" s="1"/>
      <c r="F220" s="56"/>
      <c r="G220" s="56"/>
      <c r="H220" s="428"/>
      <c r="I220" s="591">
        <f>'Ardh e shp - natyres'!E13+'Ardh e shp - natyres'!E14</f>
        <v>0</v>
      </c>
    </row>
    <row r="221" spans="1:9">
      <c r="A221" s="162"/>
      <c r="B221" s="26">
        <v>4</v>
      </c>
      <c r="C221" s="579" t="s">
        <v>442</v>
      </c>
      <c r="D221" s="163"/>
      <c r="E221" s="163"/>
      <c r="F221" s="164"/>
      <c r="G221" s="165"/>
      <c r="H221" s="428"/>
      <c r="I221" s="591">
        <f>'Ardh e shp - natyres'!E15</f>
        <v>0</v>
      </c>
    </row>
    <row r="222" spans="1:9">
      <c r="A222" s="162"/>
      <c r="B222" s="220" t="s">
        <v>79</v>
      </c>
      <c r="C222" s="630" t="s">
        <v>228</v>
      </c>
      <c r="D222" s="622"/>
      <c r="E222" s="622"/>
      <c r="F222" s="622"/>
      <c r="G222" s="631"/>
      <c r="H222" s="632"/>
      <c r="I222" s="633">
        <f>'Ardh e shp - natyres'!E16</f>
        <v>136835453.23183817</v>
      </c>
    </row>
    <row r="223" spans="1:9">
      <c r="A223" s="162"/>
      <c r="B223" s="186">
        <v>5</v>
      </c>
      <c r="C223" s="579" t="s">
        <v>442</v>
      </c>
      <c r="D223" s="56"/>
      <c r="E223" s="56"/>
      <c r="F223" s="56"/>
      <c r="G223" s="56"/>
      <c r="H223" s="576"/>
      <c r="I223" s="592">
        <f>'Ardh e shp - natyres'!E17</f>
        <v>19969579</v>
      </c>
    </row>
    <row r="224" spans="1:9">
      <c r="A224" s="162"/>
      <c r="B224" s="26">
        <v>6</v>
      </c>
      <c r="C224" s="579" t="s">
        <v>57</v>
      </c>
      <c r="D224" s="163"/>
      <c r="E224" s="163"/>
      <c r="F224" s="164"/>
      <c r="G224" s="165"/>
      <c r="H224" s="428" t="s">
        <v>159</v>
      </c>
      <c r="I224" s="593">
        <f>'Ardh e shp - natyres'!E18</f>
        <v>49073327.589500003</v>
      </c>
    </row>
    <row r="225" spans="1:9">
      <c r="A225" s="162"/>
      <c r="B225" s="26">
        <v>7</v>
      </c>
      <c r="C225" s="419" t="s">
        <v>58</v>
      </c>
      <c r="D225" s="38"/>
      <c r="E225" s="163"/>
      <c r="F225" s="164"/>
      <c r="G225" s="165"/>
      <c r="H225" s="428" t="s">
        <v>160</v>
      </c>
      <c r="I225" s="593">
        <f>'Ardh e shp - natyres'!E19</f>
        <v>4611268.8</v>
      </c>
    </row>
    <row r="226" spans="1:9">
      <c r="A226" s="162"/>
      <c r="B226" s="26"/>
      <c r="C226" s="578" t="s">
        <v>59</v>
      </c>
      <c r="D226" s="1"/>
      <c r="E226" s="1"/>
      <c r="F226" s="56"/>
      <c r="G226" s="56"/>
      <c r="H226" s="428"/>
      <c r="I226" s="593">
        <f>'Ardh e shp - natyres'!E20</f>
        <v>3975600</v>
      </c>
    </row>
    <row r="227" spans="1:9">
      <c r="A227" s="162"/>
      <c r="B227" s="26"/>
      <c r="C227" s="579" t="s">
        <v>60</v>
      </c>
      <c r="D227" s="163"/>
      <c r="E227" s="163"/>
      <c r="F227" s="164"/>
      <c r="G227" s="165"/>
      <c r="H227" s="428"/>
      <c r="I227" s="593">
        <f>'Ardh e shp - natyres'!E21</f>
        <v>635668.80000000005</v>
      </c>
    </row>
    <row r="228" spans="1:9">
      <c r="A228" s="162"/>
      <c r="B228" s="26">
        <v>8</v>
      </c>
      <c r="C228" s="578" t="s">
        <v>61</v>
      </c>
      <c r="D228" s="1"/>
      <c r="E228" s="1"/>
      <c r="F228" s="56"/>
      <c r="G228" s="56"/>
      <c r="H228" s="428" t="s">
        <v>161</v>
      </c>
      <c r="I228" s="593">
        <f>'Ardh e shp - natyres'!E22</f>
        <v>298478.26</v>
      </c>
    </row>
    <row r="229" spans="1:9">
      <c r="A229" s="162"/>
      <c r="B229" s="26">
        <v>9</v>
      </c>
      <c r="C229" s="579" t="s">
        <v>249</v>
      </c>
      <c r="D229" s="163"/>
      <c r="E229" s="163"/>
      <c r="F229" s="164"/>
      <c r="G229" s="165"/>
      <c r="H229" s="428" t="s">
        <v>162</v>
      </c>
      <c r="I229" s="593">
        <f>'Ardh e shp - natyres'!E23+'Ardh e shp - natyres'!E24+'Ardh e shp - natyres'!E25</f>
        <v>62882799.582338177</v>
      </c>
    </row>
    <row r="230" spans="1:9">
      <c r="A230" s="162"/>
      <c r="B230" s="220" t="s">
        <v>84</v>
      </c>
      <c r="C230" s="630" t="s">
        <v>62</v>
      </c>
      <c r="D230" s="622"/>
      <c r="E230" s="622"/>
      <c r="F230" s="622"/>
      <c r="G230" s="631"/>
      <c r="H230" s="632"/>
      <c r="I230" s="633">
        <f>'Ardh e shp - natyres'!E26</f>
        <v>73903847.212065816</v>
      </c>
    </row>
    <row r="231" spans="1:9">
      <c r="A231" s="162"/>
      <c r="B231" s="26">
        <v>10</v>
      </c>
      <c r="C231" s="578" t="s">
        <v>64</v>
      </c>
      <c r="D231" s="1"/>
      <c r="E231" s="1"/>
      <c r="F231" s="56"/>
      <c r="G231" s="56"/>
      <c r="H231" s="428"/>
      <c r="I231" s="593"/>
    </row>
    <row r="232" spans="1:9">
      <c r="A232" s="162"/>
      <c r="B232" s="26">
        <v>11</v>
      </c>
      <c r="C232" s="579" t="s">
        <v>63</v>
      </c>
      <c r="D232" s="163"/>
      <c r="E232" s="163"/>
      <c r="F232" s="164"/>
      <c r="G232" s="165"/>
      <c r="H232" s="428"/>
      <c r="I232" s="593"/>
    </row>
    <row r="233" spans="1:9">
      <c r="A233" s="162"/>
      <c r="B233" s="26">
        <v>12</v>
      </c>
      <c r="C233" s="578" t="s">
        <v>65</v>
      </c>
      <c r="D233" s="1"/>
      <c r="E233" s="1"/>
      <c r="F233" s="56"/>
      <c r="G233" s="56"/>
      <c r="H233" s="428"/>
      <c r="I233" s="593">
        <f>'Ardh e shp - natyres'!E29</f>
        <v>0</v>
      </c>
    </row>
    <row r="234" spans="1:9">
      <c r="A234" s="162"/>
      <c r="B234" s="26"/>
      <c r="C234" s="580" t="s">
        <v>855</v>
      </c>
      <c r="D234" s="163"/>
      <c r="E234" s="163"/>
      <c r="F234" s="164"/>
      <c r="G234" s="165"/>
      <c r="H234" s="428"/>
      <c r="I234" s="593"/>
    </row>
    <row r="235" spans="1:9">
      <c r="A235" s="162"/>
      <c r="B235" s="26"/>
      <c r="C235" s="581" t="s">
        <v>856</v>
      </c>
      <c r="D235" s="1"/>
      <c r="E235" s="1"/>
      <c r="F235" s="56"/>
      <c r="G235" s="56"/>
      <c r="H235" s="428"/>
      <c r="I235" s="593">
        <f>'Ardh e shp - natyres'!E31</f>
        <v>0</v>
      </c>
    </row>
    <row r="236" spans="1:9">
      <c r="A236" s="162"/>
      <c r="B236" s="26"/>
      <c r="C236" s="580" t="s">
        <v>857</v>
      </c>
      <c r="D236" s="163"/>
      <c r="E236" s="163"/>
      <c r="F236" s="164"/>
      <c r="G236" s="165"/>
      <c r="H236" s="428"/>
      <c r="I236" s="593"/>
    </row>
    <row r="237" spans="1:9">
      <c r="A237" s="162"/>
      <c r="B237" s="26"/>
      <c r="C237" s="581" t="s">
        <v>858</v>
      </c>
      <c r="D237" s="1"/>
      <c r="E237" s="1"/>
      <c r="F237" s="56"/>
      <c r="G237" s="56"/>
      <c r="H237" s="428"/>
      <c r="I237" s="593">
        <f>'Ardh e shp - natyres'!E33</f>
        <v>0</v>
      </c>
    </row>
    <row r="238" spans="1:9">
      <c r="A238" s="162"/>
      <c r="B238" s="220" t="s">
        <v>115</v>
      </c>
      <c r="C238" s="630" t="s">
        <v>66</v>
      </c>
      <c r="D238" s="622"/>
      <c r="E238" s="622"/>
      <c r="F238" s="622"/>
      <c r="G238" s="631"/>
      <c r="H238" s="632"/>
      <c r="I238" s="634">
        <f>I231+I232+I233</f>
        <v>0</v>
      </c>
    </row>
    <row r="239" spans="1:9">
      <c r="A239" s="162"/>
      <c r="B239" s="26">
        <v>14</v>
      </c>
      <c r="C239" s="582" t="s">
        <v>67</v>
      </c>
      <c r="D239" s="1"/>
      <c r="E239" s="1"/>
      <c r="F239" s="56"/>
      <c r="G239" s="56"/>
      <c r="H239" s="576"/>
      <c r="I239" s="592">
        <f>I230+I238</f>
        <v>73903847.212065816</v>
      </c>
    </row>
    <row r="240" spans="1:9">
      <c r="A240" s="162"/>
      <c r="B240" s="26"/>
      <c r="C240" s="583" t="s">
        <v>443</v>
      </c>
      <c r="D240" s="163"/>
      <c r="E240" s="163"/>
      <c r="F240" s="164"/>
      <c r="G240" s="165"/>
      <c r="H240" s="576" t="s">
        <v>162</v>
      </c>
      <c r="I240" s="592">
        <f>'Ardh e shp - natyres'!E36</f>
        <v>427055</v>
      </c>
    </row>
    <row r="241" spans="1:9">
      <c r="A241" s="162"/>
      <c r="B241" s="26">
        <v>15</v>
      </c>
      <c r="C241" s="578" t="s">
        <v>68</v>
      </c>
      <c r="D241" s="1"/>
      <c r="E241" s="1"/>
      <c r="F241" s="56"/>
      <c r="G241" s="56"/>
      <c r="H241" s="576"/>
      <c r="I241" s="594">
        <f>(I239+I240)*0.1</f>
        <v>7433090.2212065822</v>
      </c>
    </row>
    <row r="242" spans="1:9">
      <c r="A242" s="162"/>
      <c r="B242" s="527">
        <v>16</v>
      </c>
      <c r="C242" s="635" t="s">
        <v>69</v>
      </c>
      <c r="D242" s="636"/>
      <c r="E242" s="636"/>
      <c r="F242" s="636"/>
      <c r="G242" s="637"/>
      <c r="H242" s="638"/>
      <c r="I242" s="639">
        <f>I239-I241</f>
        <v>66470756.990859233</v>
      </c>
    </row>
    <row r="243" spans="1:9" ht="13.5" thickBot="1">
      <c r="A243" s="162"/>
      <c r="B243" s="27">
        <v>17</v>
      </c>
      <c r="C243" s="584" t="s">
        <v>70</v>
      </c>
      <c r="D243" s="167"/>
      <c r="E243" s="167"/>
      <c r="F243" s="168"/>
      <c r="G243" s="169"/>
      <c r="H243" s="577"/>
      <c r="I243" s="233"/>
    </row>
    <row r="244" spans="1:9">
      <c r="A244" s="162"/>
      <c r="B244" s="162"/>
      <c r="C244" s="85"/>
      <c r="D244" s="170"/>
      <c r="E244" s="171"/>
      <c r="F244" s="56"/>
      <c r="G244" s="85"/>
      <c r="H244" s="85"/>
      <c r="I244" s="85"/>
    </row>
    <row r="245" spans="1:9" ht="13.5" customHeight="1">
      <c r="A245" s="1"/>
      <c r="B245" s="1"/>
    </row>
    <row r="246" spans="1:9" ht="15">
      <c r="A246" s="153" t="s">
        <v>444</v>
      </c>
      <c r="B246" s="85"/>
      <c r="C246" s="85"/>
      <c r="D246" s="85"/>
      <c r="E246" s="85"/>
    </row>
    <row r="247" spans="1:9">
      <c r="A247" s="85"/>
      <c r="B247" s="85"/>
      <c r="C247" s="85"/>
      <c r="D247" s="85"/>
      <c r="E247" s="85"/>
    </row>
    <row r="248" spans="1:9">
      <c r="A248" s="85" t="s">
        <v>445</v>
      </c>
      <c r="B248" s="85"/>
      <c r="C248" s="85"/>
      <c r="D248" s="85"/>
      <c r="E248" s="85"/>
    </row>
    <row r="249" spans="1:9" ht="13.5" thickBot="1">
      <c r="A249" s="85"/>
      <c r="B249" s="85"/>
      <c r="C249" s="85"/>
      <c r="D249" s="172"/>
      <c r="E249" s="56"/>
    </row>
    <row r="250" spans="1:9" ht="15.75">
      <c r="A250" s="85"/>
      <c r="B250" s="611" t="s">
        <v>73</v>
      </c>
      <c r="C250" s="612" t="s">
        <v>74</v>
      </c>
      <c r="D250" s="613"/>
      <c r="E250" s="613"/>
      <c r="F250" s="613"/>
      <c r="G250" s="614"/>
      <c r="H250" s="615">
        <f>H251-H252-H253-H254-H255</f>
        <v>23663475.842879571</v>
      </c>
    </row>
    <row r="251" spans="1:9" ht="15.75">
      <c r="A251" s="85"/>
      <c r="B251" s="173"/>
      <c r="C251" s="40" t="s">
        <v>75</v>
      </c>
      <c r="D251" s="1"/>
      <c r="E251" s="56"/>
      <c r="F251" s="1"/>
      <c r="G251" s="1"/>
      <c r="H251" s="103">
        <f>' Fluksit mon - direkte'!D9</f>
        <v>146493787.07631776</v>
      </c>
    </row>
    <row r="252" spans="1:9" ht="15.75">
      <c r="A252" s="85"/>
      <c r="B252" s="174"/>
      <c r="C252" s="24" t="s">
        <v>76</v>
      </c>
      <c r="D252" s="163"/>
      <c r="E252" s="164"/>
      <c r="F252" s="163"/>
      <c r="G252" s="42"/>
      <c r="H252" s="103">
        <f>' Fluksit mon - direkte'!D10</f>
        <v>75326250.17310001</v>
      </c>
    </row>
    <row r="253" spans="1:9" ht="15.75">
      <c r="A253" s="85"/>
      <c r="B253" s="173"/>
      <c r="C253" s="40" t="s">
        <v>77</v>
      </c>
      <c r="D253" s="1"/>
      <c r="E253" s="56"/>
      <c r="F253" s="1"/>
      <c r="G253" s="1"/>
      <c r="H253" s="103">
        <f>' Fluksit mon - direkte'!D11</f>
        <v>0</v>
      </c>
    </row>
    <row r="254" spans="1:9" ht="15.75">
      <c r="A254" s="85"/>
      <c r="B254" s="174"/>
      <c r="C254" s="24" t="s">
        <v>284</v>
      </c>
      <c r="D254" s="163"/>
      <c r="E254" s="164"/>
      <c r="F254" s="163"/>
      <c r="G254" s="42"/>
      <c r="H254" s="103">
        <f>' Fluksit mon - direkte'!D12</f>
        <v>8584756.2780000009</v>
      </c>
    </row>
    <row r="255" spans="1:9" ht="15.75">
      <c r="A255" s="85"/>
      <c r="B255" s="173"/>
      <c r="C255" s="40" t="s">
        <v>335</v>
      </c>
      <c r="D255" s="1"/>
      <c r="E255" s="56"/>
      <c r="F255" s="1"/>
      <c r="G255" s="1"/>
      <c r="H255" s="103">
        <f>' Fluksit mon - direkte'!D13</f>
        <v>38919304.78233818</v>
      </c>
    </row>
    <row r="256" spans="1:9" ht="15.75">
      <c r="A256" s="85"/>
      <c r="B256" s="174"/>
      <c r="C256" s="34" t="s">
        <v>78</v>
      </c>
      <c r="D256" s="163"/>
      <c r="E256" s="164"/>
      <c r="F256" s="163"/>
      <c r="G256" s="42"/>
      <c r="H256" s="595" t="s">
        <v>134</v>
      </c>
    </row>
    <row r="257" spans="1:8" ht="15.75">
      <c r="A257" s="85"/>
      <c r="B257" s="616" t="s">
        <v>79</v>
      </c>
      <c r="C257" s="617" t="s">
        <v>141</v>
      </c>
      <c r="D257" s="618"/>
      <c r="E257" s="618"/>
      <c r="F257" s="618"/>
      <c r="G257" s="618"/>
      <c r="H257" s="619">
        <f>H258-H259-H260-H261-H262</f>
        <v>-6671157.1818840569</v>
      </c>
    </row>
    <row r="258" spans="1:8" ht="15.75">
      <c r="A258" s="85"/>
      <c r="B258" s="174"/>
      <c r="C258" s="24" t="s">
        <v>80</v>
      </c>
      <c r="D258" s="163"/>
      <c r="E258" s="164"/>
      <c r="F258" s="163"/>
      <c r="G258" s="42"/>
      <c r="H258" s="103">
        <f>' Fluksit mon - direkte'!D16</f>
        <v>0</v>
      </c>
    </row>
    <row r="259" spans="1:8" ht="15.75">
      <c r="A259" s="85"/>
      <c r="B259" s="173"/>
      <c r="C259" s="40" t="s">
        <v>81</v>
      </c>
      <c r="D259" s="1"/>
      <c r="E259" s="56"/>
      <c r="F259" s="1"/>
      <c r="G259" s="1"/>
      <c r="H259" s="103">
        <f>' Fluksit mon - direkte'!D17</f>
        <v>214999.2</v>
      </c>
    </row>
    <row r="260" spans="1:8" ht="15.75">
      <c r="A260" s="85"/>
      <c r="B260" s="175"/>
      <c r="C260" s="24" t="s">
        <v>372</v>
      </c>
      <c r="D260" s="163"/>
      <c r="E260" s="164"/>
      <c r="F260" s="163"/>
      <c r="G260" s="163"/>
      <c r="H260" s="103">
        <f>' Fluksit mon - direkte'!D18</f>
        <v>6456157.9818840567</v>
      </c>
    </row>
    <row r="261" spans="1:8" ht="15.75">
      <c r="A261" s="85"/>
      <c r="B261" s="174"/>
      <c r="C261" s="40" t="s">
        <v>82</v>
      </c>
      <c r="D261" s="1"/>
      <c r="E261" s="56"/>
      <c r="F261" s="1"/>
      <c r="G261" s="1"/>
      <c r="H261" s="103">
        <f>' Fluksit mon - direkte'!D19</f>
        <v>0</v>
      </c>
    </row>
    <row r="262" spans="1:8" ht="15.75">
      <c r="A262" s="85"/>
      <c r="B262" s="174"/>
      <c r="C262" s="24" t="s">
        <v>83</v>
      </c>
      <c r="D262" s="163"/>
      <c r="E262" s="164"/>
      <c r="F262" s="163"/>
      <c r="G262" s="163"/>
      <c r="H262" s="103">
        <f>' Fluksit mon - direkte'!D20</f>
        <v>0</v>
      </c>
    </row>
    <row r="263" spans="1:8" ht="15.75">
      <c r="A263" s="85"/>
      <c r="B263" s="173"/>
      <c r="C263" s="176" t="s">
        <v>140</v>
      </c>
      <c r="D263" s="1"/>
      <c r="E263" s="56"/>
      <c r="F263" s="1"/>
      <c r="G263" s="1"/>
      <c r="H263" s="103">
        <f>' Fluksit mon - direkte'!D21</f>
        <v>0</v>
      </c>
    </row>
    <row r="264" spans="1:8" ht="15.75">
      <c r="A264" s="85"/>
      <c r="B264" s="620" t="s">
        <v>84</v>
      </c>
      <c r="C264" s="621" t="s">
        <v>85</v>
      </c>
      <c r="D264" s="622"/>
      <c r="E264" s="622"/>
      <c r="F264" s="622"/>
      <c r="G264" s="622"/>
      <c r="H264" s="619">
        <f>H265-H266-H267-H268</f>
        <v>28612248.25</v>
      </c>
    </row>
    <row r="265" spans="1:8">
      <c r="A265" s="85"/>
      <c r="B265" s="177"/>
      <c r="C265" s="40" t="s">
        <v>86</v>
      </c>
      <c r="D265" s="1"/>
      <c r="E265" s="56"/>
      <c r="F265" s="1"/>
      <c r="G265" s="1"/>
      <c r="H265" s="274"/>
    </row>
    <row r="266" spans="1:8">
      <c r="A266" s="85"/>
      <c r="B266" s="33"/>
      <c r="C266" s="24" t="s">
        <v>87</v>
      </c>
      <c r="D266" s="163"/>
      <c r="E266" s="164"/>
      <c r="F266" s="163"/>
      <c r="G266" s="163"/>
      <c r="H266" s="103">
        <f>' Fluksit mon - direkte'!D24</f>
        <v>-28612248.25</v>
      </c>
    </row>
    <row r="267" spans="1:8">
      <c r="A267" s="85"/>
      <c r="B267" s="177"/>
      <c r="C267" s="40" t="s">
        <v>88</v>
      </c>
      <c r="D267" s="1"/>
      <c r="E267" s="56"/>
      <c r="F267" s="1"/>
      <c r="G267" s="1"/>
      <c r="H267" s="274">
        <f>' Fluksit mon - direkte'!D25</f>
        <v>0</v>
      </c>
    </row>
    <row r="268" spans="1:8">
      <c r="A268" s="85"/>
      <c r="B268" s="31"/>
      <c r="C268" s="24" t="s">
        <v>89</v>
      </c>
      <c r="D268" s="163"/>
      <c r="E268" s="164"/>
      <c r="F268" s="163"/>
      <c r="G268" s="163"/>
      <c r="H268" s="103">
        <f>' Fluksit mon - direkte'!D26</f>
        <v>0</v>
      </c>
    </row>
    <row r="269" spans="1:8">
      <c r="A269" s="85"/>
      <c r="B269" s="55"/>
      <c r="C269" s="40" t="s">
        <v>90</v>
      </c>
      <c r="D269" s="1"/>
      <c r="E269" s="56"/>
      <c r="F269" s="1"/>
      <c r="G269" s="1"/>
      <c r="H269" s="274">
        <f>H264</f>
        <v>28612248.25</v>
      </c>
    </row>
    <row r="270" spans="1:8">
      <c r="A270" s="85"/>
      <c r="B270" s="623"/>
      <c r="C270" s="624" t="s">
        <v>142</v>
      </c>
      <c r="D270" s="622"/>
      <c r="E270" s="622"/>
      <c r="F270" s="622"/>
      <c r="G270" s="622"/>
      <c r="H270" s="625">
        <f>' Fluksit mon - direkte'!D28</f>
        <v>1292386.3747636266</v>
      </c>
    </row>
    <row r="271" spans="1:8">
      <c r="A271" s="85"/>
      <c r="B271" s="55"/>
      <c r="C271" s="178" t="s">
        <v>92</v>
      </c>
      <c r="D271" s="1"/>
      <c r="E271" s="56"/>
      <c r="F271" s="1"/>
      <c r="G271" s="1"/>
      <c r="H271" s="267">
        <f>' Fluksit mon - direkte'!D29</f>
        <v>1188175</v>
      </c>
    </row>
    <row r="272" spans="1:8" ht="13.5" thickBot="1">
      <c r="A272" s="85"/>
      <c r="B272" s="627"/>
      <c r="C272" s="626" t="s">
        <v>91</v>
      </c>
      <c r="D272" s="628"/>
      <c r="E272" s="628"/>
      <c r="F272" s="628"/>
      <c r="G272" s="628"/>
      <c r="H272" s="629">
        <f>' Fluksit mon - direkte'!D30</f>
        <v>2480561.3747636266</v>
      </c>
    </row>
    <row r="273" spans="1:10">
      <c r="A273" s="85"/>
      <c r="B273" s="85"/>
      <c r="C273" s="85"/>
      <c r="D273" s="172"/>
      <c r="E273" s="56"/>
    </row>
    <row r="274" spans="1:10" ht="21">
      <c r="A274" s="179" t="s">
        <v>446</v>
      </c>
    </row>
    <row r="275" spans="1:10">
      <c r="B275" s="23" t="s">
        <v>859</v>
      </c>
    </row>
    <row r="276" spans="1:10" ht="13.5" thickBot="1">
      <c r="A276" s="154" t="s">
        <v>447</v>
      </c>
      <c r="B276" s="85"/>
      <c r="C276" s="85"/>
      <c r="G276" s="85"/>
    </row>
    <row r="277" spans="1:10" ht="53.25" thickBot="1">
      <c r="A277" s="596" t="s">
        <v>448</v>
      </c>
      <c r="B277" s="597" t="s">
        <v>860</v>
      </c>
      <c r="C277" s="597" t="s">
        <v>449</v>
      </c>
      <c r="D277" s="597" t="s">
        <v>450</v>
      </c>
      <c r="E277" s="597" t="s">
        <v>861</v>
      </c>
      <c r="F277" s="597" t="s">
        <v>862</v>
      </c>
      <c r="G277" s="598" t="s">
        <v>863</v>
      </c>
      <c r="H277" s="597" t="s">
        <v>865</v>
      </c>
      <c r="I277" s="597" t="s">
        <v>451</v>
      </c>
      <c r="J277" s="417"/>
    </row>
    <row r="278" spans="1:10" s="23" customFormat="1" ht="21" customHeight="1">
      <c r="A278" s="1690" t="s">
        <v>864</v>
      </c>
      <c r="B278" s="1701">
        <f>U!E9</f>
        <v>0</v>
      </c>
      <c r="C278" s="1701">
        <f>U!F9</f>
        <v>0</v>
      </c>
      <c r="D278" s="1701">
        <f>U!G9</f>
        <v>0</v>
      </c>
      <c r="E278" s="1701">
        <f>U!H9</f>
        <v>0</v>
      </c>
      <c r="F278" s="1701">
        <f>U!J9</f>
        <v>0</v>
      </c>
      <c r="G278" s="1701">
        <f>U!L9</f>
        <v>0</v>
      </c>
      <c r="H278" s="1701">
        <f>U!M9</f>
        <v>0</v>
      </c>
      <c r="I278" s="1702">
        <f>U!O9</f>
        <v>0</v>
      </c>
      <c r="J278" s="1703"/>
    </row>
    <row r="279" spans="1:10" s="23" customFormat="1" ht="21" customHeight="1">
      <c r="A279" s="1691" t="s">
        <v>155</v>
      </c>
      <c r="B279" s="1692">
        <f>U!E13</f>
        <v>0</v>
      </c>
      <c r="C279" s="1692">
        <f>U!F13</f>
        <v>0</v>
      </c>
      <c r="D279" s="1692">
        <f>U!G13</f>
        <v>0</v>
      </c>
      <c r="E279" s="1692">
        <f>U!H13</f>
        <v>0</v>
      </c>
      <c r="F279" s="1692">
        <f>U!J13</f>
        <v>0</v>
      </c>
      <c r="G279" s="1692">
        <f>U!L13</f>
        <v>0</v>
      </c>
      <c r="H279" s="1692">
        <f>U!M13</f>
        <v>0</v>
      </c>
      <c r="I279" s="1693">
        <f>U!O13</f>
        <v>0</v>
      </c>
      <c r="J279" s="1694"/>
    </row>
    <row r="280" spans="1:10" s="23" customFormat="1" ht="21" customHeight="1">
      <c r="A280" s="1691" t="s">
        <v>452</v>
      </c>
      <c r="B280" s="1692">
        <f>U!E25</f>
        <v>1237000</v>
      </c>
      <c r="C280" s="1692">
        <f>U!F25</f>
        <v>179166</v>
      </c>
      <c r="D280" s="1692">
        <f>U!G25</f>
        <v>0</v>
      </c>
      <c r="E280" s="1692">
        <f>U!H25</f>
        <v>1416166</v>
      </c>
      <c r="F280" s="1692">
        <f>U!J25</f>
        <v>247400</v>
      </c>
      <c r="G280" s="1692">
        <f>U!L25</f>
        <v>197920</v>
      </c>
      <c r="H280" s="1692">
        <f>U!M25</f>
        <v>0</v>
      </c>
      <c r="I280" s="1693">
        <f>U!O25</f>
        <v>970846</v>
      </c>
      <c r="J280" s="1694"/>
    </row>
    <row r="281" spans="1:10" s="23" customFormat="1" ht="21" customHeight="1">
      <c r="A281" s="1691" t="s">
        <v>453</v>
      </c>
      <c r="B281" s="1692">
        <f>U!E32</f>
        <v>0</v>
      </c>
      <c r="C281" s="1692">
        <f>U!F32</f>
        <v>0</v>
      </c>
      <c r="D281" s="1692">
        <f>U!G32</f>
        <v>0</v>
      </c>
      <c r="E281" s="1692">
        <f>U!H32</f>
        <v>0</v>
      </c>
      <c r="F281" s="1692">
        <f>U!J32</f>
        <v>0</v>
      </c>
      <c r="G281" s="1692">
        <f>U!L32</f>
        <v>0</v>
      </c>
      <c r="H281" s="1692">
        <f>U!M32</f>
        <v>0</v>
      </c>
      <c r="I281" s="1693">
        <f>U!O32</f>
        <v>0</v>
      </c>
      <c r="J281" s="1694"/>
    </row>
    <row r="282" spans="1:10" s="23" customFormat="1" ht="21" customHeight="1" thickBot="1">
      <c r="A282" s="1695" t="s">
        <v>454</v>
      </c>
      <c r="B282" s="1696">
        <f>U!E38</f>
        <v>1059600</v>
      </c>
      <c r="C282" s="1696">
        <f>U!F38</f>
        <v>0</v>
      </c>
      <c r="D282" s="1696">
        <f>U!G38</f>
        <v>0</v>
      </c>
      <c r="E282" s="1696">
        <f>U!H38</f>
        <v>1059600</v>
      </c>
      <c r="F282" s="1696">
        <f>U!J38</f>
        <v>556808.69999999995</v>
      </c>
      <c r="G282" s="1696">
        <f>U!K38</f>
        <v>502791.30000000005</v>
      </c>
      <c r="H282" s="1696">
        <f>U!L38</f>
        <v>100558.26</v>
      </c>
      <c r="I282" s="1697">
        <f>U!O38</f>
        <v>402233.04000000004</v>
      </c>
      <c r="J282" s="1694"/>
    </row>
    <row r="283" spans="1:10" s="23" customFormat="1" ht="21" customHeight="1" thickBot="1">
      <c r="A283" s="1698" t="s">
        <v>386</v>
      </c>
      <c r="B283" s="1699">
        <f>SUM(B278:B282)</f>
        <v>2296600</v>
      </c>
      <c r="C283" s="1699">
        <f t="shared" ref="C283:I283" si="1">SUM(C278:C282)</f>
        <v>179166</v>
      </c>
      <c r="D283" s="1699">
        <f t="shared" si="1"/>
        <v>0</v>
      </c>
      <c r="E283" s="1699">
        <f t="shared" si="1"/>
        <v>2475766</v>
      </c>
      <c r="F283" s="1699">
        <f t="shared" si="1"/>
        <v>804208.7</v>
      </c>
      <c r="G283" s="1699">
        <f t="shared" si="1"/>
        <v>700711.3</v>
      </c>
      <c r="H283" s="1699">
        <f t="shared" si="1"/>
        <v>100558.26</v>
      </c>
      <c r="I283" s="1700">
        <f t="shared" si="1"/>
        <v>1373079.04</v>
      </c>
      <c r="J283" s="1704"/>
    </row>
    <row r="284" spans="1:10">
      <c r="A284" s="85"/>
      <c r="B284" s="162"/>
      <c r="D284" s="56"/>
      <c r="E284" s="56"/>
      <c r="F284" s="56"/>
      <c r="G284" s="56"/>
    </row>
    <row r="285" spans="1:10">
      <c r="A285" s="85"/>
      <c r="B285" s="180"/>
      <c r="D285" s="56"/>
      <c r="E285" s="56"/>
      <c r="F285" s="56"/>
      <c r="G285" s="56"/>
    </row>
    <row r="286" spans="1:10" ht="13.5" thickBot="1">
      <c r="A286" s="154" t="s">
        <v>455</v>
      </c>
      <c r="B286" s="85"/>
      <c r="C286" s="85"/>
    </row>
    <row r="287" spans="1:10" ht="30" customHeight="1" thickBot="1">
      <c r="B287" s="429" t="s">
        <v>1</v>
      </c>
      <c r="C287" s="599" t="s">
        <v>97</v>
      </c>
      <c r="D287" s="600" t="s">
        <v>98</v>
      </c>
      <c r="E287" s="601" t="s">
        <v>99</v>
      </c>
      <c r="F287" s="601" t="s">
        <v>336</v>
      </c>
      <c r="G287" s="601" t="s">
        <v>106</v>
      </c>
      <c r="H287" s="601" t="s">
        <v>100</v>
      </c>
      <c r="I287" s="602" t="s">
        <v>95</v>
      </c>
    </row>
    <row r="288" spans="1:10" ht="14.25" customHeight="1">
      <c r="B288" s="604" t="s">
        <v>4</v>
      </c>
      <c r="C288" s="605" t="str">
        <f>'Pasq e ndrysh te kap 2'!C6</f>
        <v>Pozicioni me 31 Dhjetor 2009</v>
      </c>
      <c r="D288" s="1705">
        <f>+'Pasq e ndrysh te kap 2'!E6</f>
        <v>206926731</v>
      </c>
      <c r="E288" s="1705">
        <f>+'Pasq e ndrysh te kap 2'!F6</f>
        <v>0</v>
      </c>
      <c r="F288" s="1705">
        <f>+'Pasq e ndrysh te kap 2'!G6</f>
        <v>0</v>
      </c>
      <c r="G288" s="1705">
        <f>+'Pasq e ndrysh te kap 2'!H6</f>
        <v>10890881</v>
      </c>
      <c r="H288" s="1705">
        <f>+'Pasq e ndrysh te kap 2'!I6</f>
        <v>91667373</v>
      </c>
      <c r="I288" s="1705">
        <f>+'Pasq e ndrysh te kap 2'!J6</f>
        <v>309484985</v>
      </c>
    </row>
    <row r="289" spans="1:9" ht="14.25" customHeight="1">
      <c r="B289" s="606" t="s">
        <v>73</v>
      </c>
      <c r="C289" s="607" t="str">
        <f>'Pasq e ndrysh te kap 2'!C7</f>
        <v xml:space="preserve">Efekti I ndryshimit ne polit kontabel </v>
      </c>
      <c r="D289" s="1706">
        <f>+'Pasq e ndrysh te kap 2'!E7</f>
        <v>0</v>
      </c>
      <c r="E289" s="1706">
        <f>+'Pasq e ndrysh te kap 2'!F7</f>
        <v>0</v>
      </c>
      <c r="F289" s="1706">
        <f>+'Pasq e ndrysh te kap 2'!G7</f>
        <v>0</v>
      </c>
      <c r="G289" s="1706">
        <f>+'Pasq e ndrysh te kap 2'!H7</f>
        <v>0</v>
      </c>
      <c r="H289" s="1706">
        <f>+'Pasq e ndrysh te kap 2'!I7</f>
        <v>0</v>
      </c>
      <c r="I289" s="1706">
        <f>+'Pasq e ndrysh te kap 2'!J7</f>
        <v>0</v>
      </c>
    </row>
    <row r="290" spans="1:9" ht="14.25" customHeight="1">
      <c r="B290" s="606" t="s">
        <v>79</v>
      </c>
      <c r="C290" s="607" t="str">
        <f>'Pasq e ndrysh te kap 2'!C8</f>
        <v>Pozicioni I rregulluar</v>
      </c>
      <c r="D290" s="1706">
        <f>+'Pasq e ndrysh te kap 2'!E8</f>
        <v>71188222</v>
      </c>
      <c r="E290" s="1706">
        <f>+'Pasq e ndrysh te kap 2'!F8</f>
        <v>0</v>
      </c>
      <c r="F290" s="1706">
        <f>+'Pasq e ndrysh te kap 2'!G8</f>
        <v>0</v>
      </c>
      <c r="G290" s="1706">
        <f>+'Pasq e ndrysh te kap 2'!H8</f>
        <v>0</v>
      </c>
      <c r="H290" s="1706">
        <f>+'Pasq e ndrysh te kap 2'!I8</f>
        <v>0</v>
      </c>
      <c r="I290" s="1706">
        <f>+'Pasq e ndrysh te kap 2'!J8</f>
        <v>0</v>
      </c>
    </row>
    <row r="291" spans="1:9" ht="14.25" customHeight="1">
      <c r="B291" s="181">
        <v>1</v>
      </c>
      <c r="C291" s="603" t="str">
        <f>'Pasq e ndrysh te kap 2'!C9</f>
        <v>Fitimi Neto per periudhen Kontabel</v>
      </c>
      <c r="D291" s="1707">
        <f>+'Pasq e ndrysh te kap 2'!E9</f>
        <v>71188222</v>
      </c>
      <c r="E291" s="1707">
        <f>+'Pasq e ndrysh te kap 2'!F9</f>
        <v>0</v>
      </c>
      <c r="F291" s="1707">
        <f>+'Pasq e ndrysh te kap 2'!G9</f>
        <v>0</v>
      </c>
      <c r="G291" s="1707">
        <f>+'Pasq e ndrysh te kap 2'!H9</f>
        <v>0</v>
      </c>
      <c r="H291" s="1707">
        <f>+'Pasq e ndrysh te kap 2'!I9</f>
        <v>0</v>
      </c>
      <c r="I291" s="1707">
        <f>+'Pasq e ndrysh te kap 2'!J9</f>
        <v>0</v>
      </c>
    </row>
    <row r="292" spans="1:9" ht="14.25" customHeight="1">
      <c r="B292" s="181">
        <v>2</v>
      </c>
      <c r="C292" s="603" t="str">
        <f>'Pasq e ndrysh te kap 2'!C10</f>
        <v>Dividentet e paguar</v>
      </c>
      <c r="D292" s="1707">
        <f>+'Pasq e ndrysh te kap 2'!E10</f>
        <v>0</v>
      </c>
      <c r="E292" s="1707">
        <f>+'Pasq e ndrysh te kap 2'!F10</f>
        <v>0</v>
      </c>
      <c r="F292" s="1707">
        <f>+'Pasq e ndrysh te kap 2'!G10</f>
        <v>0</v>
      </c>
      <c r="G292" s="1707">
        <f>+'Pasq e ndrysh te kap 2'!H10</f>
        <v>0</v>
      </c>
      <c r="H292" s="1707">
        <f>+'Pasq e ndrysh te kap 2'!I10</f>
        <v>0</v>
      </c>
      <c r="I292" s="1707">
        <f>+'Pasq e ndrysh te kap 2'!J10</f>
        <v>0</v>
      </c>
    </row>
    <row r="293" spans="1:9" ht="14.25" customHeight="1">
      <c r="B293" s="181">
        <v>3</v>
      </c>
      <c r="C293" s="603" t="str">
        <f>'Pasq e ndrysh te kap 2'!C11</f>
        <v>Rritja e rezerves te kapitalit</v>
      </c>
      <c r="D293" s="1707">
        <f>+'Pasq e ndrysh te kap 2'!E11</f>
        <v>0</v>
      </c>
      <c r="E293" s="1707">
        <f>+'Pasq e ndrysh te kap 2'!F11</f>
        <v>0</v>
      </c>
      <c r="F293" s="1707">
        <f>+'Pasq e ndrysh te kap 2'!G11</f>
        <v>0</v>
      </c>
      <c r="G293" s="1707">
        <f>+'Pasq e ndrysh te kap 2'!H11</f>
        <v>0</v>
      </c>
      <c r="H293" s="1707">
        <f>+'Pasq e ndrysh te kap 2'!I11</f>
        <v>0</v>
      </c>
      <c r="I293" s="1707">
        <f>+'Pasq e ndrysh te kap 2'!J11</f>
        <v>0</v>
      </c>
    </row>
    <row r="294" spans="1:9" ht="14.25" customHeight="1">
      <c r="B294" s="181">
        <v>4</v>
      </c>
      <c r="C294" s="603" t="str">
        <f>'Pasq e ndrysh te kap 2'!C12</f>
        <v>Emetimi I Aksioneve, fitime te mbartura</v>
      </c>
      <c r="D294" s="1707">
        <f>+'Pasq e ndrysh te kap 2'!E12</f>
        <v>0</v>
      </c>
      <c r="E294" s="1707">
        <f>+'Pasq e ndrysh te kap 2'!F12</f>
        <v>0</v>
      </c>
      <c r="F294" s="1707">
        <f>+'Pasq e ndrysh te kap 2'!G12</f>
        <v>0</v>
      </c>
      <c r="G294" s="1707">
        <f>+'Pasq e ndrysh te kap 2'!H12</f>
        <v>0</v>
      </c>
      <c r="H294" s="1707">
        <f>+'Pasq e ndrysh te kap 2'!I12</f>
        <v>0</v>
      </c>
      <c r="I294" s="1707">
        <f>+'Pasq e ndrysh te kap 2'!J12</f>
        <v>0</v>
      </c>
    </row>
    <row r="295" spans="1:9" ht="14.25" customHeight="1">
      <c r="B295" s="606" t="s">
        <v>19</v>
      </c>
      <c r="C295" s="608" t="str">
        <f>'Pasq e ndrysh te kap 2'!C13</f>
        <v>Pozicioni me 31 Dhjetor 2010</v>
      </c>
      <c r="D295" s="1706">
        <f>+'Pasq e ndrysh te kap 2'!E13</f>
        <v>206926731</v>
      </c>
      <c r="E295" s="1706">
        <f>+'Pasq e ndrysh te kap 2'!F13</f>
        <v>0</v>
      </c>
      <c r="F295" s="1706">
        <f>+'Pasq e ndrysh te kap 2'!G13</f>
        <v>0</v>
      </c>
      <c r="G295" s="1706">
        <f>+'Pasq e ndrysh te kap 2'!H13</f>
        <v>10890881</v>
      </c>
      <c r="H295" s="1706">
        <f>+'Pasq e ndrysh te kap 2'!I13</f>
        <v>162855595</v>
      </c>
      <c r="I295" s="1706">
        <f>+'Pasq e ndrysh te kap 2'!J13</f>
        <v>380673207</v>
      </c>
    </row>
    <row r="296" spans="1:9" ht="14.25" customHeight="1">
      <c r="B296" s="181">
        <v>1</v>
      </c>
      <c r="C296" s="603" t="str">
        <f>'Pasq e ndrysh te kap 2'!C14</f>
        <v>Fitimi Neto per periudhen Kontabel</v>
      </c>
      <c r="D296" s="1707">
        <f>+'Pasq e ndrysh te kap 2'!E14</f>
        <v>66470756.990859233</v>
      </c>
      <c r="E296" s="1707">
        <f>+'Pasq e ndrysh te kap 2'!F14</f>
        <v>0</v>
      </c>
      <c r="F296" s="1707">
        <f>+'Pasq e ndrysh te kap 2'!G14</f>
        <v>0</v>
      </c>
      <c r="G296" s="1707">
        <f>+'Pasq e ndrysh te kap 2'!H14</f>
        <v>0</v>
      </c>
      <c r="H296" s="1707">
        <f>+'Pasq e ndrysh te kap 2'!I14</f>
        <v>0</v>
      </c>
      <c r="I296" s="1707">
        <f>+'Pasq e ndrysh te kap 2'!J14</f>
        <v>66470756.990859233</v>
      </c>
    </row>
    <row r="297" spans="1:9" ht="14.25" customHeight="1">
      <c r="B297" s="181">
        <v>2</v>
      </c>
      <c r="C297" s="603" t="str">
        <f>'Pasq e ndrysh te kap 2'!C15</f>
        <v>Dividentet e paguar</v>
      </c>
      <c r="D297" s="1707">
        <f>+'Pasq e ndrysh te kap 2'!E15</f>
        <v>0</v>
      </c>
      <c r="E297" s="1707">
        <f>+'Pasq e ndrysh te kap 2'!F15</f>
        <v>0</v>
      </c>
      <c r="F297" s="1707">
        <f>+'Pasq e ndrysh te kap 2'!G15</f>
        <v>0</v>
      </c>
      <c r="G297" s="1707">
        <f>+'Pasq e ndrysh te kap 2'!H15</f>
        <v>0</v>
      </c>
      <c r="H297" s="1707">
        <f>+'Pasq e ndrysh te kap 2'!I15</f>
        <v>0</v>
      </c>
      <c r="I297" s="1707">
        <f>+'Pasq e ndrysh te kap 2'!J15</f>
        <v>0</v>
      </c>
    </row>
    <row r="298" spans="1:9" ht="14.25" customHeight="1">
      <c r="B298" s="181">
        <v>3</v>
      </c>
      <c r="C298" s="603" t="str">
        <f>'Pasq e ndrysh te kap 2'!C16</f>
        <v>Emetimi I kapitalit Aksioner</v>
      </c>
      <c r="D298" s="1707">
        <f>+'Pasq e ndrysh te kap 2'!E16</f>
        <v>0</v>
      </c>
      <c r="E298" s="1707">
        <f>+'Pasq e ndrysh te kap 2'!F16</f>
        <v>0</v>
      </c>
      <c r="F298" s="1707">
        <f>+'Pasq e ndrysh te kap 2'!G16</f>
        <v>0</v>
      </c>
      <c r="G298" s="1707">
        <f>+'Pasq e ndrysh te kap 2'!H16</f>
        <v>0</v>
      </c>
      <c r="H298" s="1707">
        <f>+'Pasq e ndrysh te kap 2'!I16</f>
        <v>0</v>
      </c>
      <c r="I298" s="1707">
        <f>+'Pasq e ndrysh te kap 2'!J16</f>
        <v>0</v>
      </c>
    </row>
    <row r="299" spans="1:9" ht="14.25" customHeight="1">
      <c r="B299" s="181">
        <v>4</v>
      </c>
      <c r="C299" s="603" t="str">
        <f>'Pasq e ndrysh te kap 2'!C17</f>
        <v>Aksione te thesarit te riblera</v>
      </c>
      <c r="D299" s="1707">
        <f>+'Pasq e ndrysh te kap 2'!E17</f>
        <v>0</v>
      </c>
      <c r="E299" s="1707">
        <f>+'Pasq e ndrysh te kap 2'!F17</f>
        <v>0</v>
      </c>
      <c r="F299" s="1707">
        <f>+'Pasq e ndrysh te kap 2'!G17</f>
        <v>0</v>
      </c>
      <c r="G299" s="1707">
        <f>+'Pasq e ndrysh te kap 2'!H17</f>
        <v>0</v>
      </c>
      <c r="H299" s="1707">
        <f>+'Pasq e ndrysh te kap 2'!I17</f>
        <v>0</v>
      </c>
      <c r="I299" s="1707">
        <f>+'Pasq e ndrysh te kap 2'!J17</f>
        <v>0</v>
      </c>
    </row>
    <row r="300" spans="1:9" ht="14.25" customHeight="1" thickBot="1">
      <c r="B300" s="609" t="s">
        <v>45</v>
      </c>
      <c r="C300" s="610" t="str">
        <f>'Pasq e ndrysh te kap 2'!C18</f>
        <v>Pozicioni me 31 Dhjetor 2011</v>
      </c>
      <c r="D300" s="1708">
        <f>+'Pasq e ndrysh te kap 2'!E18</f>
        <v>206926731</v>
      </c>
      <c r="E300" s="1708">
        <f>+'Pasq e ndrysh te kap 2'!F18</f>
        <v>0</v>
      </c>
      <c r="F300" s="1708">
        <f>+'Pasq e ndrysh te kap 2'!G18</f>
        <v>0</v>
      </c>
      <c r="G300" s="1708">
        <f>+'Pasq e ndrysh te kap 2'!H18</f>
        <v>10890881</v>
      </c>
      <c r="H300" s="1708">
        <f>+'Pasq e ndrysh te kap 2'!I18</f>
        <v>229326351.99085924</v>
      </c>
      <c r="I300" s="1708">
        <f>+'Pasq e ndrysh te kap 2'!J18</f>
        <v>447143963.99085927</v>
      </c>
    </row>
    <row r="302" spans="1:9">
      <c r="A302" s="85"/>
      <c r="B302" s="85"/>
      <c r="C302" s="85"/>
    </row>
    <row r="303" spans="1:9">
      <c r="A303" s="154" t="s">
        <v>456</v>
      </c>
      <c r="B303" s="85"/>
      <c r="C303" s="85"/>
    </row>
    <row r="304" spans="1:9">
      <c r="A304" s="85"/>
      <c r="B304" s="85"/>
      <c r="C304" s="85"/>
    </row>
    <row r="305" spans="1:7">
      <c r="A305" s="148" t="s">
        <v>457</v>
      </c>
      <c r="B305" s="148"/>
      <c r="C305" s="85"/>
    </row>
    <row r="306" spans="1:7">
      <c r="A306" s="148" t="s">
        <v>458</v>
      </c>
      <c r="B306" s="148"/>
      <c r="C306" s="85"/>
    </row>
    <row r="307" spans="1:7">
      <c r="A307" s="148"/>
      <c r="B307" s="148"/>
      <c r="C307" s="85"/>
    </row>
    <row r="308" spans="1:7">
      <c r="A308" s="148"/>
      <c r="B308" s="148"/>
      <c r="C308" s="85"/>
    </row>
    <row r="309" spans="1:7">
      <c r="A309" s="148" t="s">
        <v>459</v>
      </c>
      <c r="B309" s="148"/>
      <c r="C309" s="85"/>
    </row>
    <row r="310" spans="1:7">
      <c r="A310" s="148" t="s">
        <v>460</v>
      </c>
      <c r="B310" s="148"/>
      <c r="C310" s="85"/>
    </row>
    <row r="311" spans="1:7">
      <c r="A311" s="85"/>
      <c r="B311" s="85"/>
      <c r="C311" s="85"/>
    </row>
    <row r="312" spans="1:7">
      <c r="A312" s="85"/>
      <c r="B312" s="85"/>
      <c r="C312" s="85"/>
    </row>
    <row r="313" spans="1:7">
      <c r="B313" s="21" t="s">
        <v>461</v>
      </c>
      <c r="F313" s="21" t="s">
        <v>462</v>
      </c>
    </row>
    <row r="315" spans="1:7" ht="13.5" thickBot="1">
      <c r="A315" s="8"/>
      <c r="B315" s="8"/>
      <c r="C315" s="8"/>
      <c r="E315" s="420"/>
      <c r="F315" s="420" t="str">
        <f>E9</f>
        <v>Feriat Mehilli</v>
      </c>
      <c r="G315" s="420"/>
    </row>
  </sheetData>
  <mergeCells count="16">
    <mergeCell ref="D38:F38"/>
    <mergeCell ref="B53:B54"/>
    <mergeCell ref="C53:C54"/>
    <mergeCell ref="D53:D54"/>
    <mergeCell ref="F122:F123"/>
    <mergeCell ref="E53:E54"/>
    <mergeCell ref="F53:F54"/>
    <mergeCell ref="C47:D47"/>
    <mergeCell ref="G53:G54"/>
    <mergeCell ref="B113:F113"/>
    <mergeCell ref="H122:H123"/>
    <mergeCell ref="C122:C123"/>
    <mergeCell ref="B122:B123"/>
    <mergeCell ref="D122:D123"/>
    <mergeCell ref="E122:E123"/>
    <mergeCell ref="G122:G123"/>
  </mergeCells>
  <phoneticPr fontId="7" type="noConversion"/>
  <pageMargins left="0" right="0" top="0" bottom="0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H47"/>
  <sheetViews>
    <sheetView workbookViewId="0">
      <selection activeCell="I47" sqref="A1:I47"/>
    </sheetView>
  </sheetViews>
  <sheetFormatPr defaultRowHeight="12.75"/>
  <cols>
    <col min="1" max="1" width="5.85546875" customWidth="1"/>
    <col min="2" max="2" width="8.42578125" customWidth="1"/>
    <col min="3" max="3" width="8.28515625" customWidth="1"/>
    <col min="4" max="4" width="24" customWidth="1"/>
    <col min="5" max="5" width="3" customWidth="1"/>
    <col min="6" max="6" width="12.85546875" customWidth="1"/>
    <col min="7" max="7" width="6.140625" customWidth="1"/>
    <col min="8" max="8" width="6.5703125" customWidth="1"/>
    <col min="9" max="9" width="5.140625" customWidth="1"/>
  </cols>
  <sheetData>
    <row r="1" spans="2:8">
      <c r="B1" s="2"/>
      <c r="C1" s="49"/>
      <c r="D1" s="49"/>
      <c r="E1" s="2"/>
    </row>
    <row r="2" spans="2:8">
      <c r="B2" s="52" t="s">
        <v>131</v>
      </c>
      <c r="C2" s="2" t="str">
        <f>'Kopertina '!F4</f>
        <v>Ameti</v>
      </c>
      <c r="D2" s="2"/>
      <c r="E2" s="2"/>
    </row>
    <row r="3" spans="2:8">
      <c r="B3" s="1"/>
      <c r="C3" s="1"/>
      <c r="D3" s="1"/>
      <c r="E3" s="2"/>
      <c r="F3" s="2"/>
      <c r="G3" s="2"/>
      <c r="H3" s="2" t="s">
        <v>116</v>
      </c>
    </row>
    <row r="4" spans="2:8">
      <c r="B4" s="1"/>
      <c r="C4" s="1741" t="s">
        <v>133</v>
      </c>
      <c r="D4" s="1741"/>
      <c r="E4" s="1741"/>
      <c r="F4" s="1741"/>
    </row>
    <row r="5" spans="2:8">
      <c r="B5" s="1"/>
      <c r="C5" s="1"/>
      <c r="D5" s="1"/>
      <c r="E5" s="2" t="s">
        <v>132</v>
      </c>
      <c r="F5" s="21"/>
      <c r="G5" s="21">
        <f>'Kopertina '!F29</f>
        <v>2011</v>
      </c>
    </row>
    <row r="6" spans="2:8" ht="13.5" thickBot="1">
      <c r="B6" s="1"/>
      <c r="C6" s="1"/>
      <c r="D6" s="1"/>
      <c r="E6" s="1"/>
    </row>
    <row r="7" spans="2:8" ht="13.5" thickBot="1">
      <c r="B7" s="18"/>
      <c r="C7" s="19"/>
      <c r="D7" s="19"/>
      <c r="E7" s="19"/>
      <c r="F7" s="19"/>
      <c r="G7" s="19"/>
      <c r="H7" s="20"/>
    </row>
    <row r="8" spans="2:8">
      <c r="B8" s="5"/>
      <c r="C8" s="1"/>
      <c r="D8" s="2" t="s">
        <v>815</v>
      </c>
      <c r="E8" s="1"/>
      <c r="F8" s="641">
        <f>'AKTIVI '!F8</f>
        <v>0</v>
      </c>
      <c r="G8" s="1"/>
      <c r="H8" s="6"/>
    </row>
    <row r="9" spans="2:8">
      <c r="B9" s="5"/>
      <c r="C9" s="2"/>
      <c r="D9" s="2" t="s">
        <v>816</v>
      </c>
      <c r="E9" s="49"/>
      <c r="F9" s="253">
        <v>0</v>
      </c>
      <c r="G9" s="49"/>
      <c r="H9" s="6"/>
    </row>
    <row r="10" spans="2:8" ht="13.5" thickBot="1">
      <c r="B10" s="5"/>
      <c r="C10" s="2"/>
      <c r="D10" s="2" t="s">
        <v>817</v>
      </c>
      <c r="E10" s="49"/>
      <c r="F10" s="254">
        <v>0</v>
      </c>
      <c r="G10" s="49"/>
      <c r="H10" s="6"/>
    </row>
    <row r="11" spans="2:8" ht="13.5" thickBot="1">
      <c r="B11" s="5"/>
      <c r="C11" s="2"/>
      <c r="D11" s="2"/>
      <c r="E11" s="49"/>
      <c r="F11" s="49"/>
      <c r="G11" s="49"/>
      <c r="H11" s="6"/>
    </row>
    <row r="12" spans="2:8" ht="13.5" thickBot="1">
      <c r="B12" s="5"/>
      <c r="C12" s="2"/>
      <c r="D12" s="2" t="s">
        <v>818</v>
      </c>
      <c r="E12" s="2"/>
      <c r="F12" s="642">
        <f>F8+F9-F10</f>
        <v>0</v>
      </c>
      <c r="G12" s="2"/>
      <c r="H12" s="6"/>
    </row>
    <row r="13" spans="2:8">
      <c r="B13" s="5"/>
      <c r="C13" s="2"/>
      <c r="D13" s="3"/>
      <c r="E13" s="49"/>
      <c r="F13" s="49"/>
      <c r="G13" s="49"/>
      <c r="H13" s="6"/>
    </row>
    <row r="14" spans="2:8">
      <c r="B14" s="5"/>
      <c r="C14" s="1"/>
      <c r="D14" s="1"/>
      <c r="E14" s="252"/>
      <c r="F14" s="252"/>
      <c r="G14" s="252"/>
      <c r="H14" s="6"/>
    </row>
    <row r="15" spans="2:8">
      <c r="B15" s="5"/>
      <c r="C15" s="1"/>
      <c r="D15" s="1"/>
      <c r="E15" s="1"/>
      <c r="F15" s="1">
        <v>0</v>
      </c>
      <c r="G15" s="1"/>
      <c r="H15" s="6"/>
    </row>
    <row r="16" spans="2:8">
      <c r="B16" s="5"/>
      <c r="C16" s="1"/>
      <c r="D16" s="1"/>
      <c r="E16" s="1"/>
      <c r="F16" s="1"/>
      <c r="G16" s="1"/>
      <c r="H16" s="6"/>
    </row>
    <row r="17" spans="2:8">
      <c r="B17" s="5"/>
      <c r="C17" s="1"/>
      <c r="D17" s="1"/>
      <c r="E17" s="1"/>
      <c r="F17" s="1"/>
      <c r="G17" s="1"/>
      <c r="H17" s="6"/>
    </row>
    <row r="18" spans="2:8">
      <c r="B18" s="5"/>
      <c r="C18" s="1"/>
      <c r="D18" s="1"/>
      <c r="E18" s="1"/>
      <c r="F18" s="1"/>
      <c r="G18" s="1"/>
      <c r="H18" s="6"/>
    </row>
    <row r="19" spans="2:8">
      <c r="B19" s="5"/>
      <c r="C19" s="1"/>
      <c r="D19" s="1"/>
      <c r="E19" s="1"/>
      <c r="F19" s="1"/>
      <c r="G19" s="1"/>
      <c r="H19" s="6"/>
    </row>
    <row r="20" spans="2:8">
      <c r="B20" s="5"/>
      <c r="C20" s="1"/>
      <c r="D20" s="1"/>
      <c r="E20" s="1"/>
      <c r="F20" s="1"/>
      <c r="G20" s="1"/>
      <c r="H20" s="6"/>
    </row>
    <row r="21" spans="2:8">
      <c r="B21" s="5"/>
      <c r="C21" s="1"/>
      <c r="D21" s="1"/>
      <c r="E21" s="1"/>
      <c r="F21" s="1"/>
      <c r="G21" s="1"/>
      <c r="H21" s="6"/>
    </row>
    <row r="22" spans="2:8">
      <c r="B22" s="5"/>
      <c r="C22" s="1"/>
      <c r="D22" s="1"/>
      <c r="E22" s="1"/>
      <c r="F22" s="1"/>
      <c r="G22" s="1"/>
      <c r="H22" s="6"/>
    </row>
    <row r="23" spans="2:8">
      <c r="B23" s="5"/>
      <c r="C23" s="1"/>
      <c r="D23" s="1"/>
      <c r="E23" s="1"/>
      <c r="F23" s="1"/>
      <c r="G23" s="1"/>
      <c r="H23" s="6"/>
    </row>
    <row r="24" spans="2:8">
      <c r="B24" s="5"/>
      <c r="C24" s="1"/>
      <c r="D24" s="1"/>
      <c r="E24" s="1"/>
      <c r="F24" s="1"/>
      <c r="G24" s="1"/>
      <c r="H24" s="6"/>
    </row>
    <row r="25" spans="2:8">
      <c r="B25" s="5"/>
      <c r="C25" s="1"/>
      <c r="D25" s="1"/>
      <c r="E25" s="1"/>
      <c r="F25" s="1"/>
      <c r="G25" s="1"/>
      <c r="H25" s="6"/>
    </row>
    <row r="26" spans="2:8">
      <c r="B26" s="5"/>
      <c r="C26" s="1"/>
      <c r="D26" s="1"/>
      <c r="E26" s="1"/>
      <c r="F26" s="1"/>
      <c r="G26" s="1"/>
      <c r="H26" s="6"/>
    </row>
    <row r="27" spans="2:8">
      <c r="B27" s="5"/>
      <c r="C27" s="1"/>
      <c r="D27" s="1"/>
      <c r="E27" s="1"/>
      <c r="F27" s="1"/>
      <c r="G27" s="1"/>
      <c r="H27" s="6"/>
    </row>
    <row r="28" spans="2:8">
      <c r="B28" s="5"/>
      <c r="C28" s="1"/>
      <c r="D28" s="1"/>
      <c r="E28" s="1"/>
      <c r="F28" s="1"/>
      <c r="G28" s="1"/>
      <c r="H28" s="6"/>
    </row>
    <row r="29" spans="2:8">
      <c r="B29" s="5"/>
      <c r="C29" s="1"/>
      <c r="D29" s="1"/>
      <c r="E29" s="1"/>
      <c r="F29" s="1"/>
      <c r="G29" s="1"/>
      <c r="H29" s="6"/>
    </row>
    <row r="30" spans="2:8">
      <c r="B30" s="5"/>
      <c r="C30" s="1"/>
      <c r="D30" s="1"/>
      <c r="E30" s="1"/>
      <c r="F30" s="1"/>
      <c r="G30" s="1"/>
      <c r="H30" s="6"/>
    </row>
    <row r="31" spans="2:8">
      <c r="B31" s="5"/>
      <c r="C31" s="1"/>
      <c r="D31" s="1"/>
      <c r="E31" s="1"/>
      <c r="F31" s="1"/>
      <c r="G31" s="1"/>
      <c r="H31" s="6"/>
    </row>
    <row r="32" spans="2:8">
      <c r="B32" s="5"/>
      <c r="C32" s="1"/>
      <c r="D32" s="1"/>
      <c r="E32" s="1"/>
      <c r="F32" s="1"/>
      <c r="G32" s="1"/>
      <c r="H32" s="6"/>
    </row>
    <row r="33" spans="2:8">
      <c r="B33" s="5"/>
      <c r="C33" s="1"/>
      <c r="D33" s="1"/>
      <c r="E33" s="1"/>
      <c r="F33" s="1"/>
      <c r="G33" s="1"/>
      <c r="H33" s="6"/>
    </row>
    <row r="34" spans="2:8">
      <c r="B34" s="5"/>
      <c r="C34" s="1"/>
      <c r="D34" s="1"/>
      <c r="E34" s="1"/>
      <c r="F34" s="1"/>
      <c r="G34" s="1"/>
      <c r="H34" s="6"/>
    </row>
    <row r="35" spans="2:8">
      <c r="B35" s="5"/>
      <c r="C35" s="1"/>
      <c r="D35" s="1"/>
      <c r="E35" s="1"/>
      <c r="F35" s="1"/>
      <c r="G35" s="1"/>
      <c r="H35" s="6"/>
    </row>
    <row r="36" spans="2:8">
      <c r="B36" s="5"/>
      <c r="C36" s="1"/>
      <c r="D36" s="1"/>
      <c r="E36" s="1"/>
      <c r="F36" s="1"/>
      <c r="G36" s="1"/>
      <c r="H36" s="6"/>
    </row>
    <row r="37" spans="2:8">
      <c r="B37" s="5"/>
      <c r="C37" s="1"/>
      <c r="D37" s="1"/>
      <c r="E37" s="1"/>
      <c r="F37" s="1"/>
      <c r="G37" s="1"/>
      <c r="H37" s="6"/>
    </row>
    <row r="38" spans="2:8">
      <c r="B38" s="5"/>
      <c r="C38" s="1"/>
      <c r="D38" s="1"/>
      <c r="E38" s="1"/>
      <c r="F38" s="1"/>
      <c r="G38" s="1"/>
      <c r="H38" s="6"/>
    </row>
    <row r="39" spans="2:8">
      <c r="B39" s="5"/>
      <c r="C39" s="1"/>
      <c r="D39" s="1"/>
      <c r="E39" s="1"/>
      <c r="F39" s="1"/>
      <c r="G39" s="1"/>
      <c r="H39" s="6"/>
    </row>
    <row r="40" spans="2:8">
      <c r="B40" s="5"/>
      <c r="C40" s="1"/>
      <c r="D40" s="1"/>
      <c r="E40" s="1"/>
      <c r="F40" s="1"/>
      <c r="G40" s="1"/>
      <c r="H40" s="6"/>
    </row>
    <row r="41" spans="2:8">
      <c r="B41" s="5"/>
      <c r="C41" s="1"/>
      <c r="D41" s="1"/>
      <c r="E41" s="1"/>
      <c r="F41" s="1"/>
      <c r="G41" s="1"/>
      <c r="H41" s="6"/>
    </row>
    <row r="42" spans="2:8">
      <c r="B42" s="5"/>
      <c r="C42" s="1"/>
      <c r="D42" s="1"/>
      <c r="E42" s="1"/>
      <c r="F42" s="1"/>
      <c r="G42" s="1"/>
      <c r="H42" s="6"/>
    </row>
    <row r="43" spans="2:8">
      <c r="B43" s="5"/>
      <c r="C43" s="1"/>
      <c r="D43" s="1"/>
      <c r="E43" s="1"/>
      <c r="F43" s="1"/>
      <c r="G43" s="1"/>
      <c r="H43" s="6"/>
    </row>
    <row r="44" spans="2:8">
      <c r="B44" s="5"/>
      <c r="C44" s="1"/>
      <c r="D44" s="1"/>
      <c r="E44" s="1"/>
      <c r="F44" s="1"/>
      <c r="G44" s="1"/>
      <c r="H44" s="6"/>
    </row>
    <row r="45" spans="2:8">
      <c r="B45" s="5"/>
      <c r="C45" s="1"/>
      <c r="D45" s="1"/>
      <c r="E45" s="1"/>
      <c r="F45" s="1"/>
      <c r="G45" s="1"/>
      <c r="H45" s="6"/>
    </row>
    <row r="46" spans="2:8">
      <c r="B46" s="5"/>
      <c r="C46" s="1"/>
      <c r="D46" s="1"/>
      <c r="E46" s="1"/>
      <c r="F46" s="1"/>
      <c r="G46" s="1"/>
      <c r="H46" s="6"/>
    </row>
    <row r="47" spans="2:8" ht="13.5" thickBot="1">
      <c r="B47" s="7"/>
      <c r="C47" s="8"/>
      <c r="D47" s="8"/>
      <c r="E47" s="8"/>
      <c r="F47" s="8"/>
      <c r="G47" s="8"/>
      <c r="H47" s="9"/>
    </row>
  </sheetData>
  <mergeCells count="1">
    <mergeCell ref="C4:F4"/>
  </mergeCells>
  <phoneticPr fontId="7" type="noConversion"/>
  <pageMargins left="0.25" right="0.25" top="0.25" bottom="0.25" header="0.25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</vt:i4>
      </vt:variant>
    </vt:vector>
  </HeadingPairs>
  <TitlesOfParts>
    <vt:vector size="43" baseType="lpstr">
      <vt:lpstr>Kopertina </vt:lpstr>
      <vt:lpstr>AKTIVI </vt:lpstr>
      <vt:lpstr>PASIVI </vt:lpstr>
      <vt:lpstr>Ardh e shp - natyres</vt:lpstr>
      <vt:lpstr> Fluksit mon - direkte</vt:lpstr>
      <vt:lpstr>Pasq e ndrysh te kap 2</vt:lpstr>
      <vt:lpstr>Shenit Shpjeguse</vt:lpstr>
      <vt:lpstr>Shenimet Shpjeg</vt:lpstr>
      <vt:lpstr>A1</vt:lpstr>
      <vt:lpstr>A2</vt:lpstr>
      <vt:lpstr>C1</vt:lpstr>
      <vt:lpstr>C2</vt:lpstr>
      <vt:lpstr>C3</vt:lpstr>
      <vt:lpstr>D1</vt:lpstr>
      <vt:lpstr>D2</vt:lpstr>
      <vt:lpstr>D3</vt:lpstr>
      <vt:lpstr>D4</vt:lpstr>
      <vt:lpstr>D4-</vt:lpstr>
      <vt:lpstr>D5-</vt:lpstr>
      <vt:lpstr>D6</vt:lpstr>
      <vt:lpstr>L  1</vt:lpstr>
      <vt:lpstr>L  2</vt:lpstr>
      <vt:lpstr>L4</vt:lpstr>
      <vt:lpstr>E2</vt:lpstr>
      <vt:lpstr>M1</vt:lpstr>
      <vt:lpstr>Liber Shit- Blerje </vt:lpstr>
      <vt:lpstr>P -Ardh Analiz </vt:lpstr>
      <vt:lpstr>S</vt:lpstr>
      <vt:lpstr>U</vt:lpstr>
      <vt:lpstr>V</vt:lpstr>
      <vt:lpstr>T</vt:lpstr>
      <vt:lpstr>Inventar</vt:lpstr>
      <vt:lpstr>Bilanci mater I</vt:lpstr>
      <vt:lpstr>Nenkontraktoret I</vt:lpstr>
      <vt:lpstr>Sig per  Ndertimin I</vt:lpstr>
      <vt:lpstr>Pas E Shitjes Ndertiimi I</vt:lpstr>
      <vt:lpstr>U - statist</vt:lpstr>
      <vt:lpstr>Stat - te ardhur</vt:lpstr>
      <vt:lpstr>Stat - Kostot </vt:lpstr>
      <vt:lpstr>Stat - te ardh  anal</vt:lpstr>
      <vt:lpstr>Sheet1</vt:lpstr>
      <vt:lpstr>Sheet2</vt:lpstr>
      <vt:lpstr>'Liber Shit- Blerje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Kompjuteri Juaj</cp:lastModifiedBy>
  <cp:lastPrinted>2012-03-22T16:47:02Z</cp:lastPrinted>
  <dcterms:created xsi:type="dcterms:W3CDTF">2008-12-07T08:59:09Z</dcterms:created>
  <dcterms:modified xsi:type="dcterms:W3CDTF">2012-06-27T09:55:23Z</dcterms:modified>
</cp:coreProperties>
</file>