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/>
  <bookViews>
    <workbookView xWindow="600" yWindow="210" windowWidth="8820" windowHeight="3885" tabRatio="859" activeTab="6"/>
  </bookViews>
  <sheets>
    <sheet name="Kapaku" sheetId="16" r:id="rId1"/>
    <sheet name="Aktivet e detajuara" sheetId="1" r:id="rId2"/>
    <sheet name="Te ardhura e shpenzime" sheetId="2" r:id="rId3"/>
    <sheet name="Fluksi 2" sheetId="14" r:id="rId4"/>
    <sheet name="Kapitali 2" sheetId="17" r:id="rId5"/>
    <sheet name="info PL" sheetId="21" state="hidden" r:id="rId6"/>
    <sheet name="Shenime 13" sheetId="27" r:id="rId7"/>
    <sheet name="Shenime 11" sheetId="26" state="hidden" r:id="rId8"/>
    <sheet name="Shenime (2)" sheetId="20" state="hidden" r:id="rId9"/>
    <sheet name="AAM" sheetId="22" r:id="rId10"/>
  </sheets>
  <externalReferences>
    <externalReference r:id="rId11"/>
    <externalReference r:id="rId12"/>
    <externalReference r:id="rId13"/>
    <externalReference r:id="rId14"/>
  </externalReferences>
  <definedNames>
    <definedName name="_Key1" localSheetId="7" hidden="1">[1]PRODUKTE!#REF!</definedName>
    <definedName name="_Key1" localSheetId="6" hidden="1">[1]PRODUKTE!#REF!</definedName>
    <definedName name="_Key1" hidden="1">[1]PRODUKTE!#REF!</definedName>
    <definedName name="_Key2" localSheetId="7" hidden="1">[1]PRODUKTE!#REF!</definedName>
    <definedName name="_Key2" localSheetId="6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9">AAM!$A$1:$G$54</definedName>
    <definedName name="_xlnm.Print_Area" localSheetId="1">'Aktivet e detajuara'!$A$1:$J$94</definedName>
    <definedName name="_xlnm.Print_Area" localSheetId="3">'Fluksi 2'!$A$1:$G$36</definedName>
    <definedName name="_xlnm.Print_Area" localSheetId="0">Kapaku!$A$1:$E$39</definedName>
    <definedName name="_xlnm.Print_Area" localSheetId="8">'Shenime (2)'!$A$1:$H$110</definedName>
    <definedName name="_xlnm.Print_Area" localSheetId="7">'Shenime 11'!$A$1:$H$87</definedName>
    <definedName name="_xlnm.Print_Area" localSheetId="6">'Shenime 13'!$A$1:$H$96</definedName>
    <definedName name="_xlnm.Print_Area" localSheetId="2">'Te ardhura e shpenzime'!$A$1:$E$28</definedName>
  </definedNames>
  <calcPr calcId="125725"/>
</workbook>
</file>

<file path=xl/calcChain.xml><?xml version="1.0" encoding="utf-8"?>
<calcChain xmlns="http://schemas.openxmlformats.org/spreadsheetml/2006/main">
  <c r="C70" i="27"/>
  <c r="C83"/>
  <c r="C84" s="1"/>
  <c r="C75"/>
  <c r="C87"/>
  <c r="D87"/>
  <c r="D84"/>
  <c r="F17" i="14"/>
  <c r="G10"/>
  <c r="F26" l="1"/>
  <c r="G8"/>
  <c r="G24" s="1"/>
  <c r="G9"/>
  <c r="F17" i="22"/>
  <c r="D17"/>
  <c r="G9"/>
  <c r="G10"/>
  <c r="G14"/>
  <c r="G15"/>
  <c r="G16"/>
  <c r="G48" s="1"/>
  <c r="F27" i="27"/>
  <c r="F26"/>
  <c r="F29"/>
  <c r="F28"/>
  <c r="D70"/>
  <c r="D34"/>
  <c r="C34"/>
  <c r="C21"/>
  <c r="C20"/>
  <c r="D30"/>
  <c r="C30"/>
  <c r="J10" i="1"/>
  <c r="C80" i="27" l="1"/>
  <c r="E30"/>
  <c r="F30" s="1"/>
  <c r="C40"/>
  <c r="C41" s="1"/>
  <c r="C22"/>
  <c r="C23" s="1"/>
  <c r="D20"/>
  <c r="D10" i="2"/>
  <c r="D8"/>
  <c r="E24"/>
  <c r="I90" i="1"/>
  <c r="I85"/>
  <c r="I75"/>
  <c r="I79" s="1"/>
  <c r="J76"/>
  <c r="F30" i="14" s="1"/>
  <c r="F33" s="1"/>
  <c r="J63" i="1"/>
  <c r="J13"/>
  <c r="J24" s="1"/>
  <c r="J7"/>
  <c r="I13"/>
  <c r="I7"/>
  <c r="D15" i="2" l="1"/>
  <c r="D16" s="1"/>
  <c r="I24" i="1"/>
  <c r="D24" i="2"/>
  <c r="I66" i="1"/>
  <c r="I69" s="1"/>
  <c r="I37"/>
  <c r="I46" s="1"/>
  <c r="I15" i="17"/>
  <c r="I14"/>
  <c r="I13"/>
  <c r="I12"/>
  <c r="I80" i="1" l="1"/>
  <c r="I47"/>
  <c r="D25" i="2"/>
  <c r="D27" l="1"/>
  <c r="I11" i="17" s="1"/>
  <c r="F16" i="14"/>
  <c r="F19" s="1"/>
  <c r="F34" s="1"/>
  <c r="F38" s="1"/>
  <c r="G13" i="22"/>
  <c r="G12"/>
  <c r="G8"/>
  <c r="I9" i="17"/>
  <c r="I8"/>
  <c r="I7"/>
  <c r="I6"/>
  <c r="G33" i="14"/>
  <c r="G36"/>
  <c r="F35" s="1"/>
  <c r="G26"/>
  <c r="G17"/>
  <c r="G7"/>
  <c r="D19" i="27"/>
  <c r="J37" i="1"/>
  <c r="J46" s="1"/>
  <c r="J66"/>
  <c r="J69" s="1"/>
  <c r="J75"/>
  <c r="J79" s="1"/>
  <c r="J59"/>
  <c r="B79" i="27"/>
  <c r="B78"/>
  <c r="B77"/>
  <c r="B76"/>
  <c r="B75"/>
  <c r="D16"/>
  <c r="C16"/>
  <c r="F15"/>
  <c r="F14"/>
  <c r="F13"/>
  <c r="F12"/>
  <c r="F11"/>
  <c r="E8" i="2"/>
  <c r="C56" i="26"/>
  <c r="C55"/>
  <c r="C54"/>
  <c r="C53"/>
  <c r="C52"/>
  <c r="C51"/>
  <c r="C24"/>
  <c r="C23"/>
  <c r="D19"/>
  <c r="F15"/>
  <c r="F16"/>
  <c r="F17"/>
  <c r="F18"/>
  <c r="F14"/>
  <c r="F19"/>
  <c r="C28"/>
  <c r="C47"/>
  <c r="C83"/>
  <c r="C63"/>
  <c r="C19"/>
  <c r="F49" i="22"/>
  <c r="F33"/>
  <c r="G32"/>
  <c r="G31"/>
  <c r="G47" s="1"/>
  <c r="G30"/>
  <c r="G46" s="1"/>
  <c r="G26"/>
  <c r="G42" s="1"/>
  <c r="G25"/>
  <c r="G41" s="1"/>
  <c r="G24"/>
  <c r="D56" i="20"/>
  <c r="B29" i="21"/>
  <c r="D60" i="20"/>
  <c r="D59"/>
  <c r="C68"/>
  <c r="H55"/>
  <c r="H54"/>
  <c r="H56"/>
  <c r="H53"/>
  <c r="D52"/>
  <c r="H51"/>
  <c r="H50"/>
  <c r="H49"/>
  <c r="H52"/>
  <c r="D48"/>
  <c r="H47"/>
  <c r="H46"/>
  <c r="H45"/>
  <c r="H44"/>
  <c r="H48"/>
  <c r="H43"/>
  <c r="C31"/>
  <c r="C20"/>
  <c r="C17"/>
  <c r="C15"/>
  <c r="C23"/>
  <c r="G10" i="17"/>
  <c r="G16" s="1"/>
  <c r="D10"/>
  <c r="D16" s="1"/>
  <c r="E10"/>
  <c r="E16" s="1"/>
  <c r="F10"/>
  <c r="F16" s="1"/>
  <c r="F11" i="1"/>
  <c r="F12"/>
  <c r="F40"/>
  <c r="F4"/>
  <c r="F3" s="1"/>
  <c r="G4"/>
  <c r="G12"/>
  <c r="F13"/>
  <c r="G13"/>
  <c r="F14"/>
  <c r="G14"/>
  <c r="G15"/>
  <c r="F16"/>
  <c r="G16"/>
  <c r="F18"/>
  <c r="G18"/>
  <c r="F25"/>
  <c r="F24" s="1"/>
  <c r="G25"/>
  <c r="F27"/>
  <c r="G27"/>
  <c r="F28"/>
  <c r="G28"/>
  <c r="F31"/>
  <c r="F33"/>
  <c r="F34"/>
  <c r="G34"/>
  <c r="G30" s="1"/>
  <c r="F36"/>
  <c r="G40"/>
  <c r="F41"/>
  <c r="F39" s="1"/>
  <c r="G41"/>
  <c r="F43"/>
  <c r="F45"/>
  <c r="F58"/>
  <c r="G59"/>
  <c r="G58" s="1"/>
  <c r="F63"/>
  <c r="G63"/>
  <c r="F64"/>
  <c r="G64"/>
  <c r="F70"/>
  <c r="G70"/>
  <c r="F75"/>
  <c r="F74" s="1"/>
  <c r="F76"/>
  <c r="G76"/>
  <c r="F78"/>
  <c r="G78"/>
  <c r="F80"/>
  <c r="G80"/>
  <c r="G85"/>
  <c r="F86"/>
  <c r="G86"/>
  <c r="F87"/>
  <c r="G87"/>
  <c r="F89"/>
  <c r="G89"/>
  <c r="F90"/>
  <c r="F91"/>
  <c r="G91"/>
  <c r="F93"/>
  <c r="C10" i="17"/>
  <c r="C16" s="1"/>
  <c r="F8" i="2"/>
  <c r="F16" s="1"/>
  <c r="F25" s="1"/>
  <c r="F27" s="1"/>
  <c r="F10"/>
  <c r="F15" s="1"/>
  <c r="D58" i="1"/>
  <c r="D54" s="1"/>
  <c r="D64"/>
  <c r="D70"/>
  <c r="D74"/>
  <c r="D73" s="1"/>
  <c r="D82"/>
  <c r="D93"/>
  <c r="C58"/>
  <c r="C54" s="1"/>
  <c r="C53" s="1"/>
  <c r="C64"/>
  <c r="C70"/>
  <c r="C74"/>
  <c r="C82"/>
  <c r="C93"/>
  <c r="D11"/>
  <c r="D4"/>
  <c r="D18"/>
  <c r="D24"/>
  <c r="D23" s="1"/>
  <c r="D30"/>
  <c r="D39"/>
  <c r="D36"/>
  <c r="D43"/>
  <c r="D45"/>
  <c r="C4"/>
  <c r="C3" s="1"/>
  <c r="C11"/>
  <c r="C18"/>
  <c r="C24"/>
  <c r="C30"/>
  <c r="C36"/>
  <c r="C39"/>
  <c r="C43"/>
  <c r="C45"/>
  <c r="C60" i="26"/>
  <c r="D40" i="27"/>
  <c r="D41" s="1"/>
  <c r="E10" i="2"/>
  <c r="B31" i="21"/>
  <c r="B41" s="1"/>
  <c r="B42" s="1"/>
  <c r="G40" i="22" l="1"/>
  <c r="D80" i="27"/>
  <c r="G11" i="22"/>
  <c r="E17"/>
  <c r="G28"/>
  <c r="G44" s="1"/>
  <c r="F16" i="27"/>
  <c r="F17" s="1"/>
  <c r="G27" i="22"/>
  <c r="G29"/>
  <c r="G45" s="1"/>
  <c r="C57" i="26"/>
  <c r="C23" i="1"/>
  <c r="D3"/>
  <c r="D53"/>
  <c r="G74"/>
  <c r="F54"/>
  <c r="F53" s="1"/>
  <c r="C73"/>
  <c r="G39"/>
  <c r="G11"/>
  <c r="G3" s="1"/>
  <c r="G24"/>
  <c r="G23" s="1"/>
  <c r="G82"/>
  <c r="F82"/>
  <c r="C26" i="26"/>
  <c r="F73" i="1"/>
  <c r="J80"/>
  <c r="F30"/>
  <c r="F23" s="1"/>
  <c r="G54"/>
  <c r="G53" s="1"/>
  <c r="E15" i="2"/>
  <c r="E16" s="1"/>
  <c r="E25" s="1"/>
  <c r="C48" i="26"/>
  <c r="D48" s="1"/>
  <c r="D47"/>
  <c r="B43" i="21"/>
  <c r="B45"/>
  <c r="E33" i="22"/>
  <c r="D33"/>
  <c r="G43" l="1"/>
  <c r="G49" s="1"/>
  <c r="G17"/>
  <c r="G33"/>
  <c r="E49"/>
  <c r="D49"/>
  <c r="G73" i="1"/>
  <c r="D22" i="27"/>
  <c r="D23" s="1"/>
  <c r="E26" i="2" l="1"/>
  <c r="E27" s="1"/>
  <c r="G5" i="14" s="1"/>
  <c r="J47" i="1"/>
  <c r="I5" i="17" l="1"/>
  <c r="I10" s="1"/>
  <c r="G16" i="14"/>
  <c r="G19" s="1"/>
  <c r="G34" s="1"/>
  <c r="G38" s="1"/>
  <c r="J93" i="1" l="1"/>
  <c r="J94" s="1"/>
  <c r="I91"/>
  <c r="I93" s="1"/>
  <c r="I94" s="1"/>
  <c r="H10" i="17"/>
  <c r="H16" s="1"/>
  <c r="I16"/>
</calcChain>
</file>

<file path=xl/sharedStrings.xml><?xml version="1.0" encoding="utf-8"?>
<sst xmlns="http://schemas.openxmlformats.org/spreadsheetml/2006/main" count="692" uniqueCount="393">
  <si>
    <t>I</t>
  </si>
  <si>
    <t>II</t>
  </si>
  <si>
    <t>III</t>
  </si>
  <si>
    <t>Shpenzime te tjera rrjedhese</t>
  </si>
  <si>
    <t>Ndertesa</t>
  </si>
  <si>
    <t>AKTIVET</t>
  </si>
  <si>
    <t>Shenimet</t>
  </si>
  <si>
    <t>AKTIVET AFATSHKURTERA</t>
  </si>
  <si>
    <t>Aktive monetare</t>
  </si>
  <si>
    <t>Derivative dhe aktive te mbajtura per tregetim</t>
  </si>
  <si>
    <t>(i)</t>
  </si>
  <si>
    <t>Derivativet</t>
  </si>
  <si>
    <t>(ii)</t>
  </si>
  <si>
    <t>Aktivet e mbajtura per tregetim</t>
  </si>
  <si>
    <t>Totali 2</t>
  </si>
  <si>
    <t>Aktive te tjera financiare afatshkurtera</t>
  </si>
  <si>
    <t>Llogari / Kerkesa te arketueshme</t>
  </si>
  <si>
    <t>(iii)</t>
  </si>
  <si>
    <t>Instrumente te tjera borxhi</t>
  </si>
  <si>
    <t>(iv)</t>
  </si>
  <si>
    <t>Investime te tjera financiare</t>
  </si>
  <si>
    <t>Totali 3</t>
  </si>
  <si>
    <t>Inventari</t>
  </si>
  <si>
    <t>(v)</t>
  </si>
  <si>
    <t>Ledet e para</t>
  </si>
  <si>
    <t>Prodhimi ne proces</t>
  </si>
  <si>
    <t>Produkte te gateshme</t>
  </si>
  <si>
    <t>Mallra per rishitje</t>
  </si>
  <si>
    <t>Parapagesat per furnizime</t>
  </si>
  <si>
    <t>Totali 4</t>
  </si>
  <si>
    <t>Aktivet biologjike afatshkurtera</t>
  </si>
  <si>
    <t>Aktivet afatshkurtera te mbajtura per shitje</t>
  </si>
  <si>
    <t>Parapagimet dhe shpenzimet e shtyra</t>
  </si>
  <si>
    <t>AKTIVET AFATGJATA</t>
  </si>
  <si>
    <t>Investimet financiare afatgjata</t>
  </si>
  <si>
    <t>Pjesemarrje te tjera ne njesi te kontrolluara (vetem ne PF )</t>
  </si>
  <si>
    <t>Aksione dhe investime te tjera ne pjesemarrje</t>
  </si>
  <si>
    <t>Aksione dhe letra te tjera me vlere</t>
  </si>
  <si>
    <t>Llogari / Kerkesa te arketueshme afatgjata</t>
  </si>
  <si>
    <t>Totali 1</t>
  </si>
  <si>
    <t>Aktive afatgjata materiale</t>
  </si>
  <si>
    <t>Toka</t>
  </si>
  <si>
    <t>Makineri dhe pajisje</t>
  </si>
  <si>
    <t>Aktive te tjera afatgjata materiale ( me vl. kontabel )</t>
  </si>
  <si>
    <t>Aktivet biologjike afatgjata</t>
  </si>
  <si>
    <t>Aktive afatgjata jomateriale</t>
  </si>
  <si>
    <t>Emri I mire</t>
  </si>
  <si>
    <t>Shpenzimet e zhvillimit</t>
  </si>
  <si>
    <t>Aktive te tjera afatgjata jomateriale</t>
  </si>
  <si>
    <t>Kapital aksionar I pa paguar</t>
  </si>
  <si>
    <t xml:space="preserve">Aktive te tjera afatgjata </t>
  </si>
  <si>
    <t>TOTALI I AKTIVEVE AFATGJATA ( II )</t>
  </si>
  <si>
    <t>TOTALI I AKTIVEVE  ( I + II )</t>
  </si>
  <si>
    <t>DETYRIMET DHE KAPITALI</t>
  </si>
  <si>
    <t>DETYRIMET AFATSHKURTERA</t>
  </si>
  <si>
    <t>Huamarrjet</t>
  </si>
  <si>
    <t>Huat dhe obligacionet afatshkurtera</t>
  </si>
  <si>
    <t>Kthimet / ripagesat e huave afatgjata</t>
  </si>
  <si>
    <t>Bono te konvertueshme</t>
  </si>
  <si>
    <t>Huat dhe parapagimet</t>
  </si>
  <si>
    <t>Te pagueshme ndaj furnitoreve</t>
  </si>
  <si>
    <t>Te pagueshme ndaj punonjesve</t>
  </si>
  <si>
    <t>Detyrime tatimore</t>
  </si>
  <si>
    <t>Parapagimet e arketuara</t>
  </si>
  <si>
    <t>Grantet dhe te ardhurat e shtyra</t>
  </si>
  <si>
    <t>Provizionet afatshkurtera</t>
  </si>
  <si>
    <t>TOTALI I DETYRIMEVE AFATSHKURTERA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</si>
  <si>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</si>
  <si>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</si>
  <si>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</si>
  <si>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</si>
  <si>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</si>
  <si>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</si>
  <si>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 II )</t>
  </si>
  <si>
    <t>TOTALI I DETYRIMEVE</t>
  </si>
  <si>
    <t>KAPITALI</t>
  </si>
  <si>
    <t>Aksionet e pakices ( perdoret vetem ne pasqyrat financiare te konsoliduara )</t>
  </si>
  <si>
    <t>Kapitali qe I perket aksionareve te shoqerise meme ( perdoret vetem ne PF te konsoliduara )</t>
  </si>
  <si>
    <t>Kapitali aksionar</t>
  </si>
  <si>
    <t>Primi I aksionit</t>
  </si>
  <si>
    <t>Njesite dhe aksionet e thesarit ( negative )</t>
  </si>
  <si>
    <t>Rezerva statusore</t>
  </si>
  <si>
    <t>Rezerva ligjore</t>
  </si>
  <si>
    <t>Rezerva te tjera</t>
  </si>
  <si>
    <t>Fitimi ( humbja ) e vitit financiar</t>
  </si>
  <si>
    <t>TOTALI I KAPITALIT ( III )</t>
  </si>
  <si>
    <t>TOTALI I DETYRIMEVE KAPITALIT ( I,II,III )</t>
  </si>
  <si>
    <t>Pershkrimi I Elementeve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</si>
  <si>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</si>
  <si>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</si>
  <si>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</si>
  <si>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</si>
  <si>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Kosto e punes</t>
  </si>
  <si>
    <t>pagat e personelit</t>
  </si>
  <si>
    <t>shpenzimet per sigurimet shoqerore dhe shendetesore</t>
  </si>
  <si>
    <t>Amortizimet dhe zhvleresimet</t>
  </si>
  <si>
    <t>Totali I shpenzimeve  ( shuma 4 - 7 )</t>
  </si>
  <si>
    <t>Fitimi apo humbja nga veprimtaria kryesore ( 1+2+/-3-8 )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</si>
  <si>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</si>
  <si>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</si>
  <si>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</si>
  <si>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</si>
  <si>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 xml:space="preserve">Te ardhurat dhe shpenzimet nga interesat </t>
  </si>
  <si>
    <t>Fitimet ( humbjet ) nga kursi I kembimit</t>
  </si>
  <si>
    <t>Te ardhura dhe shpenzime te tjera financiare</t>
  </si>
  <si>
    <t>Totali I te ardhurave dhe shpenzimeve financiare ( 12.1+/-12.2+/-12.3+/-12.4 )</t>
  </si>
  <si>
    <t>Fitimi ( humbja ) para tatimit ( 9+/-13 )</t>
  </si>
  <si>
    <t>Shpenzimet e tatimit mbi fitimin</t>
  </si>
  <si>
    <t>Fitimi ( humbja ) neto e vitit financiar ( 14 - 15 )</t>
  </si>
  <si>
    <t>Elementet e pasqyrave te konsoliduara</t>
  </si>
  <si>
    <t xml:space="preserve">                     PASQYRA E TE ARDHURAVE DHE SHPENZIMEVE</t>
  </si>
  <si>
    <t>Fluksi monetar nga veprimtarite investuese</t>
  </si>
  <si>
    <t>Dividentet e arketuar</t>
  </si>
  <si>
    <t>Fluksi monetar nga aktivitetet financiare</t>
  </si>
  <si>
    <t>Te ardhura nga huamarrje afatgjata</t>
  </si>
  <si>
    <t>Dividente te paguar</t>
  </si>
  <si>
    <t>Mjetet monetare ne fillim te periudhes kontabel</t>
  </si>
  <si>
    <t>Mjetet monetare ne fund te periudhes kontabel</t>
  </si>
  <si>
    <t>Dividentet e paguar</t>
  </si>
  <si>
    <t>Fitimi neto per periudhen kontabel</t>
  </si>
  <si>
    <t>Totali I te Ardhurave  ( shuma 1+2+/-3 )</t>
  </si>
  <si>
    <t>( Bazuar ne klasifikimin e Shpenzimeve sipas Natyres  )</t>
  </si>
  <si>
    <t>Viti 2008</t>
  </si>
  <si>
    <t>PASIVET</t>
  </si>
  <si>
    <t>Te dhena identifikuese</t>
  </si>
  <si>
    <t>Emri</t>
  </si>
  <si>
    <t>Nipt</t>
  </si>
  <si>
    <t>Te dhena te tjera</t>
  </si>
  <si>
    <t xml:space="preserve">Pasqyra Finaciare </t>
  </si>
  <si>
    <t>Periudha Kontabel</t>
  </si>
  <si>
    <t>Aktive totale Afatshkurtra</t>
  </si>
  <si>
    <t>Nr</t>
  </si>
  <si>
    <t>Pasqyra e fluksit monetar - Metoda Indirekte</t>
  </si>
  <si>
    <t>Periudha</t>
  </si>
  <si>
    <t>Fluksi i parave nga veprimtaria e shfrytezimit</t>
  </si>
  <si>
    <t>Fitimi para tatimit</t>
  </si>
  <si>
    <t>Rregullime per :</t>
  </si>
  <si>
    <t>Amortizimin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</si>
  <si>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</si>
  <si>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</si>
  <si>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</si>
  <si>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</si>
  <si>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</si>
  <si>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</si>
  <si>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</si>
  <si>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</si>
  <si>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</si>
  <si>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</si>
  <si>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</si>
  <si>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</si>
  <si>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</si>
  <si>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</si>
  <si>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</si>
  <si>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Te ardhura nga emetimi i kapitalit aksioner</t>
  </si>
  <si>
    <t>Pagesat e detyrimive te qerase financiare</t>
  </si>
  <si>
    <t>MM neto e perdorur ne veprimtarite Financiare</t>
  </si>
  <si>
    <t>Rritja/Renia neto e mjeteve monetare</t>
  </si>
  <si>
    <t>Rritje/renie ne Tepricen/parapagime dhe shpenz te shtyra</t>
  </si>
  <si>
    <t>Kapitali Aksionar</t>
  </si>
  <si>
    <t>Shenime Shpjeguese</t>
  </si>
  <si>
    <t xml:space="preserve">Mjete monetare </t>
  </si>
  <si>
    <t>PASQYRAT FINANCIARE</t>
  </si>
  <si>
    <t>Mbeshtetur ne ligjin nr 9228 dt 29.04.2004 "Per Kontabilitetin dhe Pasqyrat Financiare",  te ndryshuar dhe ne Standartet Kombetare te Kontabilitetit - SKK-2</t>
  </si>
  <si>
    <t>Individuale</t>
  </si>
  <si>
    <t>Monedha</t>
  </si>
  <si>
    <t>Lek</t>
  </si>
  <si>
    <t>Data e krijimit</t>
  </si>
  <si>
    <t>Rrumbullakimi</t>
  </si>
  <si>
    <t>S'Ka</t>
  </si>
  <si>
    <t>Nr Regjistrit Tregetar</t>
  </si>
  <si>
    <t>Fusha e veprimtarise</t>
  </si>
  <si>
    <t xml:space="preserve">Data e plotesimit te PF </t>
  </si>
  <si>
    <t xml:space="preserve">Pasqyra   e   Fluksit   Monetar  -  Metoda  Indirekte   </t>
  </si>
  <si>
    <t xml:space="preserve">Pasqyra  e  Ndryshimeve  ne  Kapital </t>
  </si>
  <si>
    <t>Nje pasqyre e pa Konsoliduar</t>
  </si>
  <si>
    <t>Primi aksionit</t>
  </si>
  <si>
    <t>Aksione thesari</t>
  </si>
  <si>
    <t>Rezerva stat.ligjore</t>
  </si>
  <si>
    <t>Rezerva Te tjera</t>
  </si>
  <si>
    <t xml:space="preserve">Fitimi pashperndare </t>
  </si>
  <si>
    <t>TOTALI</t>
  </si>
  <si>
    <t>Transferimi ne rezerva</t>
  </si>
  <si>
    <t>Emetimi kapitali aksionar</t>
  </si>
  <si>
    <t>Aksione te thesari te riblera</t>
  </si>
  <si>
    <t>Adresa</t>
  </si>
  <si>
    <t>Politikat kontabël</t>
  </si>
  <si>
    <t xml:space="preserve">Kërkesa të tjera të arkëtueshme </t>
  </si>
  <si>
    <t>Parapagime</t>
  </si>
  <si>
    <t>5</t>
  </si>
  <si>
    <t>4</t>
  </si>
  <si>
    <t>Ave Consulting shpk</t>
  </si>
  <si>
    <t>Ne fushen e konsulences ne 
fushen e Arkitekture</t>
  </si>
  <si>
    <t>Llogari / Kerkesa te tjera  te arketueshme - parapagime furnitoresh</t>
  </si>
  <si>
    <t>Hua te tjera/debitore te tjere</t>
  </si>
  <si>
    <t>Exchange Gain/Loss</t>
  </si>
  <si>
    <t>Shpenzime te pazbritshme</t>
  </si>
  <si>
    <t>Antaresime</t>
  </si>
  <si>
    <t>Kancelari</t>
  </si>
  <si>
    <t>Sherbime Konsulence</t>
  </si>
  <si>
    <t>Sherbime ligjore</t>
  </si>
  <si>
    <t>Shpenzime projekti</t>
  </si>
  <si>
    <t>Te Tjera</t>
  </si>
  <si>
    <t>per gjeneratorin</t>
  </si>
  <si>
    <t>Energji elektrike</t>
  </si>
  <si>
    <t>Qera</t>
  </si>
  <si>
    <t>Mirembajtje dhe riparime</t>
  </si>
  <si>
    <t>Shpenzime kasko</t>
  </si>
  <si>
    <t>Shpenzime postare e telekomunik</t>
  </si>
  <si>
    <t>Sherbime bankare</t>
  </si>
  <si>
    <t>Te tjera tatime dhe taksa</t>
  </si>
  <si>
    <t>Shpenzime te tjera</t>
  </si>
  <si>
    <t>Shpenzime per pritje dhe dhurat</t>
  </si>
  <si>
    <t>Penalitete, gjoba e demshperbli</t>
  </si>
  <si>
    <t>Humbje nga shkembimet valutore</t>
  </si>
  <si>
    <t>Shpenzime perfaqesimi</t>
  </si>
  <si>
    <t>Shpenzime trainimi personeli</t>
  </si>
  <si>
    <t>Shp. te pazbritshme</t>
  </si>
  <si>
    <t>Shpenzime preventivi</t>
  </si>
  <si>
    <t>Studime dhe kerkime</t>
  </si>
  <si>
    <t>Prime te sigurimit</t>
  </si>
  <si>
    <t>Fitime nga shkembimet valutore</t>
  </si>
  <si>
    <t>Te Tjera/Sistemim veprimi</t>
  </si>
  <si>
    <t>Fitimi Taksave</t>
  </si>
  <si>
    <t>tatim fitimi</t>
  </si>
  <si>
    <t>Fitimi bilancit</t>
  </si>
  <si>
    <t>Tatim fitimi debitor</t>
  </si>
  <si>
    <t>Emri I Bankes</t>
  </si>
  <si>
    <t>Balanca ne ALL</t>
  </si>
  <si>
    <t>Balance ne euro</t>
  </si>
  <si>
    <t>Intesa San Paolo Lek</t>
  </si>
  <si>
    <t>Intesa San Paolo Euro</t>
  </si>
  <si>
    <t>Tirana Banke (ALL)</t>
  </si>
  <si>
    <t>Tirana Banke (EUR)</t>
  </si>
  <si>
    <t>BKT (ALL)</t>
  </si>
  <si>
    <t>RZB ALL</t>
  </si>
  <si>
    <t>RZB euro</t>
  </si>
  <si>
    <t>Arka-ALL</t>
  </si>
  <si>
    <t>Arka-EUR</t>
  </si>
  <si>
    <t>Totali</t>
  </si>
  <si>
    <t xml:space="preserve">Per percaktimin e kostos se inventareve eshte zgjedhur metoda " mesatare e ponderuar" </t>
  </si>
  <si>
    <t>Vleresimi fillestar i nje elementi te AAM qe ploteson kriteret per njohje si aktiv ne bilanc  eshte vlersuar me kosto</t>
  </si>
  <si>
    <t>Per vleresimin e metejshem te AAM eshte zgjedhur modeli i kostos duke i paraqitur ne bilanc me kosto minus amortizimin e akumuluar</t>
  </si>
  <si>
    <t>Per llogaritjen e amortizimit te AAM , jane perdorur te njejtat norma si ato fiskale ne fuqi:</t>
  </si>
  <si>
    <t>1-Kompjutera e paisje IT me 25 % te vleftes se mbetur</t>
  </si>
  <si>
    <t>2-Te gjitha AAM te tjera me 20 % te vleftes se mbetur</t>
  </si>
  <si>
    <t>3- Makinat e transportit jane amortizuar me 20% te vleres se mbetur</t>
  </si>
  <si>
    <t>Tatim I mbipaguar</t>
  </si>
  <si>
    <t>TVSH e rimbursueshme</t>
  </si>
  <si>
    <t>Parapagime Furnitoresh</t>
  </si>
  <si>
    <t>TVSH per tu rregulluar</t>
  </si>
  <si>
    <t>Pershkrimi</t>
  </si>
  <si>
    <t>Gjendje 2009</t>
  </si>
  <si>
    <t>Amortizimi I gjendjes</t>
  </si>
  <si>
    <t>Amortizimi I shtesave</t>
  </si>
  <si>
    <t>Gjendje 2010</t>
  </si>
  <si>
    <t>Mjete Transporti</t>
  </si>
  <si>
    <t>Paisje zyre</t>
  </si>
  <si>
    <t>Paisje elektronike</t>
  </si>
  <si>
    <t>Paisje Kompjuterike</t>
  </si>
  <si>
    <t>Data e blerjes</t>
  </si>
  <si>
    <t>Vlera e blerjes</t>
  </si>
  <si>
    <t>Klasifikimi</t>
  </si>
  <si>
    <t>Norma e Amortizimit</t>
  </si>
  <si>
    <t>periudha e perdorimit/muaj</t>
  </si>
  <si>
    <t>Mobilje/ orendi per zyren</t>
  </si>
  <si>
    <t>26/04/2010</t>
  </si>
  <si>
    <t>Dollap</t>
  </si>
  <si>
    <t>27/05/2010</t>
  </si>
  <si>
    <t>Biblioteke</t>
  </si>
  <si>
    <t>Tavoline 1</t>
  </si>
  <si>
    <t>Tavoline 2</t>
  </si>
  <si>
    <t>Totali I Paisjeve te zyres</t>
  </si>
  <si>
    <t>Totali I amortizimit te shtesave 2010</t>
  </si>
  <si>
    <t>Mac Book</t>
  </si>
  <si>
    <t>Paisje informatike</t>
  </si>
  <si>
    <t>Magic Mouse</t>
  </si>
  <si>
    <t>UPS Black</t>
  </si>
  <si>
    <t>22/09/2010</t>
  </si>
  <si>
    <t>Totali I Paisjeve te informatike</t>
  </si>
  <si>
    <t>Mjete transporti</t>
  </si>
  <si>
    <t>Mjet Transporti</t>
  </si>
  <si>
    <t>Totali I mjeteve te transportit</t>
  </si>
  <si>
    <t>Aktive Afatgjata Materiale</t>
  </si>
  <si>
    <t>Shtesat 2010</t>
  </si>
  <si>
    <t>Principali I Tirana Leasing 2011</t>
  </si>
  <si>
    <t>6</t>
  </si>
  <si>
    <t>Detyrimet Tatimore</t>
  </si>
  <si>
    <t>Debitore te tjere</t>
  </si>
  <si>
    <t>PDH Sigurime Shoq. &amp;Shend.</t>
  </si>
  <si>
    <t>PM Sigurime Shoq. &amp;Shend.</t>
  </si>
  <si>
    <t>Tatim mbi te ardhuara_Paga</t>
  </si>
  <si>
    <t>Tatim ne Burim</t>
  </si>
  <si>
    <t>Principali I Tirana Leasing Afatgjate</t>
  </si>
  <si>
    <t>ALL</t>
  </si>
  <si>
    <t>Euro</t>
  </si>
  <si>
    <t>Te ardhurat nga shitja</t>
  </si>
  <si>
    <t>Shitje sherbimi</t>
  </si>
  <si>
    <t>Hua ( Qira Financiare )</t>
  </si>
  <si>
    <t>Te Tjera/sistemim veprimi</t>
  </si>
  <si>
    <t>Emertimi</t>
  </si>
  <si>
    <t>Sasia</t>
  </si>
  <si>
    <t>Gjendje</t>
  </si>
  <si>
    <t>Shtesa</t>
  </si>
  <si>
    <t>Pakesime</t>
  </si>
  <si>
    <t>Ndertime</t>
  </si>
  <si>
    <t>Makineri,paisje</t>
  </si>
  <si>
    <t>Zyre</t>
  </si>
  <si>
    <t xml:space="preserve">             TOTALI</t>
  </si>
  <si>
    <t>Makineri,paisje,vegla</t>
  </si>
  <si>
    <t>Administratori</t>
  </si>
  <si>
    <t>Arben Dervishi</t>
  </si>
  <si>
    <t xml:space="preserve"> </t>
  </si>
  <si>
    <t>Shtesa 2010</t>
  </si>
  <si>
    <t>K81321002M</t>
  </si>
  <si>
    <t>Rruga e Kavajes</t>
  </si>
  <si>
    <t>Shpenzime sigurimi te mjetit</t>
  </si>
  <si>
    <t>Shpenzime kasko - Other</t>
  </si>
  <si>
    <t>Te Tjera - Other</t>
  </si>
  <si>
    <t xml:space="preserve">Intesa San Paolo </t>
  </si>
  <si>
    <t>Tirana Banke</t>
  </si>
  <si>
    <t xml:space="preserve">BKT </t>
  </si>
  <si>
    <t xml:space="preserve">RZB </t>
  </si>
  <si>
    <t>Arka</t>
  </si>
  <si>
    <t>Kursi kembimit</t>
  </si>
  <si>
    <t>Vlera</t>
  </si>
  <si>
    <t>Detyrim I Ortakeve</t>
  </si>
  <si>
    <t>Tatim fitimi per tu arketuar</t>
  </si>
  <si>
    <t>Gjendje 2011</t>
  </si>
  <si>
    <t>Totali I amortizimit te shtesave 2011</t>
  </si>
  <si>
    <t>Shtesat 2011</t>
  </si>
  <si>
    <t>HP-DV6 Notebook</t>
  </si>
  <si>
    <t>26/03/2011</t>
  </si>
  <si>
    <t>Kompjuter HP</t>
  </si>
  <si>
    <t>28/07/2011</t>
  </si>
  <si>
    <t>LG E510 opt HUB Black</t>
  </si>
  <si>
    <t>22/12/2011</t>
  </si>
  <si>
    <t>TVSH e dhjetorit</t>
  </si>
  <si>
    <t>3</t>
  </si>
  <si>
    <t>Detyrim ndaj kreditoreve te tjere</t>
  </si>
  <si>
    <t>Viti 2012</t>
  </si>
  <si>
    <t>2012</t>
  </si>
  <si>
    <t>Shpenzime te pazbritshme - pa fature</t>
  </si>
  <si>
    <t xml:space="preserve">Blerje materialeshe te tjera </t>
  </si>
  <si>
    <t>Prime te siguracionit</t>
  </si>
  <si>
    <t>Reklama, publicitet</t>
  </si>
  <si>
    <t>Diferenca nga rrumbullakimet</t>
  </si>
  <si>
    <t>Trainime personeli</t>
  </si>
  <si>
    <t>Tatim fitimi</t>
  </si>
  <si>
    <t>Parapagime te tatim fitimit</t>
  </si>
  <si>
    <t>TVSH e kreditueshme</t>
  </si>
  <si>
    <t>Aktivet Afatgjata Materiale  me vlere fillestare   2013</t>
  </si>
  <si>
    <t>2013</t>
  </si>
  <si>
    <t>Viti 2013</t>
  </si>
  <si>
    <t>14.03.2014</t>
  </si>
  <si>
    <t>1 Janar - 31 Dhjetor 2013</t>
  </si>
  <si>
    <t>Amortizimi A.A.Materiale   2013</t>
  </si>
  <si>
    <t>Arben Dervishaj</t>
  </si>
  <si>
    <t>Vlera Kontabel Neto e A.A.Materiale  2013</t>
  </si>
  <si>
    <t>Pozicioni me 31 dhjetor 2012</t>
  </si>
  <si>
    <t>Pozicioni me 31 dhjetor 2011</t>
  </si>
  <si>
    <t>Pozicioni me 31 dhjetor 2013</t>
  </si>
  <si>
    <t>Humbje e mbartur</t>
  </si>
  <si>
    <t>Shoqeria AVE Consulting shpk</t>
  </si>
  <si>
    <t>Llogari ne Lek</t>
  </si>
  <si>
    <t>Llogari ne EUR</t>
  </si>
  <si>
    <t>Kursi</t>
  </si>
  <si>
    <t>31 Dhjetor 2013</t>
  </si>
  <si>
    <t>Ortake</t>
  </si>
  <si>
    <t>Vlera neto 2012</t>
  </si>
  <si>
    <t>Shtesa 2013</t>
  </si>
  <si>
    <t>Amortizimi vjetor</t>
  </si>
  <si>
    <t>Gjendje 2013</t>
  </si>
  <si>
    <t>31 Dhjetor 2012</t>
  </si>
  <si>
    <t>Tirana Bank</t>
  </si>
  <si>
    <t>7</t>
  </si>
  <si>
    <t>Sigurime shoqerore &amp; Shendetsore</t>
  </si>
  <si>
    <t>TAP</t>
  </si>
  <si>
    <t xml:space="preserve">TVSH </t>
  </si>
  <si>
    <t>Tirana leasing ne leke</t>
  </si>
  <si>
    <t>Kundervlera ne EUR</t>
  </si>
  <si>
    <t>Kancelari &amp; printime</t>
  </si>
  <si>
    <t>Konsulence finaciare &amp; Ligjore</t>
  </si>
  <si>
    <t>Antarsime (perfaqesimi)</t>
  </si>
  <si>
    <t>Tatim fitimi i mbipaguar</t>
  </si>
  <si>
    <t>Fitim (humbja) Tatimore</t>
  </si>
  <si>
    <t xml:space="preserve">Pergatiti </t>
  </si>
  <si>
    <t>AAP shpk</t>
  </si>
  <si>
    <t>Dashnor Carcani</t>
  </si>
  <si>
    <t>Adiministrator</t>
  </si>
  <si>
    <t>Te tjera</t>
  </si>
  <si>
    <t>NIPTI K81321002M</t>
  </si>
  <si>
    <t>Kompjuterike</t>
  </si>
  <si>
    <t>Te ardhura nga interesa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</si>
</sst>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(* #,##0_);_(* \(#,##0\);_(* &quot;-&quot;??_);_(@_)"/>
    <numFmt numFmtId="168" formatCode="0.0000"/>
    <numFmt numFmtId="169" formatCode="mm/dd/yyyy"/>
    <numFmt numFmtId="170" formatCode="#,##0.00000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8.5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2"/>
      <name val="Tahoma"/>
      <family val="2"/>
    </font>
    <font>
      <sz val="10"/>
      <name val="Tahoma"/>
      <family val="2"/>
    </font>
    <font>
      <sz val="36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i/>
      <sz val="11"/>
      <name val="Tahoma"/>
      <family val="2"/>
    </font>
    <font>
      <u/>
      <sz val="10"/>
      <name val="Tahoma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Tahoma"/>
      <family val="2"/>
    </font>
    <font>
      <b/>
      <sz val="9.5"/>
      <color indexed="8"/>
      <name val="Tahoma"/>
      <family val="2"/>
    </font>
    <font>
      <b/>
      <sz val="9.5"/>
      <name val="Tahoma"/>
      <family val="2"/>
    </font>
    <font>
      <sz val="9.5"/>
      <color indexed="8"/>
      <name val="Tahoma"/>
      <family val="2"/>
    </font>
    <font>
      <sz val="9.5"/>
      <name val="Tahoma"/>
      <family val="2"/>
    </font>
    <font>
      <b/>
      <sz val="9.5"/>
      <color rgb="FF000000"/>
      <name val="Tahoma"/>
      <family val="2"/>
    </font>
    <font>
      <sz val="9.5"/>
      <color rgb="FF000000"/>
      <name val="Tahoma"/>
      <family val="2"/>
    </font>
    <font>
      <b/>
      <sz val="9.5"/>
      <color theme="1"/>
      <name val="Tahoma"/>
      <family val="2"/>
    </font>
    <font>
      <b/>
      <sz val="10"/>
      <color rgb="FFFF0000"/>
      <name val="Tahoma"/>
      <family val="2"/>
    </font>
    <font>
      <b/>
      <u/>
      <sz val="10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5" fillId="0" borderId="0"/>
    <xf numFmtId="0" fontId="11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58">
    <xf numFmtId="0" fontId="0" fillId="0" borderId="0" xfId="0"/>
    <xf numFmtId="0" fontId="4" fillId="0" borderId="0" xfId="0" applyFont="1"/>
    <xf numFmtId="0" fontId="4" fillId="0" borderId="0" xfId="0" applyFont="1" applyBorder="1"/>
    <xf numFmtId="166" fontId="7" fillId="0" borderId="0" xfId="1" applyNumberFormat="1" applyFont="1" applyFill="1" applyBorder="1"/>
    <xf numFmtId="0" fontId="7" fillId="0" borderId="0" xfId="0" applyFont="1" applyFill="1"/>
    <xf numFmtId="2" fontId="7" fillId="0" borderId="0" xfId="1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66" fontId="8" fillId="0" borderId="1" xfId="1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/>
    <xf numFmtId="166" fontId="7" fillId="0" borderId="0" xfId="0" applyNumberFormat="1" applyFont="1" applyFill="1"/>
    <xf numFmtId="166" fontId="7" fillId="0" borderId="0" xfId="1" applyNumberFormat="1" applyFont="1" applyFill="1"/>
    <xf numFmtId="2" fontId="7" fillId="0" borderId="0" xfId="0" applyNumberFormat="1" applyFont="1" applyFill="1"/>
    <xf numFmtId="2" fontId="7" fillId="0" borderId="0" xfId="0" applyNumberFormat="1" applyFont="1" applyFill="1" applyAlignment="1">
      <alignment horizontal="right"/>
    </xf>
    <xf numFmtId="0" fontId="7" fillId="0" borderId="0" xfId="0" applyNumberFormat="1" applyFont="1" applyFill="1"/>
    <xf numFmtId="166" fontId="8" fillId="0" borderId="0" xfId="1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66" fontId="7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66" fontId="7" fillId="0" borderId="1" xfId="1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/>
    <xf numFmtId="168" fontId="4" fillId="0" borderId="0" xfId="1" applyNumberFormat="1" applyFont="1" applyFill="1" applyBorder="1"/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0" xfId="0" applyFont="1"/>
    <xf numFmtId="166" fontId="8" fillId="0" borderId="1" xfId="1" applyNumberFormat="1" applyFont="1" applyFill="1" applyBorder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49" fontId="14" fillId="0" borderId="0" xfId="6" applyNumberFormat="1" applyFont="1" applyBorder="1" applyAlignment="1">
      <alignment horizontal="left" vertical="justify"/>
    </xf>
    <xf numFmtId="0" fontId="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7" fillId="0" borderId="0" xfId="0" applyFont="1"/>
    <xf numFmtId="0" fontId="18" fillId="0" borderId="0" xfId="0" applyFont="1" applyBorder="1" applyAlignment="1"/>
    <xf numFmtId="49" fontId="16" fillId="0" borderId="0" xfId="0" applyNumberFormat="1" applyFont="1" applyBorder="1" applyAlignment="1">
      <alignment wrapText="1"/>
    </xf>
    <xf numFmtId="0" fontId="16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2" fillId="0" borderId="0" xfId="0" applyFont="1" applyBorder="1"/>
    <xf numFmtId="0" fontId="23" fillId="0" borderId="0" xfId="0" applyFont="1"/>
    <xf numFmtId="0" fontId="24" fillId="0" borderId="0" xfId="0" applyFont="1" applyBorder="1" applyAlignment="1">
      <alignment horizontal="left"/>
    </xf>
    <xf numFmtId="0" fontId="21" fillId="0" borderId="0" xfId="0" applyFont="1" applyBorder="1" applyAlignment="1"/>
    <xf numFmtId="0" fontId="21" fillId="0" borderId="0" xfId="0" applyFont="1" applyBorder="1"/>
    <xf numFmtId="0" fontId="25" fillId="0" borderId="0" xfId="0" applyFont="1" applyBorder="1" applyAlignment="1">
      <alignment horizontal="center"/>
    </xf>
    <xf numFmtId="0" fontId="5" fillId="0" borderId="0" xfId="0" applyFont="1"/>
    <xf numFmtId="166" fontId="8" fillId="0" borderId="1" xfId="1" applyNumberFormat="1" applyFont="1" applyBorder="1" applyAlignment="1">
      <alignment vertical="center"/>
    </xf>
    <xf numFmtId="37" fontId="7" fillId="0" borderId="1" xfId="1" applyNumberFormat="1" applyFont="1" applyFill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30" fillId="0" borderId="0" xfId="0" applyFont="1"/>
    <xf numFmtId="0" fontId="3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6" fontId="13" fillId="0" borderId="1" xfId="3" applyNumberFormat="1" applyFont="1" applyBorder="1" applyAlignment="1">
      <alignment vertical="center"/>
    </xf>
    <xf numFmtId="37" fontId="13" fillId="0" borderId="1" xfId="3" applyNumberFormat="1" applyFont="1" applyBorder="1" applyAlignment="1">
      <alignment vertical="center"/>
    </xf>
    <xf numFmtId="166" fontId="13" fillId="0" borderId="1" xfId="1" applyNumberFormat="1" applyFont="1" applyBorder="1" applyAlignment="1">
      <alignment vertical="center"/>
    </xf>
    <xf numFmtId="166" fontId="26" fillId="0" borderId="1" xfId="1" applyNumberFormat="1" applyFont="1" applyBorder="1" applyAlignment="1">
      <alignment vertical="center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Border="1" applyAlignment="1">
      <alignment horizontal="left"/>
    </xf>
    <xf numFmtId="165" fontId="14" fillId="0" borderId="0" xfId="1" applyNumberFormat="1" applyFont="1" applyBorder="1" applyAlignment="1">
      <alignment horizontal="left" vertical="justify"/>
    </xf>
    <xf numFmtId="37" fontId="3" fillId="0" borderId="0" xfId="0" applyNumberFormat="1" applyFont="1" applyAlignment="1">
      <alignment vertical="center"/>
    </xf>
    <xf numFmtId="166" fontId="3" fillId="0" borderId="0" xfId="1" applyNumberFormat="1" applyFont="1"/>
    <xf numFmtId="164" fontId="4" fillId="0" borderId="0" xfId="1" applyFont="1"/>
    <xf numFmtId="164" fontId="5" fillId="0" borderId="0" xfId="1" applyFont="1"/>
    <xf numFmtId="43" fontId="5" fillId="0" borderId="0" xfId="0" applyNumberFormat="1" applyFont="1"/>
    <xf numFmtId="164" fontId="5" fillId="0" borderId="0" xfId="0" applyNumberFormat="1" applyFont="1"/>
    <xf numFmtId="49" fontId="12" fillId="0" borderId="0" xfId="7" applyNumberFormat="1" applyFont="1" applyBorder="1" applyAlignment="1">
      <alignment horizontal="left" wrapText="1" readingOrder="1"/>
    </xf>
    <xf numFmtId="167" fontId="32" fillId="0" borderId="0" xfId="2" applyNumberFormat="1" applyFont="1"/>
    <xf numFmtId="0" fontId="11" fillId="0" borderId="0" xfId="7"/>
    <xf numFmtId="49" fontId="14" fillId="0" borderId="0" xfId="7" applyNumberFormat="1" applyFont="1" applyBorder="1" applyAlignment="1">
      <alignment horizontal="left" wrapText="1" readingOrder="1"/>
    </xf>
    <xf numFmtId="0" fontId="33" fillId="0" borderId="0" xfId="7" applyFont="1" applyAlignment="1">
      <alignment horizontal="center"/>
    </xf>
    <xf numFmtId="49" fontId="26" fillId="0" borderId="0" xfId="7" applyNumberFormat="1" applyFont="1" applyBorder="1" applyAlignment="1">
      <alignment horizontal="center" wrapText="1" readingOrder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4" fontId="23" fillId="0" borderId="0" xfId="0" applyNumberFormat="1" applyFont="1"/>
    <xf numFmtId="0" fontId="23" fillId="0" borderId="0" xfId="0" applyFont="1" applyAlignment="1">
      <alignment wrapText="1"/>
    </xf>
    <xf numFmtId="49" fontId="37" fillId="0" borderId="0" xfId="0" applyNumberFormat="1" applyFont="1"/>
    <xf numFmtId="39" fontId="38" fillId="0" borderId="0" xfId="0" applyNumberFormat="1" applyFont="1"/>
    <xf numFmtId="39" fontId="38" fillId="0" borderId="0" xfId="0" applyNumberFormat="1" applyFont="1" applyBorder="1"/>
    <xf numFmtId="0" fontId="0" fillId="0" borderId="0" xfId="0" applyBorder="1"/>
    <xf numFmtId="39" fontId="0" fillId="0" borderId="0" xfId="0" applyNumberFormat="1" applyBorder="1"/>
    <xf numFmtId="4" fontId="0" fillId="0" borderId="0" xfId="0" applyNumberFormat="1"/>
    <xf numFmtId="164" fontId="0" fillId="0" borderId="0" xfId="1" applyFont="1" applyBorder="1"/>
    <xf numFmtId="164" fontId="0" fillId="0" borderId="0" xfId="1" applyFont="1"/>
    <xf numFmtId="164" fontId="0" fillId="0" borderId="0" xfId="0" applyNumberFormat="1" applyBorder="1"/>
    <xf numFmtId="43" fontId="0" fillId="0" borderId="0" xfId="0" applyNumberFormat="1" applyBorder="1"/>
    <xf numFmtId="166" fontId="26" fillId="0" borderId="1" xfId="1" applyNumberFormat="1" applyFont="1" applyBorder="1" applyAlignment="1">
      <alignment horizontal="right" vertical="center"/>
    </xf>
    <xf numFmtId="166" fontId="13" fillId="0" borderId="1" xfId="1" applyNumberFormat="1" applyFont="1" applyBorder="1" applyAlignment="1">
      <alignment horizontal="right" vertical="center"/>
    </xf>
    <xf numFmtId="166" fontId="8" fillId="0" borderId="0" xfId="0" applyNumberFormat="1" applyFont="1" applyFill="1"/>
    <xf numFmtId="49" fontId="37" fillId="0" borderId="0" xfId="0" applyNumberFormat="1" applyFont="1" applyFill="1"/>
    <xf numFmtId="49" fontId="37" fillId="0" borderId="8" xfId="0" applyNumberFormat="1" applyFont="1" applyBorder="1" applyAlignment="1">
      <alignment horizontal="center"/>
    </xf>
    <xf numFmtId="49" fontId="38" fillId="0" borderId="9" xfId="0" applyNumberFormat="1" applyFont="1" applyBorder="1"/>
    <xf numFmtId="39" fontId="38" fillId="0" borderId="9" xfId="0" applyNumberFormat="1" applyFont="1" applyBorder="1"/>
    <xf numFmtId="49" fontId="38" fillId="0" borderId="10" xfId="0" applyNumberFormat="1" applyFont="1" applyBorder="1"/>
    <xf numFmtId="39" fontId="36" fillId="0" borderId="10" xfId="0" applyNumberFormat="1" applyFont="1" applyBorder="1"/>
    <xf numFmtId="0" fontId="0" fillId="0" borderId="10" xfId="0" applyNumberFormat="1" applyBorder="1"/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Border="1" applyAlignment="1"/>
    <xf numFmtId="0" fontId="6" fillId="0" borderId="0" xfId="0" applyFont="1" applyBorder="1"/>
    <xf numFmtId="0" fontId="11" fillId="0" borderId="0" xfId="7" applyBorder="1"/>
    <xf numFmtId="43" fontId="11" fillId="0" borderId="0" xfId="7" applyNumberFormat="1" applyBorder="1"/>
    <xf numFmtId="0" fontId="0" fillId="0" borderId="0" xfId="0" applyAlignment="1">
      <alignment wrapText="1"/>
    </xf>
    <xf numFmtId="0" fontId="0" fillId="0" borderId="11" xfId="0" applyBorder="1"/>
    <xf numFmtId="169" fontId="38" fillId="0" borderId="9" xfId="0" applyNumberFormat="1" applyFont="1" applyBorder="1"/>
    <xf numFmtId="9" fontId="0" fillId="0" borderId="9" xfId="0" applyNumberFormat="1" applyBorder="1"/>
    <xf numFmtId="37" fontId="38" fillId="0" borderId="9" xfId="0" applyNumberFormat="1" applyFont="1" applyBorder="1"/>
    <xf numFmtId="37" fontId="38" fillId="0" borderId="12" xfId="0" applyNumberFormat="1" applyFont="1" applyBorder="1"/>
    <xf numFmtId="167" fontId="38" fillId="0" borderId="0" xfId="1" applyNumberFormat="1" applyFont="1"/>
    <xf numFmtId="0" fontId="0" fillId="0" borderId="13" xfId="0" applyBorder="1"/>
    <xf numFmtId="49" fontId="38" fillId="0" borderId="14" xfId="0" applyNumberFormat="1" applyFont="1" applyBorder="1"/>
    <xf numFmtId="169" fontId="38" fillId="0" borderId="14" xfId="0" applyNumberFormat="1" applyFont="1" applyBorder="1"/>
    <xf numFmtId="39" fontId="38" fillId="0" borderId="14" xfId="0" applyNumberFormat="1" applyFont="1" applyBorder="1"/>
    <xf numFmtId="9" fontId="0" fillId="0" borderId="14" xfId="0" applyNumberFormat="1" applyBorder="1"/>
    <xf numFmtId="37" fontId="38" fillId="0" borderId="14" xfId="0" applyNumberFormat="1" applyFont="1" applyBorder="1"/>
    <xf numFmtId="37" fontId="38" fillId="0" borderId="15" xfId="0" applyNumberFormat="1" applyFont="1" applyBorder="1"/>
    <xf numFmtId="0" fontId="10" fillId="0" borderId="16" xfId="0" applyFont="1" applyBorder="1"/>
    <xf numFmtId="49" fontId="37" fillId="0" borderId="17" xfId="0" applyNumberFormat="1" applyFont="1" applyBorder="1"/>
    <xf numFmtId="169" fontId="37" fillId="0" borderId="17" xfId="0" applyNumberFormat="1" applyFont="1" applyBorder="1"/>
    <xf numFmtId="39" fontId="37" fillId="0" borderId="17" xfId="0" applyNumberFormat="1" applyFont="1" applyBorder="1"/>
    <xf numFmtId="37" fontId="37" fillId="0" borderId="18" xfId="0" applyNumberFormat="1" applyFont="1" applyBorder="1"/>
    <xf numFmtId="167" fontId="10" fillId="0" borderId="0" xfId="1" applyNumberFormat="1" applyFont="1"/>
    <xf numFmtId="0" fontId="0" fillId="0" borderId="19" xfId="0" applyBorder="1"/>
    <xf numFmtId="49" fontId="38" fillId="0" borderId="20" xfId="0" applyNumberFormat="1" applyFont="1" applyBorder="1"/>
    <xf numFmtId="169" fontId="38" fillId="0" borderId="20" xfId="0" applyNumberFormat="1" applyFont="1" applyBorder="1"/>
    <xf numFmtId="39" fontId="38" fillId="0" borderId="20" xfId="0" applyNumberFormat="1" applyFont="1" applyBorder="1"/>
    <xf numFmtId="9" fontId="0" fillId="0" borderId="20" xfId="0" applyNumberFormat="1" applyBorder="1"/>
    <xf numFmtId="37" fontId="38" fillId="0" borderId="20" xfId="0" applyNumberFormat="1" applyFont="1" applyBorder="1"/>
    <xf numFmtId="37" fontId="38" fillId="0" borderId="21" xfId="0" applyNumberFormat="1" applyFont="1" applyBorder="1"/>
    <xf numFmtId="167" fontId="10" fillId="0" borderId="17" xfId="1" applyNumberFormat="1" applyFont="1" applyBorder="1"/>
    <xf numFmtId="39" fontId="10" fillId="0" borderId="17" xfId="0" applyNumberFormat="1" applyFont="1" applyBorder="1"/>
    <xf numFmtId="0" fontId="10" fillId="0" borderId="22" xfId="0" applyFont="1" applyBorder="1"/>
    <xf numFmtId="49" fontId="37" fillId="0" borderId="23" xfId="0" applyNumberFormat="1" applyFont="1" applyBorder="1"/>
    <xf numFmtId="169" fontId="38" fillId="0" borderId="23" xfId="0" applyNumberFormat="1" applyFont="1" applyBorder="1"/>
    <xf numFmtId="39" fontId="38" fillId="0" borderId="23" xfId="0" applyNumberFormat="1" applyFont="1" applyBorder="1"/>
    <xf numFmtId="9" fontId="0" fillId="0" borderId="23" xfId="0" applyNumberFormat="1" applyBorder="1"/>
    <xf numFmtId="37" fontId="38" fillId="0" borderId="23" xfId="0" applyNumberFormat="1" applyFont="1" applyBorder="1"/>
    <xf numFmtId="37" fontId="38" fillId="0" borderId="24" xfId="0" applyNumberFormat="1" applyFont="1" applyBorder="1"/>
    <xf numFmtId="49" fontId="38" fillId="0" borderId="23" xfId="0" applyNumberFormat="1" applyFont="1" applyBorder="1"/>
    <xf numFmtId="0" fontId="0" fillId="0" borderId="22" xfId="0" applyBorder="1"/>
    <xf numFmtId="0" fontId="10" fillId="0" borderId="25" xfId="0" applyFont="1" applyFill="1" applyBorder="1" applyAlignment="1">
      <alignment wrapText="1"/>
    </xf>
    <xf numFmtId="0" fontId="10" fillId="0" borderId="26" xfId="0" applyFont="1" applyFill="1" applyBorder="1" applyAlignment="1">
      <alignment wrapText="1"/>
    </xf>
    <xf numFmtId="43" fontId="10" fillId="0" borderId="26" xfId="1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1" xfId="0" applyFill="1" applyBorder="1"/>
    <xf numFmtId="0" fontId="0" fillId="0" borderId="9" xfId="0" applyFill="1" applyBorder="1"/>
    <xf numFmtId="43" fontId="0" fillId="0" borderId="9" xfId="1" applyNumberFormat="1" applyFont="1" applyFill="1" applyBorder="1"/>
    <xf numFmtId="167" fontId="0" fillId="0" borderId="9" xfId="1" applyNumberFormat="1" applyFont="1" applyFill="1" applyBorder="1"/>
    <xf numFmtId="167" fontId="0" fillId="0" borderId="9" xfId="0" applyNumberFormat="1" applyFill="1" applyBorder="1"/>
    <xf numFmtId="0" fontId="0" fillId="0" borderId="0" xfId="0" applyFill="1"/>
    <xf numFmtId="0" fontId="0" fillId="0" borderId="27" xfId="0" applyFill="1" applyBorder="1"/>
    <xf numFmtId="0" fontId="6" fillId="0" borderId="28" xfId="0" applyFont="1" applyFill="1" applyBorder="1" applyAlignment="1">
      <alignment horizontal="center"/>
    </xf>
    <xf numFmtId="167" fontId="0" fillId="0" borderId="28" xfId="1" applyNumberFormat="1" applyFont="1" applyFill="1" applyBorder="1"/>
    <xf numFmtId="167" fontId="0" fillId="0" borderId="0" xfId="1" applyNumberFormat="1" applyFont="1" applyFill="1"/>
    <xf numFmtId="0" fontId="0" fillId="0" borderId="25" xfId="0" applyFill="1" applyBorder="1" applyAlignment="1">
      <alignment wrapText="1"/>
    </xf>
    <xf numFmtId="0" fontId="0" fillId="0" borderId="26" xfId="0" applyFill="1" applyBorder="1" applyAlignment="1">
      <alignment wrapText="1"/>
    </xf>
    <xf numFmtId="167" fontId="0" fillId="0" borderId="26" xfId="1" applyNumberFormat="1" applyFont="1" applyFill="1" applyBorder="1" applyAlignment="1">
      <alignment wrapText="1"/>
    </xf>
    <xf numFmtId="0" fontId="0" fillId="0" borderId="29" xfId="0" applyFill="1" applyBorder="1" applyAlignment="1">
      <alignment wrapText="1"/>
    </xf>
    <xf numFmtId="167" fontId="0" fillId="0" borderId="0" xfId="1" applyNumberFormat="1" applyFont="1" applyFill="1" applyAlignment="1">
      <alignment wrapText="1"/>
    </xf>
    <xf numFmtId="49" fontId="38" fillId="0" borderId="9" xfId="0" applyNumberFormat="1" applyFont="1" applyFill="1" applyBorder="1"/>
    <xf numFmtId="169" fontId="38" fillId="0" borderId="9" xfId="0" applyNumberFormat="1" applyFont="1" applyFill="1" applyBorder="1"/>
    <xf numFmtId="39" fontId="38" fillId="0" borderId="9" xfId="0" applyNumberFormat="1" applyFont="1" applyFill="1" applyBorder="1"/>
    <xf numFmtId="9" fontId="0" fillId="0" borderId="9" xfId="0" applyNumberFormat="1" applyFill="1" applyBorder="1"/>
    <xf numFmtId="37" fontId="38" fillId="0" borderId="9" xfId="0" applyNumberFormat="1" applyFont="1" applyFill="1" applyBorder="1"/>
    <xf numFmtId="37" fontId="38" fillId="0" borderId="12" xfId="0" applyNumberFormat="1" applyFont="1" applyFill="1" applyBorder="1"/>
    <xf numFmtId="167" fontId="38" fillId="0" borderId="0" xfId="1" applyNumberFormat="1" applyFont="1" applyFill="1"/>
    <xf numFmtId="39" fontId="38" fillId="0" borderId="0" xfId="0" applyNumberFormat="1" applyFont="1" applyFill="1"/>
    <xf numFmtId="0" fontId="6" fillId="0" borderId="0" xfId="0" applyFont="1" applyFill="1" applyBorder="1"/>
    <xf numFmtId="43" fontId="6" fillId="0" borderId="0" xfId="0" applyNumberFormat="1" applyFont="1" applyBorder="1"/>
    <xf numFmtId="49" fontId="38" fillId="0" borderId="0" xfId="0" applyNumberFormat="1" applyFont="1" applyFill="1"/>
    <xf numFmtId="49" fontId="38" fillId="0" borderId="0" xfId="0" applyNumberFormat="1" applyFont="1"/>
    <xf numFmtId="164" fontId="38" fillId="0" borderId="0" xfId="1" applyFont="1" applyAlignment="1">
      <alignment horizontal="right"/>
    </xf>
    <xf numFmtId="164" fontId="11" fillId="0" borderId="0" xfId="1" applyFont="1"/>
    <xf numFmtId="164" fontId="11" fillId="0" borderId="0" xfId="7" applyNumberFormat="1"/>
    <xf numFmtId="0" fontId="10" fillId="0" borderId="0" xfId="0" applyFont="1" applyFill="1" applyBorder="1" applyAlignment="1">
      <alignment wrapText="1"/>
    </xf>
    <xf numFmtId="167" fontId="10" fillId="0" borderId="0" xfId="1" applyNumberFormat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167" fontId="0" fillId="0" borderId="0" xfId="1" applyNumberFormat="1" applyFont="1" applyFill="1" applyBorder="1"/>
    <xf numFmtId="167" fontId="0" fillId="0" borderId="0" xfId="0" applyNumberFormat="1" applyFill="1" applyBorder="1"/>
    <xf numFmtId="0" fontId="0" fillId="0" borderId="0" xfId="0" applyFill="1" applyBorder="1"/>
    <xf numFmtId="39" fontId="38" fillId="0" borderId="0" xfId="0" applyNumberFormat="1" applyFont="1" applyFill="1" applyBorder="1"/>
    <xf numFmtId="167" fontId="33" fillId="0" borderId="0" xfId="2" applyNumberFormat="1" applyFont="1"/>
    <xf numFmtId="166" fontId="26" fillId="0" borderId="0" xfId="0" applyNumberFormat="1" applyFont="1" applyAlignment="1">
      <alignment vertical="center"/>
    </xf>
    <xf numFmtId="164" fontId="11" fillId="0" borderId="0" xfId="1" applyFont="1" applyBorder="1"/>
    <xf numFmtId="164" fontId="0" fillId="0" borderId="0" xfId="1" applyFont="1" applyFill="1" applyBorder="1"/>
    <xf numFmtId="164" fontId="0" fillId="0" borderId="0" xfId="1" applyFont="1" applyFill="1"/>
    <xf numFmtId="43" fontId="11" fillId="0" borderId="0" xfId="7" applyNumberFormat="1"/>
    <xf numFmtId="43" fontId="10" fillId="0" borderId="0" xfId="0" applyNumberFormat="1" applyFont="1" applyBorder="1"/>
    <xf numFmtId="0" fontId="0" fillId="0" borderId="28" xfId="0" applyFill="1" applyBorder="1"/>
    <xf numFmtId="167" fontId="0" fillId="0" borderId="28" xfId="0" applyNumberFormat="1" applyFill="1" applyBorder="1"/>
    <xf numFmtId="166" fontId="7" fillId="0" borderId="0" xfId="0" applyNumberFormat="1" applyFont="1" applyFill="1" applyBorder="1"/>
    <xf numFmtId="0" fontId="6" fillId="0" borderId="0" xfId="8" applyAlignment="1">
      <alignment horizontal="center"/>
    </xf>
    <xf numFmtId="0" fontId="29" fillId="0" borderId="0" xfId="8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 wrapText="1"/>
    </xf>
    <xf numFmtId="164" fontId="7" fillId="0" borderId="0" xfId="1" applyFont="1" applyFill="1"/>
    <xf numFmtId="166" fontId="3" fillId="0" borderId="0" xfId="0" applyNumberFormat="1" applyFont="1"/>
    <xf numFmtId="0" fontId="40" fillId="0" borderId="0" xfId="7" applyFont="1" applyAlignment="1">
      <alignment horizontal="center"/>
    </xf>
    <xf numFmtId="49" fontId="41" fillId="0" borderId="0" xfId="7" applyNumberFormat="1" applyFont="1" applyBorder="1" applyAlignment="1">
      <alignment horizontal="left" wrapText="1" readingOrder="1"/>
    </xf>
    <xf numFmtId="167" fontId="42" fillId="0" borderId="0" xfId="2" applyNumberFormat="1" applyFont="1"/>
    <xf numFmtId="0" fontId="42" fillId="0" borderId="0" xfId="7" applyFont="1"/>
    <xf numFmtId="164" fontId="42" fillId="0" borderId="0" xfId="1" applyFont="1"/>
    <xf numFmtId="49" fontId="43" fillId="0" borderId="0" xfId="0" applyNumberFormat="1" applyFont="1" applyBorder="1" applyAlignment="1"/>
    <xf numFmtId="0" fontId="43" fillId="0" borderId="0" xfId="0" applyFont="1" applyBorder="1"/>
    <xf numFmtId="49" fontId="41" fillId="0" borderId="0" xfId="7" applyNumberFormat="1" applyFont="1" applyBorder="1" applyAlignment="1">
      <alignment horizontal="center" wrapText="1" readingOrder="1"/>
    </xf>
    <xf numFmtId="49" fontId="44" fillId="0" borderId="8" xfId="0" applyNumberFormat="1" applyFont="1" applyBorder="1" applyAlignment="1">
      <alignment horizontal="center"/>
    </xf>
    <xf numFmtId="49" fontId="45" fillId="0" borderId="9" xfId="0" applyNumberFormat="1" applyFont="1" applyBorder="1"/>
    <xf numFmtId="39" fontId="45" fillId="0" borderId="9" xfId="0" applyNumberFormat="1" applyFont="1" applyBorder="1"/>
    <xf numFmtId="43" fontId="42" fillId="0" borderId="0" xfId="7" applyNumberFormat="1" applyFont="1"/>
    <xf numFmtId="39" fontId="46" fillId="0" borderId="10" xfId="0" applyNumberFormat="1" applyFont="1" applyBorder="1"/>
    <xf numFmtId="49" fontId="43" fillId="0" borderId="0" xfId="7" applyNumberFormat="1" applyFont="1" applyBorder="1" applyAlignment="1">
      <alignment horizontal="left" wrapText="1" readingOrder="1"/>
    </xf>
    <xf numFmtId="43" fontId="43" fillId="0" borderId="0" xfId="0" applyNumberFormat="1" applyFont="1" applyBorder="1"/>
    <xf numFmtId="0" fontId="42" fillId="0" borderId="0" xfId="7" applyFont="1" applyBorder="1"/>
    <xf numFmtId="43" fontId="42" fillId="0" borderId="0" xfId="7" applyNumberFormat="1" applyFont="1" applyBorder="1"/>
    <xf numFmtId="166" fontId="43" fillId="0" borderId="0" xfId="1" applyNumberFormat="1" applyFont="1" applyFill="1" applyBorder="1"/>
    <xf numFmtId="164" fontId="42" fillId="0" borderId="0" xfId="1" applyFont="1" applyBorder="1"/>
    <xf numFmtId="49" fontId="41" fillId="0" borderId="1" xfId="7" applyNumberFormat="1" applyFont="1" applyBorder="1" applyAlignment="1">
      <alignment horizontal="center" wrapText="1" readingOrder="1"/>
    </xf>
    <xf numFmtId="49" fontId="43" fillId="0" borderId="1" xfId="7" applyNumberFormat="1" applyFont="1" applyBorder="1" applyAlignment="1">
      <alignment horizontal="left" wrapText="1" readingOrder="1"/>
    </xf>
    <xf numFmtId="49" fontId="43" fillId="0" borderId="1" xfId="7" applyNumberFormat="1" applyFont="1" applyBorder="1" applyAlignment="1">
      <alignment horizontal="center" wrapText="1" readingOrder="1"/>
    </xf>
    <xf numFmtId="166" fontId="43" fillId="0" borderId="1" xfId="1" applyNumberFormat="1" applyFont="1" applyBorder="1" applyAlignment="1">
      <alignment horizontal="left" wrapText="1" readingOrder="1"/>
    </xf>
    <xf numFmtId="166" fontId="42" fillId="0" borderId="0" xfId="7" applyNumberFormat="1" applyFont="1"/>
    <xf numFmtId="49" fontId="45" fillId="0" borderId="0" xfId="0" applyNumberFormat="1" applyFont="1" applyBorder="1"/>
    <xf numFmtId="170" fontId="42" fillId="0" borderId="0" xfId="7" applyNumberFormat="1" applyFont="1"/>
    <xf numFmtId="4" fontId="42" fillId="0" borderId="0" xfId="7" applyNumberFormat="1" applyFont="1"/>
    <xf numFmtId="49" fontId="44" fillId="0" borderId="0" xfId="0" applyNumberFormat="1" applyFont="1"/>
    <xf numFmtId="167" fontId="40" fillId="0" borderId="0" xfId="2" applyNumberFormat="1" applyFont="1"/>
    <xf numFmtId="49" fontId="45" fillId="0" borderId="0" xfId="0" applyNumberFormat="1" applyFont="1" applyFill="1"/>
    <xf numFmtId="49" fontId="45" fillId="0" borderId="0" xfId="0" applyNumberFormat="1" applyFont="1"/>
    <xf numFmtId="39" fontId="42" fillId="0" borderId="0" xfId="7" applyNumberFormat="1" applyFont="1"/>
    <xf numFmtId="166" fontId="42" fillId="0" borderId="0" xfId="1" applyNumberFormat="1" applyFont="1"/>
    <xf numFmtId="166" fontId="43" fillId="0" borderId="0" xfId="1" applyNumberFormat="1" applyFont="1" applyBorder="1"/>
    <xf numFmtId="49" fontId="44" fillId="0" borderId="10" xfId="0" applyNumberFormat="1" applyFont="1" applyBorder="1"/>
    <xf numFmtId="49" fontId="44" fillId="0" borderId="0" xfId="0" applyNumberFormat="1" applyFont="1" applyBorder="1"/>
    <xf numFmtId="166" fontId="45" fillId="0" borderId="0" xfId="1" applyNumberFormat="1" applyFont="1" applyBorder="1"/>
    <xf numFmtId="166" fontId="40" fillId="0" borderId="0" xfId="1" applyNumberFormat="1" applyFont="1"/>
    <xf numFmtId="166" fontId="45" fillId="0" borderId="0" xfId="1" applyNumberFormat="1" applyFont="1" applyFill="1" applyBorder="1"/>
    <xf numFmtId="166" fontId="43" fillId="0" borderId="1" xfId="1" applyNumberFormat="1" applyFont="1" applyBorder="1" applyAlignment="1">
      <alignment horizontal="left" readingOrder="1"/>
    </xf>
    <xf numFmtId="0" fontId="17" fillId="0" borderId="0" xfId="8" applyFont="1"/>
    <xf numFmtId="164" fontId="17" fillId="0" borderId="0" xfId="1" applyFont="1"/>
    <xf numFmtId="0" fontId="17" fillId="0" borderId="3" xfId="8" applyFont="1" applyBorder="1" applyAlignment="1">
      <alignment horizontal="center"/>
    </xf>
    <xf numFmtId="14" fontId="17" fillId="0" borderId="4" xfId="8" applyNumberFormat="1" applyFont="1" applyBorder="1" applyAlignment="1">
      <alignment horizontal="center"/>
    </xf>
    <xf numFmtId="0" fontId="17" fillId="0" borderId="0" xfId="8" applyFont="1" applyBorder="1"/>
    <xf numFmtId="164" fontId="17" fillId="0" borderId="0" xfId="1" applyFont="1" applyBorder="1"/>
    <xf numFmtId="0" fontId="17" fillId="0" borderId="1" xfId="8" applyFont="1" applyBorder="1" applyAlignment="1">
      <alignment horizontal="center"/>
    </xf>
    <xf numFmtId="3" fontId="17" fillId="0" borderId="1" xfId="5" applyNumberFormat="1" applyFont="1" applyBorder="1"/>
    <xf numFmtId="0" fontId="17" fillId="0" borderId="1" xfId="8" applyFont="1" applyBorder="1"/>
    <xf numFmtId="0" fontId="17" fillId="0" borderId="1" xfId="8" applyFont="1" applyBorder="1" applyAlignment="1">
      <alignment vertical="center"/>
    </xf>
    <xf numFmtId="0" fontId="17" fillId="0" borderId="3" xfId="8" applyFont="1" applyBorder="1"/>
    <xf numFmtId="0" fontId="17" fillId="0" borderId="16" xfId="8" applyFont="1" applyBorder="1" applyAlignment="1">
      <alignment vertical="center"/>
    </xf>
    <xf numFmtId="1" fontId="17" fillId="0" borderId="0" xfId="8" applyNumberFormat="1" applyFont="1"/>
    <xf numFmtId="3" fontId="17" fillId="0" borderId="0" xfId="8" applyNumberFormat="1" applyFont="1"/>
    <xf numFmtId="164" fontId="17" fillId="0" borderId="0" xfId="8" applyNumberFormat="1" applyFont="1"/>
    <xf numFmtId="43" fontId="17" fillId="0" borderId="0" xfId="8" applyNumberFormat="1" applyFont="1"/>
    <xf numFmtId="164" fontId="39" fillId="0" borderId="0" xfId="1" applyFont="1"/>
    <xf numFmtId="0" fontId="39" fillId="0" borderId="0" xfId="8" applyFont="1" applyBorder="1"/>
    <xf numFmtId="3" fontId="17" fillId="0" borderId="0" xfId="8" applyNumberFormat="1" applyFont="1" applyBorder="1"/>
    <xf numFmtId="3" fontId="17" fillId="0" borderId="0" xfId="5" applyNumberFormat="1" applyFont="1" applyFill="1" applyBorder="1"/>
    <xf numFmtId="166" fontId="47" fillId="0" borderId="0" xfId="1" applyNumberFormat="1" applyFont="1"/>
    <xf numFmtId="0" fontId="39" fillId="0" borderId="0" xfId="8" applyFont="1" applyAlignment="1">
      <alignment horizontal="left" vertical="center"/>
    </xf>
    <xf numFmtId="0" fontId="39" fillId="0" borderId="0" xfId="8" applyFont="1"/>
    <xf numFmtId="0" fontId="17" fillId="0" borderId="1" xfId="8" applyFont="1" applyBorder="1" applyAlignment="1">
      <alignment horizontal="center" vertical="center"/>
    </xf>
    <xf numFmtId="3" fontId="17" fillId="0" borderId="1" xfId="5" applyNumberFormat="1" applyFont="1" applyBorder="1" applyAlignment="1">
      <alignment vertical="center"/>
    </xf>
    <xf numFmtId="0" fontId="17" fillId="0" borderId="17" xfId="8" applyFont="1" applyBorder="1" applyAlignment="1">
      <alignment vertical="center"/>
    </xf>
    <xf numFmtId="0" fontId="17" fillId="0" borderId="17" xfId="8" applyFont="1" applyBorder="1" applyAlignment="1">
      <alignment horizontal="center" vertical="center"/>
    </xf>
    <xf numFmtId="3" fontId="17" fillId="0" borderId="17" xfId="5" applyNumberFormat="1" applyFont="1" applyBorder="1" applyAlignment="1">
      <alignment vertical="center"/>
    </xf>
    <xf numFmtId="3" fontId="17" fillId="0" borderId="18" xfId="5" applyNumberFormat="1" applyFont="1" applyBorder="1" applyAlignment="1">
      <alignment vertical="center"/>
    </xf>
    <xf numFmtId="166" fontId="17" fillId="0" borderId="1" xfId="1" applyNumberFormat="1" applyFont="1" applyBorder="1"/>
    <xf numFmtId="166" fontId="17" fillId="0" borderId="3" xfId="1" applyNumberFormat="1" applyFont="1" applyBorder="1"/>
    <xf numFmtId="166" fontId="17" fillId="0" borderId="17" xfId="1" applyNumberFormat="1" applyFont="1" applyBorder="1" applyAlignment="1">
      <alignment vertical="center"/>
    </xf>
    <xf numFmtId="166" fontId="17" fillId="0" borderId="18" xfId="1" applyNumberFormat="1" applyFont="1" applyBorder="1" applyAlignment="1">
      <alignment vertical="center"/>
    </xf>
    <xf numFmtId="166" fontId="17" fillId="0" borderId="0" xfId="1" applyNumberFormat="1" applyFont="1"/>
    <xf numFmtId="164" fontId="8" fillId="0" borderId="0" xfId="1" applyFont="1" applyFill="1"/>
    <xf numFmtId="166" fontId="41" fillId="0" borderId="1" xfId="1" applyNumberFormat="1" applyFont="1" applyBorder="1" applyAlignment="1">
      <alignment horizontal="left" readingOrder="1"/>
    </xf>
    <xf numFmtId="166" fontId="41" fillId="0" borderId="1" xfId="1" applyNumberFormat="1" applyFont="1" applyBorder="1" applyAlignment="1">
      <alignment horizontal="left" wrapText="1" readingOrder="1"/>
    </xf>
    <xf numFmtId="49" fontId="41" fillId="0" borderId="1" xfId="7" applyNumberFormat="1" applyFont="1" applyBorder="1" applyAlignment="1">
      <alignment horizontal="left" wrapText="1" readingOrder="1"/>
    </xf>
    <xf numFmtId="0" fontId="17" fillId="0" borderId="1" xfId="8" applyFont="1" applyBorder="1" applyAlignment="1">
      <alignment horizontal="left"/>
    </xf>
    <xf numFmtId="166" fontId="4" fillId="0" borderId="0" xfId="1" applyNumberFormat="1" applyFont="1" applyBorder="1"/>
    <xf numFmtId="166" fontId="5" fillId="0" borderId="0" xfId="1" applyNumberFormat="1" applyFont="1" applyBorder="1"/>
    <xf numFmtId="166" fontId="4" fillId="0" borderId="0" xfId="1" applyNumberFormat="1" applyFont="1"/>
    <xf numFmtId="166" fontId="42" fillId="0" borderId="0" xfId="1" applyNumberFormat="1" applyFont="1" applyBorder="1"/>
    <xf numFmtId="166" fontId="41" fillId="0" borderId="0" xfId="1" applyNumberFormat="1" applyFont="1" applyBorder="1"/>
    <xf numFmtId="0" fontId="23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29" fillId="0" borderId="0" xfId="8" applyFont="1" applyAlignment="1">
      <alignment horizontal="center"/>
    </xf>
    <xf numFmtId="0" fontId="6" fillId="0" borderId="0" xfId="8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43" fillId="0" borderId="0" xfId="0" applyFont="1" applyBorder="1" applyAlignment="1">
      <alignment horizontal="left" wrapText="1"/>
    </xf>
    <xf numFmtId="0" fontId="43" fillId="0" borderId="0" xfId="0" applyFont="1" applyAlignment="1">
      <alignment horizontal="left"/>
    </xf>
    <xf numFmtId="0" fontId="41" fillId="0" borderId="0" xfId="8" applyFont="1" applyAlignment="1">
      <alignment horizontal="center"/>
    </xf>
    <xf numFmtId="0" fontId="43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39" fontId="37" fillId="0" borderId="17" xfId="0" applyNumberFormat="1" applyFont="1" applyBorder="1" applyAlignment="1">
      <alignment horizontal="center"/>
    </xf>
    <xf numFmtId="0" fontId="48" fillId="0" borderId="0" xfId="8" applyFont="1" applyAlignment="1">
      <alignment horizontal="center"/>
    </xf>
    <xf numFmtId="0" fontId="17" fillId="0" borderId="3" xfId="8" applyFont="1" applyBorder="1" applyAlignment="1">
      <alignment horizontal="center" vertical="center"/>
    </xf>
    <xf numFmtId="0" fontId="17" fillId="0" borderId="4" xfId="8" applyFont="1" applyBorder="1" applyAlignment="1">
      <alignment horizontal="center" vertical="center"/>
    </xf>
    <xf numFmtId="43" fontId="47" fillId="0" borderId="0" xfId="8" applyNumberFormat="1" applyFont="1" applyAlignment="1">
      <alignment horizontal="center"/>
    </xf>
    <xf numFmtId="0" fontId="39" fillId="0" borderId="0" xfId="8" applyFont="1" applyAlignment="1">
      <alignment horizontal="center"/>
    </xf>
    <xf numFmtId="0" fontId="17" fillId="0" borderId="0" xfId="8" applyFont="1" applyAlignment="1">
      <alignment horizontal="center"/>
    </xf>
  </cellXfs>
  <cellStyles count="12">
    <cellStyle name="Comma" xfId="1" builtinId="3"/>
    <cellStyle name="Comma 2" xfId="2"/>
    <cellStyle name="Comma 3" xfId="3"/>
    <cellStyle name="Comma 4" xfId="4"/>
    <cellStyle name="Comma 5" xfId="10"/>
    <cellStyle name="Comma_21.Aktivet Afatgjata Materiale  09" xfId="5"/>
    <cellStyle name="Normal" xfId="0" builtinId="0"/>
    <cellStyle name="Normal 2" xfId="6"/>
    <cellStyle name="Normal 2_Pasqyrat financiare DIXHI PRINT -AL shpk" xfId="7"/>
    <cellStyle name="Normal 3" xfId="8"/>
    <cellStyle name="Normal 4" xfId="9"/>
    <cellStyle name="Normal 5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F_QB_Ave%20consul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lance\bilance%20av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Ave%20Bilanc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liente"/>
      <sheetName val="Furnitore"/>
      <sheetName val="BSH"/>
      <sheetName val="PL"/>
      <sheetName val="Sheet2"/>
      <sheetName val="Sheet3"/>
    </sheetNames>
    <sheetDataSet>
      <sheetData sheetId="0" refreshError="1"/>
      <sheetData sheetId="1" refreshError="1"/>
      <sheetData sheetId="2">
        <row r="33">
          <cell r="H33">
            <v>737876</v>
          </cell>
          <cell r="I33">
            <v>737876</v>
          </cell>
        </row>
        <row r="38">
          <cell r="H38">
            <v>1458215</v>
          </cell>
          <cell r="I38">
            <v>1458215</v>
          </cell>
        </row>
        <row r="70">
          <cell r="H70">
            <v>-15570.71</v>
          </cell>
        </row>
        <row r="72">
          <cell r="H72">
            <v>18428.7</v>
          </cell>
        </row>
        <row r="76">
          <cell r="H76">
            <v>25684.799999999999</v>
          </cell>
        </row>
        <row r="80">
          <cell r="H80">
            <v>133614</v>
          </cell>
        </row>
        <row r="85">
          <cell r="H85">
            <v>46183.62</v>
          </cell>
        </row>
        <row r="91">
          <cell r="I91">
            <v>3411594.11</v>
          </cell>
        </row>
      </sheetData>
      <sheetData sheetId="3">
        <row r="4">
          <cell r="G4">
            <v>558.67999999999995</v>
          </cell>
        </row>
        <row r="55">
          <cell r="G55">
            <v>201475.04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9">
          <cell r="H69">
            <v>-15570.71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9">
          <cell r="O19">
            <v>1004202.7116</v>
          </cell>
        </row>
        <row r="36">
          <cell r="H36">
            <v>4152300.05</v>
          </cell>
        </row>
        <row r="37">
          <cell r="H37">
            <v>1001480</v>
          </cell>
        </row>
        <row r="64">
          <cell r="H64">
            <v>3042260.16</v>
          </cell>
        </row>
        <row r="69">
          <cell r="H69">
            <v>238164.19</v>
          </cell>
        </row>
        <row r="71">
          <cell r="H71">
            <v>22963.7</v>
          </cell>
        </row>
        <row r="75">
          <cell r="H75">
            <v>32371.3</v>
          </cell>
        </row>
        <row r="79">
          <cell r="H79">
            <v>133614</v>
          </cell>
        </row>
        <row r="82">
          <cell r="H82">
            <v>22160</v>
          </cell>
        </row>
        <row r="83">
          <cell r="H83">
            <v>20089.62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opLeftCell="A16" zoomScaleNormal="100" workbookViewId="0">
      <selection activeCell="E34" sqref="E34"/>
    </sheetView>
  </sheetViews>
  <sheetFormatPr defaultRowHeight="12.75"/>
  <cols>
    <col min="1" max="1" width="22.5703125" style="43" customWidth="1"/>
    <col min="2" max="2" width="27.85546875" style="43" customWidth="1"/>
    <col min="3" max="3" width="5.5703125" style="43" customWidth="1"/>
    <col min="4" max="4" width="23" style="43" customWidth="1"/>
    <col min="5" max="5" width="20.7109375" style="43" customWidth="1"/>
    <col min="6" max="6" width="6.42578125" style="43" customWidth="1"/>
    <col min="7" max="16384" width="9.140625" style="43"/>
  </cols>
  <sheetData>
    <row r="1" spans="1:8" ht="15">
      <c r="A1" s="41"/>
      <c r="B1" s="41"/>
      <c r="C1" s="41"/>
      <c r="D1" s="42"/>
      <c r="E1" s="42"/>
      <c r="F1" s="42"/>
    </row>
    <row r="2" spans="1:8" ht="15">
      <c r="A2" s="41"/>
      <c r="B2" s="42"/>
      <c r="C2" s="42"/>
      <c r="D2" s="42"/>
      <c r="E2" s="42"/>
      <c r="F2" s="42"/>
    </row>
    <row r="3" spans="1:8" ht="15">
      <c r="A3" s="41"/>
      <c r="B3" s="42"/>
      <c r="C3" s="42"/>
      <c r="D3" s="42"/>
      <c r="E3" s="42"/>
      <c r="F3" s="42"/>
    </row>
    <row r="4" spans="1:8" ht="15">
      <c r="A4" s="41"/>
      <c r="B4" s="41"/>
      <c r="C4" s="41"/>
      <c r="D4" s="42"/>
      <c r="E4" s="42"/>
      <c r="F4" s="42"/>
    </row>
    <row r="5" spans="1:8" ht="15">
      <c r="A5" s="41"/>
      <c r="B5" s="41"/>
      <c r="C5" s="41"/>
      <c r="D5" s="42"/>
      <c r="E5" s="42"/>
      <c r="F5" s="42"/>
    </row>
    <row r="6" spans="1:8" ht="44.25">
      <c r="A6" s="320" t="s">
        <v>161</v>
      </c>
      <c r="B6" s="320"/>
      <c r="C6" s="320"/>
      <c r="D6" s="320"/>
      <c r="E6" s="320"/>
      <c r="F6" s="44"/>
      <c r="G6" s="44"/>
      <c r="H6" s="44"/>
    </row>
    <row r="7" spans="1:8" ht="15">
      <c r="A7" s="41"/>
      <c r="B7" s="41"/>
      <c r="C7" s="41"/>
      <c r="D7" s="42"/>
      <c r="E7" s="42"/>
      <c r="F7" s="42"/>
    </row>
    <row r="8" spans="1:8" ht="15">
      <c r="A8" s="41"/>
      <c r="B8" s="42"/>
      <c r="C8" s="42"/>
      <c r="D8" s="42"/>
      <c r="E8" s="42"/>
      <c r="F8" s="42"/>
    </row>
    <row r="9" spans="1:8" ht="48.75" customHeight="1">
      <c r="A9" s="321" t="s">
        <v>162</v>
      </c>
      <c r="B9" s="321"/>
      <c r="C9" s="321"/>
      <c r="D9" s="321"/>
      <c r="E9" s="321"/>
      <c r="F9" s="45"/>
      <c r="G9" s="45"/>
      <c r="H9" s="45"/>
    </row>
    <row r="10" spans="1:8" ht="15">
      <c r="A10" s="41"/>
      <c r="B10" s="46"/>
      <c r="C10" s="46"/>
      <c r="D10" s="42"/>
      <c r="E10" s="42"/>
      <c r="F10" s="42"/>
    </row>
    <row r="11" spans="1:8" ht="15">
      <c r="A11" s="41"/>
      <c r="B11" s="42"/>
      <c r="C11" s="42"/>
      <c r="D11" s="42"/>
      <c r="E11" s="42"/>
      <c r="F11" s="42"/>
    </row>
    <row r="12" spans="1:8" ht="15">
      <c r="A12" s="41"/>
      <c r="B12" s="42"/>
      <c r="C12" s="42"/>
      <c r="D12" s="42"/>
      <c r="E12" s="42"/>
      <c r="F12" s="42"/>
    </row>
    <row r="13" spans="1:8" ht="15">
      <c r="A13" s="41"/>
      <c r="B13" s="41"/>
      <c r="C13" s="41"/>
      <c r="D13" s="42"/>
      <c r="E13" s="42"/>
      <c r="F13" s="42"/>
    </row>
    <row r="14" spans="1:8" ht="15">
      <c r="A14" s="41"/>
      <c r="B14" s="41"/>
      <c r="C14" s="41"/>
      <c r="D14" s="42"/>
      <c r="E14" s="42"/>
      <c r="F14" s="42"/>
    </row>
    <row r="15" spans="1:8" ht="15">
      <c r="A15" s="41"/>
      <c r="B15" s="41"/>
      <c r="C15" s="41"/>
      <c r="D15" s="42"/>
      <c r="E15" s="42"/>
      <c r="F15" s="42"/>
    </row>
    <row r="16" spans="1:8" ht="15">
      <c r="A16" s="41"/>
      <c r="B16" s="41"/>
      <c r="C16" s="41"/>
      <c r="D16" s="42"/>
      <c r="E16" s="42"/>
      <c r="F16" s="42"/>
    </row>
    <row r="17" spans="1:6" ht="15">
      <c r="A17" s="41"/>
      <c r="B17" s="41"/>
      <c r="C17" s="41"/>
      <c r="D17" s="42"/>
      <c r="E17" s="42"/>
      <c r="F17" s="42"/>
    </row>
    <row r="18" spans="1:6" ht="15">
      <c r="A18" s="41"/>
      <c r="B18" s="41"/>
      <c r="C18" s="41"/>
      <c r="D18" s="42"/>
      <c r="E18" s="42"/>
      <c r="F18" s="42"/>
    </row>
    <row r="19" spans="1:6" ht="18">
      <c r="A19" s="41"/>
      <c r="B19" s="47"/>
      <c r="C19" s="47"/>
      <c r="D19" s="42"/>
      <c r="E19" s="42"/>
      <c r="F19" s="42"/>
    </row>
    <row r="20" spans="1:6" ht="15">
      <c r="A20" s="41"/>
      <c r="B20" s="41"/>
      <c r="C20" s="41"/>
      <c r="D20" s="42"/>
      <c r="E20" s="42"/>
      <c r="F20" s="42"/>
    </row>
    <row r="21" spans="1:6" ht="15">
      <c r="A21" s="41"/>
      <c r="B21" s="41"/>
      <c r="C21" s="41"/>
      <c r="D21" s="41"/>
      <c r="E21" s="41"/>
      <c r="F21" s="42"/>
    </row>
    <row r="22" spans="1:6" ht="15">
      <c r="A22" s="322" t="s">
        <v>124</v>
      </c>
      <c r="B22" s="322"/>
      <c r="D22" s="322" t="s">
        <v>127</v>
      </c>
      <c r="E22" s="322"/>
      <c r="F22" s="42"/>
    </row>
    <row r="23" spans="1:6" ht="15">
      <c r="A23" s="41"/>
      <c r="E23" s="48"/>
      <c r="F23" s="42"/>
    </row>
    <row r="24" spans="1:6" ht="14.25">
      <c r="A24" s="49" t="s">
        <v>125</v>
      </c>
      <c r="B24" s="50" t="s">
        <v>190</v>
      </c>
      <c r="D24" s="49" t="s">
        <v>128</v>
      </c>
      <c r="E24" s="87" t="s">
        <v>163</v>
      </c>
      <c r="F24" s="42"/>
    </row>
    <row r="25" spans="1:6" ht="14.25">
      <c r="A25" s="49"/>
      <c r="B25" s="50"/>
      <c r="D25" s="49"/>
      <c r="E25" s="87"/>
      <c r="F25" s="42"/>
    </row>
    <row r="26" spans="1:6" ht="14.25">
      <c r="A26" s="49" t="s">
        <v>126</v>
      </c>
      <c r="B26" s="50" t="s">
        <v>313</v>
      </c>
      <c r="D26" s="49" t="s">
        <v>164</v>
      </c>
      <c r="E26" s="87" t="s">
        <v>165</v>
      </c>
      <c r="F26" s="42"/>
    </row>
    <row r="27" spans="1:6" ht="14.25">
      <c r="A27" s="49"/>
      <c r="B27" s="50"/>
      <c r="D27" s="49"/>
      <c r="E27" s="87"/>
      <c r="F27" s="42"/>
    </row>
    <row r="28" spans="1:6" ht="14.25">
      <c r="A28" s="49" t="s">
        <v>184</v>
      </c>
      <c r="B28" s="50" t="s">
        <v>314</v>
      </c>
      <c r="D28" s="49" t="s">
        <v>167</v>
      </c>
      <c r="E28" s="88" t="s">
        <v>168</v>
      </c>
      <c r="F28" s="42"/>
    </row>
    <row r="29" spans="1:6" ht="15">
      <c r="A29" s="49"/>
      <c r="B29" s="50"/>
      <c r="D29" s="49"/>
      <c r="E29" s="51"/>
      <c r="F29" s="42"/>
    </row>
    <row r="30" spans="1:6" ht="15">
      <c r="A30" s="49" t="s">
        <v>166</v>
      </c>
      <c r="B30" s="108">
        <v>38974</v>
      </c>
      <c r="D30" s="49" t="s">
        <v>129</v>
      </c>
      <c r="E30" s="41"/>
      <c r="F30" s="42"/>
    </row>
    <row r="31" spans="1:6" ht="14.25">
      <c r="A31" s="49"/>
      <c r="B31" s="50"/>
      <c r="F31" s="42"/>
    </row>
    <row r="32" spans="1:6" ht="14.25">
      <c r="A32" s="49" t="s">
        <v>169</v>
      </c>
      <c r="B32" s="50"/>
      <c r="D32" s="319" t="s">
        <v>354</v>
      </c>
      <c r="E32" s="319"/>
      <c r="F32" s="42"/>
    </row>
    <row r="33" spans="1:6" ht="15">
      <c r="A33" s="49"/>
      <c r="B33" s="50"/>
      <c r="F33" s="52"/>
    </row>
    <row r="34" spans="1:6" ht="25.5">
      <c r="A34" s="49" t="s">
        <v>170</v>
      </c>
      <c r="B34" s="109" t="s">
        <v>191</v>
      </c>
      <c r="D34" s="49" t="s">
        <v>171</v>
      </c>
      <c r="E34" s="87" t="s">
        <v>353</v>
      </c>
      <c r="F34" s="42"/>
    </row>
    <row r="35" spans="1:6" ht="15">
      <c r="A35" s="41"/>
      <c r="B35" s="53"/>
      <c r="C35" s="53"/>
      <c r="D35" s="41"/>
      <c r="E35" s="41"/>
      <c r="F35" s="42"/>
    </row>
    <row r="36" spans="1:6" ht="15">
      <c r="A36" s="41"/>
      <c r="B36" s="54"/>
      <c r="C36" s="54"/>
      <c r="D36" s="54"/>
      <c r="E36" s="54"/>
      <c r="F36" s="42"/>
    </row>
    <row r="37" spans="1:6" ht="15">
      <c r="A37" s="41"/>
      <c r="B37" s="41"/>
      <c r="C37" s="41"/>
      <c r="D37" s="41"/>
      <c r="E37" s="41"/>
      <c r="F37" s="42"/>
    </row>
    <row r="38" spans="1:6" ht="15">
      <c r="A38" s="41"/>
      <c r="B38" s="41"/>
      <c r="C38" s="41"/>
      <c r="D38" s="42"/>
      <c r="E38" s="42"/>
      <c r="F38" s="42"/>
    </row>
    <row r="39" spans="1:6" ht="15">
      <c r="A39" s="41"/>
      <c r="B39" s="41"/>
      <c r="C39" s="41"/>
      <c r="D39" s="42"/>
      <c r="E39" s="42"/>
      <c r="F39" s="42"/>
    </row>
    <row r="40" spans="1:6" ht="15">
      <c r="A40" s="41"/>
      <c r="B40" s="41"/>
      <c r="C40" s="41"/>
      <c r="D40" s="42"/>
      <c r="E40" s="42"/>
      <c r="F40" s="42"/>
    </row>
    <row r="41" spans="1:6">
      <c r="A41" s="42"/>
      <c r="B41" s="42"/>
      <c r="C41" s="42"/>
      <c r="D41" s="42"/>
      <c r="E41" s="42"/>
      <c r="F41" s="42"/>
    </row>
    <row r="42" spans="1:6">
      <c r="A42" s="42"/>
      <c r="B42" s="42"/>
      <c r="C42" s="42"/>
      <c r="D42" s="42"/>
      <c r="E42" s="42"/>
      <c r="F42" s="42"/>
    </row>
    <row r="43" spans="1:6">
      <c r="A43" s="42"/>
      <c r="B43" s="42"/>
      <c r="C43" s="42"/>
      <c r="D43" s="42"/>
      <c r="E43" s="42"/>
      <c r="F43" s="42"/>
    </row>
    <row r="44" spans="1:6">
      <c r="A44" s="42"/>
      <c r="B44" s="42"/>
      <c r="C44" s="42"/>
      <c r="D44" s="42"/>
      <c r="E44" s="42"/>
      <c r="F44" s="42"/>
    </row>
    <row r="45" spans="1:6">
      <c r="A45" s="42"/>
      <c r="B45" s="42"/>
      <c r="C45" s="42"/>
      <c r="D45" s="42"/>
      <c r="E45" s="42"/>
      <c r="F45" s="42"/>
    </row>
    <row r="46" spans="1:6">
      <c r="A46" s="42"/>
      <c r="B46" s="42"/>
      <c r="C46" s="42"/>
      <c r="D46" s="42"/>
      <c r="E46" s="42"/>
      <c r="F46" s="42"/>
    </row>
    <row r="47" spans="1:6">
      <c r="A47" s="42"/>
      <c r="B47" s="42"/>
      <c r="C47" s="42"/>
      <c r="D47" s="42"/>
      <c r="E47" s="42"/>
      <c r="F47" s="42"/>
    </row>
    <row r="48" spans="1:6">
      <c r="A48" s="42"/>
      <c r="B48" s="42"/>
      <c r="C48" s="42"/>
      <c r="D48" s="42"/>
      <c r="E48" s="42"/>
      <c r="F48" s="42"/>
    </row>
    <row r="49" spans="1:11">
      <c r="A49" s="42"/>
      <c r="B49" s="42"/>
      <c r="C49" s="42"/>
      <c r="D49" s="42"/>
      <c r="E49" s="42"/>
      <c r="F49" s="42"/>
    </row>
    <row r="50" spans="1:11">
      <c r="A50" s="42"/>
      <c r="B50" s="42"/>
      <c r="C50" s="42"/>
      <c r="D50" s="42"/>
      <c r="E50" s="42"/>
      <c r="F50" s="42"/>
    </row>
    <row r="51" spans="1:11">
      <c r="A51" s="42"/>
      <c r="B51" s="42"/>
      <c r="C51" s="42"/>
      <c r="D51" s="42"/>
      <c r="E51" s="42"/>
      <c r="F51" s="42"/>
    </row>
    <row r="52" spans="1:11">
      <c r="A52" s="42"/>
      <c r="B52" s="42"/>
      <c r="C52" s="42"/>
      <c r="D52" s="42"/>
      <c r="E52" s="42"/>
      <c r="F52" s="42"/>
    </row>
    <row r="53" spans="1:11">
      <c r="A53" s="42"/>
      <c r="B53" s="42"/>
      <c r="C53" s="42"/>
      <c r="D53" s="42"/>
      <c r="E53" s="42"/>
      <c r="F53" s="42"/>
    </row>
    <row r="54" spans="1:11">
      <c r="A54" s="42"/>
      <c r="B54" s="42"/>
      <c r="C54" s="42"/>
      <c r="D54" s="42"/>
      <c r="E54" s="42"/>
      <c r="F54" s="42"/>
    </row>
    <row r="55" spans="1:11">
      <c r="A55" s="42"/>
      <c r="B55" s="42"/>
      <c r="C55" s="42"/>
      <c r="D55" s="42"/>
      <c r="E55" s="42"/>
      <c r="F55" s="42"/>
    </row>
    <row r="56" spans="1:11">
      <c r="A56" s="42"/>
      <c r="B56" s="42"/>
      <c r="C56" s="42"/>
      <c r="D56" s="42"/>
      <c r="E56" s="42"/>
      <c r="F56" s="42"/>
    </row>
    <row r="57" spans="1:11">
      <c r="A57" s="42"/>
      <c r="B57" s="42"/>
      <c r="C57" s="42"/>
      <c r="D57" s="42"/>
      <c r="E57" s="42"/>
      <c r="F57" s="42"/>
      <c r="K57" s="43" t="s">
        <v>310</v>
      </c>
    </row>
    <row r="58" spans="1:11">
      <c r="A58" s="42"/>
      <c r="B58" s="42"/>
      <c r="C58" s="42"/>
      <c r="D58" s="42"/>
      <c r="E58" s="42"/>
      <c r="F58" s="42"/>
    </row>
    <row r="59" spans="1:11">
      <c r="A59" s="42"/>
      <c r="B59" s="42"/>
      <c r="C59" s="42"/>
      <c r="D59" s="42"/>
      <c r="E59" s="42"/>
      <c r="F59" s="42"/>
    </row>
    <row r="60" spans="1:11">
      <c r="A60" s="42"/>
      <c r="B60" s="42"/>
      <c r="C60" s="42"/>
      <c r="D60" s="42"/>
      <c r="E60" s="42"/>
      <c r="F60" s="42"/>
    </row>
    <row r="61" spans="1:11">
      <c r="A61" s="42"/>
      <c r="B61" s="42"/>
      <c r="C61" s="42"/>
      <c r="D61" s="42"/>
      <c r="E61" s="42"/>
      <c r="F61" s="42"/>
    </row>
    <row r="62" spans="1:11">
      <c r="A62" s="42"/>
      <c r="B62" s="42"/>
      <c r="C62" s="42"/>
      <c r="D62" s="42"/>
      <c r="E62" s="42"/>
      <c r="F62" s="42"/>
    </row>
    <row r="63" spans="1:11">
      <c r="A63" s="42"/>
      <c r="B63" s="42"/>
      <c r="C63" s="42"/>
      <c r="D63" s="42"/>
      <c r="E63" s="42"/>
      <c r="F63" s="42"/>
    </row>
  </sheetData>
  <mergeCells count="5">
    <mergeCell ref="D32:E32"/>
    <mergeCell ref="A6:E6"/>
    <mergeCell ref="A9:E9"/>
    <mergeCell ref="A22:B22"/>
    <mergeCell ref="D22:E22"/>
  </mergeCells>
  <phoneticPr fontId="34" type="noConversion"/>
  <pageMargins left="0.47" right="0.35" top="1" bottom="1" header="0.5" footer="0.5"/>
  <pageSetup orientation="portrait" r:id="rId1"/>
  <headerFooter alignWithMargins="0"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N54"/>
  <sheetViews>
    <sheetView topLeftCell="A25" workbookViewId="0">
      <selection activeCell="I49" sqref="I49"/>
    </sheetView>
  </sheetViews>
  <sheetFormatPr defaultRowHeight="12.75"/>
  <cols>
    <col min="1" max="1" width="5.140625" style="275" customWidth="1"/>
    <col min="2" max="2" width="21.140625" style="275" customWidth="1"/>
    <col min="3" max="3" width="9.42578125" style="275" customWidth="1"/>
    <col min="4" max="4" width="11.5703125" style="275" customWidth="1"/>
    <col min="5" max="5" width="11" style="275" customWidth="1"/>
    <col min="6" max="6" width="12" style="275" customWidth="1"/>
    <col min="7" max="7" width="13.42578125" style="275" customWidth="1"/>
    <col min="8" max="8" width="9.140625" style="275"/>
    <col min="9" max="9" width="12.85546875" style="276" bestFit="1" customWidth="1"/>
    <col min="10" max="10" width="18" style="275" bestFit="1" customWidth="1"/>
    <col min="11" max="11" width="12.85546875" style="275" bestFit="1" customWidth="1"/>
    <col min="12" max="12" width="18" style="276" bestFit="1" customWidth="1"/>
    <col min="13" max="13" width="12.28515625" style="275" customWidth="1"/>
    <col min="14" max="16384" width="9.140625" style="275"/>
  </cols>
  <sheetData>
    <row r="1" spans="1:9">
      <c r="B1" s="296" t="s">
        <v>362</v>
      </c>
    </row>
    <row r="2" spans="1:9">
      <c r="B2" s="297" t="s">
        <v>390</v>
      </c>
    </row>
    <row r="3" spans="1:9">
      <c r="B3" s="297"/>
    </row>
    <row r="4" spans="1:9">
      <c r="B4" s="352" t="s">
        <v>350</v>
      </c>
      <c r="C4" s="352"/>
      <c r="D4" s="352"/>
      <c r="E4" s="352"/>
      <c r="F4" s="352"/>
      <c r="G4" s="352"/>
    </row>
    <row r="6" spans="1:9">
      <c r="A6" s="353" t="s">
        <v>131</v>
      </c>
      <c r="B6" s="353" t="s">
        <v>299</v>
      </c>
      <c r="C6" s="353" t="s">
        <v>300</v>
      </c>
      <c r="D6" s="277" t="s">
        <v>301</v>
      </c>
      <c r="E6" s="353" t="s">
        <v>302</v>
      </c>
      <c r="F6" s="353" t="s">
        <v>303</v>
      </c>
      <c r="G6" s="277" t="s">
        <v>301</v>
      </c>
    </row>
    <row r="7" spans="1:9">
      <c r="A7" s="354"/>
      <c r="B7" s="354"/>
      <c r="C7" s="354"/>
      <c r="D7" s="278">
        <v>41275</v>
      </c>
      <c r="E7" s="354"/>
      <c r="F7" s="354"/>
      <c r="G7" s="278">
        <v>41639</v>
      </c>
      <c r="H7" s="279"/>
      <c r="I7" s="280"/>
    </row>
    <row r="8" spans="1:9">
      <c r="A8" s="281">
        <v>1</v>
      </c>
      <c r="B8" s="283" t="s">
        <v>41</v>
      </c>
      <c r="C8" s="281"/>
      <c r="D8" s="282"/>
      <c r="E8" s="282"/>
      <c r="F8" s="282"/>
      <c r="G8" s="282">
        <f t="shared" ref="G8:G16" si="0">D8+E8-F8</f>
        <v>0</v>
      </c>
      <c r="H8" s="279"/>
      <c r="I8" s="280"/>
    </row>
    <row r="9" spans="1:9">
      <c r="A9" s="281">
        <v>2</v>
      </c>
      <c r="B9" s="283" t="s">
        <v>304</v>
      </c>
      <c r="C9" s="281"/>
      <c r="D9" s="282"/>
      <c r="E9" s="282"/>
      <c r="F9" s="282"/>
      <c r="G9" s="282">
        <f t="shared" si="0"/>
        <v>0</v>
      </c>
      <c r="H9" s="293"/>
      <c r="I9" s="280"/>
    </row>
    <row r="10" spans="1:9">
      <c r="A10" s="281">
        <v>3</v>
      </c>
      <c r="B10" s="283" t="s">
        <v>305</v>
      </c>
      <c r="C10" s="281"/>
      <c r="D10" s="282"/>
      <c r="E10" s="282"/>
      <c r="F10" s="282"/>
      <c r="G10" s="282">
        <f t="shared" si="0"/>
        <v>0</v>
      </c>
      <c r="H10" s="293"/>
      <c r="I10" s="280"/>
    </row>
    <row r="11" spans="1:9">
      <c r="A11" s="281">
        <v>4</v>
      </c>
      <c r="B11" s="283" t="s">
        <v>279</v>
      </c>
      <c r="C11" s="281"/>
      <c r="D11" s="282">
        <v>8672190.9499999993</v>
      </c>
      <c r="E11" s="282"/>
      <c r="F11" s="282"/>
      <c r="G11" s="282">
        <f t="shared" si="0"/>
        <v>8672190.9499999993</v>
      </c>
      <c r="H11" s="293"/>
      <c r="I11" s="280"/>
    </row>
    <row r="12" spans="1:9">
      <c r="A12" s="281">
        <v>5</v>
      </c>
      <c r="B12" s="283" t="s">
        <v>391</v>
      </c>
      <c r="C12" s="281"/>
      <c r="D12" s="282">
        <v>1229363.31</v>
      </c>
      <c r="E12" s="282">
        <v>111542.83</v>
      </c>
      <c r="F12" s="282"/>
      <c r="G12" s="282">
        <f t="shared" si="0"/>
        <v>1340906.1400000001</v>
      </c>
      <c r="H12" s="293"/>
      <c r="I12" s="280"/>
    </row>
    <row r="13" spans="1:9">
      <c r="A13" s="281">
        <v>6</v>
      </c>
      <c r="B13" s="283" t="s">
        <v>306</v>
      </c>
      <c r="C13" s="281"/>
      <c r="D13" s="282">
        <v>247985</v>
      </c>
      <c r="E13" s="282">
        <v>197635</v>
      </c>
      <c r="F13" s="282"/>
      <c r="G13" s="282">
        <f t="shared" si="0"/>
        <v>445620</v>
      </c>
      <c r="H13" s="293"/>
      <c r="I13" s="280"/>
    </row>
    <row r="14" spans="1:9">
      <c r="A14" s="281">
        <v>7</v>
      </c>
      <c r="B14" s="283" t="s">
        <v>389</v>
      </c>
      <c r="C14" s="281"/>
      <c r="D14" s="282">
        <v>73975</v>
      </c>
      <c r="E14" s="282"/>
      <c r="F14" s="282"/>
      <c r="G14" s="282">
        <f t="shared" si="0"/>
        <v>73975</v>
      </c>
      <c r="H14" s="279"/>
      <c r="I14" s="280"/>
    </row>
    <row r="15" spans="1:9">
      <c r="A15" s="281">
        <v>8</v>
      </c>
      <c r="B15" s="283"/>
      <c r="C15" s="281"/>
      <c r="D15" s="282"/>
      <c r="E15" s="282"/>
      <c r="F15" s="282"/>
      <c r="G15" s="282">
        <f t="shared" si="0"/>
        <v>0</v>
      </c>
      <c r="H15" s="279"/>
      <c r="I15" s="280"/>
    </row>
    <row r="16" spans="1:9">
      <c r="A16" s="281">
        <v>9</v>
      </c>
      <c r="B16" s="283"/>
      <c r="C16" s="281"/>
      <c r="D16" s="282"/>
      <c r="E16" s="282"/>
      <c r="F16" s="282"/>
      <c r="G16" s="282">
        <f t="shared" si="0"/>
        <v>0</v>
      </c>
      <c r="H16" s="279"/>
      <c r="I16" s="280"/>
    </row>
    <row r="17" spans="1:10" ht="16.5" customHeight="1">
      <c r="A17" s="284"/>
      <c r="B17" s="284" t="s">
        <v>307</v>
      </c>
      <c r="C17" s="298"/>
      <c r="D17" s="299">
        <f>SUM(D8:D16)</f>
        <v>10223514.26</v>
      </c>
      <c r="E17" s="299">
        <f t="shared" ref="E17:G17" si="1">SUM(E8:E16)</f>
        <v>309177.83</v>
      </c>
      <c r="F17" s="299">
        <f t="shared" si="1"/>
        <v>0</v>
      </c>
      <c r="G17" s="299">
        <f t="shared" si="1"/>
        <v>10532692.09</v>
      </c>
      <c r="J17" s="276"/>
    </row>
    <row r="20" spans="1:10">
      <c r="B20" s="352" t="s">
        <v>355</v>
      </c>
      <c r="C20" s="352"/>
      <c r="D20" s="352"/>
      <c r="E20" s="352"/>
      <c r="F20" s="352"/>
      <c r="G20" s="352"/>
    </row>
    <row r="22" spans="1:10" ht="12.75" customHeight="1">
      <c r="A22" s="353" t="s">
        <v>131</v>
      </c>
      <c r="B22" s="353" t="s">
        <v>299</v>
      </c>
      <c r="C22" s="353" t="s">
        <v>300</v>
      </c>
      <c r="D22" s="277" t="s">
        <v>301</v>
      </c>
      <c r="E22" s="353" t="s">
        <v>302</v>
      </c>
      <c r="F22" s="353" t="s">
        <v>303</v>
      </c>
      <c r="G22" s="277" t="s">
        <v>301</v>
      </c>
    </row>
    <row r="23" spans="1:10" ht="12.75" customHeight="1">
      <c r="A23" s="354"/>
      <c r="B23" s="354"/>
      <c r="C23" s="354"/>
      <c r="D23" s="278">
        <v>41275</v>
      </c>
      <c r="E23" s="354"/>
      <c r="F23" s="354"/>
      <c r="G23" s="278">
        <v>41639</v>
      </c>
    </row>
    <row r="24" spans="1:10">
      <c r="A24" s="281">
        <v>1</v>
      </c>
      <c r="B24" s="275" t="s">
        <v>41</v>
      </c>
      <c r="C24" s="281"/>
      <c r="D24" s="304"/>
      <c r="E24" s="304"/>
      <c r="F24" s="304"/>
      <c r="G24" s="304">
        <f t="shared" ref="G24:G29" si="2">D24+E24</f>
        <v>0</v>
      </c>
    </row>
    <row r="25" spans="1:10">
      <c r="A25" s="281">
        <v>2</v>
      </c>
      <c r="B25" s="313" t="s">
        <v>304</v>
      </c>
      <c r="C25" s="281"/>
      <c r="D25" s="304"/>
      <c r="E25" s="304"/>
      <c r="F25" s="304"/>
      <c r="G25" s="304">
        <f t="shared" si="2"/>
        <v>0</v>
      </c>
    </row>
    <row r="26" spans="1:10">
      <c r="A26" s="281">
        <v>3</v>
      </c>
      <c r="B26" s="283" t="s">
        <v>308</v>
      </c>
      <c r="C26" s="281"/>
      <c r="D26" s="304"/>
      <c r="E26" s="304"/>
      <c r="F26" s="304"/>
      <c r="G26" s="304">
        <f t="shared" si="2"/>
        <v>0</v>
      </c>
    </row>
    <row r="27" spans="1:10">
      <c r="A27" s="281">
        <v>4</v>
      </c>
      <c r="B27" s="283" t="s">
        <v>279</v>
      </c>
      <c r="C27" s="281"/>
      <c r="D27" s="304">
        <v>3590323</v>
      </c>
      <c r="E27" s="304">
        <v>1016373.59</v>
      </c>
      <c r="F27" s="304"/>
      <c r="G27" s="304">
        <f t="shared" si="2"/>
        <v>4606696.59</v>
      </c>
    </row>
    <row r="28" spans="1:10">
      <c r="A28" s="281">
        <v>5</v>
      </c>
      <c r="B28" s="283" t="s">
        <v>391</v>
      </c>
      <c r="C28" s="281"/>
      <c r="D28" s="304">
        <v>580862</v>
      </c>
      <c r="E28" s="304">
        <v>172271.15</v>
      </c>
      <c r="F28" s="304"/>
      <c r="G28" s="304">
        <f t="shared" si="2"/>
        <v>753133.15</v>
      </c>
    </row>
    <row r="29" spans="1:10">
      <c r="A29" s="281">
        <v>6</v>
      </c>
      <c r="B29" s="283" t="s">
        <v>306</v>
      </c>
      <c r="C29" s="281"/>
      <c r="D29" s="304">
        <v>104644</v>
      </c>
      <c r="E29" s="304">
        <v>48431.7</v>
      </c>
      <c r="F29" s="304"/>
      <c r="G29" s="304">
        <f t="shared" si="2"/>
        <v>153075.70000000001</v>
      </c>
    </row>
    <row r="30" spans="1:10">
      <c r="A30" s="281">
        <v>7</v>
      </c>
      <c r="B30" s="283" t="s">
        <v>389</v>
      </c>
      <c r="C30" s="281"/>
      <c r="D30" s="304">
        <v>36100</v>
      </c>
      <c r="E30" s="304">
        <v>7575</v>
      </c>
      <c r="F30" s="304"/>
      <c r="G30" s="304">
        <f>D30+E30-F30</f>
        <v>43675</v>
      </c>
    </row>
    <row r="31" spans="1:10">
      <c r="A31" s="281">
        <v>8</v>
      </c>
      <c r="B31" s="283"/>
      <c r="C31" s="281"/>
      <c r="D31" s="304"/>
      <c r="E31" s="304"/>
      <c r="F31" s="304"/>
      <c r="G31" s="304">
        <f>D31+E31-F31</f>
        <v>0</v>
      </c>
    </row>
    <row r="32" spans="1:10" ht="13.5" thickBot="1">
      <c r="A32" s="281">
        <v>9</v>
      </c>
      <c r="B32" s="285"/>
      <c r="C32" s="277"/>
      <c r="D32" s="305"/>
      <c r="E32" s="305"/>
      <c r="F32" s="305"/>
      <c r="G32" s="305">
        <f>D32+E32-F32</f>
        <v>0</v>
      </c>
    </row>
    <row r="33" spans="1:14" ht="13.5" thickBot="1">
      <c r="A33" s="286"/>
      <c r="B33" s="300" t="s">
        <v>307</v>
      </c>
      <c r="C33" s="301"/>
      <c r="D33" s="306">
        <f>SUM(D24:D32)</f>
        <v>4311929</v>
      </c>
      <c r="E33" s="306">
        <f>SUM(E24:E32)</f>
        <v>1244651.44</v>
      </c>
      <c r="F33" s="306">
        <f>SUM(F24:F32)</f>
        <v>0</v>
      </c>
      <c r="G33" s="307">
        <f>SUM(G24:G32)</f>
        <v>5556580.4400000004</v>
      </c>
      <c r="H33" s="287"/>
      <c r="J33" s="288"/>
    </row>
    <row r="34" spans="1:14">
      <c r="G34" s="287"/>
    </row>
    <row r="36" spans="1:14">
      <c r="B36" s="352" t="s">
        <v>357</v>
      </c>
      <c r="C36" s="352"/>
      <c r="D36" s="352"/>
      <c r="E36" s="352"/>
      <c r="F36" s="352"/>
      <c r="G36" s="352"/>
    </row>
    <row r="38" spans="1:14" ht="12.75" customHeight="1">
      <c r="A38" s="353" t="s">
        <v>131</v>
      </c>
      <c r="B38" s="353" t="s">
        <v>299</v>
      </c>
      <c r="C38" s="353" t="s">
        <v>300</v>
      </c>
      <c r="D38" s="277" t="s">
        <v>301</v>
      </c>
      <c r="E38" s="353" t="s">
        <v>302</v>
      </c>
      <c r="F38" s="353" t="s">
        <v>303</v>
      </c>
      <c r="G38" s="277" t="s">
        <v>301</v>
      </c>
    </row>
    <row r="39" spans="1:14" ht="12.75" customHeight="1">
      <c r="A39" s="354"/>
      <c r="B39" s="354"/>
      <c r="C39" s="354"/>
      <c r="D39" s="278">
        <v>41275</v>
      </c>
      <c r="E39" s="354"/>
      <c r="F39" s="354"/>
      <c r="G39" s="278">
        <v>41639</v>
      </c>
    </row>
    <row r="40" spans="1:14">
      <c r="A40" s="281">
        <v>1</v>
      </c>
      <c r="B40" s="275" t="s">
        <v>41</v>
      </c>
      <c r="C40" s="281"/>
      <c r="D40" s="304"/>
      <c r="E40" s="304"/>
      <c r="F40" s="304"/>
      <c r="G40" s="304">
        <f t="shared" ref="G40:G42" si="3">G8-G24</f>
        <v>0</v>
      </c>
    </row>
    <row r="41" spans="1:14">
      <c r="A41" s="281">
        <v>2</v>
      </c>
      <c r="B41" s="283" t="s">
        <v>304</v>
      </c>
      <c r="C41" s="281"/>
      <c r="D41" s="304"/>
      <c r="E41" s="304"/>
      <c r="F41" s="304"/>
      <c r="G41" s="304">
        <f t="shared" si="3"/>
        <v>0</v>
      </c>
      <c r="M41" s="279"/>
      <c r="N41" s="279"/>
    </row>
    <row r="42" spans="1:14">
      <c r="A42" s="281">
        <v>3</v>
      </c>
      <c r="B42" s="283" t="s">
        <v>308</v>
      </c>
      <c r="C42" s="281"/>
      <c r="D42" s="304"/>
      <c r="E42" s="308"/>
      <c r="F42" s="304"/>
      <c r="G42" s="304">
        <f t="shared" si="3"/>
        <v>0</v>
      </c>
      <c r="M42" s="279"/>
      <c r="N42" s="279"/>
    </row>
    <row r="43" spans="1:14">
      <c r="A43" s="281">
        <v>4</v>
      </c>
      <c r="B43" s="283" t="s">
        <v>279</v>
      </c>
      <c r="C43" s="281"/>
      <c r="D43" s="304">
        <v>5081867.9499999993</v>
      </c>
      <c r="E43" s="304"/>
      <c r="F43" s="304"/>
      <c r="G43" s="304">
        <f>G11-G27</f>
        <v>4065494.3599999994</v>
      </c>
      <c r="K43" s="289"/>
      <c r="M43" s="279"/>
      <c r="N43" s="279"/>
    </row>
    <row r="44" spans="1:14">
      <c r="A44" s="281">
        <v>5</v>
      </c>
      <c r="B44" s="283" t="s">
        <v>391</v>
      </c>
      <c r="C44" s="281"/>
      <c r="D44" s="304">
        <v>648501.31000000006</v>
      </c>
      <c r="E44" s="304"/>
      <c r="F44" s="304"/>
      <c r="G44" s="304">
        <f t="shared" ref="G44:G48" si="4">G12-G28</f>
        <v>587772.99000000011</v>
      </c>
      <c r="J44" s="290"/>
      <c r="K44" s="289"/>
      <c r="M44" s="279"/>
      <c r="N44" s="279"/>
    </row>
    <row r="45" spans="1:14">
      <c r="A45" s="281">
        <v>6</v>
      </c>
      <c r="B45" s="283" t="s">
        <v>306</v>
      </c>
      <c r="C45" s="281"/>
      <c r="D45" s="304">
        <v>143341</v>
      </c>
      <c r="E45" s="304"/>
      <c r="F45" s="304"/>
      <c r="G45" s="304">
        <f t="shared" si="4"/>
        <v>292544.3</v>
      </c>
      <c r="J45" s="290"/>
      <c r="K45" s="289"/>
      <c r="M45" s="279"/>
      <c r="N45" s="279"/>
    </row>
    <row r="46" spans="1:14">
      <c r="A46" s="281">
        <v>7</v>
      </c>
      <c r="B46" s="283" t="s">
        <v>389</v>
      </c>
      <c r="C46" s="281"/>
      <c r="D46" s="304">
        <v>37875</v>
      </c>
      <c r="E46" s="304"/>
      <c r="F46" s="304"/>
      <c r="G46" s="304">
        <f t="shared" si="4"/>
        <v>30300</v>
      </c>
      <c r="M46" s="279"/>
      <c r="N46" s="279"/>
    </row>
    <row r="47" spans="1:14">
      <c r="A47" s="281">
        <v>8</v>
      </c>
      <c r="B47" s="283"/>
      <c r="C47" s="281"/>
      <c r="D47" s="304"/>
      <c r="E47" s="304"/>
      <c r="F47" s="304"/>
      <c r="G47" s="304">
        <f t="shared" si="4"/>
        <v>0</v>
      </c>
      <c r="M47" s="279"/>
      <c r="N47" s="279"/>
    </row>
    <row r="48" spans="1:14" ht="13.5" thickBot="1">
      <c r="A48" s="281">
        <v>9</v>
      </c>
      <c r="B48" s="285"/>
      <c r="C48" s="277"/>
      <c r="D48" s="304"/>
      <c r="E48" s="305"/>
      <c r="F48" s="305"/>
      <c r="G48" s="304">
        <f t="shared" si="4"/>
        <v>0</v>
      </c>
      <c r="M48" s="279"/>
      <c r="N48" s="279"/>
    </row>
    <row r="49" spans="1:14" ht="13.5" thickBot="1">
      <c r="A49" s="286"/>
      <c r="B49" s="300" t="s">
        <v>307</v>
      </c>
      <c r="C49" s="301"/>
      <c r="D49" s="302">
        <f>SUM(D40:D48)</f>
        <v>5911585.2599999998</v>
      </c>
      <c r="E49" s="302">
        <f>SUM(E40:E48)</f>
        <v>0</v>
      </c>
      <c r="F49" s="302">
        <f>SUM(F40:F48)</f>
        <v>0</v>
      </c>
      <c r="G49" s="303">
        <f>SUM(G40:G48)</f>
        <v>4976111.6499999994</v>
      </c>
      <c r="J49" s="276"/>
      <c r="K49" s="291"/>
      <c r="L49" s="291"/>
      <c r="M49" s="292"/>
      <c r="N49" s="279"/>
    </row>
    <row r="50" spans="1:14" s="279" customFormat="1">
      <c r="F50" s="293"/>
      <c r="G50" s="294"/>
      <c r="I50" s="280"/>
      <c r="J50" s="293"/>
      <c r="L50" s="280"/>
    </row>
    <row r="51" spans="1:14">
      <c r="D51" s="288"/>
      <c r="G51" s="288"/>
      <c r="M51" s="279"/>
      <c r="N51" s="279"/>
    </row>
    <row r="52" spans="1:14">
      <c r="D52" s="288"/>
      <c r="G52" s="288"/>
      <c r="J52" s="355"/>
      <c r="K52" s="355"/>
      <c r="L52" s="295"/>
      <c r="M52" s="279"/>
      <c r="N52" s="279"/>
    </row>
    <row r="53" spans="1:14">
      <c r="E53" s="356" t="s">
        <v>309</v>
      </c>
      <c r="F53" s="356"/>
      <c r="G53" s="356"/>
      <c r="M53" s="279"/>
      <c r="N53" s="279"/>
    </row>
    <row r="54" spans="1:14">
      <c r="E54" s="357" t="s">
        <v>356</v>
      </c>
      <c r="F54" s="357"/>
      <c r="G54" s="357"/>
    </row>
  </sheetData>
  <mergeCells count="21">
    <mergeCell ref="J52:K52"/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55000000000000004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8"/>
  <sheetViews>
    <sheetView topLeftCell="A22" zoomScaleNormal="100" workbookViewId="0">
      <selection activeCell="L95" sqref="L95"/>
    </sheetView>
  </sheetViews>
  <sheetFormatPr defaultRowHeight="11.25"/>
  <cols>
    <col min="1" max="1" width="6" style="4" customWidth="1"/>
    <col min="2" max="2" width="46.28515625" style="4" bestFit="1" customWidth="1"/>
    <col min="3" max="3" width="10.5703125" style="4" hidden="1" customWidth="1"/>
    <col min="4" max="6" width="10.42578125" style="4" hidden="1" customWidth="1"/>
    <col min="7" max="7" width="16.140625" style="4" hidden="1" customWidth="1"/>
    <col min="8" max="8" width="8.5703125" style="4" customWidth="1"/>
    <col min="9" max="10" width="18.28515625" style="4" customWidth="1"/>
    <col min="11" max="11" width="9.140625" style="4"/>
    <col min="12" max="12" width="12" style="4" bestFit="1" customWidth="1"/>
    <col min="13" max="13" width="13.7109375" style="4" customWidth="1"/>
    <col min="14" max="16384" width="9.140625" style="4"/>
  </cols>
  <sheetData>
    <row r="1" spans="1:10" ht="12.75" customHeight="1">
      <c r="A1" s="323" t="s">
        <v>5</v>
      </c>
      <c r="B1" s="323"/>
      <c r="C1" s="6">
        <v>1999</v>
      </c>
      <c r="D1" s="6">
        <v>2000</v>
      </c>
      <c r="E1" s="7">
        <v>2001</v>
      </c>
      <c r="F1" s="11">
        <v>2002</v>
      </c>
      <c r="G1" s="11">
        <v>2003</v>
      </c>
      <c r="H1" s="11" t="s">
        <v>6</v>
      </c>
      <c r="I1" s="25">
        <v>2013</v>
      </c>
      <c r="J1" s="25">
        <v>2012</v>
      </c>
    </row>
    <row r="2" spans="1:10" ht="12.75" customHeight="1">
      <c r="A2" s="11" t="s">
        <v>0</v>
      </c>
      <c r="B2" s="28" t="s">
        <v>7</v>
      </c>
      <c r="C2" s="21">
        <v>0</v>
      </c>
      <c r="D2" s="21">
        <v>0</v>
      </c>
      <c r="E2" s="21">
        <v>0</v>
      </c>
      <c r="F2" s="21">
        <v>0</v>
      </c>
      <c r="G2" s="21">
        <v>0</v>
      </c>
      <c r="H2" s="84"/>
      <c r="I2" s="84"/>
      <c r="J2" s="84"/>
    </row>
    <row r="3" spans="1:10" ht="12.75" customHeight="1">
      <c r="A3" s="11">
        <v>1</v>
      </c>
      <c r="B3" s="28" t="s">
        <v>8</v>
      </c>
      <c r="C3" s="21">
        <f>C4+C11+C18</f>
        <v>201263989</v>
      </c>
      <c r="D3" s="21">
        <f>D4+D11+D18</f>
        <v>84625737</v>
      </c>
      <c r="E3" s="21">
        <v>373521787</v>
      </c>
      <c r="F3" s="21">
        <f>F4+F11+F18</f>
        <v>-237006</v>
      </c>
      <c r="G3" s="21">
        <f>G4+G11+G18</f>
        <v>425143477</v>
      </c>
      <c r="H3" s="84">
        <v>2</v>
      </c>
      <c r="I3" s="26">
        <v>727077.68</v>
      </c>
      <c r="J3" s="26">
        <v>2366726.67</v>
      </c>
    </row>
    <row r="4" spans="1:10" ht="12.75" customHeight="1">
      <c r="A4" s="11">
        <v>2</v>
      </c>
      <c r="B4" s="28" t="s">
        <v>9</v>
      </c>
      <c r="C4" s="21">
        <f>C5+C6+C7+C8+C9+C10</f>
        <v>0</v>
      </c>
      <c r="D4" s="21">
        <f>D5+D6+D7+D8+D9+D10</f>
        <v>0</v>
      </c>
      <c r="E4" s="21">
        <v>0</v>
      </c>
      <c r="F4" s="21">
        <f>F5+F6+F7+F8+F9+F10</f>
        <v>0</v>
      </c>
      <c r="G4" s="21">
        <f>G5+G6+G7+G8+G9+G10</f>
        <v>0</v>
      </c>
      <c r="H4" s="84"/>
      <c r="I4" s="84"/>
      <c r="J4" s="84"/>
    </row>
    <row r="5" spans="1:10" ht="12.75" customHeight="1">
      <c r="A5" s="19" t="s">
        <v>10</v>
      </c>
      <c r="B5" s="20" t="s">
        <v>11</v>
      </c>
      <c r="C5" s="21">
        <v>0</v>
      </c>
      <c r="D5" s="21">
        <v>0</v>
      </c>
      <c r="E5" s="21">
        <v>0</v>
      </c>
      <c r="F5" s="21">
        <v>0</v>
      </c>
      <c r="G5" s="21"/>
      <c r="H5" s="84"/>
      <c r="I5" s="84"/>
      <c r="J5" s="84"/>
    </row>
    <row r="6" spans="1:10" ht="12.75" customHeight="1">
      <c r="A6" s="19" t="s">
        <v>12</v>
      </c>
      <c r="B6" s="20" t="s">
        <v>13</v>
      </c>
      <c r="C6" s="21">
        <v>0</v>
      </c>
      <c r="D6" s="21">
        <v>0</v>
      </c>
      <c r="E6" s="21">
        <v>0</v>
      </c>
      <c r="F6" s="21">
        <v>0</v>
      </c>
      <c r="G6" s="21"/>
      <c r="H6" s="84"/>
      <c r="I6" s="84"/>
      <c r="J6" s="84"/>
    </row>
    <row r="7" spans="1:10" s="34" customFormat="1" ht="12.75" customHeight="1">
      <c r="A7" s="11"/>
      <c r="B7" s="28" t="s">
        <v>14</v>
      </c>
      <c r="C7" s="33">
        <v>0</v>
      </c>
      <c r="D7" s="33">
        <v>0</v>
      </c>
      <c r="E7" s="33">
        <v>0</v>
      </c>
      <c r="F7" s="33">
        <v>0</v>
      </c>
      <c r="G7" s="33"/>
      <c r="H7" s="84"/>
      <c r="I7" s="230">
        <f>SUM(I3:I6)</f>
        <v>727077.68</v>
      </c>
      <c r="J7" s="230">
        <f>SUM(J3:J6)</f>
        <v>2366726.67</v>
      </c>
    </row>
    <row r="8" spans="1:10" ht="12.75" customHeight="1">
      <c r="A8" s="11">
        <v>3</v>
      </c>
      <c r="B8" s="28" t="s">
        <v>15</v>
      </c>
      <c r="C8" s="21">
        <v>0</v>
      </c>
      <c r="D8" s="21">
        <v>0</v>
      </c>
      <c r="E8" s="21">
        <v>0</v>
      </c>
      <c r="F8" s="21">
        <v>0</v>
      </c>
      <c r="G8" s="21"/>
      <c r="H8" s="84"/>
      <c r="I8" s="84"/>
      <c r="J8" s="84"/>
    </row>
    <row r="9" spans="1:10" ht="12.75" customHeight="1">
      <c r="A9" s="19" t="s">
        <v>10</v>
      </c>
      <c r="B9" s="20" t="s">
        <v>16</v>
      </c>
      <c r="C9" s="21">
        <v>0</v>
      </c>
      <c r="D9" s="21">
        <v>0</v>
      </c>
      <c r="E9" s="21">
        <v>0</v>
      </c>
      <c r="F9" s="21">
        <v>0</v>
      </c>
      <c r="G9" s="21"/>
      <c r="H9" s="84"/>
      <c r="I9" s="26">
        <v>2407178.54</v>
      </c>
      <c r="J9" s="26">
        <v>1559961.1</v>
      </c>
    </row>
    <row r="10" spans="1:10" ht="12.75" customHeight="1">
      <c r="A10" s="19" t="s">
        <v>12</v>
      </c>
      <c r="B10" s="20" t="s">
        <v>192</v>
      </c>
      <c r="C10" s="21">
        <v>0</v>
      </c>
      <c r="D10" s="21">
        <v>0</v>
      </c>
      <c r="E10" s="21">
        <v>0</v>
      </c>
      <c r="F10" s="21">
        <v>0</v>
      </c>
      <c r="G10" s="21"/>
      <c r="H10" s="84">
        <v>3</v>
      </c>
      <c r="I10" s="26">
        <v>2196091</v>
      </c>
      <c r="J10" s="26">
        <f>[2]BSH!$H$33+[2]BSH!$H$38-[2]BSH!$H$70</f>
        <v>2211661.71</v>
      </c>
    </row>
    <row r="11" spans="1:10" ht="12.75" customHeight="1">
      <c r="A11" s="19" t="s">
        <v>17</v>
      </c>
      <c r="B11" s="20" t="s">
        <v>18</v>
      </c>
      <c r="C11" s="21">
        <f>C12+C13+C14+C15+C16+C17</f>
        <v>196835689</v>
      </c>
      <c r="D11" s="21">
        <f>D12+D13+D14+D15+D16+D17</f>
        <v>84625737</v>
      </c>
      <c r="E11" s="21">
        <v>373521787</v>
      </c>
      <c r="F11" s="21">
        <f>100000-337006</f>
        <v>-237006</v>
      </c>
      <c r="G11" s="21">
        <f>G12+G13+G14+G15+G16+G17</f>
        <v>425143477</v>
      </c>
      <c r="H11" s="84"/>
      <c r="I11" s="84"/>
      <c r="J11" s="84"/>
    </row>
    <row r="12" spans="1:10" ht="12.75" customHeight="1">
      <c r="A12" s="19" t="s">
        <v>19</v>
      </c>
      <c r="B12" s="20" t="s">
        <v>20</v>
      </c>
      <c r="C12" s="21">
        <v>45512084</v>
      </c>
      <c r="D12" s="21"/>
      <c r="E12" s="21">
        <v>146103471</v>
      </c>
      <c r="F12" s="21">
        <f>145479500+64505971</f>
        <v>209985471</v>
      </c>
      <c r="G12" s="21">
        <f>131693000+64505971</f>
        <v>196198971</v>
      </c>
      <c r="H12" s="84"/>
      <c r="I12" s="84"/>
      <c r="J12" s="84"/>
    </row>
    <row r="13" spans="1:10" s="34" customFormat="1" ht="12.75" customHeight="1">
      <c r="A13" s="11"/>
      <c r="B13" s="28" t="s">
        <v>21</v>
      </c>
      <c r="C13" s="33">
        <v>89808807</v>
      </c>
      <c r="D13" s="33"/>
      <c r="E13" s="33">
        <v>205449592</v>
      </c>
      <c r="F13" s="33">
        <f>28805025+180115995+1407360</f>
        <v>210328380</v>
      </c>
      <c r="G13" s="33">
        <f>225855822+1407360</f>
        <v>227263182</v>
      </c>
      <c r="H13" s="84"/>
      <c r="I13" s="8">
        <f>SUM(I9:I12)</f>
        <v>4603269.54</v>
      </c>
      <c r="J13" s="8">
        <f>SUM(J9:J12)</f>
        <v>3771622.81</v>
      </c>
    </row>
    <row r="14" spans="1:10" ht="12.75" customHeight="1">
      <c r="A14" s="11">
        <v>4</v>
      </c>
      <c r="B14" s="28" t="s">
        <v>22</v>
      </c>
      <c r="C14" s="21">
        <v>96204577</v>
      </c>
      <c r="D14" s="21">
        <v>162272174</v>
      </c>
      <c r="E14" s="21">
        <v>171204805</v>
      </c>
      <c r="F14" s="21">
        <f>173065760+3267439+1827725+1931387</f>
        <v>180092311</v>
      </c>
      <c r="G14" s="21">
        <f>224460536+3267439+2153882+1931387</f>
        <v>231813244</v>
      </c>
      <c r="H14" s="84"/>
      <c r="I14" s="84"/>
      <c r="J14" s="84"/>
    </row>
    <row r="15" spans="1:10" ht="12.75" customHeight="1">
      <c r="A15" s="19" t="s">
        <v>10</v>
      </c>
      <c r="B15" s="20" t="s">
        <v>24</v>
      </c>
      <c r="C15" s="21">
        <v>4708078</v>
      </c>
      <c r="D15" s="21"/>
      <c r="E15" s="21">
        <v>0</v>
      </c>
      <c r="F15" s="21">
        <v>0</v>
      </c>
      <c r="G15" s="21">
        <f>88319137-88319137</f>
        <v>0</v>
      </c>
      <c r="H15" s="84"/>
      <c r="I15" s="84"/>
      <c r="J15" s="84"/>
    </row>
    <row r="16" spans="1:10" ht="12.75" customHeight="1">
      <c r="A16" s="19" t="s">
        <v>12</v>
      </c>
      <c r="B16" s="20" t="s">
        <v>25</v>
      </c>
      <c r="C16" s="21">
        <v>-39397857</v>
      </c>
      <c r="D16" s="21">
        <v>-77646437</v>
      </c>
      <c r="E16" s="21">
        <v>-149236081</v>
      </c>
      <c r="F16" s="21">
        <f>-(6290169+89418873+75833866+3053614)</f>
        <v>-174596522</v>
      </c>
      <c r="G16" s="21">
        <f>-(9515468+115044258+101669438+3902756)</f>
        <v>-230131920</v>
      </c>
      <c r="H16" s="84"/>
      <c r="I16" s="84"/>
      <c r="J16" s="84"/>
    </row>
    <row r="17" spans="1:12" ht="12.75" customHeight="1">
      <c r="A17" s="19" t="s">
        <v>17</v>
      </c>
      <c r="B17" s="20" t="s">
        <v>26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84"/>
      <c r="I17" s="84"/>
      <c r="J17" s="84"/>
      <c r="L17" s="13"/>
    </row>
    <row r="18" spans="1:12" ht="12.75" customHeight="1">
      <c r="A18" s="19" t="s">
        <v>19</v>
      </c>
      <c r="B18" s="20" t="s">
        <v>27</v>
      </c>
      <c r="C18" s="21">
        <f>SUM(C19:C22)</f>
        <v>4428300</v>
      </c>
      <c r="D18" s="21">
        <f>SUM(D19:D22)</f>
        <v>0</v>
      </c>
      <c r="E18" s="21">
        <v>0</v>
      </c>
      <c r="F18" s="21">
        <f>SUM(F19:F22)</f>
        <v>0</v>
      </c>
      <c r="G18" s="21">
        <f>SUM(G19:G22)</f>
        <v>0</v>
      </c>
      <c r="H18" s="84"/>
      <c r="I18" s="84"/>
      <c r="J18" s="84"/>
    </row>
    <row r="19" spans="1:12" ht="12.75" customHeight="1">
      <c r="A19" s="19" t="s">
        <v>23</v>
      </c>
      <c r="B19" s="20" t="s">
        <v>28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84"/>
      <c r="I19" s="84"/>
      <c r="J19" s="84"/>
      <c r="L19" s="13"/>
    </row>
    <row r="20" spans="1:12" s="34" customFormat="1" ht="12.75" customHeight="1">
      <c r="A20" s="11"/>
      <c r="B20" s="28" t="s">
        <v>29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84"/>
      <c r="I20" s="84"/>
      <c r="J20" s="84"/>
      <c r="L20" s="4"/>
    </row>
    <row r="21" spans="1:12" ht="12.75" customHeight="1">
      <c r="A21" s="11">
        <v>5</v>
      </c>
      <c r="B21" s="28" t="s">
        <v>30</v>
      </c>
      <c r="C21" s="21">
        <v>4428300</v>
      </c>
      <c r="D21" s="21">
        <v>0</v>
      </c>
      <c r="E21" s="21">
        <v>0</v>
      </c>
      <c r="F21" s="21">
        <v>0</v>
      </c>
      <c r="G21" s="21">
        <v>0</v>
      </c>
      <c r="H21" s="84"/>
      <c r="I21" s="84"/>
      <c r="J21" s="84"/>
    </row>
    <row r="22" spans="1:12" ht="12.75" customHeight="1">
      <c r="A22" s="11">
        <v>6</v>
      </c>
      <c r="B22" s="28" t="s">
        <v>31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84"/>
      <c r="I22" s="84"/>
      <c r="J22" s="84"/>
    </row>
    <row r="23" spans="1:12" ht="12.75" customHeight="1">
      <c r="A23" s="11">
        <v>7</v>
      </c>
      <c r="B23" s="28" t="s">
        <v>32</v>
      </c>
      <c r="C23" s="21">
        <f>C24+C30+C36+C39+C43</f>
        <v>75970003</v>
      </c>
      <c r="D23" s="21">
        <f>D24+D30+D36+D39+D43</f>
        <v>65872862</v>
      </c>
      <c r="E23" s="21">
        <v>91535489.25</v>
      </c>
      <c r="F23" s="21" t="e">
        <f>F24+F30+F36+F39+F43</f>
        <v>#REF!</v>
      </c>
      <c r="G23" s="21" t="e">
        <f>G24+G30+G36+G39+G43</f>
        <v>#REF!</v>
      </c>
      <c r="H23" s="84"/>
      <c r="I23" s="84"/>
      <c r="J23" s="84"/>
    </row>
    <row r="24" spans="1:12" s="34" customFormat="1" ht="12.75" customHeight="1">
      <c r="A24" s="11"/>
      <c r="B24" s="28" t="s">
        <v>130</v>
      </c>
      <c r="C24" s="33">
        <f>SUM(C25:C29)</f>
        <v>7700726</v>
      </c>
      <c r="D24" s="33">
        <f>SUM(D25:D29)</f>
        <v>23542873</v>
      </c>
      <c r="E24" s="33">
        <v>47861579</v>
      </c>
      <c r="F24" s="33">
        <f>SUM(F25:F29)</f>
        <v>41253384</v>
      </c>
      <c r="G24" s="33">
        <f>SUM(G25:G29)</f>
        <v>50444295</v>
      </c>
      <c r="H24" s="84"/>
      <c r="I24" s="33">
        <f>+I23+I20+I13+I7</f>
        <v>5330347.22</v>
      </c>
      <c r="J24" s="33">
        <f>+J23+J20+J13+J7</f>
        <v>6138349.4800000004</v>
      </c>
      <c r="L24" s="4"/>
    </row>
    <row r="25" spans="1:12" ht="12.75" customHeight="1">
      <c r="A25" s="11" t="s">
        <v>1</v>
      </c>
      <c r="B25" s="28" t="s">
        <v>33</v>
      </c>
      <c r="C25" s="21">
        <v>7109995</v>
      </c>
      <c r="D25" s="21">
        <v>18559628</v>
      </c>
      <c r="E25" s="21">
        <v>32115465</v>
      </c>
      <c r="F25" s="21">
        <f>4196409+20215562+1434568+890237</f>
        <v>26736776</v>
      </c>
      <c r="G25" s="21">
        <f>8411650+688241+18958901+2788940+3797740</f>
        <v>34645472</v>
      </c>
      <c r="H25" s="84"/>
      <c r="I25" s="84"/>
      <c r="J25" s="84"/>
    </row>
    <row r="26" spans="1:12" ht="12.75" customHeight="1">
      <c r="A26" s="11">
        <v>1</v>
      </c>
      <c r="B26" s="28" t="s">
        <v>34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84"/>
      <c r="I26" s="84"/>
      <c r="J26" s="84"/>
    </row>
    <row r="27" spans="1:12" ht="12.75" customHeight="1">
      <c r="A27" s="19" t="s">
        <v>10</v>
      </c>
      <c r="B27" s="20" t="s">
        <v>35</v>
      </c>
      <c r="C27" s="21">
        <v>0</v>
      </c>
      <c r="D27" s="21">
        <v>4718872</v>
      </c>
      <c r="E27" s="21">
        <v>14544535</v>
      </c>
      <c r="F27" s="21">
        <f>1671310+11279261</f>
        <v>12950571</v>
      </c>
      <c r="G27" s="21">
        <f>7570540+6428196</f>
        <v>13998736</v>
      </c>
      <c r="H27" s="84"/>
      <c r="I27" s="84"/>
      <c r="J27" s="84"/>
    </row>
    <row r="28" spans="1:12" ht="12.75" customHeight="1">
      <c r="A28" s="19" t="s">
        <v>12</v>
      </c>
      <c r="B28" s="20" t="s">
        <v>36</v>
      </c>
      <c r="C28" s="21">
        <v>590731</v>
      </c>
      <c r="D28" s="21">
        <v>264373</v>
      </c>
      <c r="E28" s="21">
        <v>1201579</v>
      </c>
      <c r="F28" s="21">
        <f>693737+872300</f>
        <v>1566037</v>
      </c>
      <c r="G28" s="21">
        <f>929409+870678</f>
        <v>1800087</v>
      </c>
      <c r="H28" s="84"/>
      <c r="I28" s="84"/>
      <c r="J28" s="84"/>
    </row>
    <row r="29" spans="1:12" ht="12.75" customHeight="1">
      <c r="A29" s="19" t="s">
        <v>17</v>
      </c>
      <c r="B29" s="20" t="s">
        <v>37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84"/>
      <c r="I29" s="84"/>
      <c r="J29" s="84"/>
    </row>
    <row r="30" spans="1:12" ht="12.75" customHeight="1">
      <c r="A30" s="19" t="s">
        <v>19</v>
      </c>
      <c r="B30" s="22" t="s">
        <v>38</v>
      </c>
      <c r="C30" s="21">
        <f>SUM(C31:C35)</f>
        <v>61561438</v>
      </c>
      <c r="D30" s="21">
        <f>SUM(D31:D35)</f>
        <v>33568786</v>
      </c>
      <c r="E30" s="21">
        <v>38296642.25</v>
      </c>
      <c r="F30" s="21" t="e">
        <f>SUM(F31:F35)</f>
        <v>#REF!</v>
      </c>
      <c r="G30" s="21" t="e">
        <f>SUM(G31:G35)</f>
        <v>#REF!</v>
      </c>
      <c r="H30" s="84"/>
      <c r="I30" s="84"/>
      <c r="J30" s="84"/>
    </row>
    <row r="31" spans="1:12" ht="12.75" customHeight="1">
      <c r="A31" s="19"/>
      <c r="B31" s="28" t="s">
        <v>39</v>
      </c>
      <c r="C31" s="21">
        <v>27761769</v>
      </c>
      <c r="D31" s="21">
        <v>15679466</v>
      </c>
      <c r="E31" s="21">
        <v>28007796</v>
      </c>
      <c r="F31" s="21">
        <f>43249534-18390838</f>
        <v>24858696</v>
      </c>
      <c r="G31" s="21">
        <v>56700754</v>
      </c>
      <c r="H31" s="84"/>
      <c r="I31" s="84"/>
      <c r="J31" s="84"/>
    </row>
    <row r="32" spans="1:12" ht="12.75" customHeight="1">
      <c r="A32" s="11">
        <v>2</v>
      </c>
      <c r="B32" s="28" t="s">
        <v>40</v>
      </c>
      <c r="C32" s="21">
        <v>0</v>
      </c>
      <c r="D32" s="21">
        <v>12029319</v>
      </c>
      <c r="E32" s="21">
        <v>0</v>
      </c>
      <c r="F32" s="21">
        <v>0</v>
      </c>
      <c r="G32" s="21">
        <v>0</v>
      </c>
      <c r="H32" s="84"/>
      <c r="I32" s="84"/>
      <c r="J32" s="84"/>
    </row>
    <row r="33" spans="1:11" ht="12.75" customHeight="1">
      <c r="A33" s="19" t="s">
        <v>10</v>
      </c>
      <c r="B33" s="20" t="s">
        <v>41</v>
      </c>
      <c r="C33" s="21">
        <v>237000</v>
      </c>
      <c r="D33" s="21">
        <v>730001</v>
      </c>
      <c r="E33" s="21">
        <v>0</v>
      </c>
      <c r="F33" s="21">
        <f>317000</f>
        <v>317000</v>
      </c>
      <c r="G33" s="21">
        <v>0</v>
      </c>
      <c r="H33" s="84"/>
      <c r="I33" s="84"/>
      <c r="J33" s="84"/>
    </row>
    <row r="34" spans="1:11" ht="12.75" customHeight="1">
      <c r="A34" s="19" t="s">
        <v>12</v>
      </c>
      <c r="B34" s="20" t="s">
        <v>4</v>
      </c>
      <c r="C34" s="21">
        <v>33562669</v>
      </c>
      <c r="D34" s="21">
        <v>5130000</v>
      </c>
      <c r="E34" s="21">
        <v>10288846.25</v>
      </c>
      <c r="F34" s="21" t="e">
        <f>17678006-'Te ardhura e shpenzime'!#REF!</f>
        <v>#REF!</v>
      </c>
      <c r="G34" s="21" t="e">
        <f>26487723-718910-'Te ardhura e shpenzime'!#REF!+5130000</f>
        <v>#REF!</v>
      </c>
      <c r="H34" s="84"/>
      <c r="I34" s="84"/>
      <c r="J34" s="84"/>
    </row>
    <row r="35" spans="1:11" ht="12.75" customHeight="1">
      <c r="A35" s="19" t="s">
        <v>17</v>
      </c>
      <c r="B35" s="20" t="s">
        <v>42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84">
        <v>4</v>
      </c>
      <c r="I35" s="26">
        <v>4065494.3599999994</v>
      </c>
      <c r="J35" s="26">
        <v>5081867.9499999993</v>
      </c>
    </row>
    <row r="36" spans="1:11" ht="12.75" customHeight="1">
      <c r="A36" s="19" t="s">
        <v>19</v>
      </c>
      <c r="B36" s="20" t="s">
        <v>43</v>
      </c>
      <c r="C36" s="21">
        <f>SUM(C37:C38)</f>
        <v>0</v>
      </c>
      <c r="D36" s="21">
        <f>SUM(D37:D38)</f>
        <v>0</v>
      </c>
      <c r="E36" s="21">
        <v>0</v>
      </c>
      <c r="F36" s="21">
        <f>SUM(F37:F38)</f>
        <v>0</v>
      </c>
      <c r="G36" s="21">
        <v>0</v>
      </c>
      <c r="H36" s="84">
        <v>4</v>
      </c>
      <c r="I36" s="26">
        <v>910617.28999999992</v>
      </c>
      <c r="J36" s="26">
        <v>829717.31</v>
      </c>
    </row>
    <row r="37" spans="1:11" s="34" customFormat="1" ht="12.75" customHeight="1">
      <c r="A37" s="11"/>
      <c r="B37" s="28" t="s">
        <v>14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84"/>
      <c r="I37" s="8">
        <f>SUM(I35:I36)</f>
        <v>4976111.6499999994</v>
      </c>
      <c r="J37" s="8">
        <f>SUM(J35:J36)</f>
        <v>5911585.2599999998</v>
      </c>
      <c r="K37" s="122"/>
    </row>
    <row r="38" spans="1:11" ht="12.75" customHeight="1">
      <c r="A38" s="11">
        <v>3</v>
      </c>
      <c r="B38" s="28" t="s">
        <v>44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84"/>
      <c r="I38" s="84"/>
      <c r="J38" s="84"/>
    </row>
    <row r="39" spans="1:11" ht="12.75" customHeight="1">
      <c r="A39" s="11">
        <v>4</v>
      </c>
      <c r="B39" s="28" t="s">
        <v>45</v>
      </c>
      <c r="C39" s="21">
        <f>SUM(C40:C42)</f>
        <v>6707839</v>
      </c>
      <c r="D39" s="21">
        <f>SUM(D40:D42)</f>
        <v>8761203</v>
      </c>
      <c r="E39" s="21">
        <v>5377268</v>
      </c>
      <c r="F39" s="21">
        <f>SUM(F40:F42)</f>
        <v>13013243</v>
      </c>
      <c r="G39" s="21">
        <f>SUM(G40:G42)</f>
        <v>1313177</v>
      </c>
      <c r="H39" s="25"/>
      <c r="I39" s="25"/>
      <c r="J39" s="25"/>
    </row>
    <row r="40" spans="1:11" ht="12.75" customHeight="1">
      <c r="A40" s="19" t="s">
        <v>10</v>
      </c>
      <c r="B40" s="20" t="s">
        <v>46</v>
      </c>
      <c r="C40" s="21">
        <v>2555535</v>
      </c>
      <c r="D40" s="21">
        <v>1152332</v>
      </c>
      <c r="E40" s="21">
        <v>5053412</v>
      </c>
      <c r="F40" s="21">
        <f>4090529+859568+60696+18682+20198+71188+11962+20515+113315</f>
        <v>5266653</v>
      </c>
      <c r="G40" s="21">
        <f>1299+1759+60696+28211+13318+71188+76941+48487+203390-1616-3370</f>
        <v>500303</v>
      </c>
      <c r="H40" s="84"/>
      <c r="I40" s="84"/>
      <c r="J40" s="84"/>
    </row>
    <row r="41" spans="1:11" ht="12.75" customHeight="1">
      <c r="A41" s="19" t="s">
        <v>12</v>
      </c>
      <c r="B41" s="20" t="s">
        <v>47</v>
      </c>
      <c r="C41" s="21">
        <v>4152304</v>
      </c>
      <c r="D41" s="21">
        <v>7608871</v>
      </c>
      <c r="E41" s="21">
        <v>323856</v>
      </c>
      <c r="F41" s="21">
        <f>7249076+485180+12334</f>
        <v>7746590</v>
      </c>
      <c r="G41" s="21">
        <f>114281+687656+10937</f>
        <v>812874</v>
      </c>
      <c r="H41" s="84"/>
      <c r="I41" s="84"/>
      <c r="J41" s="84"/>
    </row>
    <row r="42" spans="1:11" ht="12.75" customHeight="1">
      <c r="A42" s="19" t="s">
        <v>17</v>
      </c>
      <c r="B42" s="20" t="s">
        <v>48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84"/>
      <c r="I42" s="84"/>
      <c r="J42" s="84"/>
    </row>
    <row r="43" spans="1:11" s="34" customFormat="1" ht="12.75" customHeight="1">
      <c r="A43" s="11"/>
      <c r="B43" s="28" t="s">
        <v>29</v>
      </c>
      <c r="C43" s="33">
        <f>C44</f>
        <v>0</v>
      </c>
      <c r="D43" s="33">
        <f>D44</f>
        <v>0</v>
      </c>
      <c r="E43" s="33">
        <v>0</v>
      </c>
      <c r="F43" s="33">
        <f>F44</f>
        <v>0</v>
      </c>
      <c r="G43" s="33">
        <v>0</v>
      </c>
      <c r="H43" s="84"/>
      <c r="I43" s="84"/>
      <c r="J43" s="84"/>
    </row>
    <row r="44" spans="1:11" s="34" customFormat="1" ht="12.75" customHeight="1">
      <c r="A44" s="11">
        <v>5</v>
      </c>
      <c r="B44" s="28" t="s">
        <v>49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84"/>
      <c r="I44" s="84"/>
      <c r="J44" s="84"/>
    </row>
    <row r="45" spans="1:11" ht="12.75" customHeight="1">
      <c r="A45" s="11">
        <v>6</v>
      </c>
      <c r="B45" s="28" t="s">
        <v>50</v>
      </c>
      <c r="C45" s="21">
        <f>SUM(C46:C47)</f>
        <v>0</v>
      </c>
      <c r="D45" s="21">
        <f>SUM(D46:D47)</f>
        <v>0</v>
      </c>
      <c r="E45" s="21">
        <v>0</v>
      </c>
      <c r="F45" s="21">
        <f>SUM(F46:F47)</f>
        <v>0</v>
      </c>
      <c r="G45" s="21">
        <v>0</v>
      </c>
      <c r="H45" s="84">
        <v>5</v>
      </c>
      <c r="I45" s="8">
        <v>1467555</v>
      </c>
      <c r="J45" s="8">
        <v>1652555</v>
      </c>
    </row>
    <row r="46" spans="1:11" s="34" customFormat="1" ht="12.75" customHeight="1">
      <c r="A46" s="11"/>
      <c r="B46" s="28" t="s">
        <v>51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84"/>
      <c r="I46" s="8">
        <f>+I37+I45+I43</f>
        <v>6443666.6499999994</v>
      </c>
      <c r="J46" s="8">
        <f>+J37+J45+J43</f>
        <v>7564140.2599999998</v>
      </c>
    </row>
    <row r="47" spans="1:11" s="34" customFormat="1" ht="12.75" customHeight="1">
      <c r="A47" s="11"/>
      <c r="B47" s="28" t="s">
        <v>52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84"/>
      <c r="I47" s="8">
        <f>+I46+I24</f>
        <v>11774013.869999999</v>
      </c>
      <c r="J47" s="8">
        <f>+J46+J24</f>
        <v>13702489.74</v>
      </c>
    </row>
    <row r="48" spans="1:11" ht="12.75" customHeight="1">
      <c r="A48" s="10"/>
      <c r="B48" s="10"/>
      <c r="C48" s="18"/>
      <c r="D48" s="18"/>
      <c r="E48" s="18"/>
      <c r="F48" s="18"/>
      <c r="G48" s="18"/>
      <c r="H48" s="18"/>
      <c r="I48" s="18"/>
      <c r="J48" s="18"/>
    </row>
    <row r="49" spans="1:10" ht="12.75" customHeight="1">
      <c r="A49" s="324"/>
      <c r="B49" s="324"/>
      <c r="C49" s="14"/>
      <c r="D49" s="14"/>
      <c r="F49" s="12"/>
      <c r="G49" s="12"/>
      <c r="H49" s="12"/>
      <c r="I49" s="12"/>
      <c r="J49" s="12"/>
    </row>
    <row r="50" spans="1:10" ht="12.75" customHeight="1">
      <c r="A50" s="324"/>
      <c r="B50" s="324"/>
      <c r="C50" s="324"/>
      <c r="D50" s="324"/>
      <c r="E50" s="324"/>
      <c r="F50" s="324"/>
      <c r="G50" s="324"/>
      <c r="H50" s="324"/>
      <c r="I50" s="324"/>
      <c r="J50" s="324"/>
    </row>
    <row r="51" spans="1:10" ht="12.75" customHeight="1">
      <c r="A51" s="323" t="s">
        <v>123</v>
      </c>
      <c r="B51" s="323"/>
      <c r="C51" s="6">
        <v>1999</v>
      </c>
      <c r="D51" s="6">
        <v>2000</v>
      </c>
      <c r="E51" s="7">
        <v>2001</v>
      </c>
      <c r="F51" s="11">
        <v>2002</v>
      </c>
      <c r="G51" s="11">
        <v>2003</v>
      </c>
      <c r="H51" s="84"/>
      <c r="I51" s="25">
        <v>2013</v>
      </c>
      <c r="J51" s="24">
        <v>2012</v>
      </c>
    </row>
    <row r="52" spans="1:10" ht="12.75" customHeight="1">
      <c r="A52" s="323" t="s">
        <v>53</v>
      </c>
      <c r="B52" s="323"/>
      <c r="C52" s="6"/>
      <c r="D52" s="6"/>
      <c r="E52" s="7"/>
      <c r="F52" s="11"/>
      <c r="G52" s="11"/>
      <c r="H52" s="84"/>
      <c r="I52" s="84"/>
      <c r="J52" s="84"/>
    </row>
    <row r="53" spans="1:10" ht="12.75" customHeight="1">
      <c r="A53" s="11" t="s">
        <v>0</v>
      </c>
      <c r="B53" s="28" t="s">
        <v>54</v>
      </c>
      <c r="C53" s="21">
        <f>C54+C64+C69+C70</f>
        <v>56512963</v>
      </c>
      <c r="D53" s="21">
        <f>D54+D64+D69+D70</f>
        <v>113958327</v>
      </c>
      <c r="E53" s="21">
        <v>215426152.25</v>
      </c>
      <c r="F53" s="21" t="e">
        <f>F54+F64+F69+F70</f>
        <v>#REF!</v>
      </c>
      <c r="G53" s="21" t="e">
        <f>G54+G64+G69+G70</f>
        <v>#REF!</v>
      </c>
      <c r="H53" s="84"/>
      <c r="I53" s="84"/>
      <c r="J53" s="84"/>
    </row>
    <row r="54" spans="1:10" ht="12.75" customHeight="1">
      <c r="A54" s="11">
        <v>1</v>
      </c>
      <c r="B54" s="28" t="s">
        <v>11</v>
      </c>
      <c r="C54" s="21">
        <f>C55+C56+C57+C58+C62+C63</f>
        <v>39609170</v>
      </c>
      <c r="D54" s="21">
        <f>D55+D56+D57+D58+D62+D63</f>
        <v>79162316</v>
      </c>
      <c r="E54" s="21">
        <v>158062086.75</v>
      </c>
      <c r="F54" s="21" t="e">
        <f>F55+F56+F57+F58+F62+F63</f>
        <v>#REF!</v>
      </c>
      <c r="G54" s="21" t="e">
        <f>G55+G56+G57+G58+G62+G63</f>
        <v>#REF!</v>
      </c>
      <c r="H54" s="84"/>
      <c r="I54" s="84"/>
      <c r="J54" s="84"/>
    </row>
    <row r="55" spans="1:10" ht="12.75" customHeight="1">
      <c r="A55" s="11">
        <v>2</v>
      </c>
      <c r="B55" s="28" t="s">
        <v>55</v>
      </c>
      <c r="C55" s="21">
        <v>100000</v>
      </c>
      <c r="D55" s="21">
        <v>100000</v>
      </c>
      <c r="E55" s="21">
        <v>72120000</v>
      </c>
      <c r="F55" s="21">
        <v>72120000</v>
      </c>
      <c r="G55" s="21">
        <v>72120000</v>
      </c>
      <c r="H55" s="84"/>
      <c r="I55" s="84"/>
      <c r="J55" s="84"/>
    </row>
    <row r="56" spans="1:10" ht="12.75" customHeight="1">
      <c r="A56" s="19" t="s">
        <v>10</v>
      </c>
      <c r="B56" s="20" t="s">
        <v>56</v>
      </c>
      <c r="C56" s="21">
        <v>0</v>
      </c>
      <c r="D56" s="21">
        <v>0</v>
      </c>
      <c r="E56" s="21">
        <v>47205564.25</v>
      </c>
      <c r="F56" s="21">
        <v>47205564</v>
      </c>
      <c r="G56" s="21">
        <v>47205564</v>
      </c>
      <c r="H56" s="84"/>
      <c r="I56" s="84"/>
      <c r="J56" s="84"/>
    </row>
    <row r="57" spans="1:10" ht="12.75" customHeight="1">
      <c r="A57" s="19" t="s">
        <v>12</v>
      </c>
      <c r="B57" s="20" t="s">
        <v>57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84"/>
      <c r="I57" s="26"/>
      <c r="J57" s="26"/>
    </row>
    <row r="58" spans="1:10" ht="12.75" customHeight="1">
      <c r="A58" s="19" t="s">
        <v>17</v>
      </c>
      <c r="B58" s="20" t="s">
        <v>58</v>
      </c>
      <c r="C58" s="21">
        <f>SUM(C59:C61)</f>
        <v>0</v>
      </c>
      <c r="D58" s="21">
        <f>SUM(D59:D61)</f>
        <v>0</v>
      </c>
      <c r="E58" s="21">
        <v>7042316</v>
      </c>
      <c r="F58" s="21">
        <f>SUM(F59:F61)</f>
        <v>7042316</v>
      </c>
      <c r="G58" s="21">
        <f>SUM(G59:G61)</f>
        <v>46364118</v>
      </c>
      <c r="H58" s="84"/>
      <c r="I58" s="84"/>
      <c r="J58" s="84"/>
    </row>
    <row r="59" spans="1:10" s="34" customFormat="1" ht="12.75" customHeight="1">
      <c r="A59" s="11"/>
      <c r="B59" s="28" t="s">
        <v>14</v>
      </c>
      <c r="C59" s="33">
        <v>0</v>
      </c>
      <c r="D59" s="33">
        <v>0</v>
      </c>
      <c r="E59" s="33">
        <v>100000</v>
      </c>
      <c r="F59" s="33">
        <v>100000</v>
      </c>
      <c r="G59" s="33">
        <f>100000+7112000</f>
        <v>7212000</v>
      </c>
      <c r="H59" s="84"/>
      <c r="I59" s="8"/>
      <c r="J59" s="8">
        <f>SUM(J57:J58)</f>
        <v>0</v>
      </c>
    </row>
    <row r="60" spans="1:10" ht="12.75" customHeight="1">
      <c r="A60" s="11">
        <v>3</v>
      </c>
      <c r="B60" s="28" t="s">
        <v>59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84"/>
      <c r="I60" s="84"/>
      <c r="J60" s="84"/>
    </row>
    <row r="61" spans="1:10" ht="12.75" customHeight="1">
      <c r="A61" s="19" t="s">
        <v>10</v>
      </c>
      <c r="B61" s="22" t="s">
        <v>60</v>
      </c>
      <c r="C61" s="21">
        <v>0</v>
      </c>
      <c r="D61" s="21">
        <v>0</v>
      </c>
      <c r="E61" s="21">
        <v>6942316</v>
      </c>
      <c r="F61" s="21">
        <v>6942316</v>
      </c>
      <c r="G61" s="21">
        <v>39152118</v>
      </c>
      <c r="H61" s="84"/>
      <c r="I61" s="26">
        <v>1879548.4</v>
      </c>
      <c r="J61" s="26">
        <v>1349698.68</v>
      </c>
    </row>
    <row r="62" spans="1:10" ht="12.75" customHeight="1">
      <c r="A62" s="19" t="s">
        <v>12</v>
      </c>
      <c r="B62" s="22" t="s">
        <v>61</v>
      </c>
      <c r="C62" s="21">
        <v>8149519</v>
      </c>
      <c r="D62" s="21">
        <v>39509170</v>
      </c>
      <c r="E62" s="21">
        <v>0</v>
      </c>
      <c r="F62" s="21">
        <v>25017223</v>
      </c>
      <c r="G62" s="21">
        <v>0</v>
      </c>
      <c r="H62" s="84"/>
      <c r="I62" s="21">
        <v>2141996.2999999998</v>
      </c>
      <c r="J62" s="21">
        <v>1205975.8</v>
      </c>
    </row>
    <row r="63" spans="1:10" ht="12.75" customHeight="1">
      <c r="A63" s="19" t="s">
        <v>17</v>
      </c>
      <c r="B63" s="22" t="s">
        <v>62</v>
      </c>
      <c r="C63" s="21">
        <v>31359651</v>
      </c>
      <c r="D63" s="21">
        <v>39553146</v>
      </c>
      <c r="E63" s="21">
        <v>31694206.5</v>
      </c>
      <c r="F63" s="21" t="e">
        <f>'Te ardhura e shpenzime'!#REF!</f>
        <v>#REF!</v>
      </c>
      <c r="G63" s="21" t="e">
        <f>'Te ardhura e shpenzime'!#REF!</f>
        <v>#REF!</v>
      </c>
      <c r="H63" s="84">
        <v>6</v>
      </c>
      <c r="I63" s="26">
        <v>221197.12</v>
      </c>
      <c r="J63" s="26">
        <f>[2]BSH!$H$72+[2]BSH!$H$76+[2]BSH!$H$85</f>
        <v>90297.12</v>
      </c>
    </row>
    <row r="64" spans="1:10" ht="12.75" customHeight="1">
      <c r="A64" s="19" t="s">
        <v>19</v>
      </c>
      <c r="B64" s="22" t="s">
        <v>193</v>
      </c>
      <c r="C64" s="21">
        <f>SUM(C65:C68)</f>
        <v>0</v>
      </c>
      <c r="D64" s="21">
        <f>SUM(D65:D68)</f>
        <v>0</v>
      </c>
      <c r="E64" s="21">
        <v>0</v>
      </c>
      <c r="F64" s="21">
        <f>SUM(F65:F68)</f>
        <v>0</v>
      </c>
      <c r="G64" s="21">
        <f>SUM(G65:G68)</f>
        <v>0</v>
      </c>
      <c r="H64" s="84"/>
      <c r="I64" s="26"/>
      <c r="J64" s="26"/>
    </row>
    <row r="65" spans="1:12" ht="12.75" customHeight="1">
      <c r="A65" s="19" t="s">
        <v>23</v>
      </c>
      <c r="B65" s="22" t="s">
        <v>63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84"/>
      <c r="I65" s="84"/>
      <c r="J65" s="84"/>
    </row>
    <row r="66" spans="1:12" s="34" customFormat="1" ht="12.75" customHeight="1">
      <c r="A66" s="11"/>
      <c r="B66" s="28" t="s">
        <v>21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84"/>
      <c r="I66" s="8">
        <f>SUM(I61:I65)</f>
        <v>4242741.8199999994</v>
      </c>
      <c r="J66" s="8">
        <f>SUM(J61:J65)</f>
        <v>2645971.6</v>
      </c>
    </row>
    <row r="67" spans="1:12" ht="12.75" customHeight="1">
      <c r="A67" s="11">
        <v>4</v>
      </c>
      <c r="B67" s="28" t="s">
        <v>64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84"/>
      <c r="I67" s="84"/>
      <c r="J67" s="84"/>
    </row>
    <row r="68" spans="1:12" ht="12.75" customHeight="1">
      <c r="A68" s="11">
        <v>5</v>
      </c>
      <c r="B68" s="28" t="s">
        <v>65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84"/>
      <c r="I68" s="84"/>
      <c r="J68" s="84"/>
    </row>
    <row r="69" spans="1:12" s="34" customFormat="1" ht="12.75" customHeight="1">
      <c r="A69" s="11"/>
      <c r="B69" s="28" t="s">
        <v>66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84"/>
      <c r="I69" s="8">
        <f>+I68+I67+I66+I59</f>
        <v>4242741.8199999994</v>
      </c>
      <c r="J69" s="8">
        <f>+J68+J67+J66+J59</f>
        <v>2645971.6</v>
      </c>
    </row>
    <row r="70" spans="1:12" ht="12.75" customHeight="1">
      <c r="A70" s="19"/>
      <c r="B70" s="22"/>
      <c r="C70" s="21">
        <f>SUM(C71:C72)</f>
        <v>16903793</v>
      </c>
      <c r="D70" s="21">
        <f>SUM(D71:D72)</f>
        <v>34796011</v>
      </c>
      <c r="E70" s="21">
        <v>57364065.5</v>
      </c>
      <c r="F70" s="21">
        <f>SUM(F71:F72)</f>
        <v>64041050</v>
      </c>
      <c r="G70" s="21">
        <f>SUM(G71:G72)</f>
        <v>64041050</v>
      </c>
      <c r="H70" s="84"/>
      <c r="I70" s="84"/>
      <c r="J70" s="84"/>
    </row>
    <row r="71" spans="1:12" ht="12.75" customHeight="1">
      <c r="A71" s="11" t="s">
        <v>1</v>
      </c>
      <c r="B71" s="28" t="s">
        <v>67</v>
      </c>
      <c r="C71" s="21">
        <v>16903793</v>
      </c>
      <c r="D71" s="21">
        <v>34796011</v>
      </c>
      <c r="E71" s="21">
        <v>57364065.5</v>
      </c>
      <c r="F71" s="21">
        <v>64041050</v>
      </c>
      <c r="G71" s="21">
        <v>64041050</v>
      </c>
      <c r="H71" s="84"/>
      <c r="I71" s="84"/>
      <c r="J71" s="84"/>
    </row>
    <row r="72" spans="1:12" ht="12.75" customHeight="1">
      <c r="A72" s="11">
        <v>1</v>
      </c>
      <c r="B72" s="28" t="s">
        <v>68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84"/>
      <c r="I72" s="84"/>
      <c r="J72" s="84"/>
    </row>
    <row r="73" spans="1:12" ht="12.75" customHeight="1">
      <c r="A73" s="19" t="s">
        <v>10</v>
      </c>
      <c r="B73" s="20" t="s">
        <v>69</v>
      </c>
      <c r="C73" s="21">
        <f>C74+C82</f>
        <v>220721029</v>
      </c>
      <c r="D73" s="21">
        <f>D74+D82</f>
        <v>288597263</v>
      </c>
      <c r="E73" s="21">
        <v>249631124</v>
      </c>
      <c r="F73" s="21">
        <f>F74+F82</f>
        <v>288008954</v>
      </c>
      <c r="G73" s="21">
        <f>G74+G82</f>
        <v>293613970</v>
      </c>
      <c r="H73" s="84">
        <v>7</v>
      </c>
      <c r="I73" s="21">
        <v>553073.57999999996</v>
      </c>
      <c r="J73" s="21">
        <v>1838558.15</v>
      </c>
      <c r="L73" s="13"/>
    </row>
    <row r="74" spans="1:12" ht="12.75" customHeight="1">
      <c r="A74" s="19" t="s">
        <v>12</v>
      </c>
      <c r="B74" s="20" t="s">
        <v>70</v>
      </c>
      <c r="C74" s="21">
        <f>SUM(C75:C81)</f>
        <v>84481379</v>
      </c>
      <c r="D74" s="21">
        <f>SUM(D75:D81)</f>
        <v>145032122</v>
      </c>
      <c r="E74" s="21">
        <v>204986429</v>
      </c>
      <c r="F74" s="21">
        <f>SUM(F75:F81)</f>
        <v>218896549</v>
      </c>
      <c r="G74" s="21">
        <f>SUM(G75:G81)</f>
        <v>130802045</v>
      </c>
      <c r="H74" s="84"/>
      <c r="I74" s="84"/>
      <c r="J74" s="84"/>
    </row>
    <row r="75" spans="1:12" s="34" customFormat="1" ht="12.75" customHeight="1">
      <c r="A75" s="11"/>
      <c r="B75" s="28" t="s">
        <v>39</v>
      </c>
      <c r="C75" s="33">
        <v>27813645</v>
      </c>
      <c r="D75" s="33">
        <v>30215728</v>
      </c>
      <c r="E75" s="33">
        <v>51320728</v>
      </c>
      <c r="F75" s="33">
        <f>34925000+20490000</f>
        <v>55415000</v>
      </c>
      <c r="G75" s="33">
        <v>26184347</v>
      </c>
      <c r="H75" s="84"/>
      <c r="I75" s="8">
        <f>SUM(I72:I74)</f>
        <v>553073.57999999996</v>
      </c>
      <c r="J75" s="8">
        <f>SUM(J72:J74)</f>
        <v>1838558.15</v>
      </c>
    </row>
    <row r="76" spans="1:12" s="34" customFormat="1" ht="12.75" customHeight="1">
      <c r="A76" s="11">
        <v>2</v>
      </c>
      <c r="B76" s="28" t="s">
        <v>71</v>
      </c>
      <c r="C76" s="33">
        <v>56667734</v>
      </c>
      <c r="D76" s="33">
        <v>114816394</v>
      </c>
      <c r="E76" s="33">
        <v>75318498</v>
      </c>
      <c r="F76" s="33">
        <f>6481212+70848337</f>
        <v>77329549</v>
      </c>
      <c r="G76" s="33">
        <f>56620069+26475469</f>
        <v>83095538</v>
      </c>
      <c r="H76" s="84"/>
      <c r="I76" s="8">
        <v>3545208.11</v>
      </c>
      <c r="J76" s="8">
        <f>[2]BSH!$I$91+[2]BSH!$H$80</f>
        <v>3545208.11</v>
      </c>
    </row>
    <row r="77" spans="1:12" ht="12.75" customHeight="1">
      <c r="A77" s="11">
        <v>3</v>
      </c>
      <c r="B77" s="28" t="s">
        <v>72</v>
      </c>
      <c r="C77" s="21">
        <v>0</v>
      </c>
      <c r="D77" s="21">
        <v>0</v>
      </c>
      <c r="E77" s="21">
        <v>0</v>
      </c>
      <c r="F77" s="21">
        <v>13700000</v>
      </c>
      <c r="G77" s="21">
        <v>0</v>
      </c>
      <c r="H77" s="84"/>
      <c r="I77" s="84"/>
      <c r="J77" s="84"/>
    </row>
    <row r="78" spans="1:12" ht="12.75" customHeight="1">
      <c r="A78" s="11">
        <v>4</v>
      </c>
      <c r="B78" s="28" t="s">
        <v>64</v>
      </c>
      <c r="C78" s="21">
        <v>0</v>
      </c>
      <c r="D78" s="21">
        <v>0</v>
      </c>
      <c r="E78" s="21">
        <v>15801738</v>
      </c>
      <c r="F78" s="21">
        <f>33452000</f>
        <v>33452000</v>
      </c>
      <c r="G78" s="21">
        <f>11522160</f>
        <v>11522160</v>
      </c>
      <c r="H78" s="84"/>
      <c r="I78" s="84"/>
      <c r="J78" s="84"/>
    </row>
    <row r="79" spans="1:12" s="34" customFormat="1" ht="12.75" customHeight="1">
      <c r="A79" s="11"/>
      <c r="B79" s="28" t="s">
        <v>73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84"/>
      <c r="I79" s="8">
        <f>SUM(I75:I78)</f>
        <v>4098281.69</v>
      </c>
      <c r="J79" s="8">
        <f>SUM(J75:J78)</f>
        <v>5383766.2599999998</v>
      </c>
    </row>
    <row r="80" spans="1:12" s="34" customFormat="1" ht="12.75" customHeight="1">
      <c r="A80" s="11"/>
      <c r="B80" s="28" t="s">
        <v>74</v>
      </c>
      <c r="C80" s="33">
        <v>0</v>
      </c>
      <c r="D80" s="33">
        <v>0</v>
      </c>
      <c r="E80" s="33">
        <v>45505465</v>
      </c>
      <c r="F80" s="33">
        <f>54228159+14409416+1954059-31591634</f>
        <v>39000000</v>
      </c>
      <c r="G80" s="33">
        <f>10000000</f>
        <v>10000000</v>
      </c>
      <c r="H80" s="84"/>
      <c r="I80" s="8">
        <f>I79+I69</f>
        <v>8341023.5099999998</v>
      </c>
      <c r="J80" s="8">
        <f>J79+J69</f>
        <v>8029737.8599999994</v>
      </c>
    </row>
    <row r="81" spans="1:13" ht="12.75" customHeight="1">
      <c r="A81" s="19"/>
      <c r="B81" s="20"/>
      <c r="C81" s="21">
        <v>0</v>
      </c>
      <c r="D81" s="21">
        <v>0</v>
      </c>
      <c r="E81" s="21">
        <v>17040000</v>
      </c>
      <c r="F81" s="21">
        <v>0</v>
      </c>
      <c r="G81" s="21">
        <v>0</v>
      </c>
      <c r="H81" s="84"/>
      <c r="I81" s="84"/>
      <c r="J81" s="84"/>
    </row>
    <row r="82" spans="1:13" ht="12.75" customHeight="1">
      <c r="A82" s="11" t="s">
        <v>2</v>
      </c>
      <c r="B82" s="28" t="s">
        <v>75</v>
      </c>
      <c r="C82" s="21">
        <f>SUM(C83:C91)</f>
        <v>136239650</v>
      </c>
      <c r="D82" s="21">
        <f>SUM(D83:D91)</f>
        <v>143565141</v>
      </c>
      <c r="E82" s="21">
        <v>44644695</v>
      </c>
      <c r="F82" s="21">
        <f>SUM(F83:F91)</f>
        <v>69112405</v>
      </c>
      <c r="G82" s="21">
        <f>SUM(G83:G91)</f>
        <v>162811925</v>
      </c>
      <c r="H82" s="84"/>
      <c r="I82" s="84"/>
      <c r="J82" s="84"/>
    </row>
    <row r="83" spans="1:13" ht="27" customHeight="1">
      <c r="A83" s="11">
        <v>1</v>
      </c>
      <c r="B83" s="30" t="s">
        <v>76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84"/>
      <c r="I83" s="84"/>
      <c r="J83" s="84"/>
    </row>
    <row r="84" spans="1:13" ht="28.5" customHeight="1">
      <c r="A84" s="11">
        <v>2</v>
      </c>
      <c r="B84" s="29" t="s">
        <v>77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84"/>
      <c r="I84" s="84"/>
      <c r="J84" s="84"/>
    </row>
    <row r="85" spans="1:13" ht="12.75" customHeight="1">
      <c r="A85" s="11">
        <v>3</v>
      </c>
      <c r="B85" s="20" t="s">
        <v>78</v>
      </c>
      <c r="C85" s="21">
        <v>0</v>
      </c>
      <c r="D85" s="21">
        <v>0</v>
      </c>
      <c r="E85" s="21">
        <v>0</v>
      </c>
      <c r="F85" s="21">
        <v>0</v>
      </c>
      <c r="G85" s="21">
        <f>25502780+4928194</f>
        <v>30430974</v>
      </c>
      <c r="H85" s="84"/>
      <c r="I85" s="26">
        <f>J85</f>
        <v>100000</v>
      </c>
      <c r="J85" s="26">
        <v>100000</v>
      </c>
    </row>
    <row r="86" spans="1:13" ht="12.75" customHeight="1">
      <c r="A86" s="11">
        <v>4</v>
      </c>
      <c r="B86" s="20" t="s">
        <v>79</v>
      </c>
      <c r="C86" s="21">
        <v>58100520</v>
      </c>
      <c r="D86" s="21">
        <v>29447042</v>
      </c>
      <c r="E86" s="21">
        <v>29596919</v>
      </c>
      <c r="F86" s="21">
        <f>62887782-3249540-21630746</f>
        <v>38007496</v>
      </c>
      <c r="G86" s="21">
        <f>90217943+25640002</f>
        <v>115857945</v>
      </c>
      <c r="H86" s="84"/>
      <c r="I86" s="230"/>
      <c r="J86" s="230"/>
    </row>
    <row r="87" spans="1:13" ht="12.75" customHeight="1">
      <c r="A87" s="11">
        <v>5</v>
      </c>
      <c r="B87" s="20" t="s">
        <v>80</v>
      </c>
      <c r="C87" s="21">
        <v>275448</v>
      </c>
      <c r="D87" s="21">
        <v>604436</v>
      </c>
      <c r="E87" s="21">
        <v>1201616</v>
      </c>
      <c r="F87" s="21">
        <f>1243183+12000</f>
        <v>1255183</v>
      </c>
      <c r="G87" s="21">
        <f>2341575+12000</f>
        <v>2353575</v>
      </c>
      <c r="H87" s="84"/>
      <c r="I87" s="230"/>
      <c r="J87" s="230"/>
    </row>
    <row r="88" spans="1:13" ht="12.75" customHeight="1">
      <c r="A88" s="11">
        <v>6</v>
      </c>
      <c r="B88" s="20" t="s">
        <v>81</v>
      </c>
      <c r="C88" s="21">
        <v>372404</v>
      </c>
      <c r="D88" s="21">
        <v>1338666</v>
      </c>
      <c r="E88" s="21">
        <v>3050222</v>
      </c>
      <c r="F88" s="21">
        <v>2761080</v>
      </c>
      <c r="G88" s="21">
        <v>1981890</v>
      </c>
      <c r="H88" s="84"/>
      <c r="I88" s="230"/>
      <c r="J88" s="230"/>
    </row>
    <row r="89" spans="1:13" ht="12.75" customHeight="1">
      <c r="A89" s="11">
        <v>7</v>
      </c>
      <c r="B89" s="20" t="s">
        <v>82</v>
      </c>
      <c r="C89" s="21">
        <v>207948</v>
      </c>
      <c r="D89" s="21">
        <v>400965</v>
      </c>
      <c r="E89" s="21">
        <v>5487669</v>
      </c>
      <c r="F89" s="21">
        <f>247869+2311200+6085558+80000</f>
        <v>8724627</v>
      </c>
      <c r="G89" s="21">
        <f>407094+2914156+80000+2646755-55000</f>
        <v>5993005</v>
      </c>
      <c r="H89" s="84"/>
      <c r="I89" s="230"/>
      <c r="J89" s="230"/>
    </row>
    <row r="90" spans="1:13" ht="12.75" customHeight="1">
      <c r="A90" s="11">
        <v>8</v>
      </c>
      <c r="B90" s="20" t="s">
        <v>83</v>
      </c>
      <c r="C90" s="21">
        <v>43362116</v>
      </c>
      <c r="D90" s="21">
        <v>76990330</v>
      </c>
      <c r="E90" s="21">
        <v>0</v>
      </c>
      <c r="F90" s="21">
        <f>48346168+3249540-18390838-20412993</f>
        <v>12791877</v>
      </c>
      <c r="G90" s="21">
        <v>0</v>
      </c>
      <c r="H90" s="84"/>
      <c r="I90" s="230">
        <f>J90</f>
        <v>7081124.2479999997</v>
      </c>
      <c r="J90" s="230">
        <v>7081124.2479999997</v>
      </c>
    </row>
    <row r="91" spans="1:13" ht="12.75" customHeight="1">
      <c r="A91" s="11">
        <v>9</v>
      </c>
      <c r="B91" s="20" t="s">
        <v>361</v>
      </c>
      <c r="C91" s="21">
        <v>33921214</v>
      </c>
      <c r="D91" s="21">
        <v>34783702</v>
      </c>
      <c r="E91" s="21">
        <v>5308269</v>
      </c>
      <c r="F91" s="21">
        <f>58800+1513342+4000000</f>
        <v>5572142</v>
      </c>
      <c r="G91" s="21">
        <f>6135736+58800</f>
        <v>6194536</v>
      </c>
      <c r="H91" s="84"/>
      <c r="I91" s="230">
        <f>J92</f>
        <v>-1508373.2306509989</v>
      </c>
      <c r="J91" s="230"/>
    </row>
    <row r="92" spans="1:13" ht="12.75" customHeight="1">
      <c r="A92" s="11">
        <v>10</v>
      </c>
      <c r="B92" s="20" t="s">
        <v>84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84"/>
      <c r="I92" s="230">
        <v>-2239761.5199999996</v>
      </c>
      <c r="J92" s="230">
        <v>-1508373.2306509989</v>
      </c>
    </row>
    <row r="93" spans="1:13" s="34" customFormat="1" ht="12.75" customHeight="1">
      <c r="A93" s="11"/>
      <c r="B93" s="28" t="s">
        <v>85</v>
      </c>
      <c r="C93" s="33" t="e">
        <f>#REF!</f>
        <v>#REF!</v>
      </c>
      <c r="D93" s="33" t="e">
        <f>#REF!</f>
        <v>#REF!</v>
      </c>
      <c r="E93" s="33">
        <v>0</v>
      </c>
      <c r="F93" s="33" t="e">
        <f>#REF!</f>
        <v>#REF!</v>
      </c>
      <c r="G93" s="33">
        <v>0</v>
      </c>
      <c r="H93" s="84"/>
      <c r="I93" s="230">
        <f>SUM(I85:I92)</f>
        <v>3432989.4973490015</v>
      </c>
      <c r="J93" s="230">
        <f>SUM(J85:J92)</f>
        <v>5672751.017349001</v>
      </c>
      <c r="L93" s="309"/>
      <c r="M93" s="309"/>
    </row>
    <row r="94" spans="1:13" s="34" customFormat="1" ht="12.75" customHeight="1">
      <c r="A94" s="11"/>
      <c r="B94" s="28" t="s">
        <v>86</v>
      </c>
      <c r="C94" s="33"/>
      <c r="D94" s="33"/>
      <c r="E94" s="28"/>
      <c r="F94" s="28"/>
      <c r="G94" s="33"/>
      <c r="H94" s="84"/>
      <c r="I94" s="8">
        <f>+I93+I80</f>
        <v>11774013.007349001</v>
      </c>
      <c r="J94" s="8">
        <f>+J93+J80</f>
        <v>13702488.877349</v>
      </c>
    </row>
    <row r="95" spans="1:13" ht="12.75" customHeight="1">
      <c r="F95" s="12"/>
      <c r="G95" s="12"/>
      <c r="H95" s="12"/>
      <c r="I95" s="12"/>
      <c r="J95" s="12"/>
    </row>
    <row r="96" spans="1:13" ht="12.75" customHeight="1">
      <c r="F96" s="12"/>
      <c r="G96" s="3"/>
      <c r="H96" s="3"/>
      <c r="I96" s="233"/>
      <c r="J96" s="233"/>
    </row>
    <row r="97" spans="3:10" ht="12.75" customHeight="1">
      <c r="F97" s="12"/>
      <c r="G97" s="12"/>
      <c r="H97" s="12"/>
      <c r="I97" s="12"/>
      <c r="J97" s="12"/>
    </row>
    <row r="98" spans="3:10" ht="12.75" customHeight="1">
      <c r="F98" s="12"/>
      <c r="G98" s="12"/>
      <c r="H98" s="12"/>
      <c r="I98" s="12"/>
      <c r="J98" s="224"/>
    </row>
    <row r="99" spans="3:10" ht="12.75" customHeight="1">
      <c r="C99" s="15"/>
      <c r="D99" s="15"/>
      <c r="F99" s="12"/>
      <c r="G99" s="12"/>
      <c r="H99" s="12"/>
      <c r="I99" s="12"/>
      <c r="J99" s="12"/>
    </row>
    <row r="100" spans="3:10" ht="12.75" customHeight="1">
      <c r="F100" s="12"/>
      <c r="G100" s="12"/>
      <c r="H100" s="12"/>
      <c r="I100" s="12"/>
      <c r="J100" s="12"/>
    </row>
    <row r="101" spans="3:10" ht="12.75" customHeight="1">
      <c r="C101" s="15"/>
      <c r="F101" s="12"/>
      <c r="G101" s="12"/>
      <c r="H101" s="12"/>
      <c r="I101" s="12"/>
      <c r="J101" s="12"/>
    </row>
    <row r="102" spans="3:10" ht="12.75" customHeight="1">
      <c r="C102" s="16"/>
      <c r="F102" s="12"/>
      <c r="G102" s="12"/>
      <c r="H102" s="12"/>
      <c r="I102" s="12"/>
      <c r="J102" s="12"/>
    </row>
    <row r="103" spans="3:10" ht="12.75" customHeight="1">
      <c r="C103" s="15"/>
      <c r="F103" s="12"/>
      <c r="G103" s="12"/>
      <c r="H103" s="12"/>
      <c r="I103" s="12"/>
      <c r="J103" s="12"/>
    </row>
    <row r="104" spans="3:10" ht="12.75" customHeight="1">
      <c r="C104" s="15"/>
      <c r="F104" s="12"/>
      <c r="G104" s="12"/>
      <c r="H104" s="12"/>
      <c r="I104" s="12"/>
      <c r="J104" s="12"/>
    </row>
    <row r="105" spans="3:10" ht="12.75" customHeight="1">
      <c r="C105" s="15"/>
      <c r="F105" s="12"/>
      <c r="G105" s="12"/>
      <c r="H105" s="12"/>
      <c r="I105" s="12"/>
      <c r="J105" s="12"/>
    </row>
    <row r="106" spans="3:10" ht="12.75" customHeight="1">
      <c r="C106" s="15"/>
      <c r="F106" s="12"/>
      <c r="G106" s="12"/>
      <c r="H106" s="12"/>
      <c r="I106" s="12"/>
      <c r="J106" s="12"/>
    </row>
    <row r="107" spans="3:10" ht="12.75" customHeight="1">
      <c r="C107" s="15"/>
      <c r="F107" s="12"/>
      <c r="G107" s="12"/>
      <c r="H107" s="12"/>
      <c r="I107" s="12"/>
      <c r="J107" s="12"/>
    </row>
    <row r="108" spans="3:10" ht="12.75" customHeight="1">
      <c r="C108" s="15"/>
      <c r="F108" s="12"/>
      <c r="G108" s="12"/>
      <c r="H108" s="12"/>
      <c r="I108" s="12"/>
      <c r="J108" s="12"/>
    </row>
    <row r="109" spans="3:10" ht="12.75" customHeight="1">
      <c r="C109" s="15"/>
      <c r="F109" s="12"/>
      <c r="G109" s="12"/>
      <c r="H109" s="12"/>
      <c r="I109" s="12"/>
      <c r="J109" s="12"/>
    </row>
    <row r="110" spans="3:10">
      <c r="C110" s="15"/>
      <c r="F110" s="12"/>
      <c r="G110" s="12"/>
      <c r="H110" s="12"/>
      <c r="I110" s="12"/>
      <c r="J110" s="12"/>
    </row>
    <row r="111" spans="3:10">
      <c r="C111" s="15"/>
      <c r="F111" s="12"/>
      <c r="G111" s="12"/>
      <c r="H111" s="12"/>
      <c r="I111" s="12"/>
      <c r="J111" s="12"/>
    </row>
    <row r="112" spans="3:10">
      <c r="C112" s="15"/>
      <c r="F112" s="12"/>
      <c r="G112" s="12"/>
      <c r="H112" s="12"/>
      <c r="I112" s="12"/>
      <c r="J112" s="12"/>
    </row>
    <row r="113" spans="3:10">
      <c r="C113" s="15"/>
      <c r="F113" s="12"/>
      <c r="G113" s="12"/>
      <c r="H113" s="12"/>
      <c r="I113" s="12"/>
      <c r="J113" s="12"/>
    </row>
    <row r="114" spans="3:10">
      <c r="C114" s="15"/>
      <c r="F114" s="12"/>
      <c r="G114" s="12"/>
      <c r="H114" s="12"/>
      <c r="I114" s="12"/>
      <c r="J114" s="12"/>
    </row>
    <row r="115" spans="3:10">
      <c r="C115" s="15"/>
      <c r="F115" s="12"/>
      <c r="G115" s="12"/>
      <c r="H115" s="12"/>
      <c r="I115" s="12"/>
      <c r="J115" s="12"/>
    </row>
    <row r="116" spans="3:10">
      <c r="C116" s="15"/>
      <c r="F116" s="12"/>
      <c r="G116" s="12"/>
      <c r="H116" s="12"/>
      <c r="I116" s="12"/>
      <c r="J116" s="12"/>
    </row>
    <row r="117" spans="3:10">
      <c r="C117" s="15"/>
      <c r="F117" s="12"/>
      <c r="G117" s="12"/>
      <c r="H117" s="12"/>
      <c r="I117" s="12"/>
      <c r="J117" s="12"/>
    </row>
    <row r="118" spans="3:10">
      <c r="C118" s="15"/>
      <c r="F118" s="12"/>
      <c r="G118" s="12"/>
      <c r="H118" s="12"/>
      <c r="I118" s="12"/>
      <c r="J118" s="12"/>
    </row>
    <row r="119" spans="3:10">
      <c r="C119" s="15"/>
      <c r="F119" s="12"/>
      <c r="G119" s="12"/>
      <c r="H119" s="12"/>
      <c r="I119" s="12"/>
      <c r="J119" s="12"/>
    </row>
    <row r="120" spans="3:10">
      <c r="C120" s="15"/>
      <c r="F120" s="12"/>
      <c r="G120" s="12"/>
      <c r="H120" s="12"/>
      <c r="I120" s="12"/>
      <c r="J120" s="12"/>
    </row>
    <row r="121" spans="3:10">
      <c r="C121" s="17"/>
      <c r="F121" s="12"/>
      <c r="G121" s="12"/>
      <c r="H121" s="12"/>
      <c r="I121" s="12"/>
      <c r="J121" s="12"/>
    </row>
    <row r="122" spans="3:10">
      <c r="C122" s="15"/>
      <c r="F122" s="12"/>
      <c r="G122" s="12"/>
      <c r="H122" s="12"/>
      <c r="I122" s="12"/>
      <c r="J122" s="12"/>
    </row>
    <row r="123" spans="3:10">
      <c r="C123" s="15"/>
      <c r="F123" s="12"/>
      <c r="G123" s="12"/>
      <c r="H123" s="12"/>
      <c r="I123" s="12"/>
      <c r="J123" s="12"/>
    </row>
    <row r="124" spans="3:10">
      <c r="F124" s="12"/>
      <c r="G124" s="12"/>
      <c r="H124" s="12"/>
      <c r="I124" s="12"/>
      <c r="J124" s="12"/>
    </row>
    <row r="125" spans="3:10">
      <c r="F125" s="12"/>
      <c r="G125" s="12"/>
      <c r="H125" s="12"/>
      <c r="I125" s="12"/>
      <c r="J125" s="12"/>
    </row>
    <row r="126" spans="3:10">
      <c r="F126" s="12"/>
      <c r="G126" s="12"/>
      <c r="H126" s="12"/>
      <c r="I126" s="12"/>
      <c r="J126" s="12"/>
    </row>
    <row r="127" spans="3:10">
      <c r="F127" s="12"/>
      <c r="G127" s="12"/>
      <c r="H127" s="12"/>
      <c r="I127" s="12"/>
      <c r="J127" s="12"/>
    </row>
    <row r="128" spans="3:10">
      <c r="F128" s="12"/>
      <c r="G128" s="12"/>
      <c r="H128" s="12"/>
      <c r="I128" s="12"/>
      <c r="J128" s="12"/>
    </row>
    <row r="129" spans="6:10">
      <c r="F129" s="12"/>
      <c r="G129" s="12"/>
      <c r="H129" s="12"/>
      <c r="I129" s="12"/>
      <c r="J129" s="12"/>
    </row>
    <row r="130" spans="6:10">
      <c r="F130" s="12"/>
      <c r="G130" s="12"/>
      <c r="H130" s="12"/>
      <c r="I130" s="12"/>
      <c r="J130" s="12"/>
    </row>
    <row r="131" spans="6:10">
      <c r="F131" s="12"/>
      <c r="G131" s="12"/>
      <c r="H131" s="12"/>
      <c r="I131" s="12"/>
      <c r="J131" s="12"/>
    </row>
    <row r="132" spans="6:10">
      <c r="F132" s="12"/>
      <c r="G132" s="12"/>
      <c r="H132" s="12"/>
      <c r="I132" s="12"/>
      <c r="J132" s="12"/>
    </row>
    <row r="133" spans="6:10">
      <c r="F133" s="12"/>
      <c r="G133" s="12"/>
      <c r="H133" s="12"/>
      <c r="I133" s="12"/>
      <c r="J133" s="12"/>
    </row>
    <row r="134" spans="6:10">
      <c r="F134" s="12"/>
      <c r="G134" s="12"/>
      <c r="H134" s="12"/>
      <c r="I134" s="12"/>
      <c r="J134" s="12"/>
    </row>
    <row r="135" spans="6:10">
      <c r="F135" s="12"/>
      <c r="G135" s="12"/>
      <c r="H135" s="12"/>
      <c r="I135" s="12"/>
      <c r="J135" s="12"/>
    </row>
    <row r="136" spans="6:10">
      <c r="F136" s="12"/>
      <c r="G136" s="12"/>
      <c r="H136" s="12"/>
      <c r="I136" s="12"/>
      <c r="J136" s="12"/>
    </row>
    <row r="137" spans="6:10">
      <c r="F137" s="12"/>
      <c r="G137" s="12"/>
      <c r="H137" s="12"/>
      <c r="I137" s="12"/>
      <c r="J137" s="12"/>
    </row>
    <row r="138" spans="6:10">
      <c r="F138" s="12"/>
      <c r="G138" s="12"/>
      <c r="H138" s="12"/>
      <c r="I138" s="12"/>
      <c r="J138" s="12"/>
    </row>
    <row r="139" spans="6:10">
      <c r="F139" s="12"/>
      <c r="G139" s="12"/>
      <c r="H139" s="12"/>
      <c r="I139" s="12"/>
      <c r="J139" s="12"/>
    </row>
    <row r="140" spans="6:10">
      <c r="F140" s="12"/>
      <c r="G140" s="12"/>
      <c r="H140" s="12"/>
      <c r="I140" s="12"/>
      <c r="J140" s="12"/>
    </row>
    <row r="141" spans="6:10">
      <c r="F141" s="12"/>
      <c r="G141" s="12"/>
      <c r="H141" s="12"/>
      <c r="I141" s="12"/>
      <c r="J141" s="12"/>
    </row>
    <row r="142" spans="6:10">
      <c r="F142" s="12"/>
      <c r="G142" s="12"/>
      <c r="H142" s="12"/>
      <c r="I142" s="12"/>
      <c r="J142" s="12"/>
    </row>
    <row r="143" spans="6:10">
      <c r="F143" s="12"/>
      <c r="G143" s="12"/>
      <c r="H143" s="12"/>
      <c r="I143" s="12"/>
      <c r="J143" s="12"/>
    </row>
    <row r="144" spans="6:10">
      <c r="F144" s="12"/>
      <c r="G144" s="12"/>
      <c r="H144" s="12"/>
      <c r="I144" s="12"/>
      <c r="J144" s="12"/>
    </row>
    <row r="145" spans="6:10">
      <c r="F145" s="12"/>
      <c r="G145" s="12"/>
      <c r="H145" s="12"/>
      <c r="I145" s="12"/>
      <c r="J145" s="12"/>
    </row>
    <row r="146" spans="6:10">
      <c r="F146" s="12"/>
      <c r="G146" s="12"/>
      <c r="H146" s="12"/>
      <c r="I146" s="12"/>
      <c r="J146" s="12"/>
    </row>
    <row r="147" spans="6:10">
      <c r="F147" s="12"/>
      <c r="G147" s="12"/>
      <c r="H147" s="12"/>
      <c r="I147" s="12"/>
      <c r="J147" s="12"/>
    </row>
    <row r="148" spans="6:10">
      <c r="F148" s="12"/>
      <c r="G148" s="12"/>
      <c r="H148" s="12"/>
      <c r="I148" s="12"/>
      <c r="J148" s="12"/>
    </row>
    <row r="149" spans="6:10">
      <c r="F149" s="12"/>
      <c r="G149" s="12"/>
      <c r="H149" s="12"/>
      <c r="I149" s="12"/>
      <c r="J149" s="12"/>
    </row>
    <row r="150" spans="6:10">
      <c r="F150" s="12"/>
      <c r="G150" s="12"/>
      <c r="H150" s="12"/>
      <c r="I150" s="12"/>
      <c r="J150" s="12"/>
    </row>
    <row r="151" spans="6:10">
      <c r="F151" s="12"/>
      <c r="G151" s="12"/>
      <c r="H151" s="12"/>
      <c r="I151" s="12"/>
      <c r="J151" s="12"/>
    </row>
    <row r="152" spans="6:10">
      <c r="F152" s="12"/>
      <c r="G152" s="12"/>
      <c r="H152" s="12"/>
      <c r="I152" s="12"/>
      <c r="J152" s="12"/>
    </row>
    <row r="153" spans="6:10">
      <c r="F153" s="12"/>
      <c r="G153" s="12"/>
      <c r="H153" s="12"/>
      <c r="I153" s="12"/>
      <c r="J153" s="12"/>
    </row>
    <row r="154" spans="6:10">
      <c r="F154" s="12"/>
      <c r="G154" s="12"/>
      <c r="H154" s="12"/>
      <c r="I154" s="12"/>
      <c r="J154" s="12"/>
    </row>
    <row r="155" spans="6:10">
      <c r="F155" s="12"/>
      <c r="G155" s="12"/>
      <c r="H155" s="12"/>
      <c r="I155" s="12"/>
      <c r="J155" s="12"/>
    </row>
    <row r="156" spans="6:10">
      <c r="F156" s="12"/>
      <c r="G156" s="12"/>
      <c r="H156" s="12"/>
      <c r="I156" s="12"/>
      <c r="J156" s="12"/>
    </row>
    <row r="157" spans="6:10">
      <c r="F157" s="12"/>
      <c r="G157" s="12"/>
      <c r="H157" s="12"/>
      <c r="I157" s="12"/>
      <c r="J157" s="12"/>
    </row>
    <row r="158" spans="6:10">
      <c r="F158" s="12"/>
      <c r="G158" s="12"/>
      <c r="H158" s="12"/>
      <c r="I158" s="12"/>
      <c r="J158" s="12"/>
    </row>
    <row r="159" spans="6:10">
      <c r="F159" s="12"/>
      <c r="G159" s="12"/>
      <c r="H159" s="12"/>
      <c r="I159" s="12"/>
      <c r="J159" s="12"/>
    </row>
    <row r="160" spans="6:10">
      <c r="F160" s="12"/>
      <c r="G160" s="12"/>
      <c r="H160" s="12"/>
      <c r="I160" s="12"/>
      <c r="J160" s="12"/>
    </row>
    <row r="161" spans="6:10">
      <c r="F161" s="12"/>
      <c r="G161" s="12"/>
      <c r="H161" s="12"/>
      <c r="I161" s="12"/>
      <c r="J161" s="12"/>
    </row>
    <row r="162" spans="6:10">
      <c r="F162" s="12"/>
      <c r="G162" s="12"/>
      <c r="H162" s="12"/>
      <c r="I162" s="12"/>
      <c r="J162" s="12"/>
    </row>
    <row r="163" spans="6:10">
      <c r="F163" s="12"/>
      <c r="G163" s="12"/>
      <c r="H163" s="12"/>
      <c r="I163" s="12"/>
      <c r="J163" s="12"/>
    </row>
    <row r="164" spans="6:10">
      <c r="F164" s="12"/>
      <c r="G164" s="12"/>
      <c r="H164" s="12"/>
      <c r="I164" s="12"/>
      <c r="J164" s="12"/>
    </row>
    <row r="165" spans="6:10">
      <c r="F165" s="12"/>
      <c r="G165" s="12"/>
      <c r="H165" s="12"/>
      <c r="I165" s="12"/>
      <c r="J165" s="12"/>
    </row>
    <row r="166" spans="6:10">
      <c r="F166" s="12"/>
      <c r="G166" s="12"/>
      <c r="H166" s="12"/>
      <c r="I166" s="12"/>
      <c r="J166" s="12"/>
    </row>
    <row r="167" spans="6:10">
      <c r="F167" s="12"/>
      <c r="G167" s="12"/>
      <c r="H167" s="12"/>
      <c r="I167" s="12"/>
      <c r="J167" s="12"/>
    </row>
    <row r="168" spans="6:10">
      <c r="F168" s="12"/>
      <c r="G168" s="12"/>
      <c r="H168" s="12"/>
      <c r="I168" s="12"/>
      <c r="J168" s="12"/>
    </row>
  </sheetData>
  <mergeCells count="5">
    <mergeCell ref="A52:B52"/>
    <mergeCell ref="A1:B1"/>
    <mergeCell ref="A51:B51"/>
    <mergeCell ref="A49:B49"/>
    <mergeCell ref="A50:J50"/>
  </mergeCells>
  <phoneticPr fontId="9" type="noConversion"/>
  <printOptions verticalCentered="1"/>
  <pageMargins left="0.143700787" right="0.143700787" top="1" bottom="0.81" header="0.511811023622047" footer="0.511811023622047"/>
  <pageSetup paperSize="9" scale="105" orientation="portrait" horizontalDpi="300" verticalDpi="300" r:id="rId1"/>
  <headerFooter alignWithMargins="0">
    <oddHeader xml:space="preserve">&amp;C&amp;12
&amp;"Arial,Bold"Ave Consulting shpk
</oddHeader>
  </headerFooter>
  <rowBreaks count="1" manualBreakCount="1">
    <brk id="50" max="9" man="1"/>
  </rowBreaks>
  <cellWatches>
    <cellWatch r="B83"/>
  </cellWatches>
</worksheet>
</file>

<file path=xl/worksheets/sheet3.xml><?xml version="1.0" encoding="utf-8"?>
<worksheet xmlns="http://schemas.openxmlformats.org/spreadsheetml/2006/main" xmlns:r="http://schemas.openxmlformats.org/officeDocument/2006/relationships">
  <dimension ref="A1:K32"/>
  <sheetViews>
    <sheetView zoomScaleNormal="100" workbookViewId="0">
      <selection activeCell="E37" sqref="E37"/>
    </sheetView>
  </sheetViews>
  <sheetFormatPr defaultRowHeight="12.75"/>
  <cols>
    <col min="1" max="1" width="4.7109375" style="1" customWidth="1"/>
    <col min="2" max="2" width="42.42578125" style="1" customWidth="1"/>
    <col min="3" max="3" width="8" style="1" customWidth="1"/>
    <col min="4" max="4" width="14.5703125" style="1" customWidth="1"/>
    <col min="5" max="5" width="16.7109375" style="1" customWidth="1"/>
    <col min="6" max="6" width="14" style="1" hidden="1" customWidth="1"/>
    <col min="7" max="7" width="10.7109375" style="1" customWidth="1"/>
    <col min="8" max="8" width="9.140625" style="1"/>
    <col min="9" max="9" width="11.140625" style="1" bestFit="1" customWidth="1"/>
    <col min="10" max="10" width="13.5703125" style="92" bestFit="1" customWidth="1"/>
    <col min="11" max="11" width="13.5703125" style="1" bestFit="1" customWidth="1"/>
    <col min="12" max="16384" width="9.140625" style="1"/>
  </cols>
  <sheetData>
    <row r="1" spans="1:10" ht="12.75" customHeight="1">
      <c r="A1" s="327" t="s">
        <v>110</v>
      </c>
      <c r="B1" s="328"/>
      <c r="C1" s="328"/>
      <c r="D1" s="328"/>
      <c r="E1" s="328"/>
      <c r="F1" s="329"/>
    </row>
    <row r="2" spans="1:10" ht="12.75" customHeight="1">
      <c r="A2" s="330" t="s">
        <v>121</v>
      </c>
      <c r="B2" s="331"/>
      <c r="C2" s="331"/>
      <c r="D2" s="331"/>
      <c r="E2" s="331"/>
      <c r="F2" s="332"/>
    </row>
    <row r="3" spans="1:10" ht="12.75" customHeight="1">
      <c r="A3" s="105"/>
      <c r="B3" s="106"/>
      <c r="C3" s="106"/>
      <c r="D3" s="106"/>
      <c r="E3" s="106"/>
      <c r="F3" s="107"/>
    </row>
    <row r="4" spans="1:10" ht="33.75" customHeight="1">
      <c r="A4" s="325" t="s">
        <v>87</v>
      </c>
      <c r="B4" s="326"/>
      <c r="C4" s="11" t="s">
        <v>6</v>
      </c>
      <c r="D4" s="6" t="s">
        <v>352</v>
      </c>
      <c r="E4" s="6" t="s">
        <v>339</v>
      </c>
      <c r="F4" s="9" t="s">
        <v>122</v>
      </c>
      <c r="G4" s="2"/>
      <c r="H4" s="2"/>
      <c r="I4" s="2"/>
    </row>
    <row r="5" spans="1:10" ht="20.100000000000001" customHeight="1">
      <c r="A5" s="28">
        <v>1</v>
      </c>
      <c r="B5" s="20" t="s">
        <v>88</v>
      </c>
      <c r="C5" s="84">
        <v>8</v>
      </c>
      <c r="D5" s="21">
        <v>6591633.7000000002</v>
      </c>
      <c r="E5" s="21">
        <v>7841977.8300000001</v>
      </c>
      <c r="F5" s="21"/>
      <c r="G5" s="2"/>
      <c r="H5" s="2"/>
      <c r="I5" s="2"/>
    </row>
    <row r="6" spans="1:10" ht="20.100000000000001" customHeight="1">
      <c r="A6" s="28">
        <v>2</v>
      </c>
      <c r="B6" s="20" t="s">
        <v>89</v>
      </c>
      <c r="C6" s="84"/>
      <c r="D6" s="84"/>
      <c r="E6" s="84"/>
      <c r="F6" s="21"/>
      <c r="G6" s="2"/>
      <c r="H6" s="2"/>
      <c r="I6" s="2"/>
    </row>
    <row r="7" spans="1:10" ht="28.5" customHeight="1">
      <c r="A7" s="28">
        <v>3</v>
      </c>
      <c r="B7" s="29" t="s">
        <v>90</v>
      </c>
      <c r="C7" s="84"/>
      <c r="D7" s="85"/>
      <c r="E7" s="85"/>
      <c r="F7" s="23"/>
      <c r="G7" s="2"/>
      <c r="H7" s="2"/>
      <c r="I7" s="2"/>
    </row>
    <row r="8" spans="1:10" s="55" customFormat="1" ht="28.5" customHeight="1">
      <c r="A8" s="28"/>
      <c r="B8" s="28" t="s">
        <v>120</v>
      </c>
      <c r="C8" s="84"/>
      <c r="D8" s="33">
        <f>SUM(D5:D7)</f>
        <v>6591633.7000000002</v>
      </c>
      <c r="E8" s="33">
        <f>SUM(E5:E7)</f>
        <v>7841977.8300000001</v>
      </c>
      <c r="F8" s="56">
        <f>SUM(F5:F7)</f>
        <v>0</v>
      </c>
      <c r="G8" s="89"/>
      <c r="H8" s="40"/>
      <c r="I8" s="40"/>
      <c r="J8" s="93"/>
    </row>
    <row r="9" spans="1:10" ht="20.100000000000001" customHeight="1">
      <c r="A9" s="28">
        <v>4</v>
      </c>
      <c r="B9" s="20" t="s">
        <v>91</v>
      </c>
      <c r="C9" s="84"/>
      <c r="D9" s="84"/>
      <c r="E9" s="84"/>
      <c r="F9" s="23"/>
      <c r="G9" s="39"/>
      <c r="H9" s="2"/>
      <c r="I9" s="2"/>
    </row>
    <row r="10" spans="1:10" s="55" customFormat="1" ht="20.100000000000001" customHeight="1">
      <c r="A10" s="28">
        <v>5</v>
      </c>
      <c r="B10" s="31" t="s">
        <v>92</v>
      </c>
      <c r="C10" s="84"/>
      <c r="D10" s="33">
        <f>D11+D12</f>
        <v>4232942.5</v>
      </c>
      <c r="E10" s="33">
        <f>E11+E12</f>
        <v>3979420.5</v>
      </c>
      <c r="F10" s="33">
        <f>F11+F12</f>
        <v>0</v>
      </c>
      <c r="G10" s="39"/>
      <c r="H10" s="40"/>
      <c r="I10" s="40"/>
      <c r="J10" s="93"/>
    </row>
    <row r="11" spans="1:10" ht="20.100000000000001" customHeight="1">
      <c r="A11" s="28"/>
      <c r="B11" s="20" t="s">
        <v>93</v>
      </c>
      <c r="C11" s="84"/>
      <c r="D11" s="21">
        <v>3901968</v>
      </c>
      <c r="E11" s="21">
        <v>3610314</v>
      </c>
      <c r="F11" s="23"/>
      <c r="G11" s="2"/>
      <c r="H11" s="2"/>
      <c r="I11" s="2"/>
    </row>
    <row r="12" spans="1:10" ht="20.100000000000001" customHeight="1">
      <c r="A12" s="28"/>
      <c r="B12" s="20" t="s">
        <v>94</v>
      </c>
      <c r="C12" s="84"/>
      <c r="D12" s="21">
        <v>330974.5</v>
      </c>
      <c r="E12" s="21">
        <v>369106.5</v>
      </c>
      <c r="F12" s="23"/>
      <c r="G12" s="2"/>
      <c r="H12" s="2"/>
      <c r="I12" s="2"/>
    </row>
    <row r="13" spans="1:10" ht="20.100000000000001" customHeight="1">
      <c r="A13" s="28">
        <v>6</v>
      </c>
      <c r="B13" s="20" t="s">
        <v>95</v>
      </c>
      <c r="C13" s="84">
        <v>4</v>
      </c>
      <c r="D13" s="21">
        <v>1244651.44</v>
      </c>
      <c r="E13" s="21">
        <v>1335749</v>
      </c>
      <c r="F13" s="23"/>
      <c r="G13" s="2"/>
      <c r="H13" s="2"/>
      <c r="I13" s="2"/>
    </row>
    <row r="14" spans="1:10" ht="20.100000000000001" customHeight="1">
      <c r="A14" s="28">
        <v>7</v>
      </c>
      <c r="B14" s="20" t="s">
        <v>3</v>
      </c>
      <c r="C14" s="84">
        <v>9</v>
      </c>
      <c r="D14" s="21">
        <v>3234952.1599999997</v>
      </c>
      <c r="E14" s="21">
        <v>3766175.9699999997</v>
      </c>
      <c r="F14" s="21"/>
      <c r="G14" s="2"/>
      <c r="H14" s="2"/>
      <c r="I14" s="2"/>
    </row>
    <row r="15" spans="1:10" s="55" customFormat="1" ht="20.100000000000001" customHeight="1">
      <c r="A15" s="28">
        <v>8</v>
      </c>
      <c r="B15" s="28" t="s">
        <v>96</v>
      </c>
      <c r="C15" s="84"/>
      <c r="D15" s="33">
        <f>D9+D10+D13+D14</f>
        <v>8712546.0999999996</v>
      </c>
      <c r="E15" s="33">
        <f>E9+E10+E13+E14</f>
        <v>9081345.4699999988</v>
      </c>
      <c r="F15" s="56">
        <f>F9+F10+F13+F14</f>
        <v>0</v>
      </c>
      <c r="G15" s="40"/>
      <c r="H15" s="40"/>
      <c r="I15" s="40"/>
      <c r="J15" s="93"/>
    </row>
    <row r="16" spans="1:10" s="55" customFormat="1" ht="20.100000000000001" customHeight="1">
      <c r="A16" s="28">
        <v>9</v>
      </c>
      <c r="B16" s="28" t="s">
        <v>97</v>
      </c>
      <c r="C16" s="84"/>
      <c r="D16" s="33">
        <f>D8-D15</f>
        <v>-2120912.3999999994</v>
      </c>
      <c r="E16" s="33">
        <f>E8-E15</f>
        <v>-1239367.6399999987</v>
      </c>
      <c r="F16" s="56">
        <f>F8-F15</f>
        <v>0</v>
      </c>
      <c r="G16" s="40"/>
      <c r="H16" s="40"/>
      <c r="I16" s="40"/>
      <c r="J16" s="93"/>
    </row>
    <row r="17" spans="1:11" ht="24.75" customHeight="1">
      <c r="A17" s="28">
        <v>10</v>
      </c>
      <c r="B17" s="29" t="s">
        <v>98</v>
      </c>
      <c r="C17" s="84"/>
      <c r="D17" s="231"/>
      <c r="E17" s="85"/>
      <c r="F17" s="23"/>
      <c r="G17" s="2"/>
      <c r="H17" s="2"/>
      <c r="I17" s="2"/>
    </row>
    <row r="18" spans="1:11" ht="26.25" customHeight="1">
      <c r="A18" s="28">
        <v>11</v>
      </c>
      <c r="B18" s="29" t="s">
        <v>99</v>
      </c>
      <c r="C18" s="84"/>
      <c r="D18" s="231"/>
      <c r="E18" s="85"/>
      <c r="F18" s="23"/>
      <c r="G18" s="2"/>
      <c r="H18" s="2"/>
      <c r="I18" s="2"/>
    </row>
    <row r="19" spans="1:11" ht="20.100000000000001" customHeight="1">
      <c r="A19" s="28">
        <v>12</v>
      </c>
      <c r="B19" s="29" t="s">
        <v>100</v>
      </c>
      <c r="C19" s="84"/>
      <c r="D19" s="230"/>
      <c r="E19" s="229"/>
      <c r="F19" s="21">
        <v>0</v>
      </c>
      <c r="G19" s="2"/>
      <c r="H19" s="2"/>
      <c r="I19" s="2"/>
    </row>
    <row r="20" spans="1:11" ht="30" customHeight="1">
      <c r="A20" s="28">
        <v>12.1</v>
      </c>
      <c r="B20" s="29" t="s">
        <v>101</v>
      </c>
      <c r="C20" s="86"/>
      <c r="D20" s="232"/>
      <c r="E20" s="86"/>
      <c r="F20" s="23"/>
      <c r="G20" s="2"/>
      <c r="H20" s="2"/>
      <c r="I20" s="2"/>
    </row>
    <row r="21" spans="1:11" ht="20.100000000000001" customHeight="1">
      <c r="A21" s="28">
        <v>12.2</v>
      </c>
      <c r="B21" s="29" t="s">
        <v>102</v>
      </c>
      <c r="C21" s="85"/>
      <c r="D21" s="21">
        <v>-101677.18</v>
      </c>
      <c r="E21" s="57">
        <v>-200916.36000000002</v>
      </c>
      <c r="F21" s="23">
        <v>0</v>
      </c>
      <c r="G21" s="2"/>
      <c r="H21" s="2"/>
      <c r="I21" s="2"/>
    </row>
    <row r="22" spans="1:11" ht="20.100000000000001" customHeight="1">
      <c r="A22" s="28">
        <v>12.3</v>
      </c>
      <c r="B22" s="20" t="s">
        <v>103</v>
      </c>
      <c r="C22" s="85"/>
      <c r="D22" s="21">
        <v>-17171.939999999999</v>
      </c>
      <c r="E22" s="57">
        <v>-24711.34</v>
      </c>
      <c r="F22" s="23"/>
      <c r="G22" s="2"/>
      <c r="H22" s="2"/>
      <c r="I22" s="314"/>
    </row>
    <row r="23" spans="1:11" ht="20.100000000000001" customHeight="1">
      <c r="A23" s="28">
        <v>12.4</v>
      </c>
      <c r="B23" s="20" t="s">
        <v>104</v>
      </c>
      <c r="C23" s="84"/>
      <c r="D23" s="230"/>
      <c r="E23" s="84"/>
      <c r="F23" s="21"/>
      <c r="G23" s="2"/>
      <c r="H23" s="2"/>
      <c r="I23" s="314"/>
      <c r="J23" s="316"/>
    </row>
    <row r="24" spans="1:11" ht="26.25" customHeight="1">
      <c r="A24" s="28">
        <v>13</v>
      </c>
      <c r="B24" s="31" t="s">
        <v>105</v>
      </c>
      <c r="C24" s="85"/>
      <c r="D24" s="57">
        <f>D20+D21+D22+D23</f>
        <v>-118849.12</v>
      </c>
      <c r="E24" s="57">
        <f>E20+E21+E22+E23</f>
        <v>-225627.7</v>
      </c>
      <c r="F24" s="23"/>
      <c r="G24" s="2"/>
      <c r="H24" s="2"/>
      <c r="I24" s="314"/>
    </row>
    <row r="25" spans="1:11" s="55" customFormat="1" ht="20.100000000000001" customHeight="1">
      <c r="A25" s="28">
        <v>14</v>
      </c>
      <c r="B25" s="28" t="s">
        <v>106</v>
      </c>
      <c r="C25" s="85"/>
      <c r="D25" s="33">
        <f>D16+D24</f>
        <v>-2239761.5199999996</v>
      </c>
      <c r="E25" s="33">
        <f>E16+E24</f>
        <v>-1464995.3399999987</v>
      </c>
      <c r="F25" s="56">
        <f>F16+F24</f>
        <v>0</v>
      </c>
      <c r="G25" s="40"/>
      <c r="H25" s="40"/>
      <c r="I25" s="315"/>
      <c r="J25" s="93"/>
      <c r="K25" s="94"/>
    </row>
    <row r="26" spans="1:11" ht="20.100000000000001" customHeight="1">
      <c r="A26" s="28">
        <v>15</v>
      </c>
      <c r="B26" s="20" t="s">
        <v>107</v>
      </c>
      <c r="C26" s="85"/>
      <c r="D26" s="21"/>
      <c r="E26" s="21">
        <f>'Shenime 13'!D85</f>
        <v>43377.890651000132</v>
      </c>
      <c r="F26" s="23"/>
      <c r="G26" s="2"/>
      <c r="H26" s="2"/>
      <c r="I26" s="2"/>
    </row>
    <row r="27" spans="1:11" s="55" customFormat="1" ht="20.100000000000001" customHeight="1">
      <c r="A27" s="28">
        <v>16</v>
      </c>
      <c r="B27" s="28" t="s">
        <v>108</v>
      </c>
      <c r="C27" s="85"/>
      <c r="D27" s="33">
        <f>D25+D26</f>
        <v>-2239761.5199999996</v>
      </c>
      <c r="E27" s="33">
        <f>E25-E26</f>
        <v>-1508373.2306509989</v>
      </c>
      <c r="F27" s="56">
        <f>F25-F26</f>
        <v>0</v>
      </c>
      <c r="G27" s="40"/>
      <c r="H27" s="40"/>
      <c r="I27" s="40"/>
      <c r="J27" s="93"/>
      <c r="K27" s="95"/>
    </row>
    <row r="28" spans="1:11" ht="20.100000000000001" customHeight="1">
      <c r="A28" s="28">
        <v>17</v>
      </c>
      <c r="B28" s="20" t="s">
        <v>109</v>
      </c>
      <c r="C28" s="85"/>
      <c r="D28" s="33"/>
      <c r="E28" s="85"/>
      <c r="F28" s="23"/>
      <c r="G28" s="2"/>
      <c r="H28" s="2"/>
      <c r="I28" s="2"/>
    </row>
    <row r="29" spans="1:11" ht="12.75" customHeight="1">
      <c r="A29" s="4"/>
      <c r="B29" s="4"/>
      <c r="C29" s="5"/>
      <c r="D29" s="5"/>
      <c r="E29" s="5"/>
      <c r="F29" s="27"/>
      <c r="G29" s="2"/>
      <c r="H29" s="2"/>
      <c r="I29" s="2"/>
    </row>
    <row r="30" spans="1:11" ht="12.75" customHeight="1">
      <c r="A30" s="4"/>
      <c r="B30" s="4"/>
      <c r="C30" s="5"/>
      <c r="D30" s="5"/>
      <c r="E30" s="233"/>
      <c r="F30" s="333"/>
      <c r="G30" s="333"/>
      <c r="H30" s="2"/>
      <c r="I30" s="2"/>
    </row>
    <row r="31" spans="1:11">
      <c r="E31" s="92"/>
      <c r="F31" s="334"/>
      <c r="G31" s="334"/>
    </row>
    <row r="32" spans="1:11">
      <c r="E32" s="92"/>
    </row>
  </sheetData>
  <mergeCells count="5">
    <mergeCell ref="A4:B4"/>
    <mergeCell ref="A1:F1"/>
    <mergeCell ref="A2:F2"/>
    <mergeCell ref="F30:G30"/>
    <mergeCell ref="F31:G31"/>
  </mergeCells>
  <phoneticPr fontId="9" type="noConversion"/>
  <printOptions horizontalCentered="1" verticalCentered="1"/>
  <pageMargins left="0.08" right="0.143700787" top="0.44" bottom="0.56999999999999995" header="0.14000000000000001" footer="0.34"/>
  <pageSetup paperSize="9" scale="115" orientation="portrait" horizontalDpi="300" verticalDpi="300" r:id="rId1"/>
  <headerFooter alignWithMargins="0">
    <oddHeader xml:space="preserve">&amp;C&amp;"Arial,Bold"&amp;14Ave Consulting shpk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44"/>
  <sheetViews>
    <sheetView topLeftCell="A19" zoomScaleNormal="100" workbookViewId="0">
      <selection activeCell="F24" sqref="F24"/>
    </sheetView>
  </sheetViews>
  <sheetFormatPr defaultRowHeight="12.75"/>
  <cols>
    <col min="1" max="1" width="3.7109375" style="36" customWidth="1"/>
    <col min="2" max="2" width="2.85546875" style="36" customWidth="1"/>
    <col min="3" max="3" width="3.5703125" style="36" customWidth="1"/>
    <col min="4" max="4" width="44.42578125" style="37" customWidth="1"/>
    <col min="5" max="5" width="6.140625" style="37" customWidth="1"/>
    <col min="6" max="6" width="17.7109375" style="37" customWidth="1"/>
    <col min="7" max="7" width="15.42578125" style="37" customWidth="1"/>
    <col min="8" max="8" width="9.140625" style="37"/>
    <col min="9" max="9" width="12.85546875" style="37" bestFit="1" customWidth="1"/>
    <col min="10" max="10" width="10.28515625" style="37" bestFit="1" customWidth="1"/>
    <col min="11" max="16384" width="9.140625" style="37"/>
  </cols>
  <sheetData>
    <row r="1" spans="1:10" s="35" customFormat="1" ht="18" customHeight="1">
      <c r="A1" s="339" t="s">
        <v>172</v>
      </c>
      <c r="B1" s="339"/>
      <c r="C1" s="339"/>
      <c r="D1" s="339"/>
      <c r="E1" s="339"/>
      <c r="F1" s="339"/>
      <c r="G1" s="339"/>
    </row>
    <row r="2" spans="1:10" s="35" customFormat="1" ht="15.95" customHeight="1">
      <c r="A2" s="337" t="s">
        <v>131</v>
      </c>
      <c r="B2" s="338" t="s">
        <v>132</v>
      </c>
      <c r="C2" s="338"/>
      <c r="D2" s="338"/>
      <c r="E2" s="62"/>
      <c r="F2" s="63" t="s">
        <v>133</v>
      </c>
      <c r="G2" s="63" t="s">
        <v>133</v>
      </c>
    </row>
    <row r="3" spans="1:10" s="35" customFormat="1" ht="15.95" customHeight="1">
      <c r="A3" s="337"/>
      <c r="B3" s="338"/>
      <c r="C3" s="338"/>
      <c r="D3" s="338"/>
      <c r="E3" s="62"/>
      <c r="F3" s="64" t="s">
        <v>351</v>
      </c>
      <c r="G3" s="64" t="s">
        <v>340</v>
      </c>
    </row>
    <row r="4" spans="1:10" s="35" customFormat="1" ht="18.75" customHeight="1">
      <c r="A4" s="61"/>
      <c r="B4" s="65" t="s">
        <v>134</v>
      </c>
      <c r="C4" s="65"/>
      <c r="D4" s="65"/>
      <c r="E4" s="65"/>
      <c r="F4" s="121"/>
      <c r="G4" s="121"/>
    </row>
    <row r="5" spans="1:10" s="35" customFormat="1" ht="16.5" customHeight="1">
      <c r="A5" s="61"/>
      <c r="B5" s="65"/>
      <c r="C5" s="66" t="s">
        <v>135</v>
      </c>
      <c r="D5" s="66"/>
      <c r="E5" s="66"/>
      <c r="F5" s="121">
        <v>-2239761.5199999996</v>
      </c>
      <c r="G5" s="121">
        <f>'Te ardhura e shpenzime'!E27</f>
        <v>-1508373.2306509989</v>
      </c>
    </row>
    <row r="6" spans="1:10" s="35" customFormat="1" ht="20.100000000000001" customHeight="1">
      <c r="A6" s="61"/>
      <c r="B6" s="65"/>
      <c r="C6" s="66" t="s">
        <v>136</v>
      </c>
      <c r="D6" s="66"/>
      <c r="E6" s="66"/>
      <c r="F6" s="121"/>
      <c r="G6" s="121"/>
    </row>
    <row r="7" spans="1:10" s="35" customFormat="1" ht="20.100000000000001" customHeight="1">
      <c r="A7" s="61"/>
      <c r="B7" s="65"/>
      <c r="C7" s="65"/>
      <c r="D7" s="67" t="s">
        <v>137</v>
      </c>
      <c r="E7" s="67"/>
      <c r="F7" s="121">
        <v>1244651.44</v>
      </c>
      <c r="G7" s="121">
        <f>'Te ardhura e shpenzime'!E13</f>
        <v>1335749</v>
      </c>
    </row>
    <row r="8" spans="1:10" s="35" customFormat="1" ht="20.100000000000001" customHeight="1">
      <c r="A8" s="61"/>
      <c r="B8" s="65"/>
      <c r="C8" s="65"/>
      <c r="D8" s="67" t="s">
        <v>392</v>
      </c>
      <c r="E8" s="67"/>
      <c r="F8" s="121">
        <v>-200.66</v>
      </c>
      <c r="G8" s="121">
        <f>-[2]PL!$G$4</f>
        <v>-558.67999999999995</v>
      </c>
    </row>
    <row r="9" spans="1:10" s="35" customFormat="1" ht="20.100000000000001" customHeight="1">
      <c r="A9" s="61"/>
      <c r="B9" s="65"/>
      <c r="C9" s="65"/>
      <c r="D9" s="67" t="s">
        <v>138</v>
      </c>
      <c r="E9" s="103"/>
      <c r="F9" s="121">
        <v>101877.84</v>
      </c>
      <c r="G9" s="121">
        <f>[2]PL!$G$55</f>
        <v>201475.04</v>
      </c>
    </row>
    <row r="10" spans="1:10" s="38" customFormat="1" ht="20.100000000000001" customHeight="1">
      <c r="A10" s="337"/>
      <c r="B10" s="338"/>
      <c r="C10" s="66" t="s">
        <v>139</v>
      </c>
      <c r="D10" s="102"/>
      <c r="E10" s="337"/>
      <c r="F10" s="121">
        <v>-646646.73</v>
      </c>
      <c r="G10" s="121">
        <f>5072668.449349+86755-1652555</f>
        <v>3506868.4493490001</v>
      </c>
    </row>
    <row r="11" spans="1:10" s="38" customFormat="1" ht="20.100000000000001" customHeight="1">
      <c r="A11" s="337"/>
      <c r="B11" s="338"/>
      <c r="C11" s="66" t="s">
        <v>140</v>
      </c>
      <c r="D11" s="102"/>
      <c r="E11" s="337"/>
      <c r="F11" s="121"/>
      <c r="G11" s="121"/>
      <c r="I11" s="59"/>
      <c r="J11" s="58"/>
    </row>
    <row r="12" spans="1:10" s="35" customFormat="1" ht="20.100000000000001" customHeight="1">
      <c r="A12" s="61"/>
      <c r="B12" s="65"/>
      <c r="C12" s="66" t="s">
        <v>141</v>
      </c>
      <c r="D12" s="66"/>
      <c r="E12" s="104"/>
      <c r="F12" s="121"/>
      <c r="G12" s="121"/>
    </row>
    <row r="13" spans="1:10" s="35" customFormat="1" ht="20.100000000000001" customHeight="1">
      <c r="A13" s="61"/>
      <c r="B13" s="65"/>
      <c r="C13" s="66" t="s">
        <v>157</v>
      </c>
      <c r="D13" s="66"/>
      <c r="E13" s="66"/>
      <c r="F13" s="121"/>
      <c r="G13" s="121"/>
    </row>
    <row r="14" spans="1:10" s="35" customFormat="1" ht="20.100000000000001" customHeight="1">
      <c r="A14" s="337"/>
      <c r="B14" s="338"/>
      <c r="C14" s="66" t="s">
        <v>142</v>
      </c>
      <c r="D14" s="66"/>
      <c r="E14" s="335"/>
      <c r="F14" s="121">
        <v>311285.64999999944</v>
      </c>
      <c r="G14" s="121">
        <v>-1866076.600000001</v>
      </c>
    </row>
    <row r="15" spans="1:10" s="35" customFormat="1" ht="20.100000000000001" customHeight="1">
      <c r="A15" s="337"/>
      <c r="B15" s="338"/>
      <c r="C15" s="66" t="s">
        <v>143</v>
      </c>
      <c r="D15" s="66"/>
      <c r="E15" s="336"/>
      <c r="F15" s="121"/>
      <c r="G15" s="121"/>
    </row>
    <row r="16" spans="1:10" s="35" customFormat="1" ht="20.100000000000001" customHeight="1">
      <c r="A16" s="61"/>
      <c r="B16" s="65"/>
      <c r="C16" s="65" t="s">
        <v>144</v>
      </c>
      <c r="D16" s="65"/>
      <c r="E16" s="65"/>
      <c r="F16" s="120">
        <f>SUM(F5:F15)</f>
        <v>-1228793.9800000002</v>
      </c>
      <c r="G16" s="120">
        <f>SUM(G5:G15)</f>
        <v>1669083.9786980003</v>
      </c>
      <c r="J16" s="90"/>
    </row>
    <row r="17" spans="1:7" s="35" customFormat="1" ht="20.100000000000001" customHeight="1">
      <c r="A17" s="61"/>
      <c r="B17" s="65"/>
      <c r="C17" s="66" t="s">
        <v>145</v>
      </c>
      <c r="D17" s="66"/>
      <c r="E17" s="66"/>
      <c r="F17" s="121">
        <f>-F9</f>
        <v>-101877.84</v>
      </c>
      <c r="G17" s="121">
        <f>-G9</f>
        <v>-201475.04</v>
      </c>
    </row>
    <row r="18" spans="1:7" s="35" customFormat="1" ht="20.100000000000001" customHeight="1">
      <c r="A18" s="61"/>
      <c r="B18" s="65"/>
      <c r="C18" s="66" t="s">
        <v>146</v>
      </c>
      <c r="D18" s="66"/>
      <c r="E18" s="66"/>
      <c r="F18" s="121"/>
      <c r="G18" s="121"/>
    </row>
    <row r="19" spans="1:7" s="35" customFormat="1" ht="20.100000000000001" customHeight="1">
      <c r="A19" s="61"/>
      <c r="B19" s="65"/>
      <c r="C19" s="68" t="s">
        <v>147</v>
      </c>
      <c r="D19" s="65"/>
      <c r="E19" s="65"/>
      <c r="F19" s="121">
        <f>SUM(F16:F18)</f>
        <v>-1330671.8200000003</v>
      </c>
      <c r="G19" s="121">
        <f>SUM(G16:G18)</f>
        <v>1467608.9386980003</v>
      </c>
    </row>
    <row r="20" spans="1:7" s="35" customFormat="1" ht="24.95" customHeight="1">
      <c r="A20" s="61"/>
      <c r="B20" s="65" t="s">
        <v>111</v>
      </c>
      <c r="C20" s="65"/>
      <c r="D20" s="66"/>
      <c r="E20" s="66"/>
      <c r="F20" s="121"/>
      <c r="G20" s="121"/>
    </row>
    <row r="21" spans="1:7" s="35" customFormat="1" ht="20.100000000000001" customHeight="1">
      <c r="A21" s="61"/>
      <c r="B21" s="65"/>
      <c r="C21" s="66" t="s">
        <v>148</v>
      </c>
      <c r="D21" s="66"/>
      <c r="E21" s="66"/>
      <c r="F21" s="121"/>
      <c r="G21" s="121"/>
    </row>
    <row r="22" spans="1:7" s="35" customFormat="1" ht="20.100000000000001" customHeight="1">
      <c r="A22" s="61"/>
      <c r="B22" s="65"/>
      <c r="C22" s="66" t="s">
        <v>149</v>
      </c>
      <c r="D22" s="66"/>
      <c r="E22" s="66"/>
      <c r="F22" s="121">
        <v>-309177.83</v>
      </c>
      <c r="G22" s="121">
        <v>-1841831</v>
      </c>
    </row>
    <row r="23" spans="1:7" s="35" customFormat="1" ht="20.100000000000001" customHeight="1">
      <c r="A23" s="61"/>
      <c r="B23" s="69"/>
      <c r="C23" s="66" t="s">
        <v>150</v>
      </c>
      <c r="D23" s="66"/>
      <c r="E23" s="66"/>
      <c r="F23" s="121"/>
      <c r="G23" s="121"/>
    </row>
    <row r="24" spans="1:7" s="35" customFormat="1" ht="20.100000000000001" customHeight="1">
      <c r="A24" s="61"/>
      <c r="B24" s="61"/>
      <c r="C24" s="66" t="s">
        <v>151</v>
      </c>
      <c r="D24" s="66"/>
      <c r="E24" s="121"/>
      <c r="F24" s="121">
        <v>200.66</v>
      </c>
      <c r="G24" s="121">
        <f>-G8</f>
        <v>558.67999999999995</v>
      </c>
    </row>
    <row r="25" spans="1:7" s="35" customFormat="1" ht="20.100000000000001" customHeight="1">
      <c r="A25" s="61"/>
      <c r="B25" s="61"/>
      <c r="C25" s="66" t="s">
        <v>112</v>
      </c>
      <c r="D25" s="66"/>
      <c r="E25" s="66"/>
      <c r="F25" s="121"/>
      <c r="G25" s="121"/>
    </row>
    <row r="26" spans="1:7" s="35" customFormat="1" ht="20.100000000000001" customHeight="1">
      <c r="A26" s="61"/>
      <c r="B26" s="61"/>
      <c r="C26" s="70" t="s">
        <v>152</v>
      </c>
      <c r="D26" s="66"/>
      <c r="E26" s="66"/>
      <c r="F26" s="120">
        <f>SUM(F21:F25)</f>
        <v>-308977.17000000004</v>
      </c>
      <c r="G26" s="120">
        <f>SUM(G21:G25)</f>
        <v>-1841272.32</v>
      </c>
    </row>
    <row r="27" spans="1:7" s="35" customFormat="1" ht="24.95" customHeight="1">
      <c r="A27" s="61"/>
      <c r="B27" s="65" t="s">
        <v>113</v>
      </c>
      <c r="C27" s="61"/>
      <c r="D27" s="66"/>
      <c r="E27" s="66"/>
      <c r="F27" s="121"/>
      <c r="G27" s="121"/>
    </row>
    <row r="28" spans="1:7" s="35" customFormat="1" ht="20.100000000000001" customHeight="1">
      <c r="A28" s="61"/>
      <c r="B28" s="61"/>
      <c r="C28" s="66" t="s">
        <v>153</v>
      </c>
      <c r="D28" s="66"/>
      <c r="E28" s="66"/>
      <c r="F28" s="121"/>
      <c r="G28" s="121"/>
    </row>
    <row r="29" spans="1:7" s="35" customFormat="1" ht="20.100000000000001" customHeight="1">
      <c r="A29" s="61"/>
      <c r="B29" s="61"/>
      <c r="C29" s="66" t="s">
        <v>158</v>
      </c>
      <c r="D29" s="66"/>
      <c r="E29" s="66"/>
      <c r="F29" s="121"/>
      <c r="G29" s="121"/>
    </row>
    <row r="30" spans="1:7" s="35" customFormat="1" ht="20.100000000000001" customHeight="1">
      <c r="A30" s="61"/>
      <c r="B30" s="61"/>
      <c r="C30" s="66" t="s">
        <v>114</v>
      </c>
      <c r="D30" s="66"/>
      <c r="E30" s="66"/>
      <c r="F30" s="121">
        <f>'Aktivet e detajuara'!I76-'Aktivet e detajuara'!J76</f>
        <v>0</v>
      </c>
      <c r="G30" s="121"/>
    </row>
    <row r="31" spans="1:7" s="35" customFormat="1" ht="20.100000000000001" customHeight="1">
      <c r="A31" s="61"/>
      <c r="B31" s="61"/>
      <c r="C31" s="66" t="s">
        <v>154</v>
      </c>
      <c r="D31" s="66"/>
      <c r="E31" s="66"/>
      <c r="F31" s="121"/>
      <c r="G31" s="121"/>
    </row>
    <row r="32" spans="1:7" s="35" customFormat="1" ht="20.100000000000001" customHeight="1">
      <c r="A32" s="61"/>
      <c r="B32" s="61"/>
      <c r="C32" s="66" t="s">
        <v>115</v>
      </c>
      <c r="D32" s="66"/>
      <c r="E32" s="66"/>
      <c r="F32" s="121"/>
      <c r="G32" s="121"/>
    </row>
    <row r="33" spans="1:8" s="35" customFormat="1" ht="20.100000000000001" customHeight="1">
      <c r="A33" s="61"/>
      <c r="B33" s="61"/>
      <c r="C33" s="70" t="s">
        <v>155</v>
      </c>
      <c r="D33" s="66"/>
      <c r="E33" s="66"/>
      <c r="F33" s="120">
        <f>SUM(F30:F32)</f>
        <v>0</v>
      </c>
      <c r="G33" s="120">
        <f>SUM(G30:G32)</f>
        <v>0</v>
      </c>
    </row>
    <row r="34" spans="1:8" ht="18" customHeight="1">
      <c r="A34" s="71"/>
      <c r="B34" s="65" t="s">
        <v>156</v>
      </c>
      <c r="C34" s="71"/>
      <c r="D34" s="72"/>
      <c r="E34" s="71"/>
      <c r="F34" s="121">
        <f>F19+F26+F33</f>
        <v>-1639648.9900000002</v>
      </c>
      <c r="G34" s="121">
        <f>G19+G26+G33</f>
        <v>-373663.38130199979</v>
      </c>
    </row>
    <row r="35" spans="1:8" ht="18" customHeight="1">
      <c r="A35" s="71"/>
      <c r="B35" s="65" t="s">
        <v>116</v>
      </c>
      <c r="C35" s="71"/>
      <c r="D35" s="72"/>
      <c r="E35" s="72"/>
      <c r="F35" s="120">
        <f>G36</f>
        <v>2366726.67</v>
      </c>
      <c r="G35" s="120">
        <v>2740389.59</v>
      </c>
    </row>
    <row r="36" spans="1:8" ht="18" customHeight="1">
      <c r="A36" s="71"/>
      <c r="B36" s="65" t="s">
        <v>117</v>
      </c>
      <c r="C36" s="71"/>
      <c r="D36" s="72"/>
      <c r="E36" s="72"/>
      <c r="F36" s="120">
        <v>727077.68</v>
      </c>
      <c r="G36" s="120">
        <f>'Aktivet e detajuara'!J3</f>
        <v>2366726.67</v>
      </c>
    </row>
    <row r="38" spans="1:8">
      <c r="F38" s="234">
        <f>F34+F35-F36</f>
        <v>0</v>
      </c>
      <c r="G38" s="234">
        <f>G34+G35-G36</f>
        <v>-0.46130200009793043</v>
      </c>
    </row>
    <row r="39" spans="1:8">
      <c r="G39" s="91"/>
    </row>
    <row r="43" spans="1:8" ht="15.75">
      <c r="H43" s="226"/>
    </row>
    <row r="44" spans="1:8">
      <c r="H44" s="225"/>
    </row>
  </sheetData>
  <mergeCells count="9">
    <mergeCell ref="E14:E15"/>
    <mergeCell ref="A14:A15"/>
    <mergeCell ref="B10:B11"/>
    <mergeCell ref="B14:B15"/>
    <mergeCell ref="A1:G1"/>
    <mergeCell ref="B2:D3"/>
    <mergeCell ref="A2:A3"/>
    <mergeCell ref="A10:A11"/>
    <mergeCell ref="E10:E11"/>
  </mergeCells>
  <phoneticPr fontId="0" type="noConversion"/>
  <printOptions horizontalCentered="1" verticalCentered="1"/>
  <pageMargins left="0.36" right="0" top="1.1200000000000001" bottom="0.31" header="0.48" footer="0.22"/>
  <pageSetup paperSize="9" orientation="portrait" horizontalDpi="300" verticalDpi="300" r:id="rId1"/>
  <headerFooter alignWithMargins="0">
    <oddHeader>&amp;C&amp;12
&amp;"Arial,Bold"Ave Consulting shpk</oddHeader>
  </headerFooter>
  <rowBreaks count="1" manualBreakCount="1">
    <brk id="3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2"/>
  <sheetViews>
    <sheetView zoomScaleNormal="100" workbookViewId="0">
      <selection activeCell="H16" sqref="H16"/>
    </sheetView>
  </sheetViews>
  <sheetFormatPr defaultColWidth="17.7109375" defaultRowHeight="12.75"/>
  <cols>
    <col min="1" max="1" width="2.85546875" customWidth="1"/>
    <col min="2" max="2" width="31.28515625" customWidth="1"/>
    <col min="3" max="3" width="13.140625" customWidth="1"/>
    <col min="4" max="4" width="13" customWidth="1"/>
    <col min="5" max="5" width="14" bestFit="1" customWidth="1"/>
    <col min="6" max="6" width="14.7109375" customWidth="1"/>
    <col min="7" max="7" width="13.140625" customWidth="1"/>
    <col min="8" max="8" width="13.7109375" customWidth="1"/>
    <col min="9" max="9" width="12.140625" style="32" customWidth="1"/>
    <col min="10" max="10" width="2.7109375" customWidth="1"/>
  </cols>
  <sheetData>
    <row r="1" spans="1:12" ht="25.5" customHeight="1">
      <c r="A1" s="340" t="s">
        <v>173</v>
      </c>
      <c r="B1" s="340"/>
      <c r="C1" s="340"/>
      <c r="D1" s="340"/>
      <c r="E1" s="340"/>
      <c r="F1" s="340"/>
      <c r="G1" s="340"/>
      <c r="H1" s="340"/>
      <c r="I1" s="340"/>
    </row>
    <row r="2" spans="1:12" ht="12.75" customHeight="1">
      <c r="B2" s="73" t="s">
        <v>174</v>
      </c>
      <c r="H2" s="74"/>
    </row>
    <row r="3" spans="1:12" s="77" customFormat="1" ht="30.75" customHeight="1">
      <c r="A3" s="60"/>
      <c r="B3" s="60"/>
      <c r="C3" s="75" t="s">
        <v>78</v>
      </c>
      <c r="D3" s="75" t="s">
        <v>175</v>
      </c>
      <c r="E3" s="75" t="s">
        <v>176</v>
      </c>
      <c r="F3" s="75" t="s">
        <v>177</v>
      </c>
      <c r="G3" s="75" t="s">
        <v>178</v>
      </c>
      <c r="H3" s="75" t="s">
        <v>179</v>
      </c>
      <c r="I3" s="76" t="s">
        <v>180</v>
      </c>
    </row>
    <row r="4" spans="1:12" s="79" customFormat="1" ht="30" customHeight="1">
      <c r="A4" s="227" t="s">
        <v>0</v>
      </c>
      <c r="B4" s="65" t="s">
        <v>359</v>
      </c>
      <c r="C4" s="83">
        <v>100000</v>
      </c>
      <c r="D4" s="83">
        <v>0</v>
      </c>
      <c r="E4" s="83">
        <v>0</v>
      </c>
      <c r="F4" s="83">
        <v>0</v>
      </c>
      <c r="G4" s="83">
        <v>9588319</v>
      </c>
      <c r="H4" s="83">
        <v>-2507194.7519999999</v>
      </c>
      <c r="I4" s="83">
        <v>7181124.2479999997</v>
      </c>
      <c r="L4" s="216"/>
    </row>
    <row r="5" spans="1:12" s="78" customFormat="1" ht="20.100000000000001" customHeight="1">
      <c r="A5" s="61">
        <v>1</v>
      </c>
      <c r="B5" s="66" t="s">
        <v>119</v>
      </c>
      <c r="C5" s="82"/>
      <c r="D5" s="82"/>
      <c r="E5" s="82"/>
      <c r="F5" s="82"/>
      <c r="G5" s="82"/>
      <c r="H5" s="80">
        <v>-1508373.2306509989</v>
      </c>
      <c r="I5" s="83">
        <f>SUM(C5:H5)</f>
        <v>-1508373.2306509989</v>
      </c>
    </row>
    <row r="6" spans="1:12" s="78" customFormat="1" ht="20.100000000000001" customHeight="1">
      <c r="A6" s="61">
        <v>2</v>
      </c>
      <c r="B6" s="66" t="s">
        <v>118</v>
      </c>
      <c r="C6" s="82"/>
      <c r="D6" s="82"/>
      <c r="E6" s="82"/>
      <c r="F6" s="82"/>
      <c r="G6" s="82"/>
      <c r="I6" s="83">
        <f>SUM(C6:H6)</f>
        <v>0</v>
      </c>
    </row>
    <row r="7" spans="1:12" s="78" customFormat="1" ht="20.100000000000001" customHeight="1">
      <c r="A7" s="61">
        <v>3</v>
      </c>
      <c r="B7" s="66" t="s">
        <v>181</v>
      </c>
      <c r="C7" s="82"/>
      <c r="D7" s="82"/>
      <c r="E7" s="82"/>
      <c r="F7" s="82"/>
      <c r="G7" s="82"/>
      <c r="H7" s="81"/>
      <c r="I7" s="83">
        <f>SUM(C7:H7)</f>
        <v>0</v>
      </c>
    </row>
    <row r="8" spans="1:12" s="78" customFormat="1" ht="20.100000000000001" customHeight="1">
      <c r="A8" s="61">
        <v>3</v>
      </c>
      <c r="B8" s="66" t="s">
        <v>182</v>
      </c>
      <c r="C8" s="82"/>
      <c r="D8" s="82"/>
      <c r="E8" s="82"/>
      <c r="F8" s="82"/>
      <c r="G8" s="82"/>
      <c r="H8" s="80"/>
      <c r="I8" s="83">
        <f>SUM(C8:H8)</f>
        <v>0</v>
      </c>
    </row>
    <row r="9" spans="1:12" s="78" customFormat="1" ht="20.100000000000001" customHeight="1">
      <c r="A9" s="61">
        <v>4</v>
      </c>
      <c r="B9" s="66" t="s">
        <v>183</v>
      </c>
      <c r="C9" s="82"/>
      <c r="D9" s="82"/>
      <c r="E9" s="82"/>
      <c r="F9" s="82"/>
      <c r="G9" s="82"/>
      <c r="H9" s="80"/>
      <c r="I9" s="83">
        <f>SUM(C9:H9)</f>
        <v>0</v>
      </c>
    </row>
    <row r="10" spans="1:12" s="79" customFormat="1" ht="30" customHeight="1">
      <c r="A10" s="227" t="s">
        <v>1</v>
      </c>
      <c r="B10" s="65" t="s">
        <v>358</v>
      </c>
      <c r="C10" s="83">
        <f t="shared" ref="C10:H10" si="0">SUM(C4:C9)</f>
        <v>100000</v>
      </c>
      <c r="D10" s="83">
        <f t="shared" si="0"/>
        <v>0</v>
      </c>
      <c r="E10" s="83">
        <f t="shared" si="0"/>
        <v>0</v>
      </c>
      <c r="F10" s="83">
        <f t="shared" si="0"/>
        <v>0</v>
      </c>
      <c r="G10" s="83">
        <f t="shared" si="0"/>
        <v>9588319</v>
      </c>
      <c r="H10" s="83">
        <f t="shared" si="0"/>
        <v>-4015567.982650999</v>
      </c>
      <c r="I10" s="83">
        <f>SUM(I4:I9)</f>
        <v>5672751.017349001</v>
      </c>
      <c r="L10" s="216"/>
    </row>
    <row r="11" spans="1:12" s="78" customFormat="1" ht="20.100000000000001" customHeight="1">
      <c r="A11" s="228">
        <v>1</v>
      </c>
      <c r="B11" s="66" t="s">
        <v>119</v>
      </c>
      <c r="C11" s="82"/>
      <c r="D11" s="82"/>
      <c r="E11" s="82"/>
      <c r="F11" s="82"/>
      <c r="G11" s="82"/>
      <c r="H11" s="80">
        <v>-2239761.5199999996</v>
      </c>
      <c r="I11" s="83">
        <f>SUM(C11:H11)</f>
        <v>-2239761.5199999996</v>
      </c>
    </row>
    <row r="12" spans="1:12" s="78" customFormat="1" ht="20.100000000000001" customHeight="1">
      <c r="A12" s="228">
        <v>2</v>
      </c>
      <c r="B12" s="66" t="s">
        <v>118</v>
      </c>
      <c r="C12" s="82"/>
      <c r="D12" s="82"/>
      <c r="E12" s="82"/>
      <c r="F12" s="82"/>
      <c r="G12" s="82"/>
      <c r="I12" s="83">
        <f>SUM(C12:H12)</f>
        <v>0</v>
      </c>
    </row>
    <row r="13" spans="1:12" s="78" customFormat="1" ht="20.100000000000001" customHeight="1">
      <c r="A13" s="228">
        <v>3</v>
      </c>
      <c r="B13" s="66" t="s">
        <v>181</v>
      </c>
      <c r="C13" s="82"/>
      <c r="D13" s="82"/>
      <c r="E13" s="82"/>
      <c r="F13" s="82"/>
      <c r="G13" s="82"/>
      <c r="H13" s="81"/>
      <c r="I13" s="83">
        <f>SUM(C13:H13)</f>
        <v>0</v>
      </c>
    </row>
    <row r="14" spans="1:12" s="78" customFormat="1" ht="20.100000000000001" customHeight="1">
      <c r="A14" s="228">
        <v>3</v>
      </c>
      <c r="B14" s="66" t="s">
        <v>182</v>
      </c>
      <c r="C14" s="82"/>
      <c r="D14" s="82"/>
      <c r="E14" s="82"/>
      <c r="F14" s="82"/>
      <c r="G14" s="82"/>
      <c r="H14" s="80"/>
      <c r="I14" s="83">
        <f>SUM(C14:H14)</f>
        <v>0</v>
      </c>
    </row>
    <row r="15" spans="1:12" s="78" customFormat="1" ht="20.100000000000001" customHeight="1">
      <c r="A15" s="228">
        <v>4</v>
      </c>
      <c r="B15" s="66" t="s">
        <v>183</v>
      </c>
      <c r="C15" s="82"/>
      <c r="D15" s="82"/>
      <c r="E15" s="82"/>
      <c r="F15" s="82"/>
      <c r="G15" s="82"/>
      <c r="H15" s="80"/>
      <c r="I15" s="83">
        <f>SUM(C15:H15)</f>
        <v>0</v>
      </c>
    </row>
    <row r="16" spans="1:12" s="79" customFormat="1" ht="30" customHeight="1">
      <c r="A16" s="227" t="s">
        <v>2</v>
      </c>
      <c r="B16" s="65" t="s">
        <v>360</v>
      </c>
      <c r="C16" s="83">
        <f t="shared" ref="C16:I16" si="1">SUM(C10:C15)</f>
        <v>100000</v>
      </c>
      <c r="D16" s="83">
        <f t="shared" si="1"/>
        <v>0</v>
      </c>
      <c r="E16" s="83">
        <f t="shared" si="1"/>
        <v>0</v>
      </c>
      <c r="F16" s="83">
        <f t="shared" si="1"/>
        <v>0</v>
      </c>
      <c r="G16" s="83">
        <f t="shared" si="1"/>
        <v>9588319</v>
      </c>
      <c r="H16" s="83">
        <f t="shared" si="1"/>
        <v>-6255329.5026509985</v>
      </c>
      <c r="I16" s="83">
        <f t="shared" si="1"/>
        <v>3432989.4973490015</v>
      </c>
      <c r="L16" s="216"/>
    </row>
    <row r="17" ht="14.1" customHeight="1"/>
    <row r="18" ht="14.1" customHeight="1"/>
    <row r="19" ht="14.1" customHeight="1"/>
    <row r="20" ht="14.1" customHeight="1"/>
    <row r="21" ht="14.1" customHeight="1"/>
    <row r="22" ht="14.1" customHeight="1"/>
    <row r="23" ht="14.1" customHeight="1"/>
    <row r="24" ht="14.1" customHeight="1"/>
    <row r="25" ht="14.1" customHeight="1"/>
    <row r="26" ht="14.1" customHeight="1"/>
    <row r="27" ht="14.1" customHeight="1"/>
    <row r="28" ht="14.1" customHeight="1"/>
    <row r="29" ht="14.1" customHeight="1"/>
    <row r="30" ht="14.1" customHeight="1"/>
    <row r="31" ht="14.1" customHeight="1"/>
    <row r="3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</sheetData>
  <mergeCells count="1">
    <mergeCell ref="A1:I1"/>
  </mergeCells>
  <phoneticPr fontId="34" type="noConversion"/>
  <printOptions horizontalCentered="1"/>
  <pageMargins left="0" right="0" top="1.36" bottom="0.31496062992126" header="0.511811023622047" footer="0.511811023622047"/>
  <pageSetup paperSize="9" orientation="landscape" r:id="rId1"/>
  <headerFooter alignWithMargins="0">
    <oddHeader>&amp;C
&amp;"Arial,Bold"&amp;11Ave Consulting shpk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58"/>
  <sheetViews>
    <sheetView topLeftCell="A16" workbookViewId="0">
      <selection activeCell="K59" sqref="K59"/>
    </sheetView>
  </sheetViews>
  <sheetFormatPr defaultRowHeight="12.75"/>
  <cols>
    <col min="1" max="1" width="31.85546875" customWidth="1"/>
    <col min="2" max="2" width="34" style="113" customWidth="1"/>
  </cols>
  <sheetData>
    <row r="1" spans="1:3">
      <c r="A1" s="110"/>
      <c r="B1" s="112"/>
    </row>
    <row r="2" spans="1:3">
      <c r="A2" s="110" t="s">
        <v>194</v>
      </c>
      <c r="B2" s="112">
        <v>-131258.51</v>
      </c>
    </row>
    <row r="3" spans="1:3">
      <c r="A3" s="110" t="s">
        <v>213</v>
      </c>
      <c r="B3" s="112">
        <v>125911.7</v>
      </c>
    </row>
    <row r="4" spans="1:3">
      <c r="A4" s="110" t="s">
        <v>220</v>
      </c>
      <c r="B4" s="111">
        <v>-411.27</v>
      </c>
      <c r="C4" s="110"/>
    </row>
    <row r="5" spans="1:3">
      <c r="A5" s="123" t="s">
        <v>214</v>
      </c>
      <c r="B5" s="112">
        <v>141400</v>
      </c>
    </row>
    <row r="6" spans="1:3">
      <c r="A6" s="123" t="s">
        <v>200</v>
      </c>
      <c r="B6" s="112">
        <v>4797400.04</v>
      </c>
    </row>
    <row r="7" spans="1:3">
      <c r="A7" s="123" t="s">
        <v>215</v>
      </c>
      <c r="B7" s="112">
        <v>198720</v>
      </c>
    </row>
    <row r="8" spans="1:3">
      <c r="A8" s="123" t="s">
        <v>216</v>
      </c>
      <c r="B8" s="112">
        <v>822910</v>
      </c>
    </row>
    <row r="9" spans="1:3">
      <c r="A9" s="123" t="s">
        <v>217</v>
      </c>
      <c r="B9" s="112">
        <v>30000</v>
      </c>
    </row>
    <row r="10" spans="1:3">
      <c r="A10" s="123" t="s">
        <v>218</v>
      </c>
      <c r="B10" s="112">
        <v>2743865.02</v>
      </c>
    </row>
    <row r="11" spans="1:3">
      <c r="A11" s="123" t="s">
        <v>219</v>
      </c>
      <c r="B11" s="112">
        <v>39368</v>
      </c>
    </row>
    <row r="12" spans="1:3">
      <c r="A12" s="110" t="s">
        <v>202</v>
      </c>
      <c r="B12" s="112">
        <v>5000</v>
      </c>
    </row>
    <row r="13" spans="1:3">
      <c r="A13" s="110" t="s">
        <v>203</v>
      </c>
      <c r="B13" s="112">
        <v>173340.67</v>
      </c>
    </row>
    <row r="14" spans="1:3">
      <c r="A14" s="110" t="s">
        <v>204</v>
      </c>
      <c r="B14" s="112">
        <v>1049600</v>
      </c>
    </row>
    <row r="15" spans="1:3">
      <c r="A15" s="110" t="s">
        <v>205</v>
      </c>
      <c r="B15" s="112">
        <v>137560</v>
      </c>
    </row>
    <row r="16" spans="1:3">
      <c r="A16" s="110" t="s">
        <v>206</v>
      </c>
      <c r="B16" s="112">
        <v>219665.83</v>
      </c>
    </row>
    <row r="17" spans="1:5">
      <c r="A17" s="110" t="s">
        <v>207</v>
      </c>
      <c r="B17" s="112">
        <v>576969.39</v>
      </c>
    </row>
    <row r="18" spans="1:5">
      <c r="A18" s="110" t="s">
        <v>208</v>
      </c>
      <c r="B18" s="112">
        <v>79819.89</v>
      </c>
    </row>
    <row r="19" spans="1:5">
      <c r="A19" s="110" t="s">
        <v>196</v>
      </c>
      <c r="B19" s="112">
        <v>120000</v>
      </c>
    </row>
    <row r="20" spans="1:5">
      <c r="A20" s="110" t="s">
        <v>197</v>
      </c>
      <c r="B20" s="112">
        <v>144264</v>
      </c>
    </row>
    <row r="21" spans="1:5">
      <c r="A21" s="110" t="s">
        <v>198</v>
      </c>
      <c r="B21" s="112">
        <v>1062290.01</v>
      </c>
    </row>
    <row r="22" spans="1:5">
      <c r="A22" s="110" t="s">
        <v>199</v>
      </c>
      <c r="B22" s="112">
        <v>4300</v>
      </c>
    </row>
    <row r="23" spans="1:5">
      <c r="A23" s="110" t="s">
        <v>200</v>
      </c>
      <c r="B23" s="112">
        <v>204000</v>
      </c>
    </row>
    <row r="24" spans="1:5">
      <c r="A24" s="110" t="s">
        <v>201</v>
      </c>
      <c r="B24" s="112">
        <v>-44051.46</v>
      </c>
    </row>
    <row r="25" spans="1:5">
      <c r="A25" s="110" t="s">
        <v>209</v>
      </c>
      <c r="B25" s="112">
        <v>68120</v>
      </c>
    </row>
    <row r="26" spans="1:5">
      <c r="A26" s="110" t="s">
        <v>210</v>
      </c>
      <c r="B26" s="112">
        <v>100000</v>
      </c>
    </row>
    <row r="27" spans="1:5">
      <c r="A27" s="110" t="s">
        <v>211</v>
      </c>
      <c r="B27" s="112">
        <v>170400</v>
      </c>
    </row>
    <row r="28" spans="1:5">
      <c r="A28" s="110" t="s">
        <v>212</v>
      </c>
      <c r="B28" s="112">
        <v>1558.16</v>
      </c>
    </row>
    <row r="29" spans="1:5">
      <c r="B29" s="114">
        <f>SUM(B2:B28)</f>
        <v>12840741.470000001</v>
      </c>
      <c r="D29" s="115"/>
    </row>
    <row r="31" spans="1:5">
      <c r="A31" s="110" t="s">
        <v>135</v>
      </c>
      <c r="B31" s="116" t="e">
        <f>'Te ardhura e shpenzime'!#REF!</f>
        <v>#REF!</v>
      </c>
      <c r="C31" s="117"/>
      <c r="D31" s="117"/>
      <c r="E31" s="117"/>
    </row>
    <row r="32" spans="1:5">
      <c r="A32" s="123" t="s">
        <v>212</v>
      </c>
      <c r="B32" s="116">
        <v>1558.16</v>
      </c>
      <c r="C32" s="117"/>
      <c r="D32" s="117"/>
      <c r="E32" s="117"/>
    </row>
    <row r="33" spans="1:5">
      <c r="A33" s="123" t="s">
        <v>214</v>
      </c>
      <c r="B33" s="112">
        <v>141400</v>
      </c>
      <c r="C33" s="117"/>
      <c r="D33" s="117"/>
      <c r="E33" s="117"/>
    </row>
    <row r="34" spans="1:5">
      <c r="A34" s="123" t="s">
        <v>200</v>
      </c>
      <c r="B34" s="112">
        <v>4797400.04</v>
      </c>
      <c r="C34" s="117"/>
      <c r="D34" s="117"/>
      <c r="E34" s="117"/>
    </row>
    <row r="35" spans="1:5">
      <c r="A35" s="123" t="s">
        <v>215</v>
      </c>
      <c r="B35" s="112">
        <v>198720</v>
      </c>
      <c r="C35" s="117"/>
      <c r="D35" s="117"/>
      <c r="E35" s="117"/>
    </row>
    <row r="36" spans="1:5">
      <c r="A36" s="123" t="s">
        <v>216</v>
      </c>
      <c r="B36" s="112">
        <v>822910</v>
      </c>
      <c r="C36" s="117"/>
      <c r="D36" s="117"/>
      <c r="E36" s="117"/>
    </row>
    <row r="37" spans="1:5">
      <c r="A37" s="123" t="s">
        <v>217</v>
      </c>
      <c r="B37" s="112">
        <v>30000</v>
      </c>
      <c r="C37" s="117"/>
      <c r="D37" s="117"/>
      <c r="E37" s="117"/>
    </row>
    <row r="38" spans="1:5">
      <c r="A38" s="123" t="s">
        <v>218</v>
      </c>
      <c r="B38" s="112">
        <v>2743865.02</v>
      </c>
      <c r="C38" s="117"/>
      <c r="D38" s="117"/>
      <c r="E38" s="117"/>
    </row>
    <row r="39" spans="1:5">
      <c r="A39" s="123" t="s">
        <v>219</v>
      </c>
      <c r="B39" s="112">
        <v>39368</v>
      </c>
    </row>
    <row r="40" spans="1:5">
      <c r="A40" s="123" t="s">
        <v>221</v>
      </c>
      <c r="B40" s="112">
        <v>-44051.46</v>
      </c>
    </row>
    <row r="41" spans="1:5">
      <c r="A41" s="123" t="s">
        <v>222</v>
      </c>
      <c r="B41" s="118" t="e">
        <f>SUM(B31:B40)</f>
        <v>#REF!</v>
      </c>
    </row>
    <row r="42" spans="1:5">
      <c r="A42" s="123" t="s">
        <v>223</v>
      </c>
      <c r="B42" s="119" t="e">
        <f>B41*0.1</f>
        <v>#REF!</v>
      </c>
    </row>
    <row r="43" spans="1:5">
      <c r="A43" s="123" t="s">
        <v>224</v>
      </c>
      <c r="B43" s="119" t="e">
        <f>B31-B42</f>
        <v>#REF!</v>
      </c>
    </row>
    <row r="44" spans="1:5">
      <c r="A44" s="123" t="s">
        <v>187</v>
      </c>
      <c r="B44" s="92">
        <v>1020639</v>
      </c>
    </row>
    <row r="45" spans="1:5">
      <c r="A45" s="123" t="s">
        <v>225</v>
      </c>
      <c r="B45" s="119" t="e">
        <f>B44-B42</f>
        <v>#REF!</v>
      </c>
    </row>
    <row r="58" spans="11:11">
      <c r="K58" t="s">
        <v>310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3"/>
  <sheetViews>
    <sheetView tabSelected="1" zoomScaleNormal="100" workbookViewId="0">
      <selection activeCell="C83" sqref="C83"/>
    </sheetView>
  </sheetViews>
  <sheetFormatPr defaultRowHeight="15" customHeight="1"/>
  <cols>
    <col min="1" max="1" width="4.28515625" style="235" customWidth="1"/>
    <col min="2" max="2" width="33" style="238" customWidth="1"/>
    <col min="3" max="3" width="14.42578125" style="237" customWidth="1"/>
    <col min="4" max="4" width="16.85546875" style="238" bestFit="1" customWidth="1"/>
    <col min="5" max="5" width="12.140625" style="238" customWidth="1"/>
    <col min="6" max="6" width="15.28515625" style="238" bestFit="1" customWidth="1"/>
    <col min="7" max="7" width="14.5703125" style="238" customWidth="1"/>
    <col min="8" max="8" width="15.7109375" style="239" bestFit="1" customWidth="1"/>
    <col min="9" max="9" width="10.5703125" style="238" customWidth="1"/>
    <col min="10" max="10" width="11.28515625" style="238" customWidth="1"/>
    <col min="11" max="11" width="13.85546875" style="238" customWidth="1"/>
    <col min="12" max="12" width="12.7109375" style="238" customWidth="1"/>
    <col min="13" max="13" width="11.28515625" style="238" bestFit="1" customWidth="1"/>
    <col min="14" max="16" width="9.140625" style="238"/>
    <col min="17" max="17" width="16.42578125" style="238" customWidth="1"/>
    <col min="18" max="18" width="15.140625" style="238" customWidth="1"/>
    <col min="19" max="19" width="14.5703125" style="238" customWidth="1"/>
    <col min="20" max="20" width="13.7109375" style="238" customWidth="1"/>
    <col min="21" max="21" width="15.5703125" style="238" customWidth="1"/>
    <col min="22" max="16384" width="9.140625" style="238"/>
  </cols>
  <sheetData>
    <row r="1" spans="1:9" ht="15" customHeight="1">
      <c r="A1" s="235">
        <v>1</v>
      </c>
      <c r="B1" s="236" t="s">
        <v>185</v>
      </c>
    </row>
    <row r="2" spans="1:9" ht="15" customHeight="1">
      <c r="B2" s="240" t="s">
        <v>240</v>
      </c>
    </row>
    <row r="3" spans="1:9" ht="30.75" customHeight="1">
      <c r="B3" s="341" t="s">
        <v>241</v>
      </c>
      <c r="C3" s="341"/>
      <c r="D3" s="341"/>
      <c r="E3" s="341"/>
      <c r="F3" s="341"/>
      <c r="G3" s="341"/>
    </row>
    <row r="4" spans="1:9" ht="15" customHeight="1">
      <c r="B4" s="342" t="s">
        <v>242</v>
      </c>
      <c r="C4" s="342"/>
      <c r="D4" s="342"/>
      <c r="E4" s="342"/>
      <c r="F4" s="342"/>
      <c r="G4" s="342"/>
    </row>
    <row r="5" spans="1:9" ht="15" customHeight="1">
      <c r="B5" s="241" t="s">
        <v>243</v>
      </c>
      <c r="C5" s="238"/>
    </row>
    <row r="6" spans="1:9" ht="15" customHeight="1">
      <c r="B6" s="241" t="s">
        <v>244</v>
      </c>
      <c r="C6" s="238"/>
    </row>
    <row r="7" spans="1:9" ht="15" customHeight="1">
      <c r="B7" s="241" t="s">
        <v>245</v>
      </c>
    </row>
    <row r="8" spans="1:9" ht="15" customHeight="1">
      <c r="B8" s="236"/>
    </row>
    <row r="9" spans="1:9" ht="15" customHeight="1">
      <c r="A9" s="242">
        <v>2</v>
      </c>
      <c r="B9" s="236" t="s">
        <v>160</v>
      </c>
    </row>
    <row r="10" spans="1:9" ht="15" customHeight="1">
      <c r="A10" s="242"/>
      <c r="B10" s="243" t="s">
        <v>226</v>
      </c>
      <c r="C10" s="243" t="s">
        <v>363</v>
      </c>
      <c r="D10" s="243" t="s">
        <v>364</v>
      </c>
      <c r="E10" s="243" t="s">
        <v>365</v>
      </c>
      <c r="F10" s="243" t="s">
        <v>324</v>
      </c>
    </row>
    <row r="11" spans="1:9" ht="15" customHeight="1">
      <c r="A11" s="242"/>
      <c r="B11" s="244" t="s">
        <v>318</v>
      </c>
      <c r="C11" s="245">
        <v>16340.92</v>
      </c>
      <c r="D11" s="245">
        <v>214.5</v>
      </c>
      <c r="E11" s="245">
        <v>140.19999999999999</v>
      </c>
      <c r="F11" s="245">
        <f>C11+D11*E11</f>
        <v>46413.82</v>
      </c>
      <c r="I11" s="246"/>
    </row>
    <row r="12" spans="1:9" ht="15" customHeight="1">
      <c r="A12" s="242"/>
      <c r="B12" s="244" t="s">
        <v>373</v>
      </c>
      <c r="C12" s="245">
        <v>36049.1</v>
      </c>
      <c r="D12" s="245">
        <v>382.72</v>
      </c>
      <c r="E12" s="245">
        <v>140.19999999999999</v>
      </c>
      <c r="F12" s="245">
        <f>C12+D12*E12</f>
        <v>89706.443999999989</v>
      </c>
      <c r="I12" s="246"/>
    </row>
    <row r="13" spans="1:9" ht="15" customHeight="1">
      <c r="A13" s="242"/>
      <c r="B13" s="244" t="s">
        <v>320</v>
      </c>
      <c r="C13" s="245">
        <v>52838</v>
      </c>
      <c r="D13" s="245">
        <v>1984.48</v>
      </c>
      <c r="E13" s="245">
        <v>140.19999999999999</v>
      </c>
      <c r="F13" s="245">
        <f>C13+D13*E13</f>
        <v>331062.09599999996</v>
      </c>
      <c r="I13" s="246"/>
    </row>
    <row r="14" spans="1:9" ht="15" customHeight="1">
      <c r="A14" s="242"/>
      <c r="B14" s="244" t="s">
        <v>321</v>
      </c>
      <c r="C14" s="245">
        <v>5792.21</v>
      </c>
      <c r="D14" s="245">
        <v>34.090000000000003</v>
      </c>
      <c r="E14" s="245">
        <v>140.19999999999999</v>
      </c>
      <c r="F14" s="245">
        <f>C14+D14*E14</f>
        <v>10571.628000000001</v>
      </c>
      <c r="I14" s="246"/>
    </row>
    <row r="15" spans="1:9" ht="15" customHeight="1">
      <c r="A15" s="242"/>
      <c r="B15" s="244" t="s">
        <v>322</v>
      </c>
      <c r="C15" s="245">
        <v>249323.69</v>
      </c>
      <c r="D15" s="245">
        <v>0</v>
      </c>
      <c r="E15" s="245">
        <v>140.19999999999999</v>
      </c>
      <c r="F15" s="245">
        <f>C15+D15*E15</f>
        <v>249323.69</v>
      </c>
      <c r="I15" s="246"/>
    </row>
    <row r="16" spans="1:9" ht="15" customHeight="1">
      <c r="A16" s="242"/>
      <c r="B16" s="269" t="s">
        <v>238</v>
      </c>
      <c r="C16" s="247">
        <f>SUM(C11:C15)</f>
        <v>360343.92</v>
      </c>
      <c r="D16" s="247">
        <f>SUM(D11:D15)</f>
        <v>2615.79</v>
      </c>
      <c r="E16" s="247"/>
      <c r="F16" s="247">
        <f>SUM(F11:F15)</f>
        <v>727077.67800000007</v>
      </c>
    </row>
    <row r="17" spans="1:15" ht="15" customHeight="1">
      <c r="A17" s="242"/>
      <c r="B17" s="236"/>
      <c r="F17" s="266">
        <f>F16-'Aktivet e detajuara'!I3</f>
        <v>-1.9999999785795808E-3</v>
      </c>
    </row>
    <row r="18" spans="1:15" ht="15" customHeight="1">
      <c r="A18" s="242">
        <v>3</v>
      </c>
      <c r="B18" s="236" t="s">
        <v>186</v>
      </c>
      <c r="C18" s="237" t="s">
        <v>366</v>
      </c>
      <c r="D18" s="237" t="s">
        <v>372</v>
      </c>
    </row>
    <row r="19" spans="1:15" ht="15" customHeight="1">
      <c r="A19" s="242"/>
      <c r="B19" s="248" t="s">
        <v>349</v>
      </c>
      <c r="C19" s="267">
        <v>0</v>
      </c>
      <c r="D19" s="268">
        <f>-[3]Sheet1!$H$69</f>
        <v>15570.71</v>
      </c>
    </row>
    <row r="20" spans="1:15" ht="15" customHeight="1">
      <c r="A20" s="242"/>
      <c r="B20" s="248" t="s">
        <v>326</v>
      </c>
      <c r="C20" s="267">
        <f>[2]BSH!$I$38</f>
        <v>1458215</v>
      </c>
      <c r="D20" s="268">
        <f>C20</f>
        <v>1458215</v>
      </c>
    </row>
    <row r="21" spans="1:15" ht="15" customHeight="1">
      <c r="A21" s="242"/>
      <c r="B21" s="248" t="s">
        <v>248</v>
      </c>
      <c r="C21" s="267">
        <f>[2]BSH!$I$33</f>
        <v>737876</v>
      </c>
      <c r="D21" s="268">
        <v>737876</v>
      </c>
      <c r="E21" s="250"/>
    </row>
    <row r="22" spans="1:15" ht="15" customHeight="1">
      <c r="A22" s="242"/>
      <c r="B22" s="270" t="s">
        <v>238</v>
      </c>
      <c r="C22" s="318">
        <f>SUM(C19:C21)</f>
        <v>2196091</v>
      </c>
      <c r="D22" s="318">
        <f>SUM(D19:D21)</f>
        <v>2211661.71</v>
      </c>
      <c r="E22" s="251"/>
    </row>
    <row r="23" spans="1:15" ht="15" customHeight="1">
      <c r="A23" s="242"/>
      <c r="B23" s="248"/>
      <c r="C23" s="268">
        <f>C22-'Aktivet e detajuara'!I10</f>
        <v>0</v>
      </c>
      <c r="D23" s="268">
        <f>D22-'Aktivet e detajuara'!J10</f>
        <v>0</v>
      </c>
      <c r="E23" s="251"/>
    </row>
    <row r="24" spans="1:15" ht="15" customHeight="1">
      <c r="A24" s="242" t="s">
        <v>189</v>
      </c>
      <c r="B24" s="248" t="s">
        <v>282</v>
      </c>
      <c r="C24" s="249"/>
      <c r="D24" s="252"/>
      <c r="E24" s="251"/>
      <c r="H24" s="253"/>
      <c r="I24" s="250"/>
      <c r="J24" s="250"/>
      <c r="K24" s="250"/>
      <c r="L24" s="250"/>
      <c r="M24" s="250"/>
      <c r="N24" s="250"/>
      <c r="O24" s="250"/>
    </row>
    <row r="25" spans="1:15" ht="24.75" customHeight="1">
      <c r="A25" s="254" t="s">
        <v>131</v>
      </c>
      <c r="B25" s="255" t="s">
        <v>250</v>
      </c>
      <c r="C25" s="256" t="s">
        <v>368</v>
      </c>
      <c r="D25" s="256" t="s">
        <v>369</v>
      </c>
      <c r="E25" s="256" t="s">
        <v>370</v>
      </c>
      <c r="F25" s="256" t="s">
        <v>371</v>
      </c>
      <c r="H25" s="238"/>
    </row>
    <row r="26" spans="1:15" ht="15" customHeight="1">
      <c r="A26" s="254">
        <v>1</v>
      </c>
      <c r="B26" s="255" t="s">
        <v>255</v>
      </c>
      <c r="C26" s="274">
        <v>5081868.6871466665</v>
      </c>
      <c r="D26" s="274">
        <v>0</v>
      </c>
      <c r="E26" s="257">
        <v>1016373.59</v>
      </c>
      <c r="F26" s="257">
        <f>C26+D26-E26</f>
        <v>4065495.0971466666</v>
      </c>
      <c r="G26" s="258"/>
      <c r="H26" s="238"/>
    </row>
    <row r="27" spans="1:15" ht="15" customHeight="1">
      <c r="A27" s="254">
        <v>2</v>
      </c>
      <c r="B27" s="255" t="s">
        <v>256</v>
      </c>
      <c r="C27" s="274">
        <v>143340.68426666665</v>
      </c>
      <c r="D27" s="274">
        <v>197635</v>
      </c>
      <c r="E27" s="257">
        <v>48431.7</v>
      </c>
      <c r="F27" s="257">
        <f t="shared" ref="F27:F30" si="0">C27+D27-E27</f>
        <v>292543.98426666664</v>
      </c>
      <c r="G27" s="258"/>
      <c r="H27" s="238"/>
    </row>
    <row r="28" spans="1:15" ht="15" customHeight="1">
      <c r="A28" s="254">
        <v>3</v>
      </c>
      <c r="B28" s="255" t="s">
        <v>257</v>
      </c>
      <c r="C28" s="274">
        <v>37875.3024</v>
      </c>
      <c r="D28" s="274"/>
      <c r="E28" s="257">
        <v>7575</v>
      </c>
      <c r="F28" s="257">
        <f t="shared" si="0"/>
        <v>30300.3024</v>
      </c>
      <c r="G28" s="258"/>
      <c r="H28" s="238"/>
    </row>
    <row r="29" spans="1:15" ht="15" customHeight="1">
      <c r="A29" s="254">
        <v>4</v>
      </c>
      <c r="B29" s="255" t="s">
        <v>258</v>
      </c>
      <c r="C29" s="274">
        <v>648500.59</v>
      </c>
      <c r="D29" s="274">
        <v>111542.83</v>
      </c>
      <c r="E29" s="257">
        <v>172271.15</v>
      </c>
      <c r="F29" s="257">
        <f t="shared" si="0"/>
        <v>587772.2699999999</v>
      </c>
      <c r="G29" s="258"/>
      <c r="H29" s="238"/>
    </row>
    <row r="30" spans="1:15" ht="15" customHeight="1">
      <c r="A30" s="254"/>
      <c r="B30" s="312" t="s">
        <v>238</v>
      </c>
      <c r="C30" s="310">
        <f>SUM(C26:C29)</f>
        <v>5911585.2638133336</v>
      </c>
      <c r="D30" s="310">
        <f t="shared" ref="D30:E30" si="1">SUM(D26:D29)</f>
        <v>309177.83</v>
      </c>
      <c r="E30" s="311">
        <f t="shared" si="1"/>
        <v>1244651.44</v>
      </c>
      <c r="F30" s="311">
        <f t="shared" si="0"/>
        <v>4976111.6538133342</v>
      </c>
      <c r="H30" s="238"/>
    </row>
    <row r="31" spans="1:15" ht="15" customHeight="1">
      <c r="A31" s="242"/>
      <c r="B31" s="248"/>
      <c r="C31" s="249"/>
      <c r="D31" s="252"/>
      <c r="E31" s="251"/>
      <c r="F31" s="239"/>
      <c r="G31" s="258"/>
      <c r="H31" s="253"/>
      <c r="I31" s="250"/>
      <c r="J31" s="250"/>
      <c r="K31" s="250"/>
      <c r="L31" s="250"/>
      <c r="M31" s="250"/>
      <c r="N31" s="250"/>
      <c r="O31" s="250"/>
    </row>
    <row r="32" spans="1:15" ht="15" customHeight="1">
      <c r="A32" s="242" t="s">
        <v>188</v>
      </c>
      <c r="B32" s="236" t="s">
        <v>287</v>
      </c>
      <c r="C32" s="237" t="s">
        <v>366</v>
      </c>
      <c r="D32" s="237" t="s">
        <v>372</v>
      </c>
      <c r="E32" s="251"/>
    </row>
    <row r="33" spans="1:5" ht="15" customHeight="1">
      <c r="A33" s="238"/>
      <c r="B33" s="248" t="s">
        <v>367</v>
      </c>
      <c r="C33" s="267">
        <v>1467555</v>
      </c>
      <c r="D33" s="268">
        <v>1652555</v>
      </c>
    </row>
    <row r="34" spans="1:5" ht="15" customHeight="1">
      <c r="A34" s="238"/>
      <c r="B34" s="248"/>
      <c r="C34" s="249">
        <f>C33-'Aktivet e detajuara'!I45</f>
        <v>0</v>
      </c>
      <c r="D34" s="249">
        <f>D33-'Aktivet e detajuara'!J45</f>
        <v>0</v>
      </c>
    </row>
    <row r="35" spans="1:5" ht="15" customHeight="1">
      <c r="A35" s="242" t="s">
        <v>285</v>
      </c>
      <c r="B35" s="236" t="s">
        <v>286</v>
      </c>
      <c r="C35" s="237" t="s">
        <v>366</v>
      </c>
      <c r="D35" s="237" t="s">
        <v>372</v>
      </c>
      <c r="E35" s="251"/>
    </row>
    <row r="36" spans="1:5" ht="15" customHeight="1">
      <c r="A36" s="242"/>
      <c r="B36" s="248" t="s">
        <v>375</v>
      </c>
      <c r="C36" s="268">
        <v>56831</v>
      </c>
      <c r="D36" s="268">
        <v>44113.5</v>
      </c>
      <c r="E36" s="317"/>
    </row>
    <row r="37" spans="1:5" ht="15" customHeight="1">
      <c r="A37" s="242"/>
      <c r="B37" s="248" t="s">
        <v>376</v>
      </c>
      <c r="C37" s="268">
        <v>20109</v>
      </c>
      <c r="D37" s="268">
        <v>26097.5</v>
      </c>
      <c r="E37" s="317"/>
    </row>
    <row r="38" spans="1:5" ht="15" customHeight="1">
      <c r="A38" s="242"/>
      <c r="B38" s="248" t="s">
        <v>291</v>
      </c>
      <c r="C38" s="268">
        <v>20086.12</v>
      </c>
      <c r="D38" s="268">
        <v>20086.12</v>
      </c>
      <c r="E38" s="317"/>
    </row>
    <row r="39" spans="1:5" ht="15" customHeight="1">
      <c r="A39" s="242"/>
      <c r="B39" s="248" t="s">
        <v>377</v>
      </c>
      <c r="C39" s="268">
        <v>124171</v>
      </c>
      <c r="D39" s="268"/>
      <c r="E39" s="317"/>
    </row>
    <row r="40" spans="1:5" ht="15" customHeight="1">
      <c r="A40" s="242"/>
      <c r="B40" s="270" t="s">
        <v>238</v>
      </c>
      <c r="C40" s="318">
        <f>SUM(C36:C39)</f>
        <v>221197.12</v>
      </c>
      <c r="D40" s="318">
        <f>SUM(D36:D39)</f>
        <v>90297.12</v>
      </c>
      <c r="E40" s="317"/>
    </row>
    <row r="41" spans="1:5" ht="15" customHeight="1">
      <c r="A41" s="242"/>
      <c r="B41" s="248"/>
      <c r="C41" s="252">
        <f>C40-'Aktivet e detajuara'!I63</f>
        <v>0</v>
      </c>
      <c r="D41" s="252">
        <f>D40-'Aktivet e detajuara'!J63</f>
        <v>0</v>
      </c>
      <c r="E41" s="251"/>
    </row>
    <row r="42" spans="1:5" ht="15" customHeight="1">
      <c r="A42" s="242" t="s">
        <v>374</v>
      </c>
      <c r="B42" s="236" t="s">
        <v>297</v>
      </c>
      <c r="C42" s="237" t="s">
        <v>366</v>
      </c>
      <c r="D42" s="237" t="s">
        <v>372</v>
      </c>
      <c r="E42" s="251"/>
    </row>
    <row r="43" spans="1:5" ht="15" customHeight="1">
      <c r="A43" s="238"/>
      <c r="B43" s="248" t="s">
        <v>378</v>
      </c>
      <c r="C43" s="268">
        <v>553073.57999999996</v>
      </c>
      <c r="D43" s="268">
        <v>1838558.15</v>
      </c>
      <c r="E43" s="251"/>
    </row>
    <row r="44" spans="1:5" ht="15" customHeight="1">
      <c r="A44" s="242"/>
      <c r="B44" s="248" t="s">
        <v>379</v>
      </c>
      <c r="C44" s="268">
        <v>3944.8900142653351</v>
      </c>
      <c r="D44" s="252">
        <v>13171.130811662726</v>
      </c>
      <c r="E44" s="251"/>
    </row>
    <row r="45" spans="1:5" ht="15" customHeight="1">
      <c r="A45" s="242"/>
      <c r="B45" s="248"/>
      <c r="C45" s="249"/>
      <c r="D45" s="252"/>
      <c r="E45" s="251"/>
    </row>
    <row r="46" spans="1:5" ht="15" customHeight="1">
      <c r="A46" s="235">
        <v>8</v>
      </c>
      <c r="B46" s="236" t="s">
        <v>295</v>
      </c>
      <c r="C46" s="237" t="s">
        <v>352</v>
      </c>
      <c r="D46" s="237" t="s">
        <v>339</v>
      </c>
      <c r="E46" s="237"/>
    </row>
    <row r="47" spans="1:5" ht="15" customHeight="1">
      <c r="B47" s="248" t="s">
        <v>296</v>
      </c>
      <c r="C47" s="237">
        <v>6591633.7000000002</v>
      </c>
      <c r="D47" s="237">
        <v>7841977.8300000001</v>
      </c>
    </row>
    <row r="50" spans="1:7" ht="15" customHeight="1">
      <c r="A50" s="235">
        <v>9</v>
      </c>
      <c r="B50" s="236" t="s">
        <v>3</v>
      </c>
      <c r="C50" s="237" t="s">
        <v>352</v>
      </c>
      <c r="D50" s="237" t="s">
        <v>339</v>
      </c>
    </row>
    <row r="51" spans="1:7" ht="15" customHeight="1">
      <c r="B51" s="259" t="s">
        <v>382</v>
      </c>
      <c r="C51" s="267">
        <v>0</v>
      </c>
      <c r="D51" s="271">
        <v>120000</v>
      </c>
      <c r="E51" s="260"/>
    </row>
    <row r="52" spans="1:7" ht="15" customHeight="1">
      <c r="B52" s="259" t="s">
        <v>341</v>
      </c>
      <c r="C52" s="267">
        <v>4198.5</v>
      </c>
      <c r="D52" s="271">
        <v>80497.440000000002</v>
      </c>
    </row>
    <row r="53" spans="1:7" ht="15" customHeight="1">
      <c r="B53" s="259" t="s">
        <v>195</v>
      </c>
      <c r="C53" s="267">
        <v>0</v>
      </c>
      <c r="D53" s="271">
        <v>1479670</v>
      </c>
    </row>
    <row r="54" spans="1:7" ht="15" customHeight="1">
      <c r="B54" s="259" t="s">
        <v>342</v>
      </c>
      <c r="C54" s="267">
        <v>0</v>
      </c>
      <c r="D54" s="271">
        <v>175000</v>
      </c>
    </row>
    <row r="55" spans="1:7" ht="15" customHeight="1">
      <c r="B55" s="259" t="s">
        <v>203</v>
      </c>
      <c r="C55" s="267">
        <v>156890</v>
      </c>
      <c r="D55" s="271">
        <v>27633</v>
      </c>
    </row>
    <row r="56" spans="1:7" ht="15" customHeight="1">
      <c r="B56" s="259" t="s">
        <v>204</v>
      </c>
      <c r="C56" s="267">
        <v>0</v>
      </c>
      <c r="D56" s="271">
        <v>171742</v>
      </c>
    </row>
    <row r="57" spans="1:7" ht="15" customHeight="1">
      <c r="B57" s="259" t="s">
        <v>205</v>
      </c>
      <c r="C57" s="267">
        <v>229008.33</v>
      </c>
      <c r="D57" s="271">
        <v>21029</v>
      </c>
      <c r="F57" s="239"/>
    </row>
    <row r="58" spans="1:7" ht="15" customHeight="1">
      <c r="B58" s="259" t="s">
        <v>343</v>
      </c>
      <c r="C58" s="267">
        <v>152296.09</v>
      </c>
      <c r="D58" s="271">
        <v>262249.52</v>
      </c>
    </row>
    <row r="59" spans="1:7" ht="15" customHeight="1">
      <c r="B59" s="259" t="s">
        <v>344</v>
      </c>
      <c r="C59" s="267">
        <v>0</v>
      </c>
      <c r="D59" s="271">
        <v>26000</v>
      </c>
    </row>
    <row r="60" spans="1:7" ht="15" customHeight="1">
      <c r="B60" s="259" t="s">
        <v>207</v>
      </c>
      <c r="C60" s="267">
        <v>351788.6</v>
      </c>
      <c r="D60" s="271">
        <v>554344.28</v>
      </c>
      <c r="G60" s="239"/>
    </row>
    <row r="61" spans="1:7" ht="15" customHeight="1">
      <c r="B61" s="259" t="s">
        <v>208</v>
      </c>
      <c r="C61" s="267">
        <v>39876.660000000003</v>
      </c>
      <c r="D61" s="271">
        <v>52952.35</v>
      </c>
      <c r="G61" s="239"/>
    </row>
    <row r="62" spans="1:7" ht="15" customHeight="1">
      <c r="B62" s="259" t="s">
        <v>345</v>
      </c>
      <c r="C62" s="267">
        <v>0</v>
      </c>
      <c r="D62" s="271">
        <v>48.96</v>
      </c>
      <c r="G62" s="239"/>
    </row>
    <row r="63" spans="1:7" ht="15" customHeight="1">
      <c r="B63" s="259" t="s">
        <v>380</v>
      </c>
      <c r="C63" s="267">
        <v>776082.5</v>
      </c>
      <c r="D63" s="271">
        <v>225019.18</v>
      </c>
      <c r="G63" s="239"/>
    </row>
    <row r="64" spans="1:7" ht="15" customHeight="1">
      <c r="B64" s="259" t="s">
        <v>381</v>
      </c>
      <c r="C64" s="267">
        <v>300088.67</v>
      </c>
      <c r="D64" s="271">
        <v>205000</v>
      </c>
      <c r="G64" s="239"/>
    </row>
    <row r="65" spans="2:8" ht="15" customHeight="1">
      <c r="B65" s="259" t="s">
        <v>200</v>
      </c>
      <c r="C65" s="267">
        <v>1043333.33</v>
      </c>
      <c r="D65" s="271">
        <v>104437.5</v>
      </c>
      <c r="F65" s="343"/>
      <c r="G65" s="343"/>
      <c r="H65" s="343"/>
    </row>
    <row r="66" spans="2:8" ht="15" customHeight="1">
      <c r="B66" s="259" t="s">
        <v>346</v>
      </c>
      <c r="C66" s="267">
        <v>0</v>
      </c>
      <c r="D66" s="271">
        <v>69465</v>
      </c>
      <c r="F66" s="344"/>
      <c r="G66" s="344"/>
      <c r="H66" s="344"/>
    </row>
    <row r="67" spans="2:8" ht="15" customHeight="1">
      <c r="B67" s="259" t="s">
        <v>209</v>
      </c>
      <c r="C67" s="267">
        <v>18620</v>
      </c>
      <c r="D67" s="271">
        <v>18420</v>
      </c>
      <c r="G67" s="239"/>
    </row>
    <row r="68" spans="2:8" ht="15" customHeight="1">
      <c r="B68" s="259" t="s">
        <v>211</v>
      </c>
      <c r="C68" s="267">
        <v>161000</v>
      </c>
      <c r="D68" s="271">
        <v>169916.67</v>
      </c>
      <c r="E68" s="261"/>
      <c r="F68" s="246"/>
      <c r="G68" s="239"/>
    </row>
    <row r="69" spans="2:8" ht="15" customHeight="1">
      <c r="B69" s="259" t="s">
        <v>212</v>
      </c>
      <c r="C69" s="267">
        <v>1769.48</v>
      </c>
      <c r="D69" s="271">
        <v>2751.07</v>
      </c>
      <c r="G69" s="239"/>
    </row>
    <row r="70" spans="2:8" ht="15" customHeight="1">
      <c r="B70" s="270" t="s">
        <v>238</v>
      </c>
      <c r="C70" s="272">
        <f>SUM(C51:C69)</f>
        <v>3234952.1599999997</v>
      </c>
      <c r="D70" s="272">
        <f>SUM(D51:D69)</f>
        <v>3766175.97</v>
      </c>
    </row>
    <row r="71" spans="2:8" ht="15" customHeight="1">
      <c r="C71" s="267"/>
      <c r="D71" s="267"/>
    </row>
    <row r="72" spans="2:8" ht="15" customHeight="1">
      <c r="C72" s="237" t="s">
        <v>352</v>
      </c>
      <c r="D72" s="237" t="s">
        <v>339</v>
      </c>
    </row>
    <row r="73" spans="2:8" ht="15" customHeight="1">
      <c r="B73" s="262" t="s">
        <v>195</v>
      </c>
      <c r="C73" s="238"/>
      <c r="D73" s="263"/>
    </row>
    <row r="74" spans="2:8" ht="15" customHeight="1">
      <c r="B74" s="264" t="s">
        <v>214</v>
      </c>
      <c r="C74" s="267">
        <v>0</v>
      </c>
      <c r="D74" s="271">
        <v>96474.066510000004</v>
      </c>
      <c r="E74" s="246"/>
    </row>
    <row r="75" spans="2:8" ht="15" customHeight="1">
      <c r="B75" s="264" t="str">
        <f>B52</f>
        <v>Shpenzime te pazbritshme - pa fature</v>
      </c>
      <c r="C75" s="267">
        <f>C52</f>
        <v>4198.5</v>
      </c>
      <c r="D75" s="271">
        <v>80497.440000000002</v>
      </c>
    </row>
    <row r="76" spans="2:8" ht="15" customHeight="1">
      <c r="B76" s="264" t="str">
        <f>B53</f>
        <v>Shpenzime te pazbritshme</v>
      </c>
      <c r="C76" s="267">
        <v>156890</v>
      </c>
      <c r="D76" s="271">
        <v>1479670</v>
      </c>
    </row>
    <row r="77" spans="2:8" ht="15" customHeight="1">
      <c r="B77" s="265" t="str">
        <f>B66</f>
        <v>Trainime personeli</v>
      </c>
      <c r="C77" s="267">
        <v>0</v>
      </c>
      <c r="D77" s="273">
        <v>69465</v>
      </c>
    </row>
    <row r="78" spans="2:8" ht="15" customHeight="1">
      <c r="B78" s="264" t="str">
        <f t="shared" ref="B78:B79" si="2">B68</f>
        <v>Shpenzime per pritje dhe dhurat</v>
      </c>
      <c r="C78" s="267">
        <v>161000</v>
      </c>
      <c r="D78" s="271">
        <v>169916.67</v>
      </c>
    </row>
    <row r="79" spans="2:8" ht="15" customHeight="1">
      <c r="B79" s="264" t="str">
        <f t="shared" si="2"/>
        <v>Penalitete, gjoba e demshperbli</v>
      </c>
      <c r="C79" s="267">
        <v>1769.48</v>
      </c>
      <c r="D79" s="271">
        <v>2751.07</v>
      </c>
    </row>
    <row r="80" spans="2:8" ht="15" customHeight="1">
      <c r="B80" s="270" t="s">
        <v>238</v>
      </c>
      <c r="C80" s="272">
        <f>SUM(C74:C79)</f>
        <v>323857.98</v>
      </c>
      <c r="D80" s="272">
        <f>SUM(D74:D79)</f>
        <v>1898774.24651</v>
      </c>
    </row>
    <row r="81" spans="2:4" ht="15" customHeight="1">
      <c r="D81" s="237"/>
    </row>
    <row r="82" spans="2:4" ht="15" customHeight="1">
      <c r="B82" s="238" t="s">
        <v>135</v>
      </c>
      <c r="C82" s="237">
        <v>-2239761.5199999996</v>
      </c>
      <c r="D82" s="237">
        <v>-1464995.3399999987</v>
      </c>
    </row>
    <row r="83" spans="2:4" ht="15" customHeight="1">
      <c r="B83" s="238" t="s">
        <v>195</v>
      </c>
      <c r="C83" s="237">
        <f>C80</f>
        <v>323857.98</v>
      </c>
      <c r="D83" s="237">
        <v>1898774.24651</v>
      </c>
    </row>
    <row r="84" spans="2:4" ht="15" customHeight="1">
      <c r="B84" s="238" t="s">
        <v>384</v>
      </c>
      <c r="C84" s="237">
        <f>SUM(C82:C83)</f>
        <v>-1915903.5399999996</v>
      </c>
      <c r="D84" s="237">
        <f>SUM(D82:D83)</f>
        <v>433778.90651000128</v>
      </c>
    </row>
    <row r="85" spans="2:4" ht="15" customHeight="1">
      <c r="B85" s="238" t="s">
        <v>347</v>
      </c>
      <c r="C85" s="237">
        <v>0</v>
      </c>
      <c r="D85" s="237">
        <v>43377.890651000132</v>
      </c>
    </row>
    <row r="86" spans="2:4" ht="15" customHeight="1">
      <c r="B86" s="238" t="s">
        <v>348</v>
      </c>
      <c r="C86" s="237">
        <v>1458215.1093489998</v>
      </c>
      <c r="D86" s="237">
        <v>1501593</v>
      </c>
    </row>
    <row r="87" spans="2:4" ht="15" customHeight="1">
      <c r="B87" s="238" t="s">
        <v>383</v>
      </c>
      <c r="C87" s="237">
        <f>C86-C85</f>
        <v>1458215.1093489998</v>
      </c>
      <c r="D87" s="237">
        <f>D86-D85</f>
        <v>1458215.1093489998</v>
      </c>
    </row>
    <row r="90" spans="2:4" ht="15" customHeight="1">
      <c r="B90" s="238" t="s">
        <v>385</v>
      </c>
    </row>
    <row r="91" spans="2:4" ht="15" customHeight="1">
      <c r="B91" s="238" t="s">
        <v>386</v>
      </c>
      <c r="D91" s="238" t="s">
        <v>190</v>
      </c>
    </row>
    <row r="92" spans="2:4" ht="15" customHeight="1">
      <c r="B92" s="238" t="s">
        <v>387</v>
      </c>
      <c r="D92" s="238" t="s">
        <v>356</v>
      </c>
    </row>
    <row r="93" spans="2:4" ht="15" customHeight="1">
      <c r="B93" s="238" t="s">
        <v>388</v>
      </c>
      <c r="D93" s="238" t="s">
        <v>388</v>
      </c>
    </row>
  </sheetData>
  <mergeCells count="4">
    <mergeCell ref="B3:G3"/>
    <mergeCell ref="B4:G4"/>
    <mergeCell ref="F65:H65"/>
    <mergeCell ref="F66:H66"/>
  </mergeCells>
  <pageMargins left="0.22" right="0.11" top="0.94" bottom="0.17" header="0.08" footer="0.1"/>
  <pageSetup scale="93" orientation="landscape" r:id="rId1"/>
  <headerFooter alignWithMargins="0">
    <oddHeader>&amp;C
&amp;"Arial,Bold"Ave Consulting shpk&amp;"Arial,Regular"
Shenime Shpjeguese per vitin e mbyllur ne 31 Dhjetor 2013</oddHeader>
  </headerFooter>
  <rowBreaks count="2" manualBreakCount="2">
    <brk id="31" max="7" man="1"/>
    <brk id="70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87"/>
  <sheetViews>
    <sheetView topLeftCell="A76" workbookViewId="0">
      <selection activeCell="C24" sqref="C24"/>
    </sheetView>
  </sheetViews>
  <sheetFormatPr defaultRowHeight="15"/>
  <cols>
    <col min="1" max="1" width="4.28515625" style="100" customWidth="1"/>
    <col min="2" max="2" width="33" style="98" customWidth="1"/>
    <col min="3" max="3" width="16" style="97" customWidth="1"/>
    <col min="4" max="4" width="14.140625" style="98" customWidth="1"/>
    <col min="5" max="5" width="19.42578125" style="98" customWidth="1"/>
    <col min="6" max="6" width="12.7109375" style="98" bestFit="1" customWidth="1"/>
    <col min="7" max="7" width="14.5703125" style="98" customWidth="1"/>
    <col min="8" max="8" width="22" style="205" customWidth="1"/>
    <col min="9" max="9" width="13.28515625" style="98" bestFit="1" customWidth="1"/>
    <col min="10" max="10" width="10.28515625" style="98" bestFit="1" customWidth="1"/>
    <col min="11" max="11" width="13.85546875" style="98" customWidth="1"/>
    <col min="12" max="12" width="12.7109375" style="98" customWidth="1"/>
    <col min="13" max="13" width="11.28515625" style="98" bestFit="1" customWidth="1"/>
    <col min="14" max="16384" width="9.140625" style="98"/>
  </cols>
  <sheetData>
    <row r="1" spans="1:9">
      <c r="B1" s="96" t="s">
        <v>159</v>
      </c>
    </row>
    <row r="2" spans="1:9">
      <c r="B2" s="96"/>
    </row>
    <row r="3" spans="1:9">
      <c r="A3" s="100">
        <v>1</v>
      </c>
      <c r="B3" s="96" t="s">
        <v>185</v>
      </c>
    </row>
    <row r="4" spans="1:9">
      <c r="B4" s="130" t="s">
        <v>239</v>
      </c>
    </row>
    <row r="5" spans="1:9">
      <c r="B5" s="131" t="s">
        <v>240</v>
      </c>
    </row>
    <row r="6" spans="1:9" ht="39" customHeight="1">
      <c r="B6" s="349" t="s">
        <v>241</v>
      </c>
      <c r="C6" s="349"/>
      <c r="D6" s="349"/>
      <c r="E6" s="349"/>
      <c r="F6" s="349"/>
      <c r="G6" s="349"/>
    </row>
    <row r="7" spans="1:9">
      <c r="B7" s="350" t="s">
        <v>242</v>
      </c>
      <c r="C7" s="350"/>
      <c r="D7" s="350"/>
      <c r="E7" s="350"/>
      <c r="F7" s="350"/>
      <c r="G7" s="350"/>
    </row>
    <row r="8" spans="1:9">
      <c r="B8" s="132" t="s">
        <v>243</v>
      </c>
      <c r="C8" s="98"/>
    </row>
    <row r="9" spans="1:9">
      <c r="B9" s="132" t="s">
        <v>244</v>
      </c>
      <c r="C9" s="98"/>
    </row>
    <row r="10" spans="1:9">
      <c r="B10" s="132" t="s">
        <v>245</v>
      </c>
    </row>
    <row r="11" spans="1:9">
      <c r="B11" s="96"/>
    </row>
    <row r="12" spans="1:9">
      <c r="A12" s="101">
        <v>2</v>
      </c>
      <c r="B12" s="96" t="s">
        <v>160</v>
      </c>
    </row>
    <row r="13" spans="1:9">
      <c r="A13" s="101"/>
      <c r="B13" s="124" t="s">
        <v>226</v>
      </c>
      <c r="C13" s="124" t="s">
        <v>227</v>
      </c>
      <c r="D13" s="124" t="s">
        <v>228</v>
      </c>
      <c r="E13" s="124" t="s">
        <v>323</v>
      </c>
      <c r="F13" s="124" t="s">
        <v>324</v>
      </c>
    </row>
    <row r="14" spans="1:9">
      <c r="A14" s="101"/>
      <c r="B14" s="125" t="s">
        <v>318</v>
      </c>
      <c r="C14" s="126">
        <v>53134.879999999997</v>
      </c>
      <c r="D14" s="126">
        <v>2370.5</v>
      </c>
      <c r="E14" s="126">
        <v>138.93</v>
      </c>
      <c r="F14" s="126">
        <f>C14+D14*E14</f>
        <v>382468.44500000001</v>
      </c>
      <c r="I14" s="220"/>
    </row>
    <row r="15" spans="1:9">
      <c r="A15" s="101"/>
      <c r="B15" s="125" t="s">
        <v>319</v>
      </c>
      <c r="C15" s="126">
        <v>28682.51</v>
      </c>
      <c r="D15" s="126">
        <v>6413.67</v>
      </c>
      <c r="E15" s="126">
        <v>138.93</v>
      </c>
      <c r="F15" s="126">
        <f>C15+D15*E15</f>
        <v>919733.68310000002</v>
      </c>
      <c r="I15" s="220"/>
    </row>
    <row r="16" spans="1:9">
      <c r="A16" s="101"/>
      <c r="B16" s="125" t="s">
        <v>320</v>
      </c>
      <c r="C16" s="126">
        <v>622541.14</v>
      </c>
      <c r="D16" s="126">
        <v>79.7</v>
      </c>
      <c r="E16" s="126">
        <v>138.93</v>
      </c>
      <c r="F16" s="126">
        <f>C16+D16*E16</f>
        <v>633613.86100000003</v>
      </c>
      <c r="I16" s="220"/>
    </row>
    <row r="17" spans="1:15">
      <c r="A17" s="101"/>
      <c r="B17" s="125" t="s">
        <v>321</v>
      </c>
      <c r="C17" s="126">
        <v>14632.75</v>
      </c>
      <c r="D17" s="126">
        <v>129.85</v>
      </c>
      <c r="E17" s="126">
        <v>138.93</v>
      </c>
      <c r="F17" s="126">
        <f>C17+D17*E17</f>
        <v>32672.8105</v>
      </c>
      <c r="I17" s="220"/>
    </row>
    <row r="18" spans="1:15">
      <c r="A18" s="101"/>
      <c r="B18" s="125" t="s">
        <v>322</v>
      </c>
      <c r="C18" s="126">
        <v>754683.2</v>
      </c>
      <c r="D18" s="126">
        <v>123.93</v>
      </c>
      <c r="E18" s="126">
        <v>138.93</v>
      </c>
      <c r="F18" s="126">
        <f>C18+D18*E18</f>
        <v>771900.79489999998</v>
      </c>
      <c r="I18" s="220"/>
    </row>
    <row r="19" spans="1:15">
      <c r="A19" s="101"/>
      <c r="B19" s="127" t="s">
        <v>238</v>
      </c>
      <c r="C19" s="128">
        <f>SUM(C14:C18)</f>
        <v>1473674.48</v>
      </c>
      <c r="D19" s="128">
        <f>SUM(D14:D18)</f>
        <v>9117.6500000000015</v>
      </c>
      <c r="E19" s="128"/>
      <c r="F19" s="128">
        <f>SUM(F14:F18)</f>
        <v>2740389.5945000001</v>
      </c>
    </row>
    <row r="20" spans="1:15">
      <c r="A20" s="101"/>
      <c r="B20" s="96"/>
    </row>
    <row r="21" spans="1:15">
      <c r="A21" s="101"/>
      <c r="B21" s="99"/>
    </row>
    <row r="22" spans="1:15">
      <c r="A22" s="101">
        <v>3</v>
      </c>
      <c r="B22" s="96" t="s">
        <v>186</v>
      </c>
    </row>
    <row r="23" spans="1:15">
      <c r="A23" s="101"/>
      <c r="B23" s="99" t="s">
        <v>325</v>
      </c>
      <c r="C23" s="119">
        <f>[4]Sheet1!$H$36</f>
        <v>4152300.05</v>
      </c>
    </row>
    <row r="24" spans="1:15">
      <c r="A24" s="101"/>
      <c r="B24" s="99" t="s">
        <v>326</v>
      </c>
      <c r="C24" s="119">
        <f>[4]Sheet1!$H$37</f>
        <v>1001480</v>
      </c>
    </row>
    <row r="25" spans="1:15">
      <c r="A25" s="101"/>
      <c r="B25" s="99" t="s">
        <v>248</v>
      </c>
      <c r="C25" s="119">
        <v>737876</v>
      </c>
      <c r="D25" s="133"/>
      <c r="E25" s="133"/>
    </row>
    <row r="26" spans="1:15">
      <c r="A26" s="101"/>
      <c r="B26" s="99"/>
      <c r="C26" s="221">
        <f>SUM(C23:C25)</f>
        <v>5891656.0499999998</v>
      </c>
      <c r="D26" s="3"/>
      <c r="E26" s="134"/>
    </row>
    <row r="27" spans="1:15">
      <c r="A27" s="101"/>
      <c r="B27" s="96" t="s">
        <v>193</v>
      </c>
      <c r="C27" s="221"/>
      <c r="D27" s="3"/>
      <c r="E27" s="134"/>
    </row>
    <row r="28" spans="1:15">
      <c r="A28" s="101" t="s">
        <v>337</v>
      </c>
      <c r="B28" s="99" t="s">
        <v>338</v>
      </c>
      <c r="C28" s="119" t="e">
        <f>'Aktivet e detajuara'!#REF!</f>
        <v>#REF!</v>
      </c>
    </row>
    <row r="29" spans="1:15">
      <c r="A29" s="101"/>
      <c r="B29" s="99"/>
      <c r="C29" s="119"/>
      <c r="D29" s="3"/>
      <c r="E29" s="134"/>
    </row>
    <row r="30" spans="1:15" ht="15.75" thickBot="1">
      <c r="A30" s="101" t="s">
        <v>189</v>
      </c>
      <c r="B30" s="99" t="s">
        <v>282</v>
      </c>
      <c r="C30" s="119"/>
      <c r="D30" s="3"/>
      <c r="E30" s="134"/>
      <c r="H30" s="217"/>
      <c r="I30" s="133"/>
      <c r="J30" s="133"/>
      <c r="K30" s="133"/>
      <c r="L30" s="133"/>
      <c r="M30" s="133"/>
      <c r="N30" s="133"/>
      <c r="O30" s="133"/>
    </row>
    <row r="31" spans="1:15" s="135" customFormat="1" ht="25.5">
      <c r="A31" s="173" t="s">
        <v>131</v>
      </c>
      <c r="B31" s="174" t="s">
        <v>250</v>
      </c>
      <c r="C31" s="175" t="s">
        <v>251</v>
      </c>
      <c r="D31" s="174" t="s">
        <v>312</v>
      </c>
      <c r="E31" s="174" t="s">
        <v>252</v>
      </c>
      <c r="F31" s="174" t="s">
        <v>253</v>
      </c>
      <c r="G31" s="174" t="s">
        <v>254</v>
      </c>
      <c r="H31" s="174" t="s">
        <v>252</v>
      </c>
      <c r="I31" s="174" t="s">
        <v>253</v>
      </c>
      <c r="J31" s="174" t="s">
        <v>327</v>
      </c>
      <c r="K31" s="208"/>
      <c r="L31" s="208"/>
      <c r="M31" s="207"/>
      <c r="N31" s="209"/>
      <c r="O31" s="210"/>
    </row>
    <row r="32" spans="1:15" customFormat="1" ht="12.75">
      <c r="A32" s="177">
        <v>1</v>
      </c>
      <c r="B32" s="178" t="s">
        <v>255</v>
      </c>
      <c r="C32" s="179">
        <v>3312011.2</v>
      </c>
      <c r="D32" s="180">
        <v>3715180.59</v>
      </c>
      <c r="E32" s="178">
        <v>662402.24000000011</v>
      </c>
      <c r="F32" s="181">
        <v>694812.43466666655</v>
      </c>
      <c r="G32" s="181">
        <v>5669977.1153333336</v>
      </c>
      <c r="H32" s="181">
        <v>1133995.4230666668</v>
      </c>
      <c r="I32" s="181">
        <v>0</v>
      </c>
      <c r="J32" s="181">
        <v>4535981.6922666673</v>
      </c>
      <c r="K32" s="211"/>
      <c r="L32" s="211"/>
      <c r="M32" s="212"/>
      <c r="N32" s="212"/>
      <c r="O32" s="113"/>
    </row>
    <row r="33" spans="1:15" customFormat="1" ht="12.75">
      <c r="A33" s="177">
        <v>2</v>
      </c>
      <c r="B33" s="178" t="s">
        <v>256</v>
      </c>
      <c r="C33" s="180">
        <v>13884.8</v>
      </c>
      <c r="D33" s="178">
        <v>220000</v>
      </c>
      <c r="E33" s="178">
        <v>2776.96</v>
      </c>
      <c r="F33" s="181">
        <v>27333.333333333336</v>
      </c>
      <c r="G33" s="181">
        <v>203774.50666666665</v>
      </c>
      <c r="H33" s="181">
        <v>40754.901333333335</v>
      </c>
      <c r="I33" s="181">
        <v>0</v>
      </c>
      <c r="J33" s="181">
        <v>163019.60533333331</v>
      </c>
      <c r="K33" s="211"/>
      <c r="L33" s="211"/>
      <c r="M33" s="212"/>
      <c r="N33" s="213"/>
      <c r="O33" s="113"/>
    </row>
    <row r="34" spans="1:15" customFormat="1" ht="12.75">
      <c r="A34" s="177">
        <v>3</v>
      </c>
      <c r="B34" s="178" t="s">
        <v>257</v>
      </c>
      <c r="C34" s="180">
        <v>73975.199999999997</v>
      </c>
      <c r="D34" s="178"/>
      <c r="E34" s="178">
        <v>14795.04</v>
      </c>
      <c r="F34" s="181">
        <v>0</v>
      </c>
      <c r="G34" s="181">
        <v>59180.159999999996</v>
      </c>
      <c r="H34" s="181">
        <v>11836.031999999999</v>
      </c>
      <c r="I34" s="181">
        <v>0</v>
      </c>
      <c r="J34" s="181">
        <v>47344.127999999997</v>
      </c>
      <c r="K34" s="211"/>
      <c r="L34" s="211"/>
      <c r="M34" s="212"/>
      <c r="N34" s="213"/>
      <c r="O34" s="113"/>
    </row>
    <row r="35" spans="1:15" customFormat="1" ht="12.75">
      <c r="A35" s="177">
        <v>4</v>
      </c>
      <c r="B35" s="178" t="s">
        <v>258</v>
      </c>
      <c r="C35" s="180">
        <v>676221.75</v>
      </c>
      <c r="D35" s="178">
        <v>189043.99000000002</v>
      </c>
      <c r="E35" s="178">
        <v>169055.4375</v>
      </c>
      <c r="F35" s="181">
        <v>30799.12125</v>
      </c>
      <c r="G35" s="181">
        <v>665411.18125000002</v>
      </c>
      <c r="H35" s="181">
        <v>166352.79531250001</v>
      </c>
      <c r="I35" s="181">
        <v>21265.729166666664</v>
      </c>
      <c r="J35" s="181">
        <v>659158.6567708333</v>
      </c>
      <c r="K35" s="211"/>
      <c r="L35" s="211"/>
      <c r="M35" s="212"/>
      <c r="N35" s="213"/>
      <c r="O35" s="113"/>
    </row>
    <row r="36" spans="1:15" customFormat="1" ht="13.5" thickBot="1">
      <c r="A36" s="183"/>
      <c r="B36" s="184" t="s">
        <v>238</v>
      </c>
      <c r="C36" s="185">
        <v>4076092.95</v>
      </c>
      <c r="D36" s="185"/>
      <c r="E36" s="185">
        <v>849029.67750000011</v>
      </c>
      <c r="F36" s="185">
        <v>752944.88924999989</v>
      </c>
      <c r="G36" s="185">
        <v>6598342.963250001</v>
      </c>
      <c r="H36" s="185">
        <v>1352939.1517125</v>
      </c>
      <c r="I36" s="185">
        <v>21265.729166666664</v>
      </c>
      <c r="J36" s="185">
        <v>5405504.0823708326</v>
      </c>
      <c r="K36" s="211"/>
      <c r="L36" s="211"/>
      <c r="M36" s="211"/>
      <c r="N36" s="213"/>
      <c r="O36" s="113"/>
    </row>
    <row r="37" spans="1:15" customFormat="1" ht="12.75">
      <c r="A37" s="182"/>
      <c r="B37" s="182"/>
      <c r="C37" s="186"/>
      <c r="D37" s="182"/>
      <c r="E37" s="182"/>
      <c r="F37" s="182"/>
      <c r="G37" s="182"/>
      <c r="H37" s="218"/>
      <c r="I37" s="213"/>
      <c r="J37" s="211"/>
      <c r="K37" s="211"/>
      <c r="L37" s="211"/>
      <c r="M37" s="213"/>
      <c r="N37" s="213"/>
      <c r="O37" s="113"/>
    </row>
    <row r="38" spans="1:15" customFormat="1" ht="13.5" thickBot="1">
      <c r="A38" s="182"/>
      <c r="B38" s="200" t="s">
        <v>329</v>
      </c>
      <c r="C38" s="186"/>
      <c r="D38" s="182"/>
      <c r="E38" s="182"/>
      <c r="F38" s="182"/>
      <c r="G38" s="182"/>
      <c r="H38" s="219"/>
      <c r="I38" s="182"/>
      <c r="J38" s="186"/>
      <c r="K38" s="186"/>
      <c r="L38" s="186"/>
      <c r="M38" s="182"/>
      <c r="N38" s="182"/>
    </row>
    <row r="39" spans="1:15" customFormat="1" ht="38.25">
      <c r="A39" s="173" t="s">
        <v>131</v>
      </c>
      <c r="B39" s="174" t="s">
        <v>250</v>
      </c>
      <c r="C39" s="175" t="s">
        <v>259</v>
      </c>
      <c r="D39" s="174" t="s">
        <v>260</v>
      </c>
      <c r="E39" s="174" t="s">
        <v>261</v>
      </c>
      <c r="F39" s="174" t="s">
        <v>262</v>
      </c>
      <c r="G39" s="174" t="s">
        <v>263</v>
      </c>
      <c r="H39" s="174" t="s">
        <v>253</v>
      </c>
      <c r="I39" s="182"/>
      <c r="J39" s="186"/>
      <c r="K39" s="186"/>
      <c r="L39" s="186"/>
      <c r="M39" s="182"/>
      <c r="N39" s="182"/>
    </row>
    <row r="40" spans="1:15" customFormat="1" ht="12.75">
      <c r="A40" s="177">
        <v>1</v>
      </c>
      <c r="B40" s="178" t="s">
        <v>330</v>
      </c>
      <c r="C40" s="179" t="s">
        <v>331</v>
      </c>
      <c r="D40" s="180">
        <v>58325</v>
      </c>
      <c r="E40" s="178" t="s">
        <v>274</v>
      </c>
      <c r="F40" s="181">
        <v>0.25</v>
      </c>
      <c r="G40" s="181">
        <v>9</v>
      </c>
      <c r="H40" s="181">
        <v>10935.9375</v>
      </c>
      <c r="I40" s="182"/>
      <c r="J40" s="186"/>
      <c r="K40" s="186"/>
      <c r="L40" s="186"/>
      <c r="M40" s="182"/>
      <c r="N40" s="182"/>
    </row>
    <row r="41" spans="1:15" customFormat="1" ht="12.75">
      <c r="A41" s="177">
        <v>2</v>
      </c>
      <c r="B41" s="178" t="s">
        <v>332</v>
      </c>
      <c r="C41" s="180" t="s">
        <v>333</v>
      </c>
      <c r="D41" s="178">
        <v>99166</v>
      </c>
      <c r="E41" s="178" t="s">
        <v>274</v>
      </c>
      <c r="F41" s="181">
        <v>0.25</v>
      </c>
      <c r="G41" s="181">
        <v>5</v>
      </c>
      <c r="H41" s="181">
        <v>10329.791666666666</v>
      </c>
      <c r="I41" s="182"/>
      <c r="J41" s="186"/>
      <c r="K41" s="186"/>
      <c r="L41" s="186"/>
      <c r="M41" s="182"/>
      <c r="N41" s="182"/>
    </row>
    <row r="42" spans="1:15" customFormat="1" ht="12.75">
      <c r="A42" s="177">
        <v>3</v>
      </c>
      <c r="B42" s="178" t="s">
        <v>334</v>
      </c>
      <c r="C42" s="180" t="s">
        <v>335</v>
      </c>
      <c r="D42" s="178">
        <v>23875</v>
      </c>
      <c r="E42" s="178" t="s">
        <v>274</v>
      </c>
      <c r="F42" s="181">
        <v>0.25</v>
      </c>
      <c r="G42" s="181">
        <v>0</v>
      </c>
      <c r="H42" s="181">
        <v>0</v>
      </c>
      <c r="I42" s="182"/>
      <c r="J42" s="186"/>
      <c r="K42" s="186"/>
      <c r="L42" s="186"/>
      <c r="M42" s="182"/>
      <c r="N42" s="182"/>
    </row>
    <row r="43" spans="1:15" customFormat="1" ht="13.5" thickBot="1">
      <c r="A43" s="183"/>
      <c r="B43" s="222" t="s">
        <v>278</v>
      </c>
      <c r="C43" s="185"/>
      <c r="D43" s="222">
        <v>181366</v>
      </c>
      <c r="E43" s="346" t="s">
        <v>328</v>
      </c>
      <c r="F43" s="347"/>
      <c r="G43" s="348"/>
      <c r="H43" s="223">
        <v>21265.729166666664</v>
      </c>
      <c r="I43" s="182"/>
      <c r="J43" s="186"/>
      <c r="K43" s="186"/>
      <c r="L43" s="186"/>
      <c r="M43" s="182"/>
      <c r="N43" s="182"/>
    </row>
    <row r="44" spans="1:15" customFormat="1" ht="12.75">
      <c r="A44" s="182"/>
      <c r="B44" s="200"/>
      <c r="C44" s="186"/>
      <c r="D44" s="182"/>
      <c r="E44" s="182"/>
      <c r="F44" s="182"/>
      <c r="G44" s="182"/>
      <c r="H44" s="219"/>
      <c r="I44" s="182"/>
      <c r="J44" s="186"/>
      <c r="K44" s="186"/>
      <c r="L44" s="186"/>
      <c r="M44" s="182"/>
      <c r="N44" s="182"/>
    </row>
    <row r="45" spans="1:15">
      <c r="A45" s="101"/>
      <c r="B45" s="99"/>
      <c r="C45" s="119"/>
      <c r="D45" s="3"/>
      <c r="E45" s="134"/>
    </row>
    <row r="46" spans="1:15">
      <c r="A46" s="101" t="s">
        <v>188</v>
      </c>
      <c r="B46" s="96" t="s">
        <v>297</v>
      </c>
      <c r="C46" s="201" t="s">
        <v>293</v>
      </c>
      <c r="D46" s="201" t="s">
        <v>294</v>
      </c>
      <c r="E46" s="134"/>
    </row>
    <row r="47" spans="1:15">
      <c r="A47" s="98"/>
      <c r="B47" s="99" t="s">
        <v>284</v>
      </c>
      <c r="C47" s="119" t="e">
        <f>'Aktivet e detajuara'!#REF!</f>
        <v>#REF!</v>
      </c>
      <c r="D47" s="119" t="e">
        <f>C47/138.93</f>
        <v>#REF!</v>
      </c>
      <c r="E47" s="134"/>
    </row>
    <row r="48" spans="1:15">
      <c r="A48" s="101"/>
      <c r="B48" s="99" t="s">
        <v>292</v>
      </c>
      <c r="C48" s="119" t="e">
        <f>[4]Sheet1!$H$64-C47</f>
        <v>#REF!</v>
      </c>
      <c r="D48" s="119" t="e">
        <f>C48/138.93</f>
        <v>#REF!</v>
      </c>
      <c r="E48" s="134"/>
    </row>
    <row r="49" spans="1:6">
      <c r="A49" s="101"/>
      <c r="B49" s="99"/>
      <c r="C49" s="119"/>
      <c r="D49" s="3"/>
      <c r="E49" s="134"/>
    </row>
    <row r="50" spans="1:6">
      <c r="A50" s="101" t="s">
        <v>285</v>
      </c>
      <c r="B50" s="96" t="s">
        <v>286</v>
      </c>
      <c r="C50" s="119"/>
      <c r="D50" s="3"/>
      <c r="E50" s="134"/>
    </row>
    <row r="51" spans="1:6">
      <c r="A51" s="101"/>
      <c r="B51" s="99" t="s">
        <v>288</v>
      </c>
      <c r="C51" s="119">
        <f>[4]Sheet1!$H$75</f>
        <v>32371.3</v>
      </c>
      <c r="E51" s="134"/>
    </row>
    <row r="52" spans="1:6">
      <c r="A52" s="101"/>
      <c r="B52" s="99" t="s">
        <v>289</v>
      </c>
      <c r="C52" s="119">
        <f>[4]Sheet1!$H$71</f>
        <v>22963.7</v>
      </c>
      <c r="E52" s="134"/>
      <c r="F52" s="98" t="s">
        <v>311</v>
      </c>
    </row>
    <row r="53" spans="1:6">
      <c r="A53" s="101"/>
      <c r="B53" s="99" t="s">
        <v>290</v>
      </c>
      <c r="C53" s="119">
        <f>[4]Sheet1!$H$82</f>
        <v>22160</v>
      </c>
      <c r="D53" s="3"/>
      <c r="E53" s="134"/>
    </row>
    <row r="54" spans="1:6">
      <c r="A54" s="101"/>
      <c r="B54" s="99" t="s">
        <v>291</v>
      </c>
      <c r="C54" s="119">
        <f>[4]Sheet1!$H$83</f>
        <v>20089.62</v>
      </c>
      <c r="D54" s="3"/>
      <c r="E54" s="134"/>
    </row>
    <row r="55" spans="1:6">
      <c r="A55" s="101"/>
      <c r="B55" s="99" t="s">
        <v>336</v>
      </c>
      <c r="C55" s="119">
        <f>[4]Sheet1!$H$69</f>
        <v>238164.19</v>
      </c>
      <c r="D55" s="3"/>
      <c r="E55" s="134"/>
    </row>
    <row r="56" spans="1:6">
      <c r="A56" s="101"/>
      <c r="B56" s="99" t="s">
        <v>249</v>
      </c>
      <c r="C56" s="119">
        <f>[4]Sheet1!$H$79</f>
        <v>133614</v>
      </c>
      <c r="D56" s="3"/>
      <c r="E56" s="134"/>
    </row>
    <row r="57" spans="1:6">
      <c r="A57" s="101"/>
      <c r="B57" s="99"/>
      <c r="C57" s="221">
        <f>SUM(C51:C56)</f>
        <v>469362.81</v>
      </c>
      <c r="D57" s="3"/>
      <c r="E57" s="134"/>
    </row>
    <row r="58" spans="1:6">
      <c r="A58" s="101"/>
      <c r="B58" s="99"/>
      <c r="C58" s="119"/>
      <c r="D58" s="3"/>
      <c r="E58" s="134"/>
    </row>
    <row r="59" spans="1:6">
      <c r="A59" s="100">
        <v>7</v>
      </c>
      <c r="B59" s="96" t="s">
        <v>295</v>
      </c>
    </row>
    <row r="60" spans="1:6">
      <c r="B60" s="99" t="s">
        <v>296</v>
      </c>
      <c r="C60" s="97" t="e">
        <f>'Te ardhura e shpenzime'!#REF!</f>
        <v>#REF!</v>
      </c>
    </row>
    <row r="63" spans="1:6">
      <c r="A63" s="100">
        <v>8</v>
      </c>
      <c r="B63" s="96" t="s">
        <v>3</v>
      </c>
      <c r="C63" s="215">
        <f>SUM(C64:C80)</f>
        <v>3240001.93</v>
      </c>
    </row>
    <row r="64" spans="1:6">
      <c r="B64" s="202" t="s">
        <v>214</v>
      </c>
      <c r="C64" s="112">
        <v>157000</v>
      </c>
    </row>
    <row r="65" spans="2:8">
      <c r="B65" s="202" t="s">
        <v>200</v>
      </c>
      <c r="C65" s="112">
        <v>190412.85</v>
      </c>
    </row>
    <row r="66" spans="2:8">
      <c r="B66" s="202" t="s">
        <v>215</v>
      </c>
      <c r="C66" s="112">
        <v>28010</v>
      </c>
    </row>
    <row r="67" spans="2:8">
      <c r="B67" s="202" t="s">
        <v>203</v>
      </c>
      <c r="C67" s="112">
        <v>152364.6</v>
      </c>
      <c r="G67" s="205"/>
    </row>
    <row r="68" spans="2:8">
      <c r="B68" s="202" t="s">
        <v>204</v>
      </c>
      <c r="C68" s="112">
        <v>1146444</v>
      </c>
      <c r="G68" s="205"/>
    </row>
    <row r="69" spans="2:8">
      <c r="B69" s="202" t="s">
        <v>205</v>
      </c>
      <c r="C69" s="214">
        <v>89280</v>
      </c>
      <c r="G69" s="205"/>
    </row>
    <row r="70" spans="2:8">
      <c r="B70" s="202" t="s">
        <v>315</v>
      </c>
      <c r="C70" s="214">
        <v>57311.61</v>
      </c>
      <c r="G70" s="205"/>
    </row>
    <row r="71" spans="2:8">
      <c r="B71" s="203" t="s">
        <v>316</v>
      </c>
      <c r="C71" s="214">
        <v>209978.09</v>
      </c>
      <c r="G71" s="205"/>
    </row>
    <row r="72" spans="2:8">
      <c r="B72" s="203" t="s">
        <v>207</v>
      </c>
      <c r="C72" s="214">
        <v>492996.94</v>
      </c>
      <c r="G72" s="205"/>
    </row>
    <row r="73" spans="2:8">
      <c r="B73" s="203" t="s">
        <v>208</v>
      </c>
      <c r="C73" s="214">
        <v>60921.84</v>
      </c>
      <c r="G73" s="205"/>
    </row>
    <row r="74" spans="2:8">
      <c r="B74" s="203" t="s">
        <v>196</v>
      </c>
      <c r="C74" s="214">
        <v>70840</v>
      </c>
      <c r="G74" s="205"/>
    </row>
    <row r="75" spans="2:8">
      <c r="B75" s="203" t="s">
        <v>197</v>
      </c>
      <c r="C75" s="214">
        <v>238638.92</v>
      </c>
      <c r="G75" s="205"/>
    </row>
    <row r="76" spans="2:8">
      <c r="B76" s="203" t="s">
        <v>198</v>
      </c>
      <c r="C76" s="214">
        <v>190000</v>
      </c>
      <c r="G76" s="205"/>
    </row>
    <row r="77" spans="2:8">
      <c r="B77" s="203" t="s">
        <v>200</v>
      </c>
      <c r="C77" s="214">
        <v>67396.429999999993</v>
      </c>
      <c r="G77" s="205"/>
    </row>
    <row r="78" spans="2:8" ht="15.75">
      <c r="B78" s="203" t="s">
        <v>317</v>
      </c>
      <c r="C78" s="214">
        <v>60000</v>
      </c>
      <c r="F78" s="333" t="s">
        <v>309</v>
      </c>
      <c r="G78" s="333"/>
      <c r="H78" s="333"/>
    </row>
    <row r="79" spans="2:8">
      <c r="B79" s="203" t="s">
        <v>209</v>
      </c>
      <c r="C79" s="214">
        <v>18120</v>
      </c>
      <c r="F79" s="345" t="s">
        <v>310</v>
      </c>
      <c r="G79" s="334"/>
      <c r="H79" s="334"/>
    </row>
    <row r="80" spans="2:8">
      <c r="B80" s="203" t="s">
        <v>212</v>
      </c>
      <c r="C80" s="214">
        <v>10286.65</v>
      </c>
      <c r="G80" s="206"/>
    </row>
    <row r="83" spans="2:3">
      <c r="B83" s="110" t="s">
        <v>195</v>
      </c>
      <c r="C83" s="215">
        <f>SUM(C84:C87)</f>
        <v>385709.5</v>
      </c>
    </row>
    <row r="84" spans="2:3">
      <c r="B84" s="202" t="s">
        <v>214</v>
      </c>
      <c r="C84" s="112">
        <v>157000</v>
      </c>
    </row>
    <row r="85" spans="2:3">
      <c r="B85" s="202" t="s">
        <v>200</v>
      </c>
      <c r="C85" s="112">
        <v>190412.85</v>
      </c>
    </row>
    <row r="86" spans="2:3">
      <c r="B86" s="202" t="s">
        <v>215</v>
      </c>
      <c r="C86" s="112">
        <v>28010</v>
      </c>
    </row>
    <row r="87" spans="2:3">
      <c r="B87" s="203" t="s">
        <v>212</v>
      </c>
      <c r="C87" s="214">
        <v>10286.65</v>
      </c>
    </row>
  </sheetData>
  <mergeCells count="5">
    <mergeCell ref="F79:H79"/>
    <mergeCell ref="E43:G43"/>
    <mergeCell ref="B6:G6"/>
    <mergeCell ref="B7:G7"/>
    <mergeCell ref="F78:H78"/>
  </mergeCells>
  <pageMargins left="0.22" right="0.11" top="0.28000000000000003" bottom="0.17" header="0.08" footer="0.1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10"/>
  <sheetViews>
    <sheetView workbookViewId="0">
      <selection activeCell="L58" sqref="L58"/>
    </sheetView>
  </sheetViews>
  <sheetFormatPr defaultRowHeight="15"/>
  <cols>
    <col min="1" max="1" width="4.28515625" style="100" customWidth="1"/>
    <col min="2" max="2" width="33" style="98" customWidth="1"/>
    <col min="3" max="3" width="16" style="97" customWidth="1"/>
    <col min="4" max="4" width="14.140625" style="98" customWidth="1"/>
    <col min="5" max="5" width="14.42578125" style="98" customWidth="1"/>
    <col min="6" max="6" width="12.7109375" style="98" bestFit="1" customWidth="1"/>
    <col min="7" max="7" width="14.5703125" style="98" customWidth="1"/>
    <col min="8" max="8" width="14" style="98" customWidth="1"/>
    <col min="9" max="9" width="13.28515625" style="98" bestFit="1" customWidth="1"/>
    <col min="10" max="10" width="10.28515625" style="98" bestFit="1" customWidth="1"/>
    <col min="11" max="11" width="13.85546875" style="98" customWidth="1"/>
    <col min="12" max="12" width="12.7109375" style="98" customWidth="1"/>
    <col min="13" max="13" width="11.28515625" style="98" bestFit="1" customWidth="1"/>
    <col min="14" max="16384" width="9.140625" style="98"/>
  </cols>
  <sheetData>
    <row r="1" spans="1:7">
      <c r="B1" s="96" t="s">
        <v>159</v>
      </c>
    </row>
    <row r="2" spans="1:7">
      <c r="B2" s="96"/>
    </row>
    <row r="3" spans="1:7">
      <c r="A3" s="100">
        <v>1</v>
      </c>
      <c r="B3" s="96" t="s">
        <v>185</v>
      </c>
    </row>
    <row r="4" spans="1:7">
      <c r="B4" s="130" t="s">
        <v>239</v>
      </c>
    </row>
    <row r="5" spans="1:7">
      <c r="B5" s="131" t="s">
        <v>240</v>
      </c>
    </row>
    <row r="6" spans="1:7" ht="39" customHeight="1">
      <c r="B6" s="349" t="s">
        <v>241</v>
      </c>
      <c r="C6" s="349"/>
      <c r="D6" s="349"/>
      <c r="E6" s="349"/>
      <c r="F6" s="349"/>
      <c r="G6" s="349"/>
    </row>
    <row r="7" spans="1:7">
      <c r="B7" s="350" t="s">
        <v>242</v>
      </c>
      <c r="C7" s="350"/>
      <c r="D7" s="350"/>
      <c r="E7" s="350"/>
      <c r="F7" s="350"/>
      <c r="G7" s="350"/>
    </row>
    <row r="8" spans="1:7">
      <c r="B8" s="132" t="s">
        <v>243</v>
      </c>
      <c r="C8" s="98"/>
    </row>
    <row r="9" spans="1:7">
      <c r="B9" s="132" t="s">
        <v>244</v>
      </c>
      <c r="C9" s="98"/>
    </row>
    <row r="10" spans="1:7">
      <c r="B10" s="132" t="s">
        <v>245</v>
      </c>
    </row>
    <row r="11" spans="1:7">
      <c r="B11" s="96"/>
    </row>
    <row r="12" spans="1:7">
      <c r="A12" s="101">
        <v>2</v>
      </c>
      <c r="B12" s="96" t="s">
        <v>160</v>
      </c>
    </row>
    <row r="13" spans="1:7">
      <c r="A13" s="101"/>
      <c r="B13" s="124" t="s">
        <v>226</v>
      </c>
      <c r="C13" s="124" t="s">
        <v>227</v>
      </c>
      <c r="D13" s="124" t="s">
        <v>228</v>
      </c>
    </row>
    <row r="14" spans="1:7">
      <c r="A14" s="101"/>
      <c r="B14" s="125" t="s">
        <v>229</v>
      </c>
      <c r="C14" s="126">
        <v>704322.27</v>
      </c>
      <c r="D14" s="126"/>
    </row>
    <row r="15" spans="1:7">
      <c r="A15" s="101"/>
      <c r="B15" s="125" t="s">
        <v>230</v>
      </c>
      <c r="C15" s="126">
        <f>D15*138.77</f>
        <v>359225.57280000002</v>
      </c>
      <c r="D15" s="126">
        <v>2588.64</v>
      </c>
    </row>
    <row r="16" spans="1:7">
      <c r="A16" s="101"/>
      <c r="B16" s="125" t="s">
        <v>231</v>
      </c>
      <c r="C16" s="126">
        <v>78718.67</v>
      </c>
      <c r="D16" s="126"/>
    </row>
    <row r="17" spans="1:5">
      <c r="A17" s="101"/>
      <c r="B17" s="125" t="s">
        <v>232</v>
      </c>
      <c r="C17" s="126">
        <f>D17*138.77</f>
        <v>50957.731700000004</v>
      </c>
      <c r="D17" s="126">
        <v>367.21</v>
      </c>
    </row>
    <row r="18" spans="1:5">
      <c r="A18" s="101"/>
      <c r="B18" s="125" t="s">
        <v>233</v>
      </c>
      <c r="C18" s="126">
        <v>269396.71000000002</v>
      </c>
      <c r="D18" s="126"/>
    </row>
    <row r="19" spans="1:5">
      <c r="A19" s="101"/>
      <c r="B19" s="125" t="s">
        <v>234</v>
      </c>
      <c r="C19" s="126">
        <v>66018.559999999998</v>
      </c>
      <c r="D19" s="126"/>
    </row>
    <row r="20" spans="1:5">
      <c r="A20" s="101"/>
      <c r="B20" s="125" t="s">
        <v>235</v>
      </c>
      <c r="C20" s="126">
        <f>D20*138.77</f>
        <v>29125.047600000002</v>
      </c>
      <c r="D20" s="126">
        <v>209.88</v>
      </c>
    </row>
    <row r="21" spans="1:5">
      <c r="A21" s="101"/>
      <c r="B21" s="125" t="s">
        <v>236</v>
      </c>
      <c r="C21" s="126">
        <v>4098215.5</v>
      </c>
      <c r="D21" s="126"/>
    </row>
    <row r="22" spans="1:5">
      <c r="A22" s="101"/>
      <c r="B22" s="125" t="s">
        <v>237</v>
      </c>
      <c r="C22" s="126">
        <v>789948.22</v>
      </c>
      <c r="D22" s="126"/>
    </row>
    <row r="23" spans="1:5">
      <c r="A23" s="101"/>
      <c r="B23" s="127" t="s">
        <v>238</v>
      </c>
      <c r="C23" s="128">
        <f>SUM(C14:C22)</f>
        <v>6445928.2820999995</v>
      </c>
      <c r="D23" s="129"/>
    </row>
    <row r="24" spans="1:5">
      <c r="A24" s="101"/>
      <c r="B24" s="96"/>
    </row>
    <row r="25" spans="1:5">
      <c r="A25" s="101"/>
      <c r="B25" s="99"/>
    </row>
    <row r="26" spans="1:5">
      <c r="A26" s="101">
        <v>3</v>
      </c>
      <c r="B26" s="96" t="s">
        <v>186</v>
      </c>
    </row>
    <row r="27" spans="1:5">
      <c r="A27" s="101"/>
      <c r="B27" s="99" t="s">
        <v>246</v>
      </c>
      <c r="C27" s="119">
        <v>45799.788000000059</v>
      </c>
    </row>
    <row r="28" spans="1:5">
      <c r="A28" s="101"/>
      <c r="B28" s="99" t="s">
        <v>247</v>
      </c>
      <c r="C28" s="119">
        <v>9026.39</v>
      </c>
    </row>
    <row r="29" spans="1:5">
      <c r="A29" s="101"/>
      <c r="B29" s="99" t="s">
        <v>249</v>
      </c>
      <c r="C29" s="119">
        <v>12060.67</v>
      </c>
      <c r="D29" s="133"/>
      <c r="E29" s="133"/>
    </row>
    <row r="30" spans="1:5">
      <c r="A30" s="101"/>
      <c r="B30" s="99" t="s">
        <v>248</v>
      </c>
      <c r="C30" s="119">
        <v>737876</v>
      </c>
      <c r="D30" s="133"/>
      <c r="E30" s="133"/>
    </row>
    <row r="31" spans="1:5">
      <c r="A31" s="101"/>
      <c r="B31" s="99"/>
      <c r="C31" s="119">
        <f>SUM(C27:C30)</f>
        <v>804762.848</v>
      </c>
      <c r="D31" s="3"/>
      <c r="E31" s="134"/>
    </row>
    <row r="32" spans="1:5">
      <c r="A32" s="101"/>
      <c r="B32" s="99"/>
      <c r="C32" s="119"/>
      <c r="D32" s="3"/>
      <c r="E32" s="134"/>
    </row>
    <row r="33" spans="1:15" ht="15.75" thickBot="1">
      <c r="A33" s="101" t="s">
        <v>189</v>
      </c>
      <c r="B33" s="99" t="s">
        <v>282</v>
      </c>
      <c r="C33" s="119"/>
      <c r="D33" s="3"/>
      <c r="E33" s="134"/>
      <c r="H33" s="133"/>
      <c r="I33" s="133"/>
      <c r="J33" s="133"/>
      <c r="K33" s="133"/>
      <c r="L33" s="133"/>
      <c r="M33" s="133"/>
      <c r="N33" s="133"/>
      <c r="O33" s="133"/>
    </row>
    <row r="34" spans="1:15" s="135" customFormat="1" ht="25.5">
      <c r="A34" s="173" t="s">
        <v>131</v>
      </c>
      <c r="B34" s="174" t="s">
        <v>250</v>
      </c>
      <c r="C34" s="175" t="s">
        <v>251</v>
      </c>
      <c r="D34" s="174" t="s">
        <v>312</v>
      </c>
      <c r="E34" s="174" t="s">
        <v>252</v>
      </c>
      <c r="F34" s="174" t="s">
        <v>253</v>
      </c>
      <c r="G34" s="174" t="s">
        <v>254</v>
      </c>
      <c r="H34" s="207"/>
      <c r="I34" s="207"/>
      <c r="J34" s="208"/>
      <c r="K34" s="208"/>
      <c r="L34" s="208"/>
      <c r="M34" s="207"/>
      <c r="N34" s="209"/>
      <c r="O34" s="210"/>
    </row>
    <row r="35" spans="1:15" customFormat="1" ht="12.75">
      <c r="A35" s="177">
        <v>1</v>
      </c>
      <c r="B35" s="178" t="s">
        <v>255</v>
      </c>
      <c r="C35" s="179">
        <v>3312011.2</v>
      </c>
      <c r="D35" s="180">
        <v>3715180.59</v>
      </c>
      <c r="E35" s="178">
        <v>662402.24000000011</v>
      </c>
      <c r="F35" s="181">
        <v>694812.43466666655</v>
      </c>
      <c r="G35" s="181">
        <v>5669977.1153333336</v>
      </c>
      <c r="H35" s="211"/>
      <c r="I35" s="212"/>
      <c r="J35" s="211"/>
      <c r="K35" s="211"/>
      <c r="L35" s="211"/>
      <c r="M35" s="212"/>
      <c r="N35" s="212"/>
      <c r="O35" s="113"/>
    </row>
    <row r="36" spans="1:15" customFormat="1" ht="12.75">
      <c r="A36" s="177">
        <v>2</v>
      </c>
      <c r="B36" s="178" t="s">
        <v>256</v>
      </c>
      <c r="C36" s="180">
        <v>13884.8</v>
      </c>
      <c r="D36" s="178">
        <v>220000</v>
      </c>
      <c r="E36" s="178">
        <v>2776.96</v>
      </c>
      <c r="F36" s="181">
        <v>27333.333333333336</v>
      </c>
      <c r="G36" s="181">
        <v>203774.50666666665</v>
      </c>
      <c r="H36" s="211"/>
      <c r="I36" s="212"/>
      <c r="J36" s="211"/>
      <c r="K36" s="211"/>
      <c r="L36" s="211"/>
      <c r="M36" s="212"/>
      <c r="N36" s="213"/>
      <c r="O36" s="113"/>
    </row>
    <row r="37" spans="1:15" customFormat="1" ht="12.75">
      <c r="A37" s="177">
        <v>3</v>
      </c>
      <c r="B37" s="178" t="s">
        <v>257</v>
      </c>
      <c r="C37" s="180">
        <v>73975.199999999997</v>
      </c>
      <c r="D37" s="178"/>
      <c r="E37" s="178">
        <v>14795.04</v>
      </c>
      <c r="F37" s="181">
        <v>0</v>
      </c>
      <c r="G37" s="181">
        <v>59180.159999999996</v>
      </c>
      <c r="H37" s="211"/>
      <c r="I37" s="212"/>
      <c r="J37" s="211"/>
      <c r="K37" s="211"/>
      <c r="L37" s="211"/>
      <c r="M37" s="212"/>
      <c r="N37" s="213"/>
      <c r="O37" s="113"/>
    </row>
    <row r="38" spans="1:15" customFormat="1" ht="12.75">
      <c r="A38" s="177">
        <v>4</v>
      </c>
      <c r="B38" s="178" t="s">
        <v>258</v>
      </c>
      <c r="C38" s="180">
        <v>676221.75</v>
      </c>
      <c r="D38" s="178">
        <v>189043.99000000002</v>
      </c>
      <c r="E38" s="178">
        <v>169055.4375</v>
      </c>
      <c r="F38" s="181">
        <v>30799.12125</v>
      </c>
      <c r="G38" s="181">
        <v>665411.18125000002</v>
      </c>
      <c r="H38" s="211"/>
      <c r="I38" s="212"/>
      <c r="J38" s="211"/>
      <c r="K38" s="211"/>
      <c r="L38" s="211"/>
      <c r="M38" s="212"/>
      <c r="N38" s="213"/>
      <c r="O38" s="113"/>
    </row>
    <row r="39" spans="1:15" customFormat="1" ht="13.5" thickBot="1">
      <c r="A39" s="183"/>
      <c r="B39" s="184" t="s">
        <v>238</v>
      </c>
      <c r="C39" s="185">
        <v>4076092.95</v>
      </c>
      <c r="D39" s="185"/>
      <c r="E39" s="185">
        <v>849029.67750000011</v>
      </c>
      <c r="F39" s="185">
        <v>752944.88924999989</v>
      </c>
      <c r="G39" s="185">
        <v>6598342.963250001</v>
      </c>
      <c r="H39" s="211"/>
      <c r="I39" s="212"/>
      <c r="J39" s="211"/>
      <c r="K39" s="211"/>
      <c r="L39" s="211"/>
      <c r="M39" s="211"/>
      <c r="N39" s="213"/>
      <c r="O39" s="113"/>
    </row>
    <row r="40" spans="1:15" customFormat="1" ht="12.75">
      <c r="A40" s="182"/>
      <c r="B40" s="182"/>
      <c r="C40" s="186"/>
      <c r="D40" s="182"/>
      <c r="E40" s="182"/>
      <c r="F40" s="182"/>
      <c r="G40" s="182"/>
      <c r="H40" s="213"/>
      <c r="I40" s="213"/>
      <c r="J40" s="211"/>
      <c r="K40" s="211"/>
      <c r="L40" s="211"/>
      <c r="M40" s="213"/>
      <c r="N40" s="213"/>
      <c r="O40" s="113"/>
    </row>
    <row r="41" spans="1:15" customFormat="1" ht="13.5" thickBot="1">
      <c r="A41" s="182"/>
      <c r="B41" s="200" t="s">
        <v>283</v>
      </c>
      <c r="C41" s="186"/>
      <c r="D41" s="182"/>
      <c r="E41" s="182"/>
      <c r="F41" s="182"/>
      <c r="G41" s="182"/>
      <c r="H41" s="182"/>
      <c r="I41" s="182"/>
      <c r="J41" s="186"/>
      <c r="K41" s="186"/>
      <c r="L41" s="186"/>
      <c r="M41" s="182"/>
      <c r="N41" s="182"/>
    </row>
    <row r="42" spans="1:15" s="135" customFormat="1" ht="25.5">
      <c r="A42" s="187" t="s">
        <v>131</v>
      </c>
      <c r="B42" s="188" t="s">
        <v>250</v>
      </c>
      <c r="C42" s="189" t="s">
        <v>259</v>
      </c>
      <c r="D42" s="188" t="s">
        <v>260</v>
      </c>
      <c r="E42" s="188" t="s">
        <v>261</v>
      </c>
      <c r="F42" s="188" t="s">
        <v>262</v>
      </c>
      <c r="G42" s="188" t="s">
        <v>263</v>
      </c>
      <c r="H42" s="190" t="s">
        <v>253</v>
      </c>
      <c r="I42" s="176"/>
      <c r="J42" s="191"/>
      <c r="K42" s="191"/>
      <c r="L42" s="191"/>
      <c r="M42" s="176"/>
      <c r="N42" s="176"/>
    </row>
    <row r="43" spans="1:15" customFormat="1" ht="12.75">
      <c r="A43" s="177">
        <v>1</v>
      </c>
      <c r="B43" s="192" t="s">
        <v>264</v>
      </c>
      <c r="C43" s="193" t="s">
        <v>265</v>
      </c>
      <c r="D43" s="194">
        <v>100000</v>
      </c>
      <c r="E43" s="194" t="s">
        <v>256</v>
      </c>
      <c r="F43" s="195">
        <v>0.2</v>
      </c>
      <c r="G43" s="196">
        <v>8</v>
      </c>
      <c r="H43" s="197">
        <f>D43*F43*G43/12</f>
        <v>13333.333333333334</v>
      </c>
      <c r="I43" s="182"/>
      <c r="J43" s="198"/>
      <c r="K43" s="198"/>
      <c r="L43" s="198"/>
      <c r="M43" s="199"/>
      <c r="N43" s="182"/>
    </row>
    <row r="44" spans="1:15" customFormat="1" ht="12.75">
      <c r="A44" s="177">
        <v>2</v>
      </c>
      <c r="B44" s="192" t="s">
        <v>266</v>
      </c>
      <c r="C44" s="193" t="s">
        <v>267</v>
      </c>
      <c r="D44" s="194">
        <v>60000</v>
      </c>
      <c r="E44" s="194" t="s">
        <v>256</v>
      </c>
      <c r="F44" s="195">
        <v>0.2</v>
      </c>
      <c r="G44" s="196">
        <v>7</v>
      </c>
      <c r="H44" s="197">
        <f>D44*F44*G44/12</f>
        <v>7000</v>
      </c>
      <c r="I44" s="182"/>
      <c r="J44" s="198"/>
      <c r="K44" s="198"/>
      <c r="L44" s="198"/>
      <c r="M44" s="199"/>
      <c r="N44" s="182"/>
    </row>
    <row r="45" spans="1:15" customFormat="1" ht="12.75">
      <c r="A45" s="177">
        <v>3</v>
      </c>
      <c r="B45" s="192" t="s">
        <v>268</v>
      </c>
      <c r="C45" s="193" t="s">
        <v>267</v>
      </c>
      <c r="D45" s="194">
        <v>20000</v>
      </c>
      <c r="E45" s="194" t="s">
        <v>256</v>
      </c>
      <c r="F45" s="195">
        <v>0.2</v>
      </c>
      <c r="G45" s="196">
        <v>7</v>
      </c>
      <c r="H45" s="197">
        <f>D45*F45*G45/12</f>
        <v>2333.3333333333335</v>
      </c>
      <c r="I45" s="182"/>
      <c r="J45" s="198"/>
      <c r="K45" s="198"/>
      <c r="L45" s="198"/>
      <c r="M45" s="199"/>
      <c r="N45" s="182"/>
    </row>
    <row r="46" spans="1:15" customFormat="1" ht="12.75">
      <c r="A46" s="177">
        <v>4</v>
      </c>
      <c r="B46" s="192" t="s">
        <v>269</v>
      </c>
      <c r="C46" s="193" t="s">
        <v>267</v>
      </c>
      <c r="D46" s="194">
        <v>28000</v>
      </c>
      <c r="E46" s="194" t="s">
        <v>256</v>
      </c>
      <c r="F46" s="195">
        <v>0.2</v>
      </c>
      <c r="G46" s="196">
        <v>7</v>
      </c>
      <c r="H46" s="197">
        <f>D46*F46*G46/12</f>
        <v>3266.6666666666665</v>
      </c>
      <c r="I46" s="182"/>
      <c r="J46" s="198"/>
      <c r="K46" s="198"/>
      <c r="L46" s="198"/>
      <c r="M46" s="199"/>
      <c r="N46" s="182"/>
    </row>
    <row r="47" spans="1:15" customFormat="1" ht="13.5" thickBot="1">
      <c r="A47" s="142">
        <v>5</v>
      </c>
      <c r="B47" s="143" t="s">
        <v>270</v>
      </c>
      <c r="C47" s="144" t="s">
        <v>267</v>
      </c>
      <c r="D47" s="145">
        <v>12000</v>
      </c>
      <c r="E47" s="145" t="s">
        <v>256</v>
      </c>
      <c r="F47" s="146">
        <v>0.2</v>
      </c>
      <c r="G47" s="147">
        <v>7</v>
      </c>
      <c r="H47" s="148">
        <f>D47*F47*G47/12</f>
        <v>1400</v>
      </c>
      <c r="J47" s="141"/>
      <c r="K47" s="141"/>
      <c r="L47" s="141"/>
      <c r="M47" s="111"/>
    </row>
    <row r="48" spans="1:15" s="32" customFormat="1" ht="13.5" thickBot="1">
      <c r="A48" s="149"/>
      <c r="B48" s="150" t="s">
        <v>271</v>
      </c>
      <c r="C48" s="151"/>
      <c r="D48" s="152">
        <f>SUM(D43:D47)</f>
        <v>220000</v>
      </c>
      <c r="E48" s="351" t="s">
        <v>272</v>
      </c>
      <c r="F48" s="351"/>
      <c r="G48" s="351"/>
      <c r="H48" s="153">
        <f>SUM(H43:H47)</f>
        <v>27333.333333333336</v>
      </c>
      <c r="J48" s="154"/>
      <c r="K48" s="154"/>
      <c r="L48" s="154"/>
    </row>
    <row r="49" spans="1:13" customFormat="1" ht="12.75">
      <c r="A49" s="155">
        <v>1</v>
      </c>
      <c r="B49" s="156" t="s">
        <v>273</v>
      </c>
      <c r="C49" s="157" t="s">
        <v>265</v>
      </c>
      <c r="D49" s="158">
        <v>172450.01</v>
      </c>
      <c r="E49" s="158" t="s">
        <v>274</v>
      </c>
      <c r="F49" s="159">
        <v>0.25</v>
      </c>
      <c r="G49" s="160">
        <v>8</v>
      </c>
      <c r="H49" s="161">
        <f>D49*F49*G49/12</f>
        <v>28741.668333333335</v>
      </c>
      <c r="J49" s="141"/>
      <c r="K49" s="141"/>
      <c r="L49" s="141"/>
      <c r="M49" s="111"/>
    </row>
    <row r="50" spans="1:13" customFormat="1" ht="12.75">
      <c r="A50" s="136">
        <v>2</v>
      </c>
      <c r="B50" s="125" t="s">
        <v>275</v>
      </c>
      <c r="C50" s="137" t="s">
        <v>265</v>
      </c>
      <c r="D50" s="126">
        <v>9795.16</v>
      </c>
      <c r="E50" s="126" t="s">
        <v>274</v>
      </c>
      <c r="F50" s="138">
        <v>0.25</v>
      </c>
      <c r="G50" s="139">
        <v>8</v>
      </c>
      <c r="H50" s="140">
        <f>D50*F50*G50/12</f>
        <v>1632.5266666666666</v>
      </c>
      <c r="J50" s="141"/>
      <c r="K50" s="141"/>
      <c r="L50" s="141"/>
      <c r="M50" s="111"/>
    </row>
    <row r="51" spans="1:13" customFormat="1" ht="13.5" thickBot="1">
      <c r="A51" s="142">
        <v>3</v>
      </c>
      <c r="B51" s="143" t="s">
        <v>276</v>
      </c>
      <c r="C51" s="144" t="s">
        <v>277</v>
      </c>
      <c r="D51" s="145">
        <v>6798.82</v>
      </c>
      <c r="E51" s="145" t="s">
        <v>274</v>
      </c>
      <c r="F51" s="146">
        <v>0.25</v>
      </c>
      <c r="G51" s="147">
        <v>3</v>
      </c>
      <c r="H51" s="148">
        <f>D51*F51*G51/12</f>
        <v>424.92624999999998</v>
      </c>
      <c r="J51" s="141"/>
      <c r="K51" s="141"/>
      <c r="L51" s="141"/>
      <c r="M51" s="111"/>
    </row>
    <row r="52" spans="1:13" s="32" customFormat="1" ht="13.5" thickBot="1">
      <c r="A52" s="149"/>
      <c r="B52" s="150" t="s">
        <v>278</v>
      </c>
      <c r="C52" s="162"/>
      <c r="D52" s="163">
        <f>SUM(D49:D51)</f>
        <v>189043.99000000002</v>
      </c>
      <c r="E52" s="351" t="s">
        <v>272</v>
      </c>
      <c r="F52" s="351"/>
      <c r="G52" s="351"/>
      <c r="H52" s="153">
        <f>SUM(H49:H51)</f>
        <v>30799.12125</v>
      </c>
      <c r="J52" s="154"/>
      <c r="K52" s="154"/>
      <c r="L52" s="154"/>
    </row>
    <row r="53" spans="1:13" s="32" customFormat="1" ht="12.75">
      <c r="A53" s="164"/>
      <c r="B53" s="165"/>
      <c r="C53" s="166">
        <v>40206</v>
      </c>
      <c r="D53" s="167">
        <v>821759.59</v>
      </c>
      <c r="E53" s="167" t="s">
        <v>279</v>
      </c>
      <c r="F53" s="168">
        <v>0.2</v>
      </c>
      <c r="G53" s="169">
        <v>12</v>
      </c>
      <c r="H53" s="170">
        <f>D53*F53*G53/12</f>
        <v>164351.91800000001</v>
      </c>
      <c r="J53" s="154"/>
      <c r="K53" s="154"/>
      <c r="L53" s="154"/>
    </row>
    <row r="54" spans="1:13" s="32" customFormat="1" ht="12.75">
      <c r="A54" s="164"/>
      <c r="B54" s="171" t="s">
        <v>280</v>
      </c>
      <c r="C54" s="166">
        <v>40207</v>
      </c>
      <c r="D54" s="167">
        <v>2865048</v>
      </c>
      <c r="E54" s="167" t="s">
        <v>279</v>
      </c>
      <c r="F54" s="168">
        <v>0.2</v>
      </c>
      <c r="G54" s="169">
        <v>11</v>
      </c>
      <c r="H54" s="170">
        <f>D54*F54*G54/12</f>
        <v>525258.79999999993</v>
      </c>
      <c r="J54" s="154"/>
      <c r="K54" s="154"/>
      <c r="L54" s="154"/>
    </row>
    <row r="55" spans="1:13" customFormat="1" ht="13.5" thickBot="1">
      <c r="A55" s="172">
        <v>1</v>
      </c>
      <c r="B55" s="171" t="s">
        <v>280</v>
      </c>
      <c r="C55" s="166">
        <v>40207</v>
      </c>
      <c r="D55" s="167">
        <v>28373</v>
      </c>
      <c r="E55" s="167" t="s">
        <v>279</v>
      </c>
      <c r="F55" s="168">
        <v>0.2</v>
      </c>
      <c r="G55" s="169">
        <v>11</v>
      </c>
      <c r="H55" s="170">
        <f>D55*F55*G55/12</f>
        <v>5201.7166666666672</v>
      </c>
      <c r="J55" s="141"/>
      <c r="K55" s="141"/>
      <c r="L55" s="141"/>
      <c r="M55" s="111"/>
    </row>
    <row r="56" spans="1:13" s="32" customFormat="1" ht="13.5" thickBot="1">
      <c r="A56" s="149"/>
      <c r="B56" s="150" t="s">
        <v>281</v>
      </c>
      <c r="C56" s="162"/>
      <c r="D56" s="163">
        <f>SUM(D53:D55)</f>
        <v>3715180.59</v>
      </c>
      <c r="E56" s="351" t="s">
        <v>272</v>
      </c>
      <c r="F56" s="351"/>
      <c r="G56" s="351"/>
      <c r="H56" s="153">
        <f>SUM(H53:H55)</f>
        <v>694812.43466666655</v>
      </c>
      <c r="J56" s="154"/>
      <c r="K56" s="154"/>
      <c r="L56" s="154"/>
    </row>
    <row r="57" spans="1:13">
      <c r="A57" s="101"/>
      <c r="B57" s="99"/>
      <c r="C57" s="119"/>
      <c r="D57" s="3"/>
      <c r="E57" s="134"/>
    </row>
    <row r="58" spans="1:13">
      <c r="A58" s="101" t="s">
        <v>188</v>
      </c>
      <c r="B58" s="96" t="s">
        <v>297</v>
      </c>
      <c r="C58" s="201" t="s">
        <v>293</v>
      </c>
      <c r="D58" s="201" t="s">
        <v>294</v>
      </c>
      <c r="E58" s="134"/>
    </row>
    <row r="59" spans="1:13">
      <c r="A59" s="98"/>
      <c r="B59" s="99" t="s">
        <v>284</v>
      </c>
      <c r="C59" s="119">
        <v>1079593.1321</v>
      </c>
      <c r="D59" s="119">
        <f>C59/138.77</f>
        <v>7779.73</v>
      </c>
      <c r="E59" s="134"/>
    </row>
    <row r="60" spans="1:13">
      <c r="A60" s="101"/>
      <c r="B60" s="99" t="s">
        <v>292</v>
      </c>
      <c r="C60" s="119">
        <v>3086675.7478999998</v>
      </c>
      <c r="D60" s="119">
        <f>C60/138.77</f>
        <v>22243.105483173593</v>
      </c>
      <c r="E60" s="134"/>
    </row>
    <row r="61" spans="1:13">
      <c r="A61" s="101"/>
      <c r="B61" s="99"/>
      <c r="C61" s="119"/>
      <c r="D61" s="3"/>
      <c r="E61" s="134"/>
    </row>
    <row r="62" spans="1:13">
      <c r="A62" s="101" t="s">
        <v>285</v>
      </c>
      <c r="B62" s="96" t="s">
        <v>286</v>
      </c>
      <c r="C62" s="119"/>
      <c r="D62" s="3"/>
      <c r="E62" s="134"/>
    </row>
    <row r="63" spans="1:13">
      <c r="A63" s="101"/>
      <c r="B63" s="99" t="s">
        <v>287</v>
      </c>
      <c r="C63" s="119">
        <v>133614</v>
      </c>
      <c r="D63" s="3"/>
      <c r="E63" s="134"/>
    </row>
    <row r="64" spans="1:13">
      <c r="A64" s="101"/>
      <c r="B64" s="99" t="s">
        <v>288</v>
      </c>
      <c r="C64" s="119">
        <v>31368</v>
      </c>
      <c r="E64" s="134"/>
    </row>
    <row r="65" spans="1:7">
      <c r="A65" s="101"/>
      <c r="B65" s="99" t="s">
        <v>289</v>
      </c>
      <c r="C65" s="3">
        <v>22096</v>
      </c>
      <c r="E65" s="134"/>
    </row>
    <row r="66" spans="1:7">
      <c r="A66" s="101"/>
      <c r="B66" s="99" t="s">
        <v>290</v>
      </c>
      <c r="C66" s="119">
        <v>21486</v>
      </c>
      <c r="D66" s="3"/>
      <c r="E66" s="134"/>
    </row>
    <row r="67" spans="1:7">
      <c r="A67" s="101"/>
      <c r="B67" s="99" t="s">
        <v>291</v>
      </c>
      <c r="C67" s="119">
        <v>4222</v>
      </c>
      <c r="D67" s="3"/>
      <c r="E67" s="134"/>
    </row>
    <row r="68" spans="1:7">
      <c r="A68" s="101"/>
      <c r="B68" s="99"/>
      <c r="C68" s="119">
        <f>SUM(C63:C67)</f>
        <v>212786</v>
      </c>
      <c r="D68" s="3"/>
      <c r="E68" s="134"/>
    </row>
    <row r="69" spans="1:7">
      <c r="A69" s="101"/>
      <c r="B69" s="99"/>
      <c r="C69" s="119"/>
      <c r="D69" s="3"/>
      <c r="E69" s="134"/>
    </row>
    <row r="70" spans="1:7">
      <c r="A70" s="100">
        <v>7</v>
      </c>
      <c r="B70" s="96" t="s">
        <v>295</v>
      </c>
    </row>
    <row r="71" spans="1:7">
      <c r="B71" s="99" t="s">
        <v>296</v>
      </c>
      <c r="C71" s="97">
        <v>19187325.010000002</v>
      </c>
    </row>
    <row r="74" spans="1:7">
      <c r="A74" s="100">
        <v>8</v>
      </c>
      <c r="B74" s="96" t="s">
        <v>3</v>
      </c>
    </row>
    <row r="75" spans="1:7">
      <c r="B75" s="202" t="s">
        <v>214</v>
      </c>
      <c r="C75" s="112">
        <v>141400</v>
      </c>
    </row>
    <row r="76" spans="1:7">
      <c r="B76" s="202" t="s">
        <v>200</v>
      </c>
      <c r="C76" s="112">
        <v>4797400.04</v>
      </c>
    </row>
    <row r="77" spans="1:7">
      <c r="B77" s="202" t="s">
        <v>215</v>
      </c>
      <c r="C77" s="112">
        <v>198720</v>
      </c>
    </row>
    <row r="78" spans="1:7">
      <c r="B78" s="202" t="s">
        <v>216</v>
      </c>
      <c r="C78" s="112">
        <v>822910</v>
      </c>
      <c r="G78" s="205"/>
    </row>
    <row r="79" spans="1:7">
      <c r="B79" s="202" t="s">
        <v>217</v>
      </c>
      <c r="C79" s="112">
        <v>30000</v>
      </c>
      <c r="G79" s="205"/>
    </row>
    <row r="80" spans="1:7">
      <c r="B80" s="202" t="s">
        <v>218</v>
      </c>
      <c r="C80" s="214">
        <v>2743865.02</v>
      </c>
      <c r="G80" s="205"/>
    </row>
    <row r="81" spans="2:7">
      <c r="B81" s="202" t="s">
        <v>219</v>
      </c>
      <c r="C81" s="214">
        <v>39368</v>
      </c>
      <c r="G81" s="205"/>
    </row>
    <row r="82" spans="2:7">
      <c r="B82" s="203" t="s">
        <v>202</v>
      </c>
      <c r="C82" s="214">
        <v>5000</v>
      </c>
      <c r="G82" s="205"/>
    </row>
    <row r="83" spans="2:7">
      <c r="B83" s="203" t="s">
        <v>203</v>
      </c>
      <c r="C83" s="214">
        <v>173340.67</v>
      </c>
      <c r="G83" s="205"/>
    </row>
    <row r="84" spans="2:7">
      <c r="B84" s="203" t="s">
        <v>204</v>
      </c>
      <c r="C84" s="214">
        <v>1049600</v>
      </c>
      <c r="G84" s="205"/>
    </row>
    <row r="85" spans="2:7">
      <c r="B85" s="203" t="s">
        <v>205</v>
      </c>
      <c r="C85" s="214">
        <v>137560</v>
      </c>
      <c r="G85" s="205"/>
    </row>
    <row r="86" spans="2:7">
      <c r="B86" s="203" t="s">
        <v>206</v>
      </c>
      <c r="C86" s="214">
        <v>219665.83</v>
      </c>
      <c r="G86" s="205"/>
    </row>
    <row r="87" spans="2:7">
      <c r="B87" s="203" t="s">
        <v>207</v>
      </c>
      <c r="C87" s="214">
        <v>576969.39</v>
      </c>
      <c r="G87" s="205"/>
    </row>
    <row r="88" spans="2:7">
      <c r="B88" s="203" t="s">
        <v>208</v>
      </c>
      <c r="C88" s="214">
        <v>79819.89</v>
      </c>
      <c r="G88" s="205"/>
    </row>
    <row r="89" spans="2:7">
      <c r="B89" s="203" t="s">
        <v>196</v>
      </c>
      <c r="C89" s="214">
        <v>120000</v>
      </c>
      <c r="G89" s="205"/>
    </row>
    <row r="90" spans="2:7">
      <c r="B90" s="203" t="s">
        <v>197</v>
      </c>
      <c r="C90" s="214">
        <v>144264</v>
      </c>
      <c r="G90" s="205"/>
    </row>
    <row r="91" spans="2:7">
      <c r="B91" s="203" t="s">
        <v>198</v>
      </c>
      <c r="C91" s="214">
        <v>1062290.01</v>
      </c>
      <c r="G91" s="206"/>
    </row>
    <row r="92" spans="2:7">
      <c r="B92" s="203" t="s">
        <v>199</v>
      </c>
      <c r="C92" s="214">
        <v>4300</v>
      </c>
    </row>
    <row r="93" spans="2:7">
      <c r="B93" s="203" t="s">
        <v>200</v>
      </c>
      <c r="C93" s="214">
        <v>204000</v>
      </c>
    </row>
    <row r="94" spans="2:7">
      <c r="B94" s="203" t="s">
        <v>298</v>
      </c>
      <c r="C94" s="214">
        <v>-44051.46</v>
      </c>
    </row>
    <row r="95" spans="2:7">
      <c r="B95" s="203" t="s">
        <v>209</v>
      </c>
      <c r="C95" s="214">
        <v>68120</v>
      </c>
    </row>
    <row r="96" spans="2:7">
      <c r="B96" s="203" t="s">
        <v>210</v>
      </c>
      <c r="C96" s="112">
        <v>100000</v>
      </c>
    </row>
    <row r="97" spans="2:8">
      <c r="B97" s="203" t="s">
        <v>211</v>
      </c>
      <c r="C97" s="112">
        <v>170400</v>
      </c>
    </row>
    <row r="98" spans="2:8">
      <c r="B98" s="203" t="s">
        <v>212</v>
      </c>
      <c r="C98" s="112">
        <v>1558.16</v>
      </c>
    </row>
    <row r="101" spans="2:8">
      <c r="B101" s="110" t="s">
        <v>195</v>
      </c>
    </row>
    <row r="102" spans="2:8">
      <c r="B102" s="203" t="s">
        <v>212</v>
      </c>
      <c r="C102" s="204">
        <v>1558.16</v>
      </c>
    </row>
    <row r="103" spans="2:8">
      <c r="B103" s="203" t="s">
        <v>214</v>
      </c>
      <c r="C103" s="204">
        <v>141400</v>
      </c>
    </row>
    <row r="104" spans="2:8">
      <c r="B104" s="203" t="s">
        <v>200</v>
      </c>
      <c r="C104" s="204">
        <v>4797400.04</v>
      </c>
    </row>
    <row r="105" spans="2:8">
      <c r="B105" s="203" t="s">
        <v>215</v>
      </c>
      <c r="C105" s="204">
        <v>198720</v>
      </c>
    </row>
    <row r="106" spans="2:8">
      <c r="B106" s="203" t="s">
        <v>216</v>
      </c>
      <c r="C106" s="204">
        <v>822910</v>
      </c>
    </row>
    <row r="107" spans="2:8" ht="15.75">
      <c r="B107" s="203" t="s">
        <v>217</v>
      </c>
      <c r="C107" s="204">
        <v>30000</v>
      </c>
      <c r="F107" s="333" t="s">
        <v>309</v>
      </c>
      <c r="G107" s="333"/>
      <c r="H107" s="333"/>
    </row>
    <row r="108" spans="2:8">
      <c r="B108" s="203" t="s">
        <v>218</v>
      </c>
      <c r="C108" s="204">
        <v>2743865.02</v>
      </c>
      <c r="F108" s="345" t="s">
        <v>310</v>
      </c>
      <c r="G108" s="334"/>
      <c r="H108" s="334"/>
    </row>
    <row r="109" spans="2:8">
      <c r="B109" s="203" t="s">
        <v>219</v>
      </c>
      <c r="C109" s="204">
        <v>39368</v>
      </c>
    </row>
    <row r="110" spans="2:8">
      <c r="B110" s="203" t="s">
        <v>221</v>
      </c>
      <c r="C110" s="204">
        <v>-44051.46</v>
      </c>
    </row>
  </sheetData>
  <mergeCells count="7">
    <mergeCell ref="F108:H108"/>
    <mergeCell ref="B6:G6"/>
    <mergeCell ref="B7:G7"/>
    <mergeCell ref="E48:G48"/>
    <mergeCell ref="E52:G52"/>
    <mergeCell ref="E56:G56"/>
    <mergeCell ref="F107:H107"/>
  </mergeCells>
  <phoneticPr fontId="0" type="noConversion"/>
  <pageMargins left="0.22" right="0.11" top="0.28000000000000003" bottom="0.17" header="0.08" footer="0.1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Kapaku</vt:lpstr>
      <vt:lpstr>Aktivet e detajuara</vt:lpstr>
      <vt:lpstr>Te ardhura e shpenzime</vt:lpstr>
      <vt:lpstr>Fluksi 2</vt:lpstr>
      <vt:lpstr>Kapitali 2</vt:lpstr>
      <vt:lpstr>info PL</vt:lpstr>
      <vt:lpstr>Shenime 13</vt:lpstr>
      <vt:lpstr>Shenime 11</vt:lpstr>
      <vt:lpstr>Shenime (2)</vt:lpstr>
      <vt:lpstr>AAM</vt:lpstr>
      <vt:lpstr>AAM!Print_Area</vt:lpstr>
      <vt:lpstr>'Aktivet e detajuara'!Print_Area</vt:lpstr>
      <vt:lpstr>'Fluksi 2'!Print_Area</vt:lpstr>
      <vt:lpstr>Kapaku!Print_Area</vt:lpstr>
      <vt:lpstr>'Shenime (2)'!Print_Area</vt:lpstr>
      <vt:lpstr>'Shenime 11'!Print_Area</vt:lpstr>
      <vt:lpstr>'Shenime 13'!Print_Area</vt:lpstr>
      <vt:lpstr>'Te ardhura e shpenzime'!Print_Area</vt:lpstr>
    </vt:vector>
  </TitlesOfParts>
  <Company>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Acer</cp:lastModifiedBy>
  <cp:lastPrinted>2014-03-31T08:09:31Z</cp:lastPrinted>
  <dcterms:created xsi:type="dcterms:W3CDTF">2001-01-12T15:48:55Z</dcterms:created>
  <dcterms:modified xsi:type="dcterms:W3CDTF">2014-06-12T11:59:13Z</dcterms:modified>
</cp:coreProperties>
</file>